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 name="Area Calculation" sheetId="7" r:id="rId5"/>
  </sheets>
  <definedNames>
    <definedName name="_xlnm._FilterDatabase" localSheetId="0" hidden="1">Report!$A$153:$H$480</definedName>
    <definedName name="_xlnm.Print_Area" localSheetId="0">Report!$A$1:$H$647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4" i="1" l="1"/>
  <c r="A455" i="1" l="1"/>
  <c r="L142" i="1"/>
  <c r="D62" i="1"/>
  <c r="A456" i="1" l="1"/>
  <c r="A458" i="1" s="1"/>
  <c r="A459" i="1" s="1"/>
  <c r="A460" i="1" s="1"/>
  <c r="A461" i="1" s="1"/>
  <c r="A462" i="1" s="1"/>
  <c r="A463" i="1" s="1"/>
  <c r="A464" i="1" s="1"/>
  <c r="E450" i="1"/>
  <c r="D450" i="1"/>
  <c r="E452" i="1"/>
  <c r="D452" i="1"/>
  <c r="A451" i="1"/>
  <c r="A452" i="1" s="1"/>
  <c r="E448" i="1"/>
  <c r="D448" i="1"/>
  <c r="E447" i="1"/>
  <c r="D447" i="1"/>
  <c r="E446" i="1"/>
  <c r="D446" i="1"/>
  <c r="A447" i="1"/>
  <c r="A448" i="1" s="1"/>
  <c r="E444" i="1"/>
  <c r="D444" i="1"/>
  <c r="E443" i="1"/>
  <c r="D443" i="1"/>
  <c r="E440" i="1"/>
  <c r="D440" i="1"/>
  <c r="A440" i="1"/>
  <c r="A441" i="1" s="1"/>
  <c r="A442" i="1" s="1"/>
  <c r="A443" i="1" s="1"/>
  <c r="A444" i="1" s="1"/>
  <c r="E439" i="1"/>
  <c r="D439" i="1"/>
  <c r="E437" i="1"/>
  <c r="D437" i="1"/>
  <c r="E436" i="1"/>
  <c r="D436" i="1"/>
  <c r="E435" i="1"/>
  <c r="D435" i="1"/>
  <c r="E434" i="1"/>
  <c r="D434" i="1"/>
  <c r="E433" i="1"/>
  <c r="D433" i="1"/>
  <c r="E432" i="1"/>
  <c r="D432" i="1"/>
  <c r="A433" i="1"/>
  <c r="A434" i="1" s="1"/>
  <c r="A435" i="1" s="1"/>
  <c r="A436" i="1" s="1"/>
  <c r="A437" i="1" s="1"/>
  <c r="E430" i="1"/>
  <c r="D430" i="1"/>
  <c r="E429" i="1"/>
  <c r="D429" i="1"/>
  <c r="F429" i="1" s="1"/>
  <c r="H429" i="1" s="1"/>
  <c r="E428" i="1"/>
  <c r="D428" i="1"/>
  <c r="E427" i="1"/>
  <c r="D427" i="1"/>
  <c r="E426" i="1"/>
  <c r="D426" i="1"/>
  <c r="E425" i="1"/>
  <c r="D425" i="1"/>
  <c r="F425" i="1" s="1"/>
  <c r="H425" i="1" s="1"/>
  <c r="A426" i="1"/>
  <c r="A427" i="1" s="1"/>
  <c r="A428" i="1" s="1"/>
  <c r="A429" i="1" s="1"/>
  <c r="A430" i="1" s="1"/>
  <c r="E423" i="1"/>
  <c r="D423" i="1"/>
  <c r="E422" i="1"/>
  <c r="D422" i="1"/>
  <c r="E419" i="1"/>
  <c r="D419" i="1"/>
  <c r="A419" i="1"/>
  <c r="A420" i="1" s="1"/>
  <c r="A421" i="1" s="1"/>
  <c r="A422" i="1" s="1"/>
  <c r="A423" i="1" s="1"/>
  <c r="E418" i="1"/>
  <c r="D418" i="1"/>
  <c r="E415" i="1"/>
  <c r="D415" i="1"/>
  <c r="E414" i="1"/>
  <c r="D414" i="1"/>
  <c r="E413" i="1"/>
  <c r="D413" i="1"/>
  <c r="E412" i="1"/>
  <c r="D412" i="1"/>
  <c r="E411" i="1"/>
  <c r="D411" i="1"/>
  <c r="E410" i="1"/>
  <c r="D410" i="1"/>
  <c r="A411" i="1"/>
  <c r="A412" i="1" s="1"/>
  <c r="A413" i="1" s="1"/>
  <c r="A414" i="1" s="1"/>
  <c r="A415" i="1" s="1"/>
  <c r="E408" i="1"/>
  <c r="D408" i="1"/>
  <c r="E407" i="1"/>
  <c r="D407" i="1"/>
  <c r="E406" i="1"/>
  <c r="D406" i="1"/>
  <c r="E405" i="1"/>
  <c r="D405" i="1"/>
  <c r="E404" i="1"/>
  <c r="D404" i="1"/>
  <c r="E403" i="1"/>
  <c r="D403" i="1"/>
  <c r="A404" i="1"/>
  <c r="A405" i="1" s="1"/>
  <c r="A406" i="1" s="1"/>
  <c r="A407" i="1" s="1"/>
  <c r="A408" i="1" s="1"/>
  <c r="E401" i="1"/>
  <c r="D401" i="1"/>
  <c r="E400" i="1"/>
  <c r="D400" i="1"/>
  <c r="E397" i="1"/>
  <c r="D397" i="1"/>
  <c r="A397" i="1"/>
  <c r="A398" i="1" s="1"/>
  <c r="A399" i="1" s="1"/>
  <c r="A400" i="1" s="1"/>
  <c r="A401" i="1" s="1"/>
  <c r="E396" i="1"/>
  <c r="D396" i="1"/>
  <c r="E394" i="1"/>
  <c r="D394" i="1"/>
  <c r="E393" i="1"/>
  <c r="D393" i="1"/>
  <c r="E392" i="1"/>
  <c r="D392" i="1"/>
  <c r="E391" i="1"/>
  <c r="D391" i="1"/>
  <c r="E390" i="1"/>
  <c r="D390" i="1"/>
  <c r="A390" i="1"/>
  <c r="A391" i="1" s="1"/>
  <c r="A392" i="1" s="1"/>
  <c r="A393" i="1" s="1"/>
  <c r="A394" i="1" s="1"/>
  <c r="E389" i="1"/>
  <c r="D389" i="1"/>
  <c r="E387" i="1"/>
  <c r="D387" i="1"/>
  <c r="E386" i="1"/>
  <c r="D386" i="1"/>
  <c r="E385" i="1"/>
  <c r="D385" i="1"/>
  <c r="E384" i="1"/>
  <c r="D384" i="1"/>
  <c r="E383" i="1"/>
  <c r="D383" i="1"/>
  <c r="E382" i="1"/>
  <c r="D382" i="1"/>
  <c r="A383" i="1"/>
  <c r="A384" i="1" s="1"/>
  <c r="A385" i="1" s="1"/>
  <c r="A386" i="1" s="1"/>
  <c r="A387" i="1" s="1"/>
  <c r="E380" i="1"/>
  <c r="D380" i="1"/>
  <c r="E379" i="1"/>
  <c r="D379" i="1"/>
  <c r="E376" i="1"/>
  <c r="D376" i="1"/>
  <c r="A376" i="1"/>
  <c r="A377" i="1" s="1"/>
  <c r="A378" i="1" s="1"/>
  <c r="A379" i="1" s="1"/>
  <c r="A380" i="1" s="1"/>
  <c r="E375" i="1"/>
  <c r="D375" i="1"/>
  <c r="E373" i="1"/>
  <c r="D373" i="1"/>
  <c r="E372" i="1"/>
  <c r="D372" i="1"/>
  <c r="E371" i="1"/>
  <c r="D371" i="1"/>
  <c r="E370" i="1"/>
  <c r="D370" i="1"/>
  <c r="E369" i="1"/>
  <c r="D369" i="1"/>
  <c r="E368" i="1"/>
  <c r="D368" i="1"/>
  <c r="A369" i="1"/>
  <c r="A370" i="1" s="1"/>
  <c r="A371" i="1" s="1"/>
  <c r="A372" i="1" s="1"/>
  <c r="A373" i="1" s="1"/>
  <c r="E366" i="1"/>
  <c r="D366" i="1"/>
  <c r="E365" i="1"/>
  <c r="D365" i="1"/>
  <c r="E362" i="1"/>
  <c r="D362" i="1"/>
  <c r="A362" i="1"/>
  <c r="A363" i="1" s="1"/>
  <c r="A364" i="1" s="1"/>
  <c r="A365" i="1" s="1"/>
  <c r="A366" i="1" s="1"/>
  <c r="E361" i="1"/>
  <c r="D361" i="1"/>
  <c r="E355" i="1"/>
  <c r="D355" i="1"/>
  <c r="E354" i="1"/>
  <c r="D354" i="1"/>
  <c r="E359" i="1"/>
  <c r="D359" i="1"/>
  <c r="E358" i="1"/>
  <c r="D358" i="1"/>
  <c r="A355" i="1"/>
  <c r="A356" i="1" s="1"/>
  <c r="A357" i="1" s="1"/>
  <c r="A358" i="1" s="1"/>
  <c r="A359" i="1" s="1"/>
  <c r="E352" i="1"/>
  <c r="D352" i="1"/>
  <c r="E351" i="1"/>
  <c r="D351" i="1"/>
  <c r="E350" i="1"/>
  <c r="D350" i="1"/>
  <c r="E349" i="1"/>
  <c r="D349" i="1"/>
  <c r="E348" i="1"/>
  <c r="D348" i="1"/>
  <c r="E347" i="1"/>
  <c r="D347" i="1"/>
  <c r="A348" i="1"/>
  <c r="A349" i="1" s="1"/>
  <c r="A350" i="1" s="1"/>
  <c r="A351" i="1" s="1"/>
  <c r="A352" i="1" s="1"/>
  <c r="E343" i="1"/>
  <c r="D343" i="1"/>
  <c r="E342" i="1"/>
  <c r="D342" i="1"/>
  <c r="A341" i="1"/>
  <c r="A342" i="1" s="1"/>
  <c r="A343" i="1" s="1"/>
  <c r="A344" i="1" s="1"/>
  <c r="A345" i="1" s="1"/>
  <c r="A334" i="1"/>
  <c r="A335" i="1" s="1"/>
  <c r="A336" i="1" s="1"/>
  <c r="A337" i="1" s="1"/>
  <c r="A338" i="1" s="1"/>
  <c r="E328" i="1"/>
  <c r="D328" i="1"/>
  <c r="F328" i="1" s="1"/>
  <c r="H328" i="1" s="1"/>
  <c r="E327" i="1"/>
  <c r="D327" i="1"/>
  <c r="A326" i="1"/>
  <c r="A327" i="1" s="1"/>
  <c r="A328" i="1" s="1"/>
  <c r="A329" i="1" s="1"/>
  <c r="A330" i="1" s="1"/>
  <c r="D320" i="1"/>
  <c r="A319" i="1"/>
  <c r="A320" i="1" s="1"/>
  <c r="A321" i="1" s="1"/>
  <c r="A322" i="1" s="1"/>
  <c r="A323" i="1" s="1"/>
  <c r="E314" i="1"/>
  <c r="D314" i="1"/>
  <c r="E313" i="1"/>
  <c r="D313" i="1"/>
  <c r="E303" i="1"/>
  <c r="D303" i="1"/>
  <c r="E302" i="1"/>
  <c r="D302" i="1"/>
  <c r="E301" i="1"/>
  <c r="D301" i="1"/>
  <c r="A302" i="1"/>
  <c r="A303" i="1" s="1"/>
  <c r="E299" i="1"/>
  <c r="D299" i="1"/>
  <c r="E296" i="1"/>
  <c r="D296" i="1"/>
  <c r="F298" i="1"/>
  <c r="H298" i="1" s="1"/>
  <c r="A297" i="1"/>
  <c r="A298" i="1" s="1"/>
  <c r="E294" i="1"/>
  <c r="D294" i="1"/>
  <c r="E293" i="1"/>
  <c r="D293" i="1"/>
  <c r="E290" i="1"/>
  <c r="D290" i="1"/>
  <c r="A290" i="1"/>
  <c r="A291" i="1" s="1"/>
  <c r="A292" i="1" s="1"/>
  <c r="A293" i="1" s="1"/>
  <c r="A294" i="1" s="1"/>
  <c r="E289" i="1"/>
  <c r="D289" i="1"/>
  <c r="E287" i="1"/>
  <c r="D287" i="1"/>
  <c r="E286" i="1"/>
  <c r="D286" i="1"/>
  <c r="E285" i="1"/>
  <c r="D285" i="1"/>
  <c r="E284" i="1"/>
  <c r="D284" i="1"/>
  <c r="E283" i="1"/>
  <c r="D283" i="1"/>
  <c r="E282" i="1"/>
  <c r="D282" i="1"/>
  <c r="A283" i="1"/>
  <c r="A284" i="1" s="1"/>
  <c r="A285" i="1" s="1"/>
  <c r="A286" i="1" s="1"/>
  <c r="A287" i="1" s="1"/>
  <c r="E280" i="1"/>
  <c r="D280" i="1"/>
  <c r="E279" i="1"/>
  <c r="D279" i="1"/>
  <c r="E278" i="1"/>
  <c r="D278" i="1"/>
  <c r="E277" i="1"/>
  <c r="D277" i="1"/>
  <c r="E276" i="1"/>
  <c r="D276" i="1"/>
  <c r="E275" i="1"/>
  <c r="D275" i="1"/>
  <c r="E273" i="1"/>
  <c r="D273" i="1"/>
  <c r="E272" i="1"/>
  <c r="D272" i="1"/>
  <c r="E269" i="1"/>
  <c r="D269" i="1"/>
  <c r="A269" i="1"/>
  <c r="A270" i="1" s="1"/>
  <c r="A271" i="1" s="1"/>
  <c r="A272" i="1" s="1"/>
  <c r="A273" i="1" s="1"/>
  <c r="E268" i="1"/>
  <c r="D268" i="1"/>
  <c r="A276" i="1"/>
  <c r="A277" i="1" s="1"/>
  <c r="A278" i="1" s="1"/>
  <c r="A279" i="1" s="1"/>
  <c r="A280" i="1" s="1"/>
  <c r="E266" i="1"/>
  <c r="D266" i="1"/>
  <c r="E265" i="1"/>
  <c r="D265" i="1"/>
  <c r="E264" i="1"/>
  <c r="D264" i="1"/>
  <c r="E263" i="1"/>
  <c r="D263" i="1"/>
  <c r="E262" i="1"/>
  <c r="D262" i="1"/>
  <c r="E261" i="1"/>
  <c r="D261" i="1"/>
  <c r="A262" i="1"/>
  <c r="A263" i="1" s="1"/>
  <c r="A264" i="1" s="1"/>
  <c r="A265" i="1" s="1"/>
  <c r="A266" i="1" s="1"/>
  <c r="E259" i="1"/>
  <c r="D259" i="1"/>
  <c r="E258" i="1"/>
  <c r="D258" i="1"/>
  <c r="E257" i="1"/>
  <c r="D257" i="1"/>
  <c r="E256" i="1"/>
  <c r="D256" i="1"/>
  <c r="E255" i="1"/>
  <c r="D255" i="1"/>
  <c r="E254" i="1"/>
  <c r="D254" i="1"/>
  <c r="A255" i="1"/>
  <c r="A256" i="1" s="1"/>
  <c r="A257" i="1" s="1"/>
  <c r="A258" i="1" s="1"/>
  <c r="A259" i="1" s="1"/>
  <c r="E252" i="1"/>
  <c r="D252" i="1"/>
  <c r="E251" i="1"/>
  <c r="D251" i="1"/>
  <c r="E248" i="1"/>
  <c r="D248" i="1"/>
  <c r="A248" i="1"/>
  <c r="A249" i="1" s="1"/>
  <c r="A250" i="1" s="1"/>
  <c r="A251" i="1" s="1"/>
  <c r="A252" i="1" s="1"/>
  <c r="E247" i="1"/>
  <c r="D247" i="1"/>
  <c r="E245" i="1"/>
  <c r="D245" i="1"/>
  <c r="E244" i="1"/>
  <c r="D244" i="1"/>
  <c r="E243" i="1"/>
  <c r="D243" i="1"/>
  <c r="E242" i="1"/>
  <c r="D242" i="1"/>
  <c r="E241" i="1"/>
  <c r="D241" i="1"/>
  <c r="E240" i="1"/>
  <c r="D240" i="1"/>
  <c r="A241" i="1"/>
  <c r="A242" i="1" s="1"/>
  <c r="A243" i="1" s="1"/>
  <c r="A244" i="1" s="1"/>
  <c r="A245" i="1" s="1"/>
  <c r="E238" i="1"/>
  <c r="D238" i="1"/>
  <c r="E237" i="1"/>
  <c r="D237" i="1"/>
  <c r="E236" i="1"/>
  <c r="D236" i="1"/>
  <c r="E235" i="1"/>
  <c r="D235" i="1"/>
  <c r="E234" i="1"/>
  <c r="D234" i="1"/>
  <c r="E233" i="1"/>
  <c r="D233" i="1"/>
  <c r="A234" i="1"/>
  <c r="A235" i="1" s="1"/>
  <c r="A236" i="1" s="1"/>
  <c r="A237" i="1" s="1"/>
  <c r="A238" i="1" s="1"/>
  <c r="E231" i="1"/>
  <c r="D231" i="1"/>
  <c r="E230" i="1"/>
  <c r="D230" i="1"/>
  <c r="E227" i="1"/>
  <c r="D227" i="1"/>
  <c r="A227" i="1"/>
  <c r="A228" i="1" s="1"/>
  <c r="A229" i="1" s="1"/>
  <c r="A230" i="1" s="1"/>
  <c r="A231" i="1" s="1"/>
  <c r="E226" i="1"/>
  <c r="D226" i="1"/>
  <c r="E224" i="1"/>
  <c r="D224" i="1"/>
  <c r="E223" i="1"/>
  <c r="D223" i="1"/>
  <c r="E222" i="1"/>
  <c r="D222" i="1"/>
  <c r="E221" i="1"/>
  <c r="D221" i="1"/>
  <c r="E220" i="1"/>
  <c r="D220" i="1"/>
  <c r="E219" i="1"/>
  <c r="D219" i="1"/>
  <c r="A220" i="1"/>
  <c r="A221" i="1" s="1"/>
  <c r="A222" i="1" s="1"/>
  <c r="A223" i="1" s="1"/>
  <c r="A224" i="1" s="1"/>
  <c r="E217" i="1"/>
  <c r="D217" i="1"/>
  <c r="E216" i="1"/>
  <c r="D216" i="1"/>
  <c r="E215" i="1"/>
  <c r="D215" i="1"/>
  <c r="E214" i="1"/>
  <c r="D214" i="1"/>
  <c r="E213" i="1"/>
  <c r="D213" i="1"/>
  <c r="E212" i="1"/>
  <c r="D212" i="1"/>
  <c r="A213" i="1"/>
  <c r="A214" i="1" s="1"/>
  <c r="A215" i="1" s="1"/>
  <c r="A216" i="1" s="1"/>
  <c r="A217" i="1" s="1"/>
  <c r="E210" i="1"/>
  <c r="D210" i="1"/>
  <c r="E209" i="1"/>
  <c r="D209" i="1"/>
  <c r="E206" i="1"/>
  <c r="D206" i="1"/>
  <c r="A206" i="1"/>
  <c r="A207" i="1" s="1"/>
  <c r="A208" i="1" s="1"/>
  <c r="A209" i="1" s="1"/>
  <c r="A210" i="1" s="1"/>
  <c r="E205" i="1"/>
  <c r="D205" i="1"/>
  <c r="D201" i="1"/>
  <c r="E203" i="1"/>
  <c r="D203" i="1"/>
  <c r="E202" i="1"/>
  <c r="D202" i="1"/>
  <c r="E201" i="1"/>
  <c r="E200" i="1"/>
  <c r="D200" i="1"/>
  <c r="E199" i="1"/>
  <c r="D199" i="1"/>
  <c r="E198" i="1"/>
  <c r="D198" i="1"/>
  <c r="A199" i="1"/>
  <c r="A200" i="1" s="1"/>
  <c r="A201" i="1" s="1"/>
  <c r="A202" i="1" s="1"/>
  <c r="A203" i="1" s="1"/>
  <c r="E196" i="1"/>
  <c r="D196" i="1"/>
  <c r="E195" i="1"/>
  <c r="D195" i="1"/>
  <c r="E194" i="1"/>
  <c r="D194" i="1"/>
  <c r="E193" i="1"/>
  <c r="D193" i="1"/>
  <c r="A192" i="1"/>
  <c r="A193" i="1" s="1"/>
  <c r="A194" i="1" s="1"/>
  <c r="A195" i="1" s="1"/>
  <c r="A196" i="1" s="1"/>
  <c r="E189" i="1"/>
  <c r="D189" i="1"/>
  <c r="E188" i="1"/>
  <c r="D188" i="1"/>
  <c r="E187" i="1"/>
  <c r="D187" i="1"/>
  <c r="E186" i="1"/>
  <c r="D186" i="1"/>
  <c r="A185" i="1"/>
  <c r="A186" i="1" s="1"/>
  <c r="A187" i="1" s="1"/>
  <c r="A188" i="1" s="1"/>
  <c r="A189" i="1" s="1"/>
  <c r="D181" i="1"/>
  <c r="E179" i="1"/>
  <c r="D179" i="1"/>
  <c r="E178" i="1"/>
  <c r="D178" i="1"/>
  <c r="E181" i="1"/>
  <c r="E180" i="1"/>
  <c r="D180" i="1"/>
  <c r="A177" i="1"/>
  <c r="A178" i="1" s="1"/>
  <c r="A179" i="1" s="1"/>
  <c r="A180" i="1" s="1"/>
  <c r="A181" i="1" s="1"/>
  <c r="E174" i="1"/>
  <c r="E173" i="1"/>
  <c r="D173" i="1"/>
  <c r="D171" i="1"/>
  <c r="A170" i="1"/>
  <c r="A171" i="1" s="1"/>
  <c r="E167" i="1"/>
  <c r="D167" i="1"/>
  <c r="E166" i="1"/>
  <c r="D166" i="1"/>
  <c r="E165" i="1"/>
  <c r="D165" i="1"/>
  <c r="E164" i="1"/>
  <c r="D164" i="1"/>
  <c r="I45" i="1"/>
  <c r="I44" i="1"/>
  <c r="A466" i="1" l="1"/>
  <c r="A465" i="1"/>
  <c r="A467" i="1" s="1"/>
  <c r="F427" i="1"/>
  <c r="H427" i="1" s="1"/>
  <c r="F450" i="1"/>
  <c r="H450" i="1" s="1"/>
  <c r="F303" i="1"/>
  <c r="H303" i="1" s="1"/>
  <c r="F320" i="1"/>
  <c r="C140" i="1"/>
  <c r="C137" i="1"/>
  <c r="F435" i="1"/>
  <c r="H435" i="1" s="1"/>
  <c r="F171" i="1"/>
  <c r="C139" i="1"/>
  <c r="F448" i="1"/>
  <c r="H448" i="1" s="1"/>
  <c r="F394" i="1"/>
  <c r="H394" i="1" s="1"/>
  <c r="F452" i="1"/>
  <c r="H452" i="1" s="1"/>
  <c r="C136" i="1"/>
  <c r="F392" i="1"/>
  <c r="H392" i="1" s="1"/>
  <c r="F437" i="1"/>
  <c r="H437" i="1" s="1"/>
  <c r="F261" i="1"/>
  <c r="H261" i="1" s="1"/>
  <c r="F354" i="1"/>
  <c r="H354" i="1" s="1"/>
  <c r="F384" i="1"/>
  <c r="H384" i="1" s="1"/>
  <c r="F389" i="1"/>
  <c r="H389" i="1" s="1"/>
  <c r="F412" i="1"/>
  <c r="H412" i="1" s="1"/>
  <c r="F418" i="1"/>
  <c r="H418" i="1" s="1"/>
  <c r="F428" i="1"/>
  <c r="H428" i="1" s="1"/>
  <c r="F436" i="1"/>
  <c r="H436" i="1" s="1"/>
  <c r="F447" i="1"/>
  <c r="H447" i="1" s="1"/>
  <c r="F430" i="1"/>
  <c r="H430" i="1" s="1"/>
  <c r="F411" i="1"/>
  <c r="H411" i="1" s="1"/>
  <c r="F415" i="1"/>
  <c r="H415" i="1" s="1"/>
  <c r="F167" i="1"/>
  <c r="H167" i="1" s="1"/>
  <c r="F189" i="1"/>
  <c r="H189" i="1" s="1"/>
  <c r="F243" i="1"/>
  <c r="H243" i="1" s="1"/>
  <c r="F385" i="1"/>
  <c r="H385" i="1" s="1"/>
  <c r="F213" i="1"/>
  <c r="H213" i="1" s="1"/>
  <c r="F217" i="1"/>
  <c r="H217" i="1" s="1"/>
  <c r="F241" i="1"/>
  <c r="H241" i="1" s="1"/>
  <c r="F327" i="1"/>
  <c r="H327" i="1" s="1"/>
  <c r="F343" i="1"/>
  <c r="H343" i="1" s="1"/>
  <c r="F371" i="1"/>
  <c r="H371" i="1" s="1"/>
  <c r="F414" i="1"/>
  <c r="H414" i="1" s="1"/>
  <c r="F202" i="1"/>
  <c r="H202" i="1" s="1"/>
  <c r="F444" i="1"/>
  <c r="H444" i="1" s="1"/>
  <c r="F262" i="1"/>
  <c r="H262" i="1" s="1"/>
  <c r="F266" i="1"/>
  <c r="H266" i="1" s="1"/>
  <c r="F362" i="1"/>
  <c r="H362" i="1" s="1"/>
  <c r="F368" i="1"/>
  <c r="H368" i="1" s="1"/>
  <c r="F387" i="1"/>
  <c r="H387" i="1" s="1"/>
  <c r="F396" i="1"/>
  <c r="H396" i="1" s="1"/>
  <c r="F406" i="1"/>
  <c r="H406" i="1" s="1"/>
  <c r="F440" i="1"/>
  <c r="H440" i="1" s="1"/>
  <c r="F254" i="1"/>
  <c r="H254" i="1" s="1"/>
  <c r="F258" i="1"/>
  <c r="H258" i="1" s="1"/>
  <c r="F403" i="1"/>
  <c r="H403" i="1" s="1"/>
  <c r="F212" i="1"/>
  <c r="H212" i="1" s="1"/>
  <c r="F216" i="1"/>
  <c r="H216" i="1" s="1"/>
  <c r="F231" i="1"/>
  <c r="H231" i="1" s="1"/>
  <c r="F240" i="1"/>
  <c r="H240" i="1" s="1"/>
  <c r="F244" i="1"/>
  <c r="H244" i="1" s="1"/>
  <c r="F283" i="1"/>
  <c r="H283" i="1" s="1"/>
  <c r="F287" i="1"/>
  <c r="H287" i="1" s="1"/>
  <c r="F296" i="1"/>
  <c r="H296" i="1" s="1"/>
  <c r="F342" i="1"/>
  <c r="H342" i="1" s="1"/>
  <c r="F352" i="1"/>
  <c r="H352" i="1" s="1"/>
  <c r="F355" i="1"/>
  <c r="H355" i="1" s="1"/>
  <c r="F397" i="1"/>
  <c r="H397" i="1" s="1"/>
  <c r="F433" i="1"/>
  <c r="H433" i="1" s="1"/>
  <c r="F386" i="1"/>
  <c r="H386" i="1" s="1"/>
  <c r="F400" i="1"/>
  <c r="H400" i="1" s="1"/>
  <c r="F251" i="1"/>
  <c r="H251" i="1" s="1"/>
  <c r="F293" i="1"/>
  <c r="H293" i="1" s="1"/>
  <c r="F275" i="1"/>
  <c r="H275" i="1" s="1"/>
  <c r="F279" i="1"/>
  <c r="H279" i="1" s="1"/>
  <c r="F383" i="1"/>
  <c r="H383" i="1" s="1"/>
  <c r="F413" i="1"/>
  <c r="H413" i="1" s="1"/>
  <c r="F419" i="1"/>
  <c r="H419" i="1" s="1"/>
  <c r="F432" i="1"/>
  <c r="H432" i="1" s="1"/>
  <c r="F380" i="1"/>
  <c r="H380" i="1" s="1"/>
  <c r="F407" i="1"/>
  <c r="H407" i="1" s="1"/>
  <c r="F443" i="1"/>
  <c r="H443" i="1" s="1"/>
  <c r="F358" i="1"/>
  <c r="H358" i="1" s="1"/>
  <c r="F390" i="1"/>
  <c r="H390" i="1" s="1"/>
  <c r="F404" i="1"/>
  <c r="H404" i="1" s="1"/>
  <c r="F408" i="1"/>
  <c r="H408" i="1" s="1"/>
  <c r="F180" i="1"/>
  <c r="H180" i="1" s="1"/>
  <c r="F235" i="1"/>
  <c r="H235" i="1" s="1"/>
  <c r="F359" i="1"/>
  <c r="H359" i="1" s="1"/>
  <c r="F370" i="1"/>
  <c r="H370" i="1" s="1"/>
  <c r="F375" i="1"/>
  <c r="H375" i="1" s="1"/>
  <c r="F391" i="1"/>
  <c r="H391" i="1" s="1"/>
  <c r="F401" i="1"/>
  <c r="H401" i="1" s="1"/>
  <c r="F410" i="1"/>
  <c r="H410" i="1" s="1"/>
  <c r="F282" i="1"/>
  <c r="H282" i="1" s="1"/>
  <c r="F286" i="1"/>
  <c r="H286" i="1" s="1"/>
  <c r="F236" i="1"/>
  <c r="H236" i="1" s="1"/>
  <c r="F422" i="1"/>
  <c r="H422" i="1" s="1"/>
  <c r="F301" i="1"/>
  <c r="H301" i="1" s="1"/>
  <c r="F376" i="1"/>
  <c r="H376" i="1" s="1"/>
  <c r="F405" i="1"/>
  <c r="H405" i="1" s="1"/>
  <c r="F423" i="1"/>
  <c r="H423" i="1" s="1"/>
  <c r="F426" i="1"/>
  <c r="H426" i="1" s="1"/>
  <c r="F446" i="1"/>
  <c r="H446" i="1" s="1"/>
  <c r="F174" i="1"/>
  <c r="H174" i="1" s="1"/>
  <c r="F265" i="1"/>
  <c r="H265" i="1" s="1"/>
  <c r="F284" i="1"/>
  <c r="H284" i="1" s="1"/>
  <c r="F289" i="1"/>
  <c r="H289" i="1" s="1"/>
  <c r="F302" i="1"/>
  <c r="H302" i="1" s="1"/>
  <c r="F365" i="1"/>
  <c r="H365" i="1" s="1"/>
  <c r="F372" i="1"/>
  <c r="H372" i="1" s="1"/>
  <c r="F199" i="1"/>
  <c r="H199" i="1" s="1"/>
  <c r="F234" i="1"/>
  <c r="H234" i="1" s="1"/>
  <c r="F238" i="1"/>
  <c r="H238" i="1" s="1"/>
  <c r="F269" i="1"/>
  <c r="H269" i="1" s="1"/>
  <c r="F361" i="1"/>
  <c r="H361" i="1" s="1"/>
  <c r="F366" i="1"/>
  <c r="H366" i="1" s="1"/>
  <c r="F369" i="1"/>
  <c r="H369" i="1" s="1"/>
  <c r="F373" i="1"/>
  <c r="H373" i="1" s="1"/>
  <c r="F379" i="1"/>
  <c r="H379" i="1" s="1"/>
  <c r="F382" i="1"/>
  <c r="H382" i="1" s="1"/>
  <c r="F393" i="1"/>
  <c r="H393" i="1" s="1"/>
  <c r="F434" i="1"/>
  <c r="H434" i="1" s="1"/>
  <c r="F439" i="1"/>
  <c r="H439" i="1" s="1"/>
  <c r="F166" i="1"/>
  <c r="H166" i="1" s="1"/>
  <c r="M142" i="1" s="1"/>
  <c r="F233" i="1"/>
  <c r="H233" i="1" s="1"/>
  <c r="F237" i="1"/>
  <c r="H237" i="1" s="1"/>
  <c r="F245" i="1"/>
  <c r="H245" i="1" s="1"/>
  <c r="F264" i="1"/>
  <c r="H264" i="1" s="1"/>
  <c r="F273" i="1"/>
  <c r="H273" i="1" s="1"/>
  <c r="F278" i="1"/>
  <c r="H278" i="1" s="1"/>
  <c r="F178" i="1"/>
  <c r="H178" i="1" s="1"/>
  <c r="F186" i="1"/>
  <c r="H186" i="1" s="1"/>
  <c r="F224" i="1"/>
  <c r="H224" i="1" s="1"/>
  <c r="F276" i="1"/>
  <c r="H276" i="1" s="1"/>
  <c r="F280" i="1"/>
  <c r="H280" i="1" s="1"/>
  <c r="F256" i="1"/>
  <c r="H256" i="1" s="1"/>
  <c r="F179" i="1"/>
  <c r="H179" i="1" s="1"/>
  <c r="F206" i="1"/>
  <c r="H206" i="1" s="1"/>
  <c r="F221" i="1"/>
  <c r="H221" i="1" s="1"/>
  <c r="F226" i="1"/>
  <c r="H226" i="1" s="1"/>
  <c r="F263" i="1"/>
  <c r="H263" i="1" s="1"/>
  <c r="F277" i="1"/>
  <c r="H277" i="1" s="1"/>
  <c r="F173" i="1"/>
  <c r="H173" i="1" s="1"/>
  <c r="F215" i="1"/>
  <c r="H215" i="1" s="1"/>
  <c r="F223" i="1"/>
  <c r="H223" i="1" s="1"/>
  <c r="F257" i="1"/>
  <c r="H257" i="1" s="1"/>
  <c r="F268" i="1"/>
  <c r="H268" i="1" s="1"/>
  <c r="F198" i="1"/>
  <c r="H198" i="1" s="1"/>
  <c r="F220" i="1"/>
  <c r="H220" i="1" s="1"/>
  <c r="F230" i="1"/>
  <c r="H230" i="1" s="1"/>
  <c r="F294" i="1"/>
  <c r="H294" i="1" s="1"/>
  <c r="F188" i="1"/>
  <c r="H188" i="1" s="1"/>
  <c r="F195" i="1"/>
  <c r="H195" i="1" s="1"/>
  <c r="F203" i="1"/>
  <c r="H203" i="1" s="1"/>
  <c r="F209" i="1"/>
  <c r="H209" i="1" s="1"/>
  <c r="F255" i="1"/>
  <c r="H255" i="1" s="1"/>
  <c r="F259" i="1"/>
  <c r="H259" i="1" s="1"/>
  <c r="A299" i="1"/>
  <c r="F201" i="1"/>
  <c r="H201" i="1" s="1"/>
  <c r="F210" i="1"/>
  <c r="H210" i="1" s="1"/>
  <c r="F214" i="1"/>
  <c r="H214" i="1" s="1"/>
  <c r="F222" i="1"/>
  <c r="H222" i="1" s="1"/>
  <c r="F196" i="1"/>
  <c r="H196" i="1" s="1"/>
  <c r="F200" i="1"/>
  <c r="H200" i="1" s="1"/>
  <c r="F285" i="1"/>
  <c r="H285" i="1" s="1"/>
  <c r="F194" i="1"/>
  <c r="H194" i="1" s="1"/>
  <c r="F205" i="1"/>
  <c r="H205" i="1" s="1"/>
  <c r="F219" i="1"/>
  <c r="H219" i="1" s="1"/>
  <c r="F227" i="1"/>
  <c r="H227" i="1" s="1"/>
  <c r="F248" i="1"/>
  <c r="H248" i="1" s="1"/>
  <c r="F299" i="1"/>
  <c r="H299" i="1" s="1"/>
  <c r="F272" i="1"/>
  <c r="H272" i="1" s="1"/>
  <c r="F252" i="1"/>
  <c r="H252" i="1" s="1"/>
  <c r="A172" i="1"/>
  <c r="A173" i="1" s="1"/>
  <c r="A174" i="1" s="1"/>
  <c r="F181" i="1"/>
  <c r="H181" i="1" s="1"/>
  <c r="F242" i="1"/>
  <c r="H242" i="1" s="1"/>
  <c r="F247" i="1"/>
  <c r="H247" i="1" s="1"/>
  <c r="F187" i="1"/>
  <c r="H187" i="1" s="1"/>
  <c r="F193" i="1"/>
  <c r="H193" i="1" s="1"/>
  <c r="F290" i="1"/>
  <c r="H290" i="1" s="1"/>
  <c r="C141" i="1" l="1"/>
  <c r="C138" i="1"/>
  <c r="H171" i="1"/>
  <c r="G139" i="1" s="1"/>
  <c r="E139" i="1"/>
  <c r="H320" i="1"/>
  <c r="G140" i="1" s="1"/>
  <c r="E140" i="1"/>
  <c r="F148" i="1"/>
  <c r="H148" i="1" s="1"/>
  <c r="C142" i="1" l="1"/>
  <c r="E141" i="1"/>
  <c r="G141"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480" i="1"/>
  <c r="B456" i="1"/>
  <c r="B455" i="1"/>
  <c r="F351" i="1"/>
  <c r="H351" i="1" s="1"/>
  <c r="F350" i="1"/>
  <c r="H350" i="1" s="1"/>
  <c r="F349" i="1"/>
  <c r="H349" i="1" s="1"/>
  <c r="F348" i="1"/>
  <c r="H348" i="1" s="1"/>
  <c r="F347" i="1"/>
  <c r="H347" i="1" s="1"/>
  <c r="F314" i="1"/>
  <c r="H314" i="1" s="1"/>
  <c r="F313" i="1"/>
  <c r="A312" i="1"/>
  <c r="A313" i="1" s="1"/>
  <c r="A314" i="1" s="1"/>
  <c r="A315" i="1" s="1"/>
  <c r="A316" i="1" s="1"/>
  <c r="F165" i="1"/>
  <c r="H165" i="1" s="1"/>
  <c r="F164" i="1"/>
  <c r="A163" i="1"/>
  <c r="A164" i="1" s="1"/>
  <c r="A165" i="1" s="1"/>
  <c r="A166" i="1" s="1"/>
  <c r="A167" i="1" s="1"/>
  <c r="F151" i="1"/>
  <c r="H151" i="1" s="1"/>
  <c r="F150" i="1"/>
  <c r="H150" i="1" s="1"/>
  <c r="F149" i="1"/>
  <c r="H149" i="1" s="1"/>
  <c r="A149" i="1"/>
  <c r="A150" i="1" s="1"/>
  <c r="A151" i="1" s="1"/>
  <c r="F128" i="1"/>
  <c r="C102" i="1"/>
  <c r="C88" i="1"/>
  <c r="C74" i="1"/>
  <c r="B75" i="1" s="1"/>
  <c r="D68" i="1"/>
  <c r="G56" i="1"/>
  <c r="C56" i="1"/>
  <c r="K54" i="1"/>
  <c r="S33" i="1"/>
  <c r="E31" i="1"/>
  <c r="E28" i="1"/>
  <c r="E26" i="1"/>
  <c r="C16" i="1"/>
  <c r="I15" i="1"/>
  <c r="Z13" i="1"/>
  <c r="E8" i="1"/>
  <c r="E3" i="1"/>
  <c r="H103" i="1"/>
  <c r="H89" i="1"/>
  <c r="E42" i="7" l="1"/>
  <c r="D42" i="7" s="1"/>
  <c r="H313" i="1"/>
  <c r="M141" i="1" s="1"/>
  <c r="E137" i="1"/>
  <c r="H164" i="1"/>
  <c r="G136" i="1" s="1"/>
  <c r="E136" i="1"/>
  <c r="J82" i="1"/>
  <c r="J83" i="1"/>
  <c r="B103" i="1"/>
  <c r="J111" i="1" s="1"/>
  <c r="I42" i="7"/>
  <c r="H42" i="7" s="1"/>
  <c r="L42" i="7"/>
  <c r="K42" i="7" s="1"/>
  <c r="J88" i="1"/>
  <c r="J90" i="1" s="1"/>
  <c r="D97" i="1"/>
  <c r="D96" i="1"/>
  <c r="D101" i="1"/>
  <c r="D95" i="1"/>
  <c r="J91" i="1"/>
  <c r="D100" i="1"/>
  <c r="J93" i="1"/>
  <c r="C92" i="1" s="1"/>
  <c r="D94" i="1"/>
  <c r="D99" i="1"/>
  <c r="J92" i="1"/>
  <c r="D98" i="1"/>
  <c r="D112" i="1"/>
  <c r="J106" i="1"/>
  <c r="J102" i="1"/>
  <c r="J104" i="1" s="1"/>
  <c r="J105" i="1"/>
  <c r="D110" i="1"/>
  <c r="D115" i="1"/>
  <c r="D109" i="1"/>
  <c r="D114" i="1"/>
  <c r="D108" i="1"/>
  <c r="D111" i="1"/>
  <c r="J107" i="1"/>
  <c r="C106" i="1" s="1"/>
  <c r="D106" i="1" s="1"/>
  <c r="D113" i="1"/>
  <c r="L54" i="1"/>
  <c r="B89" i="1"/>
  <c r="J84" i="1"/>
  <c r="J85" i="1"/>
  <c r="I52" i="1"/>
  <c r="H75" i="1"/>
  <c r="J77" i="1" l="1"/>
  <c r="D84" i="1"/>
  <c r="D85" i="1"/>
  <c r="D82" i="1"/>
  <c r="J78" i="1"/>
  <c r="D81" i="1"/>
  <c r="D87" i="1"/>
  <c r="J74" i="1"/>
  <c r="J76" i="1" s="1"/>
  <c r="D83" i="1"/>
  <c r="D86" i="1"/>
  <c r="J80" i="1"/>
  <c r="J81" i="1" s="1"/>
  <c r="J86" i="1" s="1"/>
  <c r="J87" i="1" s="1"/>
  <c r="D80" i="1"/>
  <c r="J79" i="1"/>
  <c r="C78" i="1" s="1"/>
  <c r="J113" i="1"/>
  <c r="E138" i="1"/>
  <c r="E142" i="1" s="1"/>
  <c r="G137" i="1"/>
  <c r="G138" i="1" s="1"/>
  <c r="G142" i="1" s="1"/>
  <c r="J112" i="1"/>
  <c r="D44" i="7"/>
  <c r="E44" i="7"/>
  <c r="J110" i="1"/>
  <c r="J108" i="1"/>
  <c r="J109" i="1" s="1"/>
  <c r="J114" i="1" s="1"/>
  <c r="J115" i="1" s="1"/>
  <c r="C107" i="1" s="1"/>
  <c r="G106" i="1" s="1"/>
  <c r="E78" i="1"/>
  <c r="D79" i="1"/>
  <c r="D92" i="1"/>
  <c r="J97" i="1"/>
  <c r="J94" i="1"/>
  <c r="J95" i="1" s="1"/>
  <c r="J100" i="1" s="1"/>
  <c r="J101" i="1" s="1"/>
  <c r="C93" i="1" s="1"/>
  <c r="J99" i="1"/>
  <c r="J96" i="1"/>
  <c r="J98" i="1"/>
  <c r="G78" i="1" l="1"/>
  <c r="D72" i="1" s="1"/>
  <c r="D73" i="1" s="1"/>
  <c r="D78" i="1"/>
  <c r="D107" i="1"/>
  <c r="I103" i="1" s="1"/>
  <c r="I104" i="1" s="1"/>
  <c r="J103" i="1"/>
  <c r="E106" i="1"/>
  <c r="E92" i="1"/>
  <c r="D93" i="1"/>
  <c r="I89" i="1" s="1"/>
  <c r="J89" i="1"/>
  <c r="G92" i="1"/>
  <c r="J75" i="1" l="1"/>
  <c r="I75" i="1"/>
  <c r="F73" i="1"/>
  <c r="I102" i="1"/>
  <c r="C104" i="1" s="1"/>
  <c r="I90" i="1"/>
  <c r="I88" i="1" s="1"/>
  <c r="C90" i="1" s="1"/>
  <c r="I76" i="1" l="1"/>
  <c r="I74" i="1" s="1"/>
  <c r="C76"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<sst xmlns="http://schemas.openxmlformats.org/spreadsheetml/2006/main" count="943" uniqueCount="462">
  <si>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</si>
  <si>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</si>
  <si>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</si>
  <si>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</si>
  <si>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</si>
  <si>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</si>
  <si>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</si>
  <si>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</si>
  <si>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</si>
  <si>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</si>
  <si>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</si>
  <si>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</si>
  <si>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</si>
  <si>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</si>
  <si>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</si>
  <si>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</si>
  <si>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</si>
  <si>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</si>
  <si>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</si>
  <si>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</si>
  <si>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</si>
  <si>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</si>
  <si>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</si>
  <si>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</si>
  <si>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</si>
  <si>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</si>
  <si>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</si>
  <si>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</si>
  <si>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</si>
  <si>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</si>
  <si>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</si>
  <si>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</si>
  <si>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</si>
  <si>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</si>
  <si>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</si>
  <si>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</si>
  <si>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</si>
  <si>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</si>
  <si>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</si>
  <si>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</si>
  <si>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</si>
  <si>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</si>
  <si>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</si>
  <si>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</si>
  <si>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</si>
  <si>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</si>
  <si>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</si>
  <si>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</si>
  <si>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</si>
  <si>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</si>
  <si>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</si>
  <si>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</si>
  <si>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</si>
  <si>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</si>
  <si>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</si>
  <si>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</si>
  <si>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</si>
  <si>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</si>
  <si>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</si>
  <si>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</si>
  <si>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</si>
  <si>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</si>
  <si>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</si>
  <si>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</si>
  <si>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</si>
  <si>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</si>
  <si>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</si>
  <si>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</si>
  <si>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</si>
  <si>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</si>
  <si>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</si>
  <si>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</si>
  <si>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</si>
  <si>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</si>
  <si>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</si>
  <si>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</si>
  <si>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</si>
  <si>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</si>
  <si>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</si>
  <si>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</si>
  <si>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</si>
  <si>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</si>
  <si>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</si>
  <si>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</si>
  <si>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</si>
  <si>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</si>
  <si>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</si>
  <si>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</si>
  <si>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</si>
  <si>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</si>
  <si>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</si>
  <si>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</si>
  <si>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</si>
  <si>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</si>
  <si>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</si>
  <si>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</si>
  <si>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</si>
  <si>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</si>
  <si>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</si>
  <si>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</si>
  <si>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</si>
  <si>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</si>
  <si>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</si>
  <si>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</si>
  <si>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</si>
  <si>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</si>
  <si>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</si>
  <si>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</si>
  <si>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</si>
  <si>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</si>
  <si>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</si>
  <si>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</si>
  <si>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</si>
  <si>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</si>
  <si>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</si>
  <si>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</si>
  <si>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</si>
  <si>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</si>
  <si>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</si>
  <si>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</si>
  <si>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</si>
  <si>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</si>
  <si>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</si>
  <si>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</si>
  <si>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</si>
  <si>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</si>
  <si>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</si>
  <si>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</si>
  <si>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</si>
  <si>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</si>
  <si>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</si>
  <si>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</si>
  <si>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</si>
  <si>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</si>
  <si>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</si>
  <si>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</si>
  <si>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</si>
  <si>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</si>
  <si>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</si>
  <si>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</si>
  <si>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</si>
  <si>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</si>
  <si>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</si>
  <si>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</si>
  <si>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</si>
  <si>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</si>
  <si>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</si>
  <si>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</si>
  <si>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</si>
  <si>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</si>
  <si>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</si>
  <si>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</si>
  <si>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</si>
  <si>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</si>
  <si>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</si>
  <si>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</si>
  <si>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</si>
  <si>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</si>
  <si>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</si>
  <si>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</si>
  <si>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</si>
  <si>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</si>
  <si>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</si>
  <si>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</si>
  <si>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</si>
  <si>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</si>
  <si>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</si>
  <si>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</si>
  <si>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</si>
  <si>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</si>
  <si>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</si>
  <si>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</si>
  <si>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</si>
  <si>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</si>
  <si>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</si>
  <si>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</si>
  <si>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</si>
  <si>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</si>
  <si>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</si>
  <si>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</si>
  <si>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</si>
  <si>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</si>
  <si>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</si>
  <si>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</si>
  <si>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</si>
  <si>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</si>
  <si>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</si>
  <si>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</si>
  <si>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</si>
  <si>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</si>
  <si>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</si>
  <si>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</si>
  <si>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</si>
  <si>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</si>
  <si>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</si>
  <si>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</si>
  <si>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</si>
  <si>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</si>
  <si>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</si>
  <si>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</si>
  <si>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</si>
  <si>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</si>
  <si>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</si>
  <si>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</si>
  <si>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</si>
  <si>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</si>
  <si>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</si>
  <si>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</si>
  <si>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</si>
  <si>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</si>
  <si>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</si>
  <si>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</si>
  <si>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</si>
  <si>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</si>
  <si>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</si>
  <si>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</si>
  <si>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</si>
  <si>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</si>
  <si>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</si>
  <si>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</si>
  <si>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</si>
  <si>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</si>
  <si>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</si>
  <si>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</si>
  <si>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</si>
  <si>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</si>
  <si>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</si>
  <si>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</si>
  <si>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</si>
  <si>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</si>
  <si>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</si>
  <si>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</si>
  <si>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</si>
  <si>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</si>
  <si>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</si>
  <si>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</si>
  <si>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</si>
  <si>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</si>
  <si>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</si>
  <si>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</si>
  <si>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</si>
  <si>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</si>
  <si>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</si>
  <si>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</si>
  <si>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</si>
  <si>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</si>
  <si>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</si>
  <si>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</si>
  <si>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</si>
  <si>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</si>
  <si>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</si>
  <si>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</si>
  <si>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</si>
  <si>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</si>
  <si>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</si>
  <si>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</si>
  <si>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</si>
  <si>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</si>
  <si>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</si>
  <si>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</si>
  <si>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</si>
  <si>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</si>
  <si>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</si>
  <si>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</si>
  <si>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</si>
  <si>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</si>
  <si>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</si>
  <si>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</si>
  <si>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</si>
  <si>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</si>
  <si>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</si>
  <si>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</si>
  <si>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</si>
  <si>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</si>
  <si>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</si>
  <si>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</si>
  <si>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</si>
  <si>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</si>
  <si>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</si>
  <si>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</si>
  <si>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</si>
  <si>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</si>
  <si>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</si>
  <si>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</si>
  <si>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</si>
  <si>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</si>
  <si>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</si>
  <si>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</si>
  <si>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</si>
  <si>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</si>
  <si>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</si>
  <si>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</si>
  <si>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</si>
  <si>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</si>
  <si>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</si>
  <si>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</si>
  <si>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</si>
  <si>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</si>
  <si>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</si>
  <si>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</si>
  <si>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</si>
  <si>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</si>
  <si>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</si>
  <si>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</si>
  <si>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</si>
  <si>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</si>
  <si>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</si>
  <si>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</si>
  <si>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</si>
  <si>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</si>
  <si>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</si>
  <si>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</si>
  <si>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</si>
  <si>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</si>
  <si>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</si>
  <si>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</si>
  <si>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</si>
  <si>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</si>
  <si>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</si>
  <si>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</si>
  <si>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</si>
  <si>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</si>
  <si>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</si>
  <si>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</si>
  <si>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</si>
  <si>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</si>
  <si>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</si>
  <si>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</si>
  <si>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</si>
  <si>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</si>
  <si>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</si>
  <si>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</si>
  <si>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</si>
  <si>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</si>
  <si>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</si>
  <si>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</si>
  <si>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</si>
  <si>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</si>
  <si>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</si>
  <si>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</si>
  <si>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</si>
  <si>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</si>
  <si>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</si>
  <si>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</si>
  <si>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</si>
  <si>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</si>
  <si>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</si>
  <si>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</si>
  <si>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Building Details Floor Wise</t>
  </si>
  <si>
    <t>Sammaan Capital Limited</t>
  </si>
  <si>
    <t>Thane Municipal Corporation (TMC)</t>
  </si>
  <si>
    <t>Prestige Mulund Realty Private Limited</t>
  </si>
  <si>
    <t>Mr Sunil Suryavanshi 8147822185</t>
  </si>
  <si>
    <t>Approved CC.</t>
  </si>
  <si>
    <t>P51800077457</t>
  </si>
  <si>
    <t>19/1 to 19/13</t>
  </si>
  <si>
    <t>Lotus Hill CHS</t>
  </si>
  <si>
    <t>Agarwal Road</t>
  </si>
  <si>
    <t>Mulund West</t>
  </si>
  <si>
    <t>Mulund</t>
  </si>
  <si>
    <t>Ghati Pada</t>
  </si>
  <si>
    <t>2.80KM from Mulund Railway Station</t>
  </si>
  <si>
    <t>13.40M Wide Road</t>
  </si>
  <si>
    <t>Other Plot</t>
  </si>
  <si>
    <t>Internal Road</t>
  </si>
  <si>
    <t>Open Plot</t>
  </si>
  <si>
    <t>Lok Nisarg CHS/Building</t>
  </si>
  <si>
    <t>DP Road</t>
  </si>
  <si>
    <t>19.185036,72.940160</t>
  </si>
  <si>
    <t>https://maps.app.goo.gl/pYepfkZ7CQNERCEcA</t>
  </si>
  <si>
    <t>Gym, Swimming Pool, Indoor Games, Garden, Spa, Kids play area, Banquet Hall, Yoga &amp; Meditation Area, Library, Digital game Arcade, etc.</t>
  </si>
  <si>
    <t>Not Provided</t>
  </si>
  <si>
    <t>02 Wings</t>
  </si>
  <si>
    <t>T/PVT/0071/20090709/Sale</t>
  </si>
  <si>
    <t>This CC is reendorsed for Wing A, B, C and further extended upto plinth level for wing D of sale building no 1 as per approved amended plan dated 19/06/2024</t>
  </si>
  <si>
    <t>A &amp; B Wing = 1B + Gr + 1A + 1st to 7th Podium + 8th to 66th Floor</t>
  </si>
  <si>
    <t>B Wing = 1B + Gr + 1A + 1st to 7th Podium + 8th to 66th Floor</t>
  </si>
  <si>
    <t>As per RERA - 31/12/2030</t>
  </si>
  <si>
    <r>
      <t xml:space="preserve">Proposed Amenities :                                                                                                                                                                                                                         </t>
    </r>
    <r>
      <rPr>
        <b/>
        <sz val="12"/>
        <rFont val="Times New Roman"/>
        <family val="1"/>
      </rPr>
      <t xml:space="preserve">                                               </t>
    </r>
  </si>
  <si>
    <t>Wing A</t>
  </si>
  <si>
    <t>Basement Floor For Parking</t>
  </si>
  <si>
    <t>Ground Floor For Entrance Lobby, Panel Room, Fire Control Room, Substation &amp; Parking</t>
  </si>
  <si>
    <t>1st Podium Floor for Parking</t>
  </si>
  <si>
    <t>P1A Service Floor</t>
  </si>
  <si>
    <t>2nd Podium Floor For Void &amp; Parking</t>
  </si>
  <si>
    <t>1st Floor to 5th Floor (3rd Level Podium to 7th Level Podium) Floor Plan</t>
  </si>
  <si>
    <t xml:space="preserve">Details of Residential in Building   </t>
  </si>
  <si>
    <t>3BHK</t>
  </si>
  <si>
    <t>Parking</t>
  </si>
  <si>
    <t>6th Floor (8th Level Podium) Floor Plan For Residential &amp; Part Refuge Area</t>
  </si>
  <si>
    <t>Refuge Area</t>
  </si>
  <si>
    <t>1BHK
(MP Room)</t>
  </si>
  <si>
    <t>7th Floor (9th Level Podium) Floor Plan</t>
  </si>
  <si>
    <t>7A/9A Service Floor</t>
  </si>
  <si>
    <t>8th Floor (10th Level Podium/E-Deck) Floor Plan For Amenities</t>
  </si>
  <si>
    <t>9th Floor Plan For Residential &amp; Service Area</t>
  </si>
  <si>
    <t>Amenities</t>
  </si>
  <si>
    <t>Service Area</t>
  </si>
  <si>
    <t>10th to 12th &amp; 14th Floor For Residential</t>
  </si>
  <si>
    <t>13th Floor (Part Refuge Area)</t>
  </si>
  <si>
    <t>15th Floor</t>
  </si>
  <si>
    <t>16th to 19th &amp; 21st to 24th Floor</t>
  </si>
  <si>
    <t>20th Floor (Part Refuge Area)</t>
  </si>
  <si>
    <t>25th Floor</t>
  </si>
  <si>
    <t>26th, 28th to 33rd Floor</t>
  </si>
  <si>
    <t>27th &amp; 34th Floor (Part Refuge Area)</t>
  </si>
  <si>
    <t>35th Floor</t>
  </si>
  <si>
    <t>36th to 40th &amp; 42nd to 44th Floor</t>
  </si>
  <si>
    <t>41st Floor (Part Refuge Area)</t>
  </si>
  <si>
    <t>45th Floor</t>
  </si>
  <si>
    <t>46th, 47th, 49th to 54th &amp; 56th to 59th Floor</t>
  </si>
  <si>
    <t>48th &amp; 55th Floor (Part Refuge Area)</t>
  </si>
  <si>
    <t>62nd Floor (Part Refuge Area)</t>
  </si>
  <si>
    <t>5BHK</t>
  </si>
  <si>
    <t>1Room 
(MP Room)</t>
  </si>
  <si>
    <t>60th, 61st &amp; 63rd to 66th</t>
  </si>
  <si>
    <t>4BHK</t>
  </si>
  <si>
    <t>Wing B</t>
  </si>
  <si>
    <t>2BHK
(MP Room)</t>
  </si>
  <si>
    <t>VIP Guest Room</t>
  </si>
  <si>
    <t>10th to 12th &amp; 14th to 19th Floor For Residential</t>
  </si>
  <si>
    <t>21st to 26th, 28th &amp; 29th Floor</t>
  </si>
  <si>
    <t>27th Floor (Part Refuge Area)</t>
  </si>
  <si>
    <t>30th Floor</t>
  </si>
  <si>
    <t>31st to 33rd &amp; 35th to 39th Floor</t>
  </si>
  <si>
    <t>34th Floor (Part Refuge Area)</t>
  </si>
  <si>
    <t>40th Floor</t>
  </si>
  <si>
    <t>42nd to 47th &amp; 49th Floor</t>
  </si>
  <si>
    <t>40A (Service) Floor</t>
  </si>
  <si>
    <t>41st &amp; 48th Floor (Part Refuge Area)</t>
  </si>
  <si>
    <t>50th Floor</t>
  </si>
  <si>
    <t>51st to 54th &amp; 56th to 59th Floor</t>
  </si>
  <si>
    <t>55th Floor (Part Refuge Area)</t>
  </si>
  <si>
    <t>We considered Gross carpet area = Net carpet + Deck + Utility Area.</t>
  </si>
  <si>
    <t>Nainesh Tambe</t>
  </si>
  <si>
    <t>8th Floor (10th Level Podium/E-Deck) Floor Plan For Amenities &amp; VIP Guest Room</t>
  </si>
  <si>
    <t>Flats</t>
  </si>
  <si>
    <t>MP Room</t>
  </si>
  <si>
    <t>Total Flats</t>
  </si>
  <si>
    <t>Flats =  660, MP Room = 03</t>
  </si>
  <si>
    <t>Wing A &amp; B</t>
  </si>
  <si>
    <t>Forest Hills Ph 1 at The Prestige City (Wing A &amp; B)</t>
  </si>
  <si>
    <t xml:space="preserve">
On request of bank officials we have drafted Area from provided plans.</t>
  </si>
  <si>
    <t xml:space="preserve">Please provide approved layout plan with Area statement
</t>
  </si>
  <si>
    <t>T/PVT/0071/20090709 Sale Bldg No. 1</t>
  </si>
  <si>
    <t>Approved Floor plan No.  (Sheet No. 3, 5, 11, 19, 26 &amp; 48)</t>
  </si>
  <si>
    <t>Fungible area</t>
  </si>
  <si>
    <t>builtup area taken from godrej report</t>
  </si>
  <si>
    <t>With reference to Documents (Pen Drive) provided by bank i.e. floor plans &amp; approved CC of Wing A &amp; B dated 19/06/2024.
Sheet No. 3, 5, 11, 19, 26 &amp; 48 consist a plan approval number. 
Sheet No.1, 2, 4, 6 to 10, 12 to 18, 20 to 25, 27 to 47, 49 to 51 does not consist a plan approval number. 
Please provide approved plan consisting plan approval number.
After discussion with Bank Officials on mail, we were asked to refer above plans till plinth level as cc is valid till plinth level.</t>
  </si>
  <si>
    <t>Remark No : 10</t>
  </si>
  <si>
    <t xml:space="preserve">P-20603/2024(19/2And Other)/T Ward/MULUND-W/SRACFO/1/New. </t>
  </si>
  <si>
    <t>Tower A &amp; B = B + Gr + 1st to 66th upper residential floor (Height 229.55 Mtrs)</t>
  </si>
  <si>
    <t>Please check for Environmental Clearance.</t>
  </si>
  <si>
    <t>Infrastructure &amp; Development Charges</t>
  </si>
  <si>
    <t>Dedicated EV Car Charging Slot</t>
  </si>
  <si>
    <t>Electric Meter and Gas/MGL Connection Charges</t>
  </si>
  <si>
    <t>Recommended Rates / Other charges of the Property have been revised on 26/03/2025.</t>
  </si>
  <si>
    <t>19000 to 20500</t>
  </si>
  <si>
    <t>Cost sheet</t>
  </si>
  <si>
    <t xml:space="preserve">Sanjay </t>
  </si>
  <si>
    <t>Shruti Tathare</t>
  </si>
  <si>
    <t>Construction work is in process at the time of Visit (Internal Visit Not Allowed) (Very Slow Speed).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</si>
</sst>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164" fontId="7" fillId="0" borderId="0" xfId="1" applyNumberFormat="1" applyFont="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6" fillId="0" borderId="1" xfId="0" applyNumberFormat="1" applyFont="1" applyBorder="1" applyAlignment="1" applyProtection="1">
      <alignment vertical="center" wrapText="1"/>
      <protection locked="0"/>
    </xf>
    <xf numFmtId="9" fontId="13" fillId="0" borderId="16" xfId="8" applyFont="1" applyFill="1" applyBorder="1" applyAlignment="1" applyProtection="1">
      <alignment horizontal="center" vertical="top" wrapText="1"/>
      <protection locked="0"/>
    </xf>
    <xf numFmtId="0" fontId="7" fillId="0" borderId="0" xfId="0" applyFont="1" applyAlignment="1">
      <alignment horizontal="center" vertical="center" wrapText="1"/>
    </xf>
    <xf numFmtId="0" fontId="12" fillId="0" borderId="1"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2" fontId="6" fillId="0" borderId="1"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3" fillId="0" borderId="16"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76201</xdr:colOff>
      <xdr:row>565</xdr:row>
      <xdr:rowOff>22860</xdr:rowOff>
    </xdr:from>
    <xdr:to>
      <xdr:col>7</xdr:col>
      <xdr:colOff>670560</xdr:colOff>
      <xdr:row>589</xdr:row>
      <xdr:rowOff>89199</xdr:rowOff>
    </xdr:to>
    <xdr:grpSp>
      <xdr:nvGrpSpPr>
        <xdr:cNvPr id="2" name="Group 1">
          <a:extLst>
            <a:ext uri="{FF2B5EF4-FFF2-40B4-BE49-F238E27FC236}">
              <a16:creationId xmlns:a16="http://schemas.microsoft.com/office/drawing/2014/main" xmlns="" id="{00000000-0008-0000-0000-000002000000}"/>
            </a:ext>
          </a:extLst>
        </xdr:cNvPr>
        <xdr:cNvGrpSpPr/>
      </xdr:nvGrpSpPr>
      <xdr:grpSpPr>
        <a:xfrm>
          <a:off x="76201" y="107702985"/>
          <a:ext cx="6147434" cy="4866939"/>
          <a:chOff x="180166" y="888160"/>
          <a:chExt cx="7470956" cy="5040000"/>
        </a:xfrm>
      </xdr:grpSpPr>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4257765" y="888160"/>
            <a:ext cx="3393357" cy="5040000"/>
          </a:xfrm>
          <a:prstGeom prst="rect">
            <a:avLst/>
          </a:prstGeom>
          <a:ln>
            <a:solidFill>
              <a:schemeClr val="tx1"/>
            </a:solidFill>
          </a:ln>
        </xdr:spPr>
      </xdr:pic>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180166" y="888160"/>
            <a:ext cx="3861545" cy="5040000"/>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xmlns="" id="{00000000-0008-0000-0000-000005000000}"/>
              </a:ext>
            </a:extLst>
          </xdr:cNvPr>
          <xdr:cNvSpPr/>
        </xdr:nvSpPr>
        <xdr:spPr>
          <a:xfrm rot="1857142">
            <a:off x="5036804" y="1028845"/>
            <a:ext cx="808589" cy="26624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 name="Rectangle 5">
            <a:extLst>
              <a:ext uri="{FF2B5EF4-FFF2-40B4-BE49-F238E27FC236}">
                <a16:creationId xmlns:a16="http://schemas.microsoft.com/office/drawing/2014/main" xmlns="" id="{00000000-0008-0000-0000-000006000000}"/>
              </a:ext>
            </a:extLst>
          </xdr:cNvPr>
          <xdr:cNvSpPr/>
        </xdr:nvSpPr>
        <xdr:spPr>
          <a:xfrm rot="1831190">
            <a:off x="896476" y="4437888"/>
            <a:ext cx="851504" cy="8305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Rectangle 6">
            <a:extLst>
              <a:ext uri="{FF2B5EF4-FFF2-40B4-BE49-F238E27FC236}">
                <a16:creationId xmlns:a16="http://schemas.microsoft.com/office/drawing/2014/main" xmlns="" id="{00000000-0008-0000-0000-000007000000}"/>
              </a:ext>
            </a:extLst>
          </xdr:cNvPr>
          <xdr:cNvSpPr/>
        </xdr:nvSpPr>
        <xdr:spPr>
          <a:xfrm rot="1697784">
            <a:off x="1217682" y="3167354"/>
            <a:ext cx="805430" cy="94379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TextBox 6">
            <a:extLst>
              <a:ext uri="{FF2B5EF4-FFF2-40B4-BE49-F238E27FC236}">
                <a16:creationId xmlns:a16="http://schemas.microsoft.com/office/drawing/2014/main" xmlns="" id="{00000000-0008-0000-0000-000008000000}"/>
              </a:ext>
            </a:extLst>
          </xdr:cNvPr>
          <xdr:cNvSpPr txBox="1"/>
        </xdr:nvSpPr>
        <xdr:spPr>
          <a:xfrm>
            <a:off x="1532530" y="5159130"/>
            <a:ext cx="1248968" cy="39111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9" name="TextBox 7">
            <a:extLst>
              <a:ext uri="{FF2B5EF4-FFF2-40B4-BE49-F238E27FC236}">
                <a16:creationId xmlns:a16="http://schemas.microsoft.com/office/drawing/2014/main" xmlns="" id="{00000000-0008-0000-0000-000009000000}"/>
              </a:ext>
            </a:extLst>
          </xdr:cNvPr>
          <xdr:cNvSpPr txBox="1"/>
        </xdr:nvSpPr>
        <xdr:spPr>
          <a:xfrm>
            <a:off x="1907034" y="3821617"/>
            <a:ext cx="1162501" cy="39111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grpSp>
    <xdr:clientData/>
  </xdr:twoCellAnchor>
  <xdr:twoCellAnchor>
    <xdr:from>
      <xdr:col>0</xdr:col>
      <xdr:colOff>419100</xdr:colOff>
      <xdr:row>607</xdr:row>
      <xdr:rowOff>0</xdr:rowOff>
    </xdr:from>
    <xdr:to>
      <xdr:col>7</xdr:col>
      <xdr:colOff>314213</xdr:colOff>
      <xdr:row>645</xdr:row>
      <xdr:rowOff>136263</xdr:rowOff>
    </xdr:to>
    <xdr:grpSp>
      <xdr:nvGrpSpPr>
        <xdr:cNvPr id="10" name="Group 9">
          <a:extLst>
            <a:ext uri="{FF2B5EF4-FFF2-40B4-BE49-F238E27FC236}">
              <a16:creationId xmlns:a16="http://schemas.microsoft.com/office/drawing/2014/main" xmlns="" id="{00000000-0008-0000-0000-00000A000000}"/>
            </a:ext>
          </a:extLst>
        </xdr:cNvPr>
        <xdr:cNvGrpSpPr/>
      </xdr:nvGrpSpPr>
      <xdr:grpSpPr>
        <a:xfrm>
          <a:off x="419100" y="116081175"/>
          <a:ext cx="5448188" cy="7737213"/>
          <a:chOff x="695325" y="209550"/>
          <a:chExt cx="5581650" cy="8248650"/>
        </a:xfrm>
      </xdr:grpSpPr>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3"/>
          <a:srcRect l="34919" t="28125" r="28478" b="23438"/>
          <a:stretch/>
        </xdr:blipFill>
        <xdr:spPr>
          <a:xfrm>
            <a:off x="1104900" y="209550"/>
            <a:ext cx="4762500" cy="3543300"/>
          </a:xfrm>
          <a:prstGeom prst="rect">
            <a:avLst/>
          </a:prstGeom>
          <a:ln>
            <a:solidFill>
              <a:schemeClr val="tx1"/>
            </a:solidFill>
          </a:ln>
        </xdr:spPr>
      </xdr:pic>
      <xdr:grpSp>
        <xdr:nvGrpSpPr>
          <xdr:cNvPr id="12" name="Group 11">
            <a:extLst>
              <a:ext uri="{FF2B5EF4-FFF2-40B4-BE49-F238E27FC236}">
                <a16:creationId xmlns:a16="http://schemas.microsoft.com/office/drawing/2014/main" xmlns="" id="{00000000-0008-0000-0000-00000C000000}"/>
              </a:ext>
            </a:extLst>
          </xdr:cNvPr>
          <xdr:cNvGrpSpPr/>
        </xdr:nvGrpSpPr>
        <xdr:grpSpPr>
          <a:xfrm>
            <a:off x="695325" y="3886200"/>
            <a:ext cx="5581650" cy="4572000"/>
            <a:chOff x="695325" y="3886200"/>
            <a:chExt cx="5581650" cy="4572000"/>
          </a:xfrm>
        </xdr:grpSpPr>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rotWithShape="1">
            <a:blip xmlns:r="http://schemas.openxmlformats.org/officeDocument/2006/relationships" r:embed="rId4"/>
            <a:srcRect l="25842" t="27084" r="31260" b="10416"/>
            <a:stretch/>
          </xdr:blipFill>
          <xdr:spPr>
            <a:xfrm>
              <a:off x="695325" y="3886200"/>
              <a:ext cx="5581650" cy="4572000"/>
            </a:xfrm>
            <a:prstGeom prst="rect">
              <a:avLst/>
            </a:prstGeom>
            <a:ln>
              <a:solidFill>
                <a:schemeClr val="tx1"/>
              </a:solidFill>
            </a:ln>
          </xdr:spPr>
        </xdr:pic>
        <xdr:sp macro="" textlink="">
          <xdr:nvSpPr>
            <xdr:cNvPr id="14" name="Rectangle 13">
              <a:extLst>
                <a:ext uri="{FF2B5EF4-FFF2-40B4-BE49-F238E27FC236}">
                  <a16:creationId xmlns:a16="http://schemas.microsoft.com/office/drawing/2014/main" xmlns="" id="{00000000-0008-0000-0000-00000E000000}"/>
                </a:ext>
              </a:extLst>
            </xdr:cNvPr>
            <xdr:cNvSpPr/>
          </xdr:nvSpPr>
          <xdr:spPr>
            <a:xfrm rot="1868623">
              <a:off x="2395973" y="4525573"/>
              <a:ext cx="1478040" cy="260519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1</xdr:col>
      <xdr:colOff>556591</xdr:colOff>
      <xdr:row>523</xdr:row>
      <xdr:rowOff>26505</xdr:rowOff>
    </xdr:from>
    <xdr:to>
      <xdr:col>6</xdr:col>
      <xdr:colOff>93677</xdr:colOff>
      <xdr:row>545</xdr:row>
      <xdr:rowOff>94361</xdr:rowOff>
    </xdr:to>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338469" y="97058922"/>
          <a:ext cx="3724773" cy="4441074"/>
        </a:xfrm>
        <a:prstGeom prst="rect">
          <a:avLst/>
        </a:prstGeom>
      </xdr:spPr>
    </xdr:pic>
    <xdr:clientData/>
  </xdr:twoCellAnchor>
  <xdr:twoCellAnchor editAs="oneCell">
    <xdr:from>
      <xdr:col>8</xdr:col>
      <xdr:colOff>971550</xdr:colOff>
      <xdr:row>37</xdr:row>
      <xdr:rowOff>171450</xdr:rowOff>
    </xdr:from>
    <xdr:to>
      <xdr:col>12</xdr:col>
      <xdr:colOff>279646</xdr:colOff>
      <xdr:row>40</xdr:row>
      <xdr:rowOff>9470</xdr:rowOff>
    </xdr:to>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6"/>
        <a:stretch>
          <a:fillRect/>
        </a:stretch>
      </xdr:blipFill>
      <xdr:spPr>
        <a:xfrm>
          <a:off x="7286625" y="8810625"/>
          <a:ext cx="3114286" cy="438095"/>
        </a:xfrm>
        <a:prstGeom prst="rect">
          <a:avLst/>
        </a:prstGeom>
      </xdr:spPr>
    </xdr:pic>
    <xdr:clientData/>
  </xdr:twoCellAnchor>
  <xdr:twoCellAnchor>
    <xdr:from>
      <xdr:col>0</xdr:col>
      <xdr:colOff>114300</xdr:colOff>
      <xdr:row>480</xdr:row>
      <xdr:rowOff>95250</xdr:rowOff>
    </xdr:from>
    <xdr:to>
      <xdr:col>7</xdr:col>
      <xdr:colOff>656070</xdr:colOff>
      <xdr:row>513</xdr:row>
      <xdr:rowOff>123824</xdr:rowOff>
    </xdr:to>
    <xdr:grpSp>
      <xdr:nvGrpSpPr>
        <xdr:cNvPr id="20" name="Group 19"/>
        <xdr:cNvGrpSpPr/>
      </xdr:nvGrpSpPr>
      <xdr:grpSpPr>
        <a:xfrm>
          <a:off x="114300" y="90782775"/>
          <a:ext cx="6094845" cy="6619874"/>
          <a:chOff x="114300" y="90782775"/>
          <a:chExt cx="6094845" cy="6619874"/>
        </a:xfrm>
      </xdr:grpSpPr>
      <xdr:pic>
        <xdr:nvPicPr>
          <xdr:cNvPr id="32" name="Picture 31" descr="https://vsjcllp.vsjadon.com/upload/insp-246587-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191000" y="94888049"/>
            <a:ext cx="1884047" cy="250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6587-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14300" y="90792300"/>
            <a:ext cx="3008745" cy="4000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6587-85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00400" y="90782775"/>
            <a:ext cx="3008745" cy="4000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6587-88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200275" y="94888049"/>
            <a:ext cx="1884047" cy="250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6587-93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19075" y="94897574"/>
            <a:ext cx="1884047" cy="250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YepfkZ7CQNERCEc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606"/>
  <sheetViews>
    <sheetView tabSelected="1" view="pageBreakPreview" zoomScaleNormal="100" zoomScaleSheetLayoutView="100" zoomScalePageLayoutView="85" workbookViewId="0">
      <selection activeCell="K466" sqref="K466"/>
    </sheetView>
  </sheetViews>
  <sheetFormatPr defaultColWidth="9.140625" defaultRowHeight="15.75" x14ac:dyDescent="0.25"/>
  <cols>
    <col min="1" max="1" width="11.42578125" style="40" customWidth="1"/>
    <col min="2" max="2" width="12" style="40" customWidth="1"/>
    <col min="3" max="3" width="12.5703125" style="40" customWidth="1"/>
    <col min="4" max="4" width="13.5703125" style="40" customWidth="1"/>
    <col min="5" max="5" width="11.5703125" style="40" customWidth="1"/>
    <col min="6" max="6" width="11.140625" style="40" customWidth="1"/>
    <col min="7" max="8" width="11" style="40" customWidth="1"/>
    <col min="9" max="9" width="17.42578125" style="21" customWidth="1"/>
    <col min="10" max="10" width="11.42578125" style="21" customWidth="1"/>
    <col min="11" max="11" width="14.42578125" style="21" customWidth="1"/>
    <col min="12" max="12" width="13.85546875" style="21" bestFit="1" customWidth="1"/>
    <col min="13" max="13" width="11.85546875" style="21" customWidth="1"/>
    <col min="14" max="14" width="12.5703125" style="21" customWidth="1"/>
    <col min="15" max="15" width="12.140625" style="21" customWidth="1"/>
    <col min="16" max="16" width="11.5703125" style="21" customWidth="1"/>
    <col min="17" max="18" width="9.140625" style="21"/>
    <col min="19" max="19" width="10.85546875" style="21" bestFit="1" customWidth="1"/>
    <col min="20" max="20" width="10.5703125" style="21" customWidth="1"/>
    <col min="21" max="247" width="9.140625" style="21"/>
    <col min="248" max="248" width="8.5703125" style="21" customWidth="1"/>
    <col min="249" max="249" width="9.85546875" style="21" customWidth="1"/>
    <col min="250" max="250" width="14.42578125" style="21" customWidth="1"/>
    <col min="251" max="251" width="7.425781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5703125" style="21" customWidth="1"/>
    <col min="505" max="505" width="9.85546875" style="21" customWidth="1"/>
    <col min="506" max="506" width="14.42578125" style="21" customWidth="1"/>
    <col min="507" max="507" width="7.425781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5703125" style="21" customWidth="1"/>
    <col min="761" max="761" width="9.85546875" style="21" customWidth="1"/>
    <col min="762" max="762" width="14.42578125" style="21" customWidth="1"/>
    <col min="763" max="763" width="7.425781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5703125" style="21" customWidth="1"/>
    <col min="1017" max="1017" width="9.85546875" style="21" customWidth="1"/>
    <col min="1018" max="1018" width="14.42578125" style="21" customWidth="1"/>
    <col min="1019" max="1019" width="7.425781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5703125" style="21" customWidth="1"/>
    <col min="1273" max="1273" width="9.85546875" style="21" customWidth="1"/>
    <col min="1274" max="1274" width="14.42578125" style="21" customWidth="1"/>
    <col min="1275" max="1275" width="7.425781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5703125" style="21" customWidth="1"/>
    <col min="1529" max="1529" width="9.85546875" style="21" customWidth="1"/>
    <col min="1530" max="1530" width="14.42578125" style="21" customWidth="1"/>
    <col min="1531" max="1531" width="7.425781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5703125" style="21" customWidth="1"/>
    <col min="1785" max="1785" width="9.85546875" style="21" customWidth="1"/>
    <col min="1786" max="1786" width="14.42578125" style="21" customWidth="1"/>
    <col min="1787" max="1787" width="7.425781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5703125" style="21" customWidth="1"/>
    <col min="2041" max="2041" width="9.85546875" style="21" customWidth="1"/>
    <col min="2042" max="2042" width="14.42578125" style="21" customWidth="1"/>
    <col min="2043" max="2043" width="7.425781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5703125" style="21" customWidth="1"/>
    <col min="2297" max="2297" width="9.85546875" style="21" customWidth="1"/>
    <col min="2298" max="2298" width="14.42578125" style="21" customWidth="1"/>
    <col min="2299" max="2299" width="7.425781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5703125" style="21" customWidth="1"/>
    <col min="2553" max="2553" width="9.85546875" style="21" customWidth="1"/>
    <col min="2554" max="2554" width="14.42578125" style="21" customWidth="1"/>
    <col min="2555" max="2555" width="7.425781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5703125" style="21" customWidth="1"/>
    <col min="2809" max="2809" width="9.85546875" style="21" customWidth="1"/>
    <col min="2810" max="2810" width="14.42578125" style="21" customWidth="1"/>
    <col min="2811" max="2811" width="7.425781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5703125" style="21" customWidth="1"/>
    <col min="3065" max="3065" width="9.85546875" style="21" customWidth="1"/>
    <col min="3066" max="3066" width="14.42578125" style="21" customWidth="1"/>
    <col min="3067" max="3067" width="7.425781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5703125" style="21" customWidth="1"/>
    <col min="3321" max="3321" width="9.85546875" style="21" customWidth="1"/>
    <col min="3322" max="3322" width="14.42578125" style="21" customWidth="1"/>
    <col min="3323" max="3323" width="7.425781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5703125" style="21" customWidth="1"/>
    <col min="3577" max="3577" width="9.85546875" style="21" customWidth="1"/>
    <col min="3578" max="3578" width="14.42578125" style="21" customWidth="1"/>
    <col min="3579" max="3579" width="7.425781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5703125" style="21" customWidth="1"/>
    <col min="3833" max="3833" width="9.85546875" style="21" customWidth="1"/>
    <col min="3834" max="3834" width="14.42578125" style="21" customWidth="1"/>
    <col min="3835" max="3835" width="7.425781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5703125" style="21" customWidth="1"/>
    <col min="4089" max="4089" width="9.85546875" style="21" customWidth="1"/>
    <col min="4090" max="4090" width="14.42578125" style="21" customWidth="1"/>
    <col min="4091" max="4091" width="7.425781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5703125" style="21" customWidth="1"/>
    <col min="4345" max="4345" width="9.85546875" style="21" customWidth="1"/>
    <col min="4346" max="4346" width="14.42578125" style="21" customWidth="1"/>
    <col min="4347" max="4347" width="7.425781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5703125" style="21" customWidth="1"/>
    <col min="4601" max="4601" width="9.85546875" style="21" customWidth="1"/>
    <col min="4602" max="4602" width="14.42578125" style="21" customWidth="1"/>
    <col min="4603" max="4603" width="7.425781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5703125" style="21" customWidth="1"/>
    <col min="4857" max="4857" width="9.85546875" style="21" customWidth="1"/>
    <col min="4858" max="4858" width="14.42578125" style="21" customWidth="1"/>
    <col min="4859" max="4859" width="7.425781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5703125" style="21" customWidth="1"/>
    <col min="5113" max="5113" width="9.85546875" style="21" customWidth="1"/>
    <col min="5114" max="5114" width="14.42578125" style="21" customWidth="1"/>
    <col min="5115" max="5115" width="7.425781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5703125" style="21" customWidth="1"/>
    <col min="5369" max="5369" width="9.85546875" style="21" customWidth="1"/>
    <col min="5370" max="5370" width="14.42578125" style="21" customWidth="1"/>
    <col min="5371" max="5371" width="7.425781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5703125" style="21" customWidth="1"/>
    <col min="5625" max="5625" width="9.85546875" style="21" customWidth="1"/>
    <col min="5626" max="5626" width="14.42578125" style="21" customWidth="1"/>
    <col min="5627" max="5627" width="7.425781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5703125" style="21" customWidth="1"/>
    <col min="5881" max="5881" width="9.85546875" style="21" customWidth="1"/>
    <col min="5882" max="5882" width="14.42578125" style="21" customWidth="1"/>
    <col min="5883" max="5883" width="7.425781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5703125" style="21" customWidth="1"/>
    <col min="6137" max="6137" width="9.85546875" style="21" customWidth="1"/>
    <col min="6138" max="6138" width="14.42578125" style="21" customWidth="1"/>
    <col min="6139" max="6139" width="7.425781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5703125" style="21" customWidth="1"/>
    <col min="6393" max="6393" width="9.85546875" style="21" customWidth="1"/>
    <col min="6394" max="6394" width="14.42578125" style="21" customWidth="1"/>
    <col min="6395" max="6395" width="7.425781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5703125" style="21" customWidth="1"/>
    <col min="6649" max="6649" width="9.85546875" style="21" customWidth="1"/>
    <col min="6650" max="6650" width="14.42578125" style="21" customWidth="1"/>
    <col min="6651" max="6651" width="7.425781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5703125" style="21" customWidth="1"/>
    <col min="6905" max="6905" width="9.85546875" style="21" customWidth="1"/>
    <col min="6906" max="6906" width="14.42578125" style="21" customWidth="1"/>
    <col min="6907" max="6907" width="7.425781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5703125" style="21" customWidth="1"/>
    <col min="7161" max="7161" width="9.85546875" style="21" customWidth="1"/>
    <col min="7162" max="7162" width="14.42578125" style="21" customWidth="1"/>
    <col min="7163" max="7163" width="7.425781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5703125" style="21" customWidth="1"/>
    <col min="7417" max="7417" width="9.85546875" style="21" customWidth="1"/>
    <col min="7418" max="7418" width="14.42578125" style="21" customWidth="1"/>
    <col min="7419" max="7419" width="7.425781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5703125" style="21" customWidth="1"/>
    <col min="7673" max="7673" width="9.85546875" style="21" customWidth="1"/>
    <col min="7674" max="7674" width="14.42578125" style="21" customWidth="1"/>
    <col min="7675" max="7675" width="7.425781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5703125" style="21" customWidth="1"/>
    <col min="7929" max="7929" width="9.85546875" style="21" customWidth="1"/>
    <col min="7930" max="7930" width="14.42578125" style="21" customWidth="1"/>
    <col min="7931" max="7931" width="7.425781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5703125" style="21" customWidth="1"/>
    <col min="8185" max="8185" width="9.85546875" style="21" customWidth="1"/>
    <col min="8186" max="8186" width="14.42578125" style="21" customWidth="1"/>
    <col min="8187" max="8187" width="7.425781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5703125" style="21" customWidth="1"/>
    <col min="8441" max="8441" width="9.85546875" style="21" customWidth="1"/>
    <col min="8442" max="8442" width="14.42578125" style="21" customWidth="1"/>
    <col min="8443" max="8443" width="7.425781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5703125" style="21" customWidth="1"/>
    <col min="8697" max="8697" width="9.85546875" style="21" customWidth="1"/>
    <col min="8698" max="8698" width="14.42578125" style="21" customWidth="1"/>
    <col min="8699" max="8699" width="7.425781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5703125" style="21" customWidth="1"/>
    <col min="8953" max="8953" width="9.85546875" style="21" customWidth="1"/>
    <col min="8954" max="8954" width="14.42578125" style="21" customWidth="1"/>
    <col min="8955" max="8955" width="7.425781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5703125" style="21" customWidth="1"/>
    <col min="9209" max="9209" width="9.85546875" style="21" customWidth="1"/>
    <col min="9210" max="9210" width="14.42578125" style="21" customWidth="1"/>
    <col min="9211" max="9211" width="7.425781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5703125" style="21" customWidth="1"/>
    <col min="9465" max="9465" width="9.85546875" style="21" customWidth="1"/>
    <col min="9466" max="9466" width="14.42578125" style="21" customWidth="1"/>
    <col min="9467" max="9467" width="7.425781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5703125" style="21" customWidth="1"/>
    <col min="9721" max="9721" width="9.85546875" style="21" customWidth="1"/>
    <col min="9722" max="9722" width="14.42578125" style="21" customWidth="1"/>
    <col min="9723" max="9723" width="7.425781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5703125" style="21" customWidth="1"/>
    <col min="9977" max="9977" width="9.85546875" style="21" customWidth="1"/>
    <col min="9978" max="9978" width="14.42578125" style="21" customWidth="1"/>
    <col min="9979" max="9979" width="7.425781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5703125" style="21" customWidth="1"/>
    <col min="10233" max="10233" width="9.85546875" style="21" customWidth="1"/>
    <col min="10234" max="10234" width="14.42578125" style="21" customWidth="1"/>
    <col min="10235" max="10235" width="7.425781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5703125" style="21" customWidth="1"/>
    <col min="10489" max="10489" width="9.85546875" style="21" customWidth="1"/>
    <col min="10490" max="10490" width="14.42578125" style="21" customWidth="1"/>
    <col min="10491" max="10491" width="7.425781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5703125" style="21" customWidth="1"/>
    <col min="10745" max="10745" width="9.85546875" style="21" customWidth="1"/>
    <col min="10746" max="10746" width="14.42578125" style="21" customWidth="1"/>
    <col min="10747" max="10747" width="7.425781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5703125" style="21" customWidth="1"/>
    <col min="11001" max="11001" width="9.85546875" style="21" customWidth="1"/>
    <col min="11002" max="11002" width="14.42578125" style="21" customWidth="1"/>
    <col min="11003" max="11003" width="7.425781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5703125" style="21" customWidth="1"/>
    <col min="11257" max="11257" width="9.85546875" style="21" customWidth="1"/>
    <col min="11258" max="11258" width="14.42578125" style="21" customWidth="1"/>
    <col min="11259" max="11259" width="7.425781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5703125" style="21" customWidth="1"/>
    <col min="11513" max="11513" width="9.85546875" style="21" customWidth="1"/>
    <col min="11514" max="11514" width="14.42578125" style="21" customWidth="1"/>
    <col min="11515" max="11515" width="7.425781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5703125" style="21" customWidth="1"/>
    <col min="11769" max="11769" width="9.85546875" style="21" customWidth="1"/>
    <col min="11770" max="11770" width="14.42578125" style="21" customWidth="1"/>
    <col min="11771" max="11771" width="7.425781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5703125" style="21" customWidth="1"/>
    <col min="12025" max="12025" width="9.85546875" style="21" customWidth="1"/>
    <col min="12026" max="12026" width="14.42578125" style="21" customWidth="1"/>
    <col min="12027" max="12027" width="7.425781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5703125" style="21" customWidth="1"/>
    <col min="12281" max="12281" width="9.85546875" style="21" customWidth="1"/>
    <col min="12282" max="12282" width="14.42578125" style="21" customWidth="1"/>
    <col min="12283" max="12283" width="7.425781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5703125" style="21" customWidth="1"/>
    <col min="12537" max="12537" width="9.85546875" style="21" customWidth="1"/>
    <col min="12538" max="12538" width="14.42578125" style="21" customWidth="1"/>
    <col min="12539" max="12539" width="7.425781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5703125" style="21" customWidth="1"/>
    <col min="12793" max="12793" width="9.85546875" style="21" customWidth="1"/>
    <col min="12794" max="12794" width="14.42578125" style="21" customWidth="1"/>
    <col min="12795" max="12795" width="7.425781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5703125" style="21" customWidth="1"/>
    <col min="13049" max="13049" width="9.85546875" style="21" customWidth="1"/>
    <col min="13050" max="13050" width="14.42578125" style="21" customWidth="1"/>
    <col min="13051" max="13051" width="7.425781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5703125" style="21" customWidth="1"/>
    <col min="13305" max="13305" width="9.85546875" style="21" customWidth="1"/>
    <col min="13306" max="13306" width="14.42578125" style="21" customWidth="1"/>
    <col min="13307" max="13307" width="7.425781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5703125" style="21" customWidth="1"/>
    <col min="13561" max="13561" width="9.85546875" style="21" customWidth="1"/>
    <col min="13562" max="13562" width="14.42578125" style="21" customWidth="1"/>
    <col min="13563" max="13563" width="7.425781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5703125" style="21" customWidth="1"/>
    <col min="13817" max="13817" width="9.85546875" style="21" customWidth="1"/>
    <col min="13818" max="13818" width="14.42578125" style="21" customWidth="1"/>
    <col min="13819" max="13819" width="7.425781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5703125" style="21" customWidth="1"/>
    <col min="14073" max="14073" width="9.85546875" style="21" customWidth="1"/>
    <col min="14074" max="14074" width="14.42578125" style="21" customWidth="1"/>
    <col min="14075" max="14075" width="7.425781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5703125" style="21" customWidth="1"/>
    <col min="14329" max="14329" width="9.85546875" style="21" customWidth="1"/>
    <col min="14330" max="14330" width="14.42578125" style="21" customWidth="1"/>
    <col min="14331" max="14331" width="7.425781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5703125" style="21" customWidth="1"/>
    <col min="14585" max="14585" width="9.85546875" style="21" customWidth="1"/>
    <col min="14586" max="14586" width="14.42578125" style="21" customWidth="1"/>
    <col min="14587" max="14587" width="7.425781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5703125" style="21" customWidth="1"/>
    <col min="14841" max="14841" width="9.85546875" style="21" customWidth="1"/>
    <col min="14842" max="14842" width="14.42578125" style="21" customWidth="1"/>
    <col min="14843" max="14843" width="7.425781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5703125" style="21" customWidth="1"/>
    <col min="15097" max="15097" width="9.85546875" style="21" customWidth="1"/>
    <col min="15098" max="15098" width="14.42578125" style="21" customWidth="1"/>
    <col min="15099" max="15099" width="7.425781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5703125" style="21" customWidth="1"/>
    <col min="15353" max="15353" width="9.85546875" style="21" customWidth="1"/>
    <col min="15354" max="15354" width="14.42578125" style="21" customWidth="1"/>
    <col min="15355" max="15355" width="7.425781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5703125" style="21" customWidth="1"/>
    <col min="15609" max="15609" width="9.85546875" style="21" customWidth="1"/>
    <col min="15610" max="15610" width="14.42578125" style="21" customWidth="1"/>
    <col min="15611" max="15611" width="7.425781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5703125" style="21" customWidth="1"/>
    <col min="15865" max="15865" width="9.85546875" style="21" customWidth="1"/>
    <col min="15866" max="15866" width="14.42578125" style="21" customWidth="1"/>
    <col min="15867" max="15867" width="7.425781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5703125" style="21" customWidth="1"/>
    <col min="16121" max="16121" width="9.85546875" style="21" customWidth="1"/>
    <col min="16122" max="16122" width="14.42578125" style="21" customWidth="1"/>
    <col min="16123" max="16123" width="7.425781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0" t="s">
        <v>157</v>
      </c>
      <c r="B1" s="190"/>
      <c r="C1" s="190"/>
      <c r="D1" s="190"/>
      <c r="E1" s="190"/>
      <c r="F1" s="190"/>
      <c r="G1" s="190"/>
      <c r="H1" s="190"/>
    </row>
    <row r="2" spans="1:26" ht="16.5" customHeight="1" x14ac:dyDescent="0.25">
      <c r="A2" s="191" t="s">
        <v>0</v>
      </c>
      <c r="B2" s="191"/>
      <c r="C2" s="191"/>
      <c r="D2" s="191"/>
      <c r="E2" s="191"/>
      <c r="F2" s="191"/>
      <c r="G2" s="191"/>
      <c r="H2" s="191"/>
    </row>
    <row r="3" spans="1:26" x14ac:dyDescent="0.25">
      <c r="A3" s="123" t="s">
        <v>1</v>
      </c>
      <c r="B3" s="123"/>
      <c r="C3" s="123"/>
      <c r="D3" s="123"/>
      <c r="E3" s="123" t="str">
        <f ca="1">TEXT(TODAY(),"DD/MM/YYYY")</f>
        <v>14/09/2025</v>
      </c>
      <c r="F3" s="123"/>
      <c r="G3" s="123"/>
      <c r="H3" s="123"/>
      <c r="K3" s="54" t="s">
        <v>228</v>
      </c>
      <c r="L3" s="52" t="s">
        <v>226</v>
      </c>
      <c r="M3" s="52" t="s">
        <v>231</v>
      </c>
      <c r="N3" s="52" t="s">
        <v>229</v>
      </c>
      <c r="O3" s="52" t="s">
        <v>349</v>
      </c>
      <c r="P3" s="52" t="s">
        <v>232</v>
      </c>
    </row>
    <row r="4" spans="1:26" ht="15" customHeight="1" x14ac:dyDescent="0.25">
      <c r="A4" s="123" t="s">
        <v>225</v>
      </c>
      <c r="B4" s="123"/>
      <c r="C4" s="123"/>
      <c r="D4" s="123"/>
      <c r="E4" s="123" t="s">
        <v>226</v>
      </c>
      <c r="F4" s="123"/>
      <c r="G4" s="123"/>
      <c r="H4" s="123"/>
      <c r="K4" s="51" t="s">
        <v>227</v>
      </c>
      <c r="L4" s="52" t="s">
        <v>163</v>
      </c>
      <c r="M4" s="52" t="s">
        <v>236</v>
      </c>
      <c r="N4" s="52" t="s">
        <v>238</v>
      </c>
      <c r="O4" s="52" t="s">
        <v>333</v>
      </c>
      <c r="P4" s="52"/>
    </row>
    <row r="5" spans="1:26" ht="15" customHeight="1" x14ac:dyDescent="0.25">
      <c r="A5" s="123" t="s">
        <v>2</v>
      </c>
      <c r="B5" s="123"/>
      <c r="C5" s="123"/>
      <c r="D5" s="123"/>
      <c r="E5" s="123" t="s">
        <v>233</v>
      </c>
      <c r="F5" s="123"/>
      <c r="G5" s="123"/>
      <c r="H5" s="123"/>
      <c r="K5" s="51"/>
      <c r="L5" s="52" t="s">
        <v>233</v>
      </c>
      <c r="M5" s="52" t="s">
        <v>237</v>
      </c>
      <c r="N5" s="52" t="s">
        <v>239</v>
      </c>
      <c r="O5" s="52" t="s">
        <v>334</v>
      </c>
      <c r="P5" s="52"/>
    </row>
    <row r="6" spans="1:26" x14ac:dyDescent="0.25">
      <c r="A6" s="123" t="s">
        <v>3</v>
      </c>
      <c r="B6" s="123"/>
      <c r="C6" s="123"/>
      <c r="D6" s="123"/>
      <c r="E6" s="192">
        <v>45909</v>
      </c>
      <c r="F6" s="123"/>
      <c r="G6" s="123"/>
      <c r="H6" s="123"/>
      <c r="K6" s="51"/>
      <c r="L6" s="52" t="s">
        <v>234</v>
      </c>
      <c r="M6" s="52" t="s">
        <v>347</v>
      </c>
      <c r="N6" s="52"/>
      <c r="O6" s="52" t="s">
        <v>335</v>
      </c>
      <c r="P6" s="52"/>
    </row>
    <row r="7" spans="1:26" ht="16.5" customHeight="1" x14ac:dyDescent="0.25">
      <c r="A7" s="123" t="s">
        <v>4</v>
      </c>
      <c r="B7" s="123"/>
      <c r="C7" s="123"/>
      <c r="D7" s="123"/>
      <c r="E7" s="123" t="s">
        <v>351</v>
      </c>
      <c r="F7" s="123"/>
      <c r="G7" s="123"/>
      <c r="H7" s="123"/>
      <c r="K7" s="51"/>
      <c r="L7" s="52" t="s">
        <v>235</v>
      </c>
      <c r="M7" s="52"/>
      <c r="N7" s="52"/>
      <c r="O7" s="52" t="s">
        <v>335</v>
      </c>
      <c r="P7" s="52"/>
    </row>
    <row r="8" spans="1:26" ht="15" customHeight="1" x14ac:dyDescent="0.25">
      <c r="A8" s="123" t="s">
        <v>5</v>
      </c>
      <c r="B8" s="123"/>
      <c r="C8" s="123"/>
      <c r="D8" s="123"/>
      <c r="E8" s="123" t="str">
        <f>E7</f>
        <v>Prestige Mulund Realty Private Limited</v>
      </c>
      <c r="F8" s="123"/>
      <c r="G8" s="123"/>
      <c r="H8" s="123"/>
      <c r="K8" s="51"/>
      <c r="L8" s="52"/>
      <c r="M8" s="52"/>
      <c r="N8" s="52"/>
      <c r="O8" s="52" t="s">
        <v>336</v>
      </c>
      <c r="P8" s="52"/>
    </row>
    <row r="9" spans="1:26" ht="34.35" customHeight="1" x14ac:dyDescent="0.25">
      <c r="A9" s="123" t="s">
        <v>6</v>
      </c>
      <c r="B9" s="123"/>
      <c r="C9" s="123"/>
      <c r="D9" s="123"/>
      <c r="E9" s="121" t="s">
        <v>441</v>
      </c>
      <c r="F9" s="113"/>
      <c r="G9" s="113"/>
      <c r="H9" s="113"/>
      <c r="K9" s="51"/>
      <c r="L9" s="52"/>
      <c r="M9" s="52"/>
      <c r="N9" s="52"/>
      <c r="O9" s="52" t="s">
        <v>337</v>
      </c>
      <c r="P9" s="52"/>
    </row>
    <row r="10" spans="1:26" x14ac:dyDescent="0.25">
      <c r="A10" s="123" t="s">
        <v>160</v>
      </c>
      <c r="B10" s="123"/>
      <c r="C10" s="123"/>
      <c r="D10" s="123"/>
      <c r="E10" s="123">
        <v>8147822185</v>
      </c>
      <c r="F10" s="123"/>
      <c r="G10" s="123"/>
      <c r="H10" s="123"/>
      <c r="K10" s="51"/>
      <c r="L10" s="52"/>
      <c r="M10" s="52"/>
      <c r="N10" s="52"/>
      <c r="O10" s="52" t="s">
        <v>338</v>
      </c>
      <c r="P10" s="52"/>
    </row>
    <row r="11" spans="1:26" hidden="1" x14ac:dyDescent="0.25">
      <c r="A11" s="123" t="s">
        <v>161</v>
      </c>
      <c r="B11" s="123"/>
      <c r="C11" s="123"/>
      <c r="D11" s="123"/>
      <c r="E11" s="123" t="s">
        <v>352</v>
      </c>
      <c r="F11" s="123"/>
      <c r="G11" s="123"/>
      <c r="H11" s="123"/>
      <c r="O11" s="52" t="s">
        <v>339</v>
      </c>
    </row>
    <row r="12" spans="1:26" x14ac:dyDescent="0.25">
      <c r="A12" s="123" t="s">
        <v>7</v>
      </c>
      <c r="B12" s="123"/>
      <c r="C12" s="123"/>
      <c r="D12" s="123"/>
      <c r="E12" s="123" t="s">
        <v>440</v>
      </c>
      <c r="F12" s="123"/>
      <c r="G12" s="123"/>
      <c r="H12" s="123"/>
    </row>
    <row r="13" spans="1:26" x14ac:dyDescent="0.25">
      <c r="A13" s="123" t="s">
        <v>164</v>
      </c>
      <c r="B13" s="123"/>
      <c r="C13" s="123"/>
      <c r="D13" s="123"/>
      <c r="E13" s="123" t="s">
        <v>28</v>
      </c>
      <c r="F13" s="123"/>
      <c r="G13" s="123"/>
      <c r="H13" s="123"/>
      <c r="S13" s="52" t="s">
        <v>172</v>
      </c>
      <c r="T13" s="52" t="s">
        <v>181</v>
      </c>
      <c r="U13" s="52" t="s">
        <v>165</v>
      </c>
      <c r="V13" s="52" t="s">
        <v>186</v>
      </c>
      <c r="W13" s="52" t="s">
        <v>204</v>
      </c>
      <c r="X13"/>
      <c r="Y13" t="s">
        <v>186</v>
      </c>
      <c r="Z13" t="e">
        <f ca="1">OFFSET($S$13,1,MATCH($G20,$S$13:$W$13,0)-1,15,1)</f>
        <v>#VALUE!</v>
      </c>
    </row>
    <row r="14" spans="1:26" x14ac:dyDescent="0.25">
      <c r="A14" s="119" t="s">
        <v>271</v>
      </c>
      <c r="B14" s="119"/>
      <c r="C14" s="119"/>
      <c r="D14" s="119"/>
      <c r="E14" s="124" t="s">
        <v>353</v>
      </c>
      <c r="F14" s="124"/>
      <c r="G14" s="124"/>
      <c r="H14" s="124"/>
      <c r="S14" s="52" t="s">
        <v>172</v>
      </c>
      <c r="T14" s="52" t="s">
        <v>179</v>
      </c>
      <c r="U14" s="52" t="s">
        <v>201</v>
      </c>
      <c r="V14" s="52" t="s">
        <v>187</v>
      </c>
      <c r="W14" s="52" t="s">
        <v>205</v>
      </c>
      <c r="X14"/>
      <c r="Y14"/>
      <c r="Z14"/>
    </row>
    <row r="15" spans="1:26" x14ac:dyDescent="0.25">
      <c r="A15" s="119" t="s">
        <v>8</v>
      </c>
      <c r="B15" s="119"/>
      <c r="C15" s="119"/>
      <c r="D15" s="119"/>
      <c r="E15" s="124" t="s">
        <v>354</v>
      </c>
      <c r="F15" s="123"/>
      <c r="G15" s="123"/>
      <c r="H15" s="123"/>
      <c r="I15" s="149" t="e">
        <f ca="1">OFFSET($D$5,1,MATCH($J13,$D$5:$H$5,0)-1,15,1)</f>
        <v>#N/A</v>
      </c>
      <c r="J15" s="150"/>
      <c r="K15" s="150"/>
      <c r="L15" s="150"/>
      <c r="M15" s="150"/>
      <c r="N15" s="150"/>
      <c r="O15" s="150"/>
      <c r="P15" s="150"/>
      <c r="S15" s="52" t="s">
        <v>173</v>
      </c>
      <c r="T15" s="52" t="s">
        <v>180</v>
      </c>
      <c r="U15" s="52" t="s">
        <v>202</v>
      </c>
      <c r="V15" s="52" t="s">
        <v>188</v>
      </c>
      <c r="W15" s="52" t="s">
        <v>218</v>
      </c>
      <c r="X15"/>
      <c r="Y15"/>
      <c r="Z15"/>
    </row>
    <row r="16" spans="1:26" ht="48.75" customHeight="1" x14ac:dyDescent="0.25">
      <c r="A16" s="120" t="s">
        <v>9</v>
      </c>
      <c r="B16" s="120"/>
      <c r="C16" s="120" t="str">
        <f>CONCATENATE((IF(OR(E9="",E9="NA"),"",E9)),", ",(IF(OR(A17="",A17="NA"),"",A17)),".",(IF(OR(C17="",C17="NA"),"",C17)),", near ",(IF(OR(C22="",C22="NA"),"",C22)),", ",(IF(OR(C19="",C19="NA"),"",C19)),", ",(IF(OR(C18="",C18="NA"),"",C18)),", ",(IF(OR(G19="",G19="NA"),"",G19)),", ",(IF(OR(C20="",C20="NA"),"",C20)),", ",(IF(OR(C21="",C21="NA"),"",C21)),", ",(IF(OR(G20="",G20="NA"),"",G20))," - ",(IF(OR(G21="",G21="NA"),"",G21)),".")</f>
        <v>Forest Hills Ph 1 at The Prestige City (Wing A &amp; B), CTS No.19/1 to 19/13, near Lotus Hill CHS, Agarwal Road, Ghati Pada, Mulund, Mulund West, Kurla, Mumbai - 400080.</v>
      </c>
      <c r="D16" s="120"/>
      <c r="E16" s="120"/>
      <c r="F16" s="120"/>
      <c r="G16" s="120"/>
      <c r="H16" s="120"/>
      <c r="S16" s="52" t="s">
        <v>174</v>
      </c>
      <c r="T16" s="52" t="s">
        <v>182</v>
      </c>
      <c r="U16" s="52" t="s">
        <v>203</v>
      </c>
      <c r="V16" s="52" t="s">
        <v>189</v>
      </c>
      <c r="W16" s="52" t="s">
        <v>206</v>
      </c>
      <c r="X16"/>
      <c r="Y16"/>
      <c r="Z16"/>
    </row>
    <row r="17" spans="1:26" x14ac:dyDescent="0.25">
      <c r="A17" s="124" t="s">
        <v>168</v>
      </c>
      <c r="B17" s="124"/>
      <c r="C17" s="124" t="s">
        <v>355</v>
      </c>
      <c r="D17" s="124"/>
      <c r="E17" s="124"/>
      <c r="F17" s="124"/>
      <c r="G17" s="124"/>
      <c r="H17" s="124"/>
      <c r="S17" s="52" t="s">
        <v>175</v>
      </c>
      <c r="T17" s="52" t="s">
        <v>183</v>
      </c>
      <c r="U17" s="52" t="s">
        <v>165</v>
      </c>
      <c r="V17" s="52" t="s">
        <v>190</v>
      </c>
      <c r="W17" s="52" t="s">
        <v>207</v>
      </c>
      <c r="X17"/>
      <c r="Y17"/>
      <c r="Z17"/>
    </row>
    <row r="18" spans="1:26" ht="15.75" customHeight="1" x14ac:dyDescent="0.25">
      <c r="A18" s="124" t="s">
        <v>155</v>
      </c>
      <c r="B18" s="124"/>
      <c r="C18" s="124" t="s">
        <v>360</v>
      </c>
      <c r="D18" s="124"/>
      <c r="E18" s="124"/>
      <c r="F18" s="124"/>
      <c r="G18" s="124"/>
      <c r="H18" s="124"/>
      <c r="S18" s="52" t="s">
        <v>176</v>
      </c>
      <c r="T18" s="52" t="s">
        <v>181</v>
      </c>
      <c r="U18" s="52"/>
      <c r="V18" s="52" t="s">
        <v>191</v>
      </c>
      <c r="W18" s="52" t="s">
        <v>208</v>
      </c>
      <c r="X18"/>
      <c r="Y18"/>
      <c r="Z18"/>
    </row>
    <row r="19" spans="1:26" ht="15.75" customHeight="1" x14ac:dyDescent="0.25">
      <c r="A19" s="124" t="s">
        <v>10</v>
      </c>
      <c r="B19" s="124"/>
      <c r="C19" s="123" t="s">
        <v>357</v>
      </c>
      <c r="D19" s="123"/>
      <c r="E19" s="124" t="s">
        <v>68</v>
      </c>
      <c r="F19" s="124"/>
      <c r="G19" s="124" t="s">
        <v>359</v>
      </c>
      <c r="H19" s="124"/>
      <c r="S19" s="52" t="s">
        <v>177</v>
      </c>
      <c r="T19" s="52" t="s">
        <v>184</v>
      </c>
      <c r="U19" s="52"/>
      <c r="V19" s="52" t="s">
        <v>192</v>
      </c>
      <c r="W19" s="52" t="s">
        <v>209</v>
      </c>
      <c r="X19"/>
      <c r="Y19"/>
      <c r="Z19"/>
    </row>
    <row r="20" spans="1:26" x14ac:dyDescent="0.25">
      <c r="A20" s="123" t="s">
        <v>12</v>
      </c>
      <c r="B20" s="123"/>
      <c r="C20" s="124" t="s">
        <v>358</v>
      </c>
      <c r="D20" s="124"/>
      <c r="E20" s="124" t="s">
        <v>11</v>
      </c>
      <c r="F20" s="124"/>
      <c r="G20" s="193" t="s">
        <v>165</v>
      </c>
      <c r="H20" s="193"/>
      <c r="S20" s="52" t="s">
        <v>178</v>
      </c>
      <c r="T20" s="52" t="s">
        <v>185</v>
      </c>
      <c r="U20" s="52"/>
      <c r="V20" s="52" t="s">
        <v>193</v>
      </c>
      <c r="W20" s="52" t="s">
        <v>210</v>
      </c>
      <c r="X20"/>
      <c r="Y20"/>
      <c r="Z20"/>
    </row>
    <row r="21" spans="1:26" x14ac:dyDescent="0.25">
      <c r="A21" s="123" t="s">
        <v>69</v>
      </c>
      <c r="B21" s="123"/>
      <c r="C21" s="124" t="s">
        <v>203</v>
      </c>
      <c r="D21" s="124"/>
      <c r="E21" s="124" t="s">
        <v>13</v>
      </c>
      <c r="F21" s="124"/>
      <c r="G21" s="124">
        <v>400080</v>
      </c>
      <c r="H21" s="124"/>
      <c r="S21" s="52"/>
      <c r="T21" s="52"/>
      <c r="U21" s="52"/>
      <c r="V21" s="52" t="s">
        <v>194</v>
      </c>
      <c r="W21" s="52" t="s">
        <v>211</v>
      </c>
      <c r="X21"/>
      <c r="Y21"/>
      <c r="Z21"/>
    </row>
    <row r="22" spans="1:26" ht="32.25" customHeight="1" x14ac:dyDescent="0.25">
      <c r="A22" s="119" t="s">
        <v>115</v>
      </c>
      <c r="B22" s="119"/>
      <c r="C22" s="124" t="s">
        <v>356</v>
      </c>
      <c r="D22" s="124"/>
      <c r="E22" s="120" t="s">
        <v>14</v>
      </c>
      <c r="F22" s="120"/>
      <c r="G22" s="124" t="s">
        <v>361</v>
      </c>
      <c r="H22" s="124"/>
      <c r="S22" s="52"/>
      <c r="T22" s="52"/>
      <c r="U22" s="52"/>
      <c r="V22" s="52" t="s">
        <v>195</v>
      </c>
      <c r="W22" s="52" t="s">
        <v>212</v>
      </c>
      <c r="X22"/>
      <c r="Y22"/>
      <c r="Z22"/>
    </row>
    <row r="23" spans="1:26" ht="15" customHeight="1" x14ac:dyDescent="0.25">
      <c r="A23" s="120" t="s">
        <v>71</v>
      </c>
      <c r="B23" s="120"/>
      <c r="C23" s="120"/>
      <c r="D23" s="120"/>
      <c r="E23" s="123" t="s">
        <v>15</v>
      </c>
      <c r="F23" s="123"/>
      <c r="G23" s="123"/>
      <c r="H23" s="123"/>
      <c r="S23" s="52"/>
      <c r="T23" s="52"/>
      <c r="U23" s="52"/>
      <c r="V23" s="52" t="s">
        <v>196</v>
      </c>
      <c r="W23" s="52" t="s">
        <v>213</v>
      </c>
      <c r="X23"/>
      <c r="Y23"/>
      <c r="Z23"/>
    </row>
    <row r="24" spans="1:26" ht="18.75" customHeight="1" x14ac:dyDescent="0.25">
      <c r="A24" s="120"/>
      <c r="B24" s="120"/>
      <c r="C24" s="120"/>
      <c r="D24" s="120"/>
      <c r="E24" s="123"/>
      <c r="F24" s="123"/>
      <c r="G24" s="123"/>
      <c r="H24" s="123"/>
      <c r="S24" s="52"/>
      <c r="T24" s="52"/>
      <c r="U24" s="52"/>
      <c r="V24" s="52" t="s">
        <v>197</v>
      </c>
      <c r="W24" s="52" t="s">
        <v>214</v>
      </c>
      <c r="X24"/>
      <c r="Y24"/>
      <c r="Z24"/>
    </row>
    <row r="25" spans="1:26" ht="15" customHeight="1" x14ac:dyDescent="0.25">
      <c r="A25" s="120" t="s">
        <v>16</v>
      </c>
      <c r="B25" s="120"/>
      <c r="C25" s="120"/>
      <c r="D25" s="120"/>
      <c r="E25" s="124" t="s">
        <v>17</v>
      </c>
      <c r="F25" s="124"/>
      <c r="G25" s="124"/>
      <c r="H25" s="124"/>
      <c r="S25" s="52"/>
      <c r="T25" s="52"/>
      <c r="U25" s="52"/>
      <c r="V25" s="52" t="s">
        <v>198</v>
      </c>
      <c r="W25" s="52" t="s">
        <v>215</v>
      </c>
      <c r="X25"/>
      <c r="Y25"/>
      <c r="Z25"/>
    </row>
    <row r="26" spans="1:26" ht="15" customHeight="1" x14ac:dyDescent="0.25">
      <c r="A26" s="119" t="s">
        <v>18</v>
      </c>
      <c r="B26" s="119"/>
      <c r="C26" s="119"/>
      <c r="D26" s="119"/>
      <c r="E26" s="124" t="str">
        <f>IF(AND(G20="Mumbai"),"Upper Class","Middle Class")</f>
        <v>Upper Class</v>
      </c>
      <c r="F26" s="124"/>
      <c r="G26" s="124"/>
      <c r="H26" s="124"/>
      <c r="S26" s="52"/>
      <c r="T26" s="52"/>
      <c r="U26" s="52"/>
      <c r="V26" s="52" t="s">
        <v>199</v>
      </c>
      <c r="W26" s="52" t="s">
        <v>216</v>
      </c>
      <c r="X26"/>
      <c r="Y26"/>
      <c r="Z26"/>
    </row>
    <row r="27" spans="1:26" x14ac:dyDescent="0.25">
      <c r="A27" s="119" t="s">
        <v>19</v>
      </c>
      <c r="B27" s="119"/>
      <c r="C27" s="119"/>
      <c r="D27" s="119"/>
      <c r="E27" s="124" t="s">
        <v>20</v>
      </c>
      <c r="F27" s="124"/>
      <c r="G27" s="124"/>
      <c r="H27" s="124"/>
      <c r="S27" s="52"/>
      <c r="T27" s="52"/>
      <c r="U27" s="52"/>
      <c r="V27" s="52" t="s">
        <v>200</v>
      </c>
      <c r="W27" s="52" t="s">
        <v>217</v>
      </c>
      <c r="X27"/>
      <c r="Y27"/>
      <c r="Z27"/>
    </row>
    <row r="28" spans="1:26" ht="15.75" customHeight="1" x14ac:dyDescent="0.25">
      <c r="A28" s="119" t="s">
        <v>21</v>
      </c>
      <c r="B28" s="119"/>
      <c r="C28" s="119"/>
      <c r="D28" s="119"/>
      <c r="E28" s="124" t="str">
        <f>IF(AND(G20="Mumbai"),"Developed","Developing")</f>
        <v>Developed</v>
      </c>
      <c r="F28" s="124"/>
      <c r="G28" s="124"/>
      <c r="H28" s="124"/>
    </row>
    <row r="29" spans="1:26" x14ac:dyDescent="0.25">
      <c r="A29" s="119" t="s">
        <v>22</v>
      </c>
      <c r="B29" s="119"/>
      <c r="C29" s="119"/>
      <c r="D29" s="119"/>
      <c r="E29" s="124" t="s">
        <v>23</v>
      </c>
      <c r="F29" s="124"/>
      <c r="G29" s="124"/>
      <c r="H29" s="124"/>
    </row>
    <row r="30" spans="1:26" ht="15.75" customHeight="1" x14ac:dyDescent="0.25">
      <c r="A30" s="119" t="s">
        <v>76</v>
      </c>
      <c r="B30" s="119"/>
      <c r="C30" s="119"/>
      <c r="D30" s="119"/>
      <c r="E30" s="124" t="s">
        <v>77</v>
      </c>
      <c r="F30" s="124"/>
      <c r="G30" s="124"/>
      <c r="H30" s="124"/>
    </row>
    <row r="31" spans="1:26" ht="15" customHeight="1" x14ac:dyDescent="0.25">
      <c r="A31" s="119" t="s">
        <v>30</v>
      </c>
      <c r="B31" s="119"/>
      <c r="C31" s="119"/>
      <c r="D31" s="119"/>
      <c r="E31" s="12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4"/>
      <c r="G31" s="124"/>
      <c r="H31" s="124"/>
    </row>
    <row r="32" spans="1:26" ht="15.75" customHeight="1" x14ac:dyDescent="0.25">
      <c r="A32" s="119" t="s">
        <v>88</v>
      </c>
      <c r="B32" s="119"/>
      <c r="C32" s="119"/>
      <c r="D32" s="119"/>
      <c r="E32" s="124" t="s">
        <v>31</v>
      </c>
      <c r="F32" s="124"/>
      <c r="G32" s="124"/>
      <c r="H32" s="124"/>
    </row>
    <row r="33" spans="1:19" s="22" customFormat="1" x14ac:dyDescent="0.25">
      <c r="A33" s="201" t="s">
        <v>89</v>
      </c>
      <c r="B33" s="201"/>
      <c r="C33" s="198" t="s">
        <v>166</v>
      </c>
      <c r="D33" s="199"/>
      <c r="E33" s="200"/>
      <c r="F33" s="198" t="s">
        <v>29</v>
      </c>
      <c r="G33" s="199"/>
      <c r="H33" s="200"/>
      <c r="S33" s="22" t="e">
        <f ca="1">OFFSET($S$13,1,MATCH($G20,$S$13:$W$13,0)-1,15,1)</f>
        <v>#VALUE!</v>
      </c>
    </row>
    <row r="34" spans="1:19" s="22" customFormat="1" x14ac:dyDescent="0.25">
      <c r="A34" s="194" t="s">
        <v>24</v>
      </c>
      <c r="B34" s="194" t="s">
        <v>28</v>
      </c>
      <c r="C34" s="195" t="s">
        <v>362</v>
      </c>
      <c r="D34" s="196"/>
      <c r="E34" s="197"/>
      <c r="F34" s="195" t="s">
        <v>364</v>
      </c>
      <c r="G34" s="196"/>
      <c r="H34" s="197"/>
    </row>
    <row r="35" spans="1:19" x14ac:dyDescent="0.25">
      <c r="A35" s="194" t="s">
        <v>25</v>
      </c>
      <c r="B35" s="194" t="s">
        <v>28</v>
      </c>
      <c r="C35" s="195" t="s">
        <v>363</v>
      </c>
      <c r="D35" s="196"/>
      <c r="E35" s="197"/>
      <c r="F35" s="195" t="s">
        <v>365</v>
      </c>
      <c r="G35" s="196"/>
      <c r="H35" s="197"/>
    </row>
    <row r="36" spans="1:19" s="22" customFormat="1" x14ac:dyDescent="0.25">
      <c r="A36" s="194" t="s">
        <v>27</v>
      </c>
      <c r="B36" s="194" t="s">
        <v>28</v>
      </c>
      <c r="C36" s="195" t="s">
        <v>363</v>
      </c>
      <c r="D36" s="196"/>
      <c r="E36" s="197"/>
      <c r="F36" s="195" t="s">
        <v>366</v>
      </c>
      <c r="G36" s="196"/>
      <c r="H36" s="197"/>
    </row>
    <row r="37" spans="1:19" x14ac:dyDescent="0.25">
      <c r="A37" s="194" t="s">
        <v>26</v>
      </c>
      <c r="B37" s="194" t="s">
        <v>28</v>
      </c>
      <c r="C37" s="195" t="s">
        <v>362</v>
      </c>
      <c r="D37" s="196"/>
      <c r="E37" s="197"/>
      <c r="F37" s="195" t="s">
        <v>367</v>
      </c>
      <c r="G37" s="196"/>
      <c r="H37" s="197"/>
    </row>
    <row r="38" spans="1:19" x14ac:dyDescent="0.25">
      <c r="A38" s="119" t="s">
        <v>272</v>
      </c>
      <c r="B38" s="119"/>
      <c r="C38" s="119"/>
      <c r="D38" s="119"/>
      <c r="E38" s="119"/>
      <c r="F38" s="119"/>
      <c r="G38" s="119"/>
      <c r="H38" s="119"/>
    </row>
    <row r="39" spans="1:19" ht="15.75" customHeight="1" x14ac:dyDescent="0.25">
      <c r="A39" s="119" t="s">
        <v>158</v>
      </c>
      <c r="B39" s="119"/>
      <c r="C39" s="186" t="s">
        <v>368</v>
      </c>
      <c r="D39" s="186"/>
      <c r="E39" s="186"/>
      <c r="F39" s="186"/>
      <c r="G39" s="186"/>
      <c r="H39" s="186"/>
    </row>
    <row r="40" spans="1:19" x14ac:dyDescent="0.25">
      <c r="A40" s="119" t="s">
        <v>154</v>
      </c>
      <c r="B40" s="119"/>
      <c r="C40" s="243" t="s">
        <v>369</v>
      </c>
      <c r="D40" s="124"/>
      <c r="E40" s="124"/>
      <c r="F40" s="124"/>
      <c r="G40" s="124"/>
      <c r="H40" s="124"/>
    </row>
    <row r="41" spans="1:19" x14ac:dyDescent="0.25">
      <c r="A41" s="186" t="s">
        <v>32</v>
      </c>
      <c r="B41" s="186"/>
      <c r="C41" s="186"/>
      <c r="D41" s="186"/>
      <c r="E41" s="186"/>
      <c r="F41" s="186"/>
      <c r="G41" s="186"/>
      <c r="H41" s="186"/>
    </row>
    <row r="42" spans="1:19" hidden="1" x14ac:dyDescent="0.25">
      <c r="A42" s="119" t="s">
        <v>33</v>
      </c>
      <c r="B42" s="119"/>
      <c r="C42" s="119"/>
      <c r="D42" s="119"/>
      <c r="E42" s="135" t="s">
        <v>371</v>
      </c>
      <c r="F42" s="135"/>
      <c r="G42" s="135"/>
      <c r="H42" s="135"/>
    </row>
    <row r="43" spans="1:19" hidden="1" x14ac:dyDescent="0.25">
      <c r="A43" s="119" t="s">
        <v>34</v>
      </c>
      <c r="B43" s="119"/>
      <c r="C43" s="119"/>
      <c r="D43" s="119"/>
      <c r="E43" s="135" t="s">
        <v>371</v>
      </c>
      <c r="F43" s="135"/>
      <c r="G43" s="135"/>
      <c r="H43" s="135"/>
      <c r="I43" s="21">
        <v>0</v>
      </c>
    </row>
    <row r="44" spans="1:19" hidden="1" x14ac:dyDescent="0.25">
      <c r="A44" s="119" t="s">
        <v>35</v>
      </c>
      <c r="B44" s="119"/>
      <c r="C44" s="119"/>
      <c r="D44" s="119"/>
      <c r="E44" s="135" t="s">
        <v>371</v>
      </c>
      <c r="F44" s="135"/>
      <c r="G44" s="135"/>
      <c r="H44" s="135"/>
      <c r="I44" s="21" t="e">
        <f>E46/E42-E43</f>
        <v>#VALUE!</v>
      </c>
    </row>
    <row r="45" spans="1:19" hidden="1" x14ac:dyDescent="0.25">
      <c r="A45" s="119" t="s">
        <v>36</v>
      </c>
      <c r="B45" s="119"/>
      <c r="C45" s="119"/>
      <c r="D45" s="119"/>
      <c r="E45" s="135" t="s">
        <v>371</v>
      </c>
      <c r="F45" s="135"/>
      <c r="G45" s="135"/>
      <c r="H45" s="135"/>
      <c r="I45" s="81" t="e">
        <f>E43+E44</f>
        <v>#VALUE!</v>
      </c>
    </row>
    <row r="46" spans="1:19" x14ac:dyDescent="0.25">
      <c r="A46" s="119" t="s">
        <v>87</v>
      </c>
      <c r="B46" s="119"/>
      <c r="C46" s="119"/>
      <c r="D46" s="119"/>
      <c r="E46" s="203">
        <v>102512.69</v>
      </c>
      <c r="F46" s="203"/>
      <c r="G46" s="203"/>
      <c r="H46" s="203"/>
      <c r="I46" s="21">
        <v>126468.2</v>
      </c>
      <c r="J46" s="21" t="s">
        <v>447</v>
      </c>
    </row>
    <row r="47" spans="1:19" x14ac:dyDescent="0.25">
      <c r="A47" s="123" t="s">
        <v>37</v>
      </c>
      <c r="B47" s="123"/>
      <c r="C47" s="123"/>
      <c r="D47" s="123"/>
      <c r="E47" s="123" t="s">
        <v>372</v>
      </c>
      <c r="F47" s="123"/>
      <c r="G47" s="123"/>
      <c r="H47" s="123"/>
    </row>
    <row r="48" spans="1:19" x14ac:dyDescent="0.25">
      <c r="A48" s="186" t="s">
        <v>38</v>
      </c>
      <c r="B48" s="186"/>
      <c r="C48" s="186"/>
      <c r="D48" s="186"/>
      <c r="E48" s="186"/>
      <c r="F48" s="186"/>
      <c r="G48" s="186"/>
      <c r="H48" s="186"/>
    </row>
    <row r="49" spans="1:24" ht="33.75" customHeight="1" x14ac:dyDescent="0.25">
      <c r="A49" s="136" t="s">
        <v>144</v>
      </c>
      <c r="B49" s="137"/>
      <c r="C49" s="206" t="s">
        <v>246</v>
      </c>
      <c r="D49" s="207"/>
      <c r="E49" s="207"/>
      <c r="F49" s="207"/>
      <c r="G49" s="207"/>
      <c r="H49" s="208"/>
      <c r="R49" t="s">
        <v>245</v>
      </c>
      <c r="S49" s="55" t="s">
        <v>165</v>
      </c>
      <c r="T49" s="55" t="s">
        <v>172</v>
      </c>
      <c r="U49" s="55" t="s">
        <v>186</v>
      </c>
      <c r="V49" s="55" t="s">
        <v>181</v>
      </c>
    </row>
    <row r="50" spans="1:24" ht="15.75" customHeight="1" x14ac:dyDescent="0.25">
      <c r="A50" s="136" t="s">
        <v>39</v>
      </c>
      <c r="B50" s="137"/>
      <c r="C50" s="136" t="s">
        <v>371</v>
      </c>
      <c r="D50" s="138"/>
      <c r="E50" s="137"/>
      <c r="F50" s="18" t="s">
        <v>40</v>
      </c>
      <c r="G50" s="110" t="s">
        <v>28</v>
      </c>
      <c r="H50" s="111"/>
      <c r="R50"/>
      <c r="S50" s="55" t="s">
        <v>246</v>
      </c>
      <c r="T50" s="55" t="s">
        <v>251</v>
      </c>
      <c r="U50" s="55" t="s">
        <v>262</v>
      </c>
      <c r="V50" s="55" t="s">
        <v>267</v>
      </c>
    </row>
    <row r="51" spans="1:24" ht="50.1" customHeight="1" x14ac:dyDescent="0.25">
      <c r="A51" s="136" t="s">
        <v>445</v>
      </c>
      <c r="B51" s="137"/>
      <c r="C51" s="211" t="s">
        <v>444</v>
      </c>
      <c r="D51" s="212"/>
      <c r="E51" s="213"/>
      <c r="F51" s="89" t="s">
        <v>40</v>
      </c>
      <c r="G51" s="110">
        <v>45462</v>
      </c>
      <c r="H51" s="111"/>
      <c r="R51"/>
      <c r="S51" s="55" t="s">
        <v>247</v>
      </c>
      <c r="T51" s="55" t="s">
        <v>350</v>
      </c>
      <c r="U51" s="55" t="s">
        <v>260</v>
      </c>
      <c r="V51" s="55" t="s">
        <v>268</v>
      </c>
    </row>
    <row r="52" spans="1:24" s="23" customFormat="1" ht="15.75" customHeight="1" x14ac:dyDescent="0.25">
      <c r="A52" s="218" t="s">
        <v>147</v>
      </c>
      <c r="B52" s="219"/>
      <c r="C52" s="136" t="s">
        <v>373</v>
      </c>
      <c r="D52" s="138"/>
      <c r="E52" s="137"/>
      <c r="F52" s="18" t="s">
        <v>40</v>
      </c>
      <c r="G52" s="110">
        <v>45462</v>
      </c>
      <c r="H52" s="111"/>
      <c r="I52" s="22" t="str">
        <f ca="1">IF(G52&gt;EDATE(E3,-48),"NO REMARK","CC REMARK FOR CC")</f>
        <v>NO REMARK</v>
      </c>
      <c r="J52" s="79"/>
      <c r="R52"/>
      <c r="S52" s="55" t="s">
        <v>248</v>
      </c>
      <c r="T52" s="55" t="s">
        <v>253</v>
      </c>
      <c r="U52" s="55" t="s">
        <v>250</v>
      </c>
      <c r="V52" s="55" t="s">
        <v>269</v>
      </c>
    </row>
    <row r="53" spans="1:24" s="23" customFormat="1" ht="31.5" customHeight="1" x14ac:dyDescent="0.25">
      <c r="A53" s="220"/>
      <c r="B53" s="221"/>
      <c r="C53" s="136" t="s">
        <v>374</v>
      </c>
      <c r="D53" s="138"/>
      <c r="E53" s="138"/>
      <c r="F53" s="138"/>
      <c r="G53" s="138"/>
      <c r="H53" s="137"/>
      <c r="R53"/>
      <c r="S53" s="55" t="s">
        <v>249</v>
      </c>
      <c r="T53" s="55" t="s">
        <v>256</v>
      </c>
      <c r="U53" s="55" t="s">
        <v>263</v>
      </c>
      <c r="V53" s="73" t="s">
        <v>341</v>
      </c>
    </row>
    <row r="54" spans="1:24" s="23" customFormat="1" ht="35.450000000000003" customHeight="1" x14ac:dyDescent="0.25">
      <c r="A54" s="161" t="s">
        <v>273</v>
      </c>
      <c r="B54" s="162"/>
      <c r="C54" s="136" t="s">
        <v>450</v>
      </c>
      <c r="D54" s="138"/>
      <c r="E54" s="137"/>
      <c r="F54" s="18" t="s">
        <v>40</v>
      </c>
      <c r="G54" s="110">
        <v>45332</v>
      </c>
      <c r="H54" s="111"/>
      <c r="K54" s="80">
        <f>EDATE(G52,-48)</f>
        <v>44001</v>
      </c>
      <c r="L54" s="23" t="str">
        <f ca="1">IF(G52&gt;EDATE(E3,-48),"NO REMARK","CC REMARK FOR CC")</f>
        <v>NO REMARK</v>
      </c>
      <c r="R54"/>
      <c r="S54" s="55" t="s">
        <v>248</v>
      </c>
      <c r="T54" s="55" t="s">
        <v>253</v>
      </c>
      <c r="U54" s="55" t="s">
        <v>250</v>
      </c>
      <c r="V54" s="55" t="s">
        <v>269</v>
      </c>
    </row>
    <row r="55" spans="1:24" s="23" customFormat="1" ht="32.25" customHeight="1" x14ac:dyDescent="0.25">
      <c r="A55" s="163"/>
      <c r="B55" s="164"/>
      <c r="C55" s="246" t="s">
        <v>451</v>
      </c>
      <c r="D55" s="247"/>
      <c r="E55" s="247"/>
      <c r="F55" s="247"/>
      <c r="G55" s="247"/>
      <c r="H55" s="248"/>
      <c r="R55"/>
      <c r="S55" s="55" t="s">
        <v>250</v>
      </c>
      <c r="T55" s="55" t="s">
        <v>254</v>
      </c>
      <c r="U55" s="55" t="s">
        <v>264</v>
      </c>
      <c r="V55" s="74"/>
      <c r="W55" s="21"/>
      <c r="X55" s="21"/>
    </row>
    <row r="56" spans="1:24" s="23" customFormat="1" ht="34.5" hidden="1" customHeight="1" x14ac:dyDescent="0.25">
      <c r="A56" s="165" t="s">
        <v>274</v>
      </c>
      <c r="B56" s="166"/>
      <c r="C56" s="136" t="str">
        <f>C55</f>
        <v>Tower A &amp; B = B + Gr + 1st to 66th upper residential floor (Height 229.55 Mtrs)</v>
      </c>
      <c r="D56" s="138"/>
      <c r="E56" s="137"/>
      <c r="F56" s="18" t="s">
        <v>40</v>
      </c>
      <c r="G56" s="110">
        <f>G55</f>
        <v>0</v>
      </c>
      <c r="H56" s="111"/>
      <c r="R56"/>
      <c r="S56" s="74"/>
      <c r="T56" s="55" t="s">
        <v>255</v>
      </c>
      <c r="U56" s="55" t="s">
        <v>265</v>
      </c>
      <c r="V56" s="74"/>
      <c r="W56" s="21"/>
      <c r="X56" s="21"/>
    </row>
    <row r="57" spans="1:24" s="23" customFormat="1" ht="41.25" hidden="1" customHeight="1" x14ac:dyDescent="0.25">
      <c r="A57" s="167"/>
      <c r="B57" s="168"/>
      <c r="C57" s="136"/>
      <c r="D57" s="138"/>
      <c r="E57" s="138"/>
      <c r="F57" s="138"/>
      <c r="G57" s="138"/>
      <c r="H57" s="137"/>
      <c r="R57"/>
      <c r="S57" s="74"/>
      <c r="T57" s="55" t="s">
        <v>257</v>
      </c>
      <c r="U57" s="55" t="s">
        <v>266</v>
      </c>
      <c r="V57" s="74"/>
      <c r="W57" s="21"/>
      <c r="X57" s="21"/>
    </row>
    <row r="58" spans="1:24" s="23" customFormat="1" ht="15.75" hidden="1" customHeight="1" x14ac:dyDescent="0.25">
      <c r="A58" s="165" t="s">
        <v>344</v>
      </c>
      <c r="B58" s="166"/>
      <c r="C58" s="136"/>
      <c r="D58" s="138"/>
      <c r="E58" s="137"/>
      <c r="F58" s="18" t="s">
        <v>40</v>
      </c>
      <c r="G58" s="110"/>
      <c r="H58" s="111"/>
      <c r="R58"/>
      <c r="S58" s="74"/>
      <c r="T58" s="55" t="s">
        <v>258</v>
      </c>
      <c r="U58" s="74" t="s">
        <v>288</v>
      </c>
      <c r="V58" s="74"/>
      <c r="W58" s="21"/>
      <c r="X58" s="21"/>
    </row>
    <row r="59" spans="1:24" s="23" customFormat="1" ht="33.75" hidden="1" customHeight="1" x14ac:dyDescent="0.25">
      <c r="A59" s="167"/>
      <c r="B59" s="168"/>
      <c r="C59" s="120" t="s">
        <v>346</v>
      </c>
      <c r="D59" s="120"/>
      <c r="E59" s="120"/>
      <c r="F59" s="18" t="s">
        <v>345</v>
      </c>
      <c r="G59" s="110"/>
      <c r="H59" s="111"/>
      <c r="R59"/>
      <c r="S59" s="74"/>
      <c r="T59" s="55" t="s">
        <v>259</v>
      </c>
      <c r="U59" s="74"/>
      <c r="V59" s="74"/>
      <c r="W59" s="21"/>
      <c r="X59" s="21"/>
    </row>
    <row r="60" spans="1:24" x14ac:dyDescent="0.25">
      <c r="A60" s="154" t="s">
        <v>41</v>
      </c>
      <c r="B60" s="155"/>
      <c r="C60" s="154" t="s">
        <v>98</v>
      </c>
      <c r="D60" s="156"/>
      <c r="E60" s="155"/>
      <c r="F60" s="43" t="s">
        <v>40</v>
      </c>
      <c r="G60" s="159" t="s">
        <v>28</v>
      </c>
      <c r="H60" s="160"/>
      <c r="R60"/>
      <c r="S60" s="74"/>
      <c r="T60" s="55" t="s">
        <v>261</v>
      </c>
      <c r="U60" s="74"/>
      <c r="V60" s="74"/>
    </row>
    <row r="61" spans="1:24" x14ac:dyDescent="0.25">
      <c r="A61" s="187" t="s">
        <v>43</v>
      </c>
      <c r="B61" s="187"/>
      <c r="C61" s="187"/>
      <c r="D61" s="187"/>
      <c r="E61" s="187"/>
      <c r="F61" s="187"/>
      <c r="G61" s="187"/>
      <c r="H61" s="187"/>
      <c r="S61" s="74"/>
      <c r="T61" s="55" t="s">
        <v>270</v>
      </c>
      <c r="U61" s="74"/>
      <c r="V61" s="74"/>
    </row>
    <row r="62" spans="1:24" x14ac:dyDescent="0.25">
      <c r="A62" s="120" t="s">
        <v>86</v>
      </c>
      <c r="B62" s="120"/>
      <c r="C62" s="120"/>
      <c r="D62" s="119">
        <f>46064.75+56447.94</f>
        <v>102512.69</v>
      </c>
      <c r="E62" s="119"/>
      <c r="F62" s="119"/>
      <c r="G62" s="119"/>
      <c r="H62" s="119"/>
      <c r="R62"/>
    </row>
    <row r="63" spans="1:24" x14ac:dyDescent="0.25">
      <c r="A63" s="124" t="s">
        <v>44</v>
      </c>
      <c r="B63" s="123"/>
      <c r="C63" s="123"/>
      <c r="D63" s="123" t="s">
        <v>439</v>
      </c>
      <c r="E63" s="123"/>
      <c r="F63" s="123"/>
      <c r="G63" s="123"/>
      <c r="H63" s="123"/>
      <c r="I63" s="24"/>
      <c r="R63"/>
    </row>
    <row r="64" spans="1:24" ht="30.6" customHeight="1" x14ac:dyDescent="0.25">
      <c r="A64" s="161" t="s">
        <v>45</v>
      </c>
      <c r="B64" s="205"/>
      <c r="C64" s="162"/>
      <c r="D64" s="126" t="s">
        <v>375</v>
      </c>
      <c r="E64" s="204"/>
      <c r="F64" s="204"/>
      <c r="G64" s="204"/>
      <c r="H64" s="204"/>
      <c r="R64"/>
    </row>
    <row r="65" spans="1:19" ht="30" customHeight="1" x14ac:dyDescent="0.25">
      <c r="A65" s="161" t="s">
        <v>84</v>
      </c>
      <c r="B65" s="205"/>
      <c r="C65" s="205"/>
      <c r="D65" s="211" t="s">
        <v>375</v>
      </c>
      <c r="E65" s="212"/>
      <c r="F65" s="212"/>
      <c r="G65" s="212"/>
      <c r="H65" s="213"/>
      <c r="R65"/>
    </row>
    <row r="66" spans="1:19" ht="15.75" hidden="1" customHeight="1" x14ac:dyDescent="0.25">
      <c r="A66" s="209"/>
      <c r="B66" s="210"/>
      <c r="C66" s="210"/>
      <c r="D66" s="214" t="s">
        <v>376</v>
      </c>
      <c r="E66" s="215"/>
      <c r="F66" s="215"/>
      <c r="G66" s="215"/>
      <c r="H66" s="216"/>
      <c r="R66"/>
    </row>
    <row r="67" spans="1:19" ht="15.75" customHeight="1" x14ac:dyDescent="0.25">
      <c r="A67" s="119" t="s">
        <v>42</v>
      </c>
      <c r="B67" s="119"/>
      <c r="C67" s="119"/>
      <c r="D67" s="217" t="s">
        <v>377</v>
      </c>
      <c r="E67" s="217"/>
      <c r="F67" s="217"/>
      <c r="G67" s="217"/>
      <c r="H67" s="217"/>
      <c r="J67" s="25"/>
      <c r="K67" s="24"/>
      <c r="N67" s="24"/>
      <c r="S67"/>
    </row>
    <row r="68" spans="1:19" ht="15.75" customHeight="1" x14ac:dyDescent="0.25">
      <c r="A68" s="119" t="s">
        <v>82</v>
      </c>
      <c r="B68" s="119"/>
      <c r="C68" s="119"/>
      <c r="D68" s="202" t="str">
        <f>(IF(G60="NA","60 Years After Completion",IF(G60&lt;&gt;"NA",""&amp;60-ROUNDDOWN((E3-G60)/360,0)&amp;" Years"," ")))</f>
        <v>60 Years After Completion</v>
      </c>
      <c r="E68" s="202"/>
      <c r="F68" s="202"/>
      <c r="G68" s="202"/>
      <c r="H68" s="202"/>
      <c r="N68" s="24"/>
      <c r="S68"/>
    </row>
    <row r="69" spans="1:19" ht="15.75" customHeight="1" x14ac:dyDescent="0.25">
      <c r="A69" s="119" t="s">
        <v>83</v>
      </c>
      <c r="B69" s="119"/>
      <c r="C69" s="119"/>
      <c r="D69" s="120" t="s">
        <v>23</v>
      </c>
      <c r="E69" s="120"/>
      <c r="F69" s="120"/>
      <c r="G69" s="120"/>
      <c r="H69" s="120"/>
      <c r="J69" s="26"/>
      <c r="K69" s="26"/>
      <c r="S69"/>
    </row>
    <row r="70" spans="1:19" ht="46.35" customHeight="1" x14ac:dyDescent="0.25">
      <c r="A70" s="123" t="s">
        <v>378</v>
      </c>
      <c r="B70" s="123"/>
      <c r="C70" s="123"/>
      <c r="D70" s="124" t="s">
        <v>370</v>
      </c>
      <c r="E70" s="120"/>
      <c r="F70" s="120"/>
      <c r="G70" s="120"/>
      <c r="H70" s="120"/>
      <c r="S70"/>
    </row>
    <row r="71" spans="1:19" x14ac:dyDescent="0.25">
      <c r="A71" s="120" t="s">
        <v>141</v>
      </c>
      <c r="B71" s="120"/>
      <c r="C71" s="120"/>
      <c r="D71" s="120" t="s">
        <v>28</v>
      </c>
      <c r="E71" s="120"/>
      <c r="F71" s="120"/>
      <c r="G71" s="120"/>
      <c r="H71" s="120"/>
      <c r="I71" s="27"/>
      <c r="J71" s="27"/>
      <c r="K71" s="27"/>
      <c r="L71" s="27"/>
      <c r="M71" s="27"/>
      <c r="N71" s="27"/>
    </row>
    <row r="72" spans="1:19" ht="15.75" customHeight="1" x14ac:dyDescent="0.25">
      <c r="A72" s="127" t="s">
        <v>81</v>
      </c>
      <c r="B72" s="127"/>
      <c r="C72" s="127"/>
      <c r="D72" s="126" t="str">
        <f ca="1">(IF(G78&gt;95%,"Nothing",IF(G78&gt;0%,"Cement, Aggregate, Steel, etc",IF(G78=0%,"Work not yet Started"))))</f>
        <v>Cement, Aggregate, Steel, etc</v>
      </c>
      <c r="E72" s="126"/>
      <c r="F72" s="126"/>
      <c r="G72" s="126"/>
      <c r="H72" s="126"/>
      <c r="J72" s="26"/>
      <c r="S72"/>
    </row>
    <row r="73" spans="1:19" ht="33.75" customHeight="1" thickBot="1" x14ac:dyDescent="0.3">
      <c r="A73" s="125" t="s">
        <v>111</v>
      </c>
      <c r="B73" s="125"/>
      <c r="C73" s="125"/>
      <c r="D73" s="126" t="str">
        <f ca="1">(IF(D72="Nothing","Yes",IF(D72="Cement, Aggregate, Steel, etc","Under Construction",IF(D72="Work not yet Started","Work not yet Started"))))</f>
        <v>Under Construction</v>
      </c>
      <c r="E73" s="126"/>
      <c r="F73" s="126" t="str">
        <f ca="1">(IF(D72="Nothing","Yes",IF(D72="Cement, Aggregate, Steel, etc","Under Construction",IF(D72="Work not yet Started","Work not yet Started"))))</f>
        <v>Under Construction</v>
      </c>
      <c r="G73" s="126"/>
      <c r="H73" s="126"/>
      <c r="S73"/>
    </row>
    <row r="74" spans="1:19" ht="15.75" customHeight="1" x14ac:dyDescent="0.25">
      <c r="A74" s="114" t="s">
        <v>133</v>
      </c>
      <c r="B74" s="115"/>
      <c r="C74" s="116" t="str">
        <f>D65</f>
        <v>A &amp; B Wing = 1B + Gr + 1A + 1st to 7th Podium + 8th to 66th Floor</v>
      </c>
      <c r="D74" s="117"/>
      <c r="E74" s="117"/>
      <c r="F74" s="117"/>
      <c r="G74" s="117"/>
      <c r="H74" s="118"/>
      <c r="I74" s="46" t="str">
        <f ca="1">IF(D87=100%,"All work Completed. Possession granted to the Building.",IF(D86=100%,"All work Completed, Waiting for OC",I75&amp;""&amp;I76&amp;""&amp;J75&amp;""&amp;J74&amp;" "&amp;J76))</f>
        <v xml:space="preserve">Excavation Completed </v>
      </c>
      <c r="J74" s="47"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25">
      <c r="A75" s="16" t="s">
        <v>135</v>
      </c>
      <c r="B75" s="50">
        <f>IF(AND(ISNUMBER(SEARCH("1B",C74))),1,IF(AND(ISNUMBER(SEARCH("2B",C74))),2,IF(AND(ISNUMBER(SEARCH("3B",C74))),3,IF(AND(ISNUMBER(SEARCH("4B",C74))),4,IF(ISNUMBER(SEARCH("5B",C74)),5,0)))))</f>
        <v>1</v>
      </c>
      <c r="C75" s="50" t="s">
        <v>67</v>
      </c>
      <c r="D75" s="50">
        <v>1</v>
      </c>
      <c r="E75" s="50" t="s">
        <v>66</v>
      </c>
      <c r="F75" s="50">
        <v>0</v>
      </c>
      <c r="G75" s="50" t="s">
        <v>75</v>
      </c>
      <c r="H75" s="17">
        <f ca="1">--TRIM(RIGHT(SUBSTITUTE(LEFT(C74,_xlfn.AGGREGATE(16,6,FIND({0,1,2,3,4,5,6,7,8,9},C74,ROW(INDIRECT("1:"&amp;LEN(C74)))),1))," ",REPT(" ",LEN(C74))),LEN(C74)))</f>
        <v>66</v>
      </c>
      <c r="I75" s="48" t="str">
        <f ca="1">IF(D78=100%,"Excavation","")&amp;IF(D79=100%,", Plinth","")&amp;IF(D80=100%,", RCC Slab","")&amp;IF(D81=100%,", Brickwork","")&amp;IF(D82=100%,", Internal Plaster","")&amp;IF(D83=100%,", External Plaster","")&amp;IF(D84=100%,", Flooring","")&amp;IF(D85=100%,", Painting","")&amp;IF(D86=100%,", Building common Amenities","")</f>
        <v>Excavation</v>
      </c>
      <c r="J75" s="49"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25">
      <c r="A76" s="112" t="s">
        <v>85</v>
      </c>
      <c r="B76" s="113"/>
      <c r="C76" s="121" t="str">
        <f ca="1">I74</f>
        <v xml:space="preserve">Excavation Completed </v>
      </c>
      <c r="D76" s="121"/>
      <c r="E76" s="121"/>
      <c r="F76" s="121"/>
      <c r="G76" s="121"/>
      <c r="H76" s="122"/>
      <c r="I76" s="48" t="str">
        <f ca="1">IF(I75&lt;&gt;""," Completed","")</f>
        <v xml:space="preserve"> Completed</v>
      </c>
      <c r="J76" s="49" t="str">
        <f ca="1">IF(J74&lt;&gt;"","Completed","")</f>
        <v/>
      </c>
      <c r="S76"/>
    </row>
    <row r="77" spans="1:19" ht="15.75" customHeight="1" x14ac:dyDescent="0.25">
      <c r="A77" s="128" t="s">
        <v>46</v>
      </c>
      <c r="B77" s="129"/>
      <c r="C77" s="82" t="s">
        <v>132</v>
      </c>
      <c r="D77" s="82" t="s">
        <v>78</v>
      </c>
      <c r="E77" s="129" t="s">
        <v>80</v>
      </c>
      <c r="F77" s="129"/>
      <c r="G77" s="129" t="s">
        <v>79</v>
      </c>
      <c r="H77" s="140"/>
      <c r="I77" s="13" t="s">
        <v>134</v>
      </c>
      <c r="J77" s="28">
        <f ca="1">H75*25%</f>
        <v>16.5</v>
      </c>
      <c r="S77"/>
    </row>
    <row r="78" spans="1:19" x14ac:dyDescent="0.25">
      <c r="A78" s="128" t="s">
        <v>121</v>
      </c>
      <c r="B78" s="129"/>
      <c r="C78" s="82">
        <f ca="1">J79</f>
        <v>66</v>
      </c>
      <c r="D78" s="83">
        <f ca="1">((100/H75)*C78)/100</f>
        <v>1</v>
      </c>
      <c r="E78" s="234">
        <f ca="1">(((C79/H75*10)+(40/(D75+F75+H75)*C80)+(7.5/(H75)*C81)+(7.5/(H75)*C82)+(10/H75*C83)+(10/H75*C84)+(5/H75*C85)+(5/H75*C86)+(5/H75*C87))/100)</f>
        <v>0</v>
      </c>
      <c r="F78" s="235"/>
      <c r="G78" s="234">
        <f ca="1">((((C78/H75)*20)+((C79/H75)*25)+(30/(H75+F75+D75)*C80)+(5/H75*C81)+(5/H75*C82)+(5/H75*C83)+(5/H75*C84)+(0/H75*C85)+(0/H75*C86)+(5/H75*C87))/100)</f>
        <v>0.2</v>
      </c>
      <c r="H78" s="240"/>
      <c r="I78" s="13" t="s">
        <v>93</v>
      </c>
      <c r="J78" s="29">
        <f ca="1">H75*50%</f>
        <v>33</v>
      </c>
    </row>
    <row r="79" spans="1:19" x14ac:dyDescent="0.25">
      <c r="A79" s="128" t="s">
        <v>47</v>
      </c>
      <c r="B79" s="129"/>
      <c r="C79" s="82">
        <v>0</v>
      </c>
      <c r="D79" s="83">
        <f ca="1">((100/H75)*C79)/100</f>
        <v>0</v>
      </c>
      <c r="E79" s="236"/>
      <c r="F79" s="237"/>
      <c r="G79" s="236"/>
      <c r="H79" s="241"/>
      <c r="I79" s="13" t="s">
        <v>94</v>
      </c>
      <c r="J79" s="29">
        <f ca="1">H75</f>
        <v>66</v>
      </c>
      <c r="S79"/>
    </row>
    <row r="80" spans="1:19" ht="15.75" customHeight="1" x14ac:dyDescent="0.25">
      <c r="A80" s="128" t="s">
        <v>122</v>
      </c>
      <c r="B80" s="129"/>
      <c r="C80" s="82">
        <v>0</v>
      </c>
      <c r="D80" s="83">
        <f ca="1">((100/(D75+F75+H75))*C80)/100</f>
        <v>0</v>
      </c>
      <c r="E80" s="236"/>
      <c r="F80" s="237"/>
      <c r="G80" s="236"/>
      <c r="H80" s="241"/>
      <c r="I80" s="13" t="s">
        <v>95</v>
      </c>
      <c r="J80" s="30">
        <f ca="1">(IF(B75&gt;1,(H75/(B75+2)),H75/4))</f>
        <v>16.5</v>
      </c>
      <c r="S80"/>
    </row>
    <row r="81" spans="1:19" ht="15.75" customHeight="1" x14ac:dyDescent="0.25">
      <c r="A81" s="128" t="s">
        <v>129</v>
      </c>
      <c r="B81" s="129" t="s">
        <v>123</v>
      </c>
      <c r="C81" s="82">
        <v>0</v>
      </c>
      <c r="D81" s="83">
        <f ca="1">((100/H75)*C81)/100</f>
        <v>0</v>
      </c>
      <c r="E81" s="236"/>
      <c r="F81" s="237"/>
      <c r="G81" s="236"/>
      <c r="H81" s="241"/>
      <c r="I81" s="13" t="s">
        <v>96</v>
      </c>
      <c r="J81" s="30">
        <f ca="1">(IF(B75&gt;1,(H75/(B75+2)+J80),H75/4+J80))</f>
        <v>33</v>
      </c>
    </row>
    <row r="82" spans="1:19" ht="15.75" customHeight="1" x14ac:dyDescent="0.25">
      <c r="A82" s="128" t="s">
        <v>130</v>
      </c>
      <c r="B82" s="129" t="s">
        <v>123</v>
      </c>
      <c r="C82" s="82">
        <v>0</v>
      </c>
      <c r="D82" s="83">
        <f ca="1">((100/H75)*C82)/100</f>
        <v>0</v>
      </c>
      <c r="E82" s="236"/>
      <c r="F82" s="237"/>
      <c r="G82" s="236"/>
      <c r="H82" s="241"/>
      <c r="I82" s="13" t="s">
        <v>139</v>
      </c>
      <c r="J82" s="30">
        <f>(IF(B75&gt;1,(H75/(B75+2)+J81),0))</f>
        <v>0</v>
      </c>
    </row>
    <row r="83" spans="1:19" ht="15" customHeight="1" x14ac:dyDescent="0.25">
      <c r="A83" s="128" t="s">
        <v>128</v>
      </c>
      <c r="B83" s="129" t="s">
        <v>125</v>
      </c>
      <c r="C83" s="82">
        <v>0</v>
      </c>
      <c r="D83" s="83">
        <f ca="1">((100/(H75))*C83)/100</f>
        <v>0</v>
      </c>
      <c r="E83" s="236"/>
      <c r="F83" s="237"/>
      <c r="G83" s="236"/>
      <c r="H83" s="241"/>
      <c r="I83" s="13" t="s">
        <v>136</v>
      </c>
      <c r="J83" s="30">
        <f>(IF(B75&gt;2,(H75/(B75+2)+J82),0))</f>
        <v>0</v>
      </c>
    </row>
    <row r="84" spans="1:19" ht="15.75" customHeight="1" x14ac:dyDescent="0.25">
      <c r="A84" s="128" t="s">
        <v>124</v>
      </c>
      <c r="B84" s="129" t="s">
        <v>124</v>
      </c>
      <c r="C84" s="82">
        <v>0</v>
      </c>
      <c r="D84" s="83">
        <f ca="1">((100/H75)*C84)/100</f>
        <v>0</v>
      </c>
      <c r="E84" s="236"/>
      <c r="F84" s="237"/>
      <c r="G84" s="236"/>
      <c r="H84" s="241"/>
      <c r="I84" s="13" t="s">
        <v>137</v>
      </c>
      <c r="J84" s="31">
        <f>(IF(B75&gt;3,(H75/(B75+2)+J83),0))</f>
        <v>0</v>
      </c>
    </row>
    <row r="85" spans="1:19" ht="15.75" customHeight="1" x14ac:dyDescent="0.25">
      <c r="A85" s="128" t="s">
        <v>131</v>
      </c>
      <c r="B85" s="129"/>
      <c r="C85" s="82">
        <v>0</v>
      </c>
      <c r="D85" s="83">
        <f ca="1">((100/H75)*C85)/100</f>
        <v>0</v>
      </c>
      <c r="E85" s="236"/>
      <c r="F85" s="237"/>
      <c r="G85" s="236"/>
      <c r="H85" s="241"/>
      <c r="I85" s="13" t="s">
        <v>138</v>
      </c>
      <c r="J85" s="30">
        <f>(IF(B75&gt;4,(H75/(B75+2)+J84),0))</f>
        <v>0</v>
      </c>
    </row>
    <row r="86" spans="1:19" ht="15.75" customHeight="1" x14ac:dyDescent="0.25">
      <c r="A86" s="128" t="s">
        <v>126</v>
      </c>
      <c r="B86" s="129" t="s">
        <v>126</v>
      </c>
      <c r="C86" s="82">
        <v>0</v>
      </c>
      <c r="D86" s="83">
        <f ca="1">((100/(H75))*C86)/100</f>
        <v>0</v>
      </c>
      <c r="E86" s="236"/>
      <c r="F86" s="237"/>
      <c r="G86" s="236"/>
      <c r="H86" s="241"/>
      <c r="I86" s="13" t="s">
        <v>140</v>
      </c>
      <c r="J86" s="30">
        <f ca="1">(IF(B75=1,(H75/(B75+3)+J81),IF(B75=0,(H75/4+J81),IF(B75&gt;1,0))))</f>
        <v>49.5</v>
      </c>
    </row>
    <row r="87" spans="1:19" ht="16.5" thickBot="1" x14ac:dyDescent="0.3">
      <c r="A87" s="141" t="s">
        <v>127</v>
      </c>
      <c r="B87" s="142"/>
      <c r="C87" s="84">
        <v>0</v>
      </c>
      <c r="D87" s="85">
        <f ca="1">((100/(H75))*C87)/100</f>
        <v>0</v>
      </c>
      <c r="E87" s="238"/>
      <c r="F87" s="239"/>
      <c r="G87" s="238"/>
      <c r="H87" s="242"/>
      <c r="I87" s="15" t="s">
        <v>97</v>
      </c>
      <c r="J87" s="32">
        <f ca="1">(IF(B75&gt;1.5,(H75/(B75+2)+J81+MAX(0,J82-J81)+MAX(0,J83-J82)+MAX(0,J84-J83)+MAX(0,J85-J84)+MAX(0,J86-J85)),IF(B75=1,(H75/(B75+3)+J86),IF(B75=0,H75/4+J86))))</f>
        <v>66</v>
      </c>
    </row>
    <row r="88" spans="1:19" ht="15.75" hidden="1" customHeight="1" x14ac:dyDescent="0.25">
      <c r="A88" s="114" t="s">
        <v>133</v>
      </c>
      <c r="B88" s="115"/>
      <c r="C88" s="116" t="str">
        <f>D66</f>
        <v>B Wing = 1B + Gr + 1A + 1st to 7th Podium + 8th to 66th Floor</v>
      </c>
      <c r="D88" s="117"/>
      <c r="E88" s="117"/>
      <c r="F88" s="117"/>
      <c r="G88" s="117"/>
      <c r="H88" s="118"/>
      <c r="I88" s="46" t="str">
        <f ca="1">IF(D101=100%,"All work Completed. Possession granted to the Building.",IF(D100=100%,"All work Completed, Waiting for OC",I89&amp;""&amp;I90&amp;""&amp;J89&amp;""&amp;J88&amp;" "&amp;J90))</f>
        <v xml:space="preserve">Excavation, Plinth Completed </v>
      </c>
      <c r="J88" s="47"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S88"/>
    </row>
    <row r="89" spans="1:19" hidden="1" x14ac:dyDescent="0.25">
      <c r="A89" s="16" t="s">
        <v>135</v>
      </c>
      <c r="B89" s="50">
        <f>IF(AND(ISNUMBER(SEARCH("1B",C88))),1,IF(AND(ISNUMBER(SEARCH("2B",C88))),2,IF(AND(ISNUMBER(SEARCH("3B",C88))),3,IF(AND(ISNUMBER(SEARCH("4B",C88))),4,IF(ISNUMBER(SEARCH("5B",C88)),5,0)))))</f>
        <v>1</v>
      </c>
      <c r="C89" s="50" t="s">
        <v>67</v>
      </c>
      <c r="D89" s="50">
        <v>1</v>
      </c>
      <c r="E89" s="50" t="s">
        <v>66</v>
      </c>
      <c r="F89" s="14">
        <v>0</v>
      </c>
      <c r="G89" s="45" t="s">
        <v>75</v>
      </c>
      <c r="H89" s="17">
        <f ca="1">--TRIM(RIGHT(SUBSTITUTE(LEFT(C88,_xlfn.AGGREGATE(16,6,FIND({0,1,2,3,4,5,6,7,8,9},C88,ROW(INDIRECT("1:"&amp;LEN(C88)))),1))," ",REPT(" ",LEN(C88))),LEN(C88)))</f>
        <v>66</v>
      </c>
      <c r="I89" s="48" t="str">
        <f ca="1">IF(D92=100%,"Excavation","")&amp;IF(D93=100%,", Plinth","")&amp;IF(D94=100%,", RCC Slab","")&amp;IF(D95=100%,", Brickwork","")&amp;IF(D96=100%,", Internal Plaster","")&amp;IF(D97=100%,", External Plaster","")&amp;IF(D98=100%,", Flooring","")&amp;IF(D99=100%,", Painting","")&amp;IF(D100=100%,", Building common Amenities","")</f>
        <v>Excavation, Plinth</v>
      </c>
      <c r="J89" s="49"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ht="36.75" hidden="1" customHeight="1" x14ac:dyDescent="0.25">
      <c r="A90" s="112" t="s">
        <v>85</v>
      </c>
      <c r="B90" s="113"/>
      <c r="C90" s="121" t="str">
        <f ca="1">I88</f>
        <v xml:space="preserve">Excavation, Plinth Completed </v>
      </c>
      <c r="D90" s="121"/>
      <c r="E90" s="121"/>
      <c r="F90" s="121"/>
      <c r="G90" s="121"/>
      <c r="H90" s="122"/>
      <c r="I90" s="48" t="str">
        <f ca="1">IF(I89&lt;&gt;""," Completed","")</f>
        <v xml:space="preserve"> Completed</v>
      </c>
      <c r="J90" s="49" t="str">
        <f ca="1">IF(J88&lt;&gt;"","Completed","")</f>
        <v/>
      </c>
      <c r="S90"/>
    </row>
    <row r="91" spans="1:19" ht="15.75" hidden="1" customHeight="1" x14ac:dyDescent="0.25">
      <c r="A91" s="172" t="s">
        <v>46</v>
      </c>
      <c r="B91" s="173"/>
      <c r="C91" s="76" t="s">
        <v>132</v>
      </c>
      <c r="D91" s="76" t="s">
        <v>78</v>
      </c>
      <c r="E91" s="173" t="s">
        <v>80</v>
      </c>
      <c r="F91" s="173"/>
      <c r="G91" s="173" t="s">
        <v>79</v>
      </c>
      <c r="H91" s="252"/>
      <c r="I91" s="13" t="s">
        <v>134</v>
      </c>
      <c r="J91" s="28">
        <f ca="1">H89*25%</f>
        <v>16.5</v>
      </c>
      <c r="S91"/>
    </row>
    <row r="92" spans="1:19" hidden="1" x14ac:dyDescent="0.25">
      <c r="A92" s="172" t="s">
        <v>121</v>
      </c>
      <c r="B92" s="173"/>
      <c r="C92" s="58">
        <f ca="1">J93</f>
        <v>66</v>
      </c>
      <c r="D92" s="19">
        <f ca="1">((100/H89)*C92)/100</f>
        <v>1</v>
      </c>
      <c r="E92" s="226">
        <f ca="1">(((C93/H89*10)+(40/(D89+F89+H89)*C94)+(7.5/(H89)*C95)+(7.5/(H89)*C96)+(10/H89*C97)+(10/H89*C98)+(5/H89*C99)+(5/H89*C100)+(5/H89*C101))/100)</f>
        <v>0.1</v>
      </c>
      <c r="F92" s="249"/>
      <c r="G92" s="226">
        <f ca="1">((((C92/H89)*20)+((C93/H89)*25)+(30/(H89+F89+D89)*C94)+(5/H89*C95)+(5/H89*C96)+(5/H89*C97)+(5/H89*C98)+(0/H89*C99)+(0/H89*C100)+(5/H89*C101))/100)</f>
        <v>0.45</v>
      </c>
      <c r="H92" s="227"/>
      <c r="I92" s="13" t="s">
        <v>93</v>
      </c>
      <c r="J92" s="29">
        <f ca="1">H89*50%</f>
        <v>33</v>
      </c>
    </row>
    <row r="93" spans="1:19" hidden="1" x14ac:dyDescent="0.25">
      <c r="A93" s="172" t="s">
        <v>47</v>
      </c>
      <c r="B93" s="173"/>
      <c r="C93" s="76">
        <f ca="1">J101</f>
        <v>66</v>
      </c>
      <c r="D93" s="19">
        <f ca="1">((100/H89)*C93)/100</f>
        <v>1</v>
      </c>
      <c r="E93" s="228"/>
      <c r="F93" s="250"/>
      <c r="G93" s="228"/>
      <c r="H93" s="229"/>
      <c r="I93" s="13" t="s">
        <v>94</v>
      </c>
      <c r="J93" s="29">
        <f ca="1">H89</f>
        <v>66</v>
      </c>
      <c r="S93"/>
    </row>
    <row r="94" spans="1:19" ht="15.75" hidden="1" customHeight="1" x14ac:dyDescent="0.25">
      <c r="A94" s="172" t="s">
        <v>122</v>
      </c>
      <c r="B94" s="173"/>
      <c r="C94" s="76">
        <v>0</v>
      </c>
      <c r="D94" s="19">
        <f ca="1">((100/(D89+F89+H89))*C94)/100</f>
        <v>0</v>
      </c>
      <c r="E94" s="228"/>
      <c r="F94" s="250"/>
      <c r="G94" s="228"/>
      <c r="H94" s="229"/>
      <c r="I94" s="13" t="s">
        <v>95</v>
      </c>
      <c r="J94" s="30">
        <f ca="1">(IF(B89&gt;1,(H89/(B89+2)),H89/4))</f>
        <v>16.5</v>
      </c>
      <c r="S94"/>
    </row>
    <row r="95" spans="1:19" ht="15.75" hidden="1" customHeight="1" x14ac:dyDescent="0.25">
      <c r="A95" s="172" t="s">
        <v>129</v>
      </c>
      <c r="B95" s="173" t="s">
        <v>123</v>
      </c>
      <c r="C95" s="76">
        <v>0</v>
      </c>
      <c r="D95" s="19">
        <f ca="1">((100/H89)*C95)/100</f>
        <v>0</v>
      </c>
      <c r="E95" s="228"/>
      <c r="F95" s="250"/>
      <c r="G95" s="228"/>
      <c r="H95" s="229"/>
      <c r="I95" s="13" t="s">
        <v>96</v>
      </c>
      <c r="J95" s="30">
        <f ca="1">(IF(B89&gt;1,(H89/(B89+2)+J94),H89/4+J94))</f>
        <v>33</v>
      </c>
    </row>
    <row r="96" spans="1:19" ht="15.75" hidden="1" customHeight="1" x14ac:dyDescent="0.25">
      <c r="A96" s="172" t="s">
        <v>130</v>
      </c>
      <c r="B96" s="173" t="s">
        <v>123</v>
      </c>
      <c r="C96" s="76">
        <v>0</v>
      </c>
      <c r="D96" s="19">
        <f ca="1">((100/H89)*C96)/100</f>
        <v>0</v>
      </c>
      <c r="E96" s="228"/>
      <c r="F96" s="250"/>
      <c r="G96" s="228"/>
      <c r="H96" s="229"/>
      <c r="I96" s="13" t="s">
        <v>139</v>
      </c>
      <c r="J96" s="30">
        <f>(IF(B89&gt;1,(H89/(B89+2)+J95),0))</f>
        <v>0</v>
      </c>
    </row>
    <row r="97" spans="1:19" ht="15" hidden="1" customHeight="1" x14ac:dyDescent="0.25">
      <c r="A97" s="172" t="s">
        <v>128</v>
      </c>
      <c r="B97" s="173" t="s">
        <v>125</v>
      </c>
      <c r="C97" s="76">
        <v>0</v>
      </c>
      <c r="D97" s="19">
        <f ca="1">((100/(H89))*C97)/100</f>
        <v>0</v>
      </c>
      <c r="E97" s="228"/>
      <c r="F97" s="250"/>
      <c r="G97" s="228"/>
      <c r="H97" s="229"/>
      <c r="I97" s="13" t="s">
        <v>136</v>
      </c>
      <c r="J97" s="30">
        <f>(IF(B89&gt;2,(H89/(B89+2)+J96),0))</f>
        <v>0</v>
      </c>
    </row>
    <row r="98" spans="1:19" ht="15.75" hidden="1" customHeight="1" x14ac:dyDescent="0.25">
      <c r="A98" s="172" t="s">
        <v>124</v>
      </c>
      <c r="B98" s="173" t="s">
        <v>124</v>
      </c>
      <c r="C98" s="76">
        <v>0</v>
      </c>
      <c r="D98" s="19">
        <f ca="1">((100/H89)*C98)/100</f>
        <v>0</v>
      </c>
      <c r="E98" s="228"/>
      <c r="F98" s="250"/>
      <c r="G98" s="228"/>
      <c r="H98" s="229"/>
      <c r="I98" s="13" t="s">
        <v>137</v>
      </c>
      <c r="J98" s="31">
        <f>(IF(B89&gt;3,(H89/(B89+2)+J97),0))</f>
        <v>0</v>
      </c>
    </row>
    <row r="99" spans="1:19" ht="15.75" hidden="1" customHeight="1" x14ac:dyDescent="0.25">
      <c r="A99" s="172" t="s">
        <v>131</v>
      </c>
      <c r="B99" s="173"/>
      <c r="C99" s="76">
        <v>0</v>
      </c>
      <c r="D99" s="19">
        <f ca="1">((100/H89)*C99)/100</f>
        <v>0</v>
      </c>
      <c r="E99" s="228"/>
      <c r="F99" s="250"/>
      <c r="G99" s="228"/>
      <c r="H99" s="229"/>
      <c r="I99" s="13" t="s">
        <v>138</v>
      </c>
      <c r="J99" s="30">
        <f>(IF(B89&gt;4,(H89/(B89+2)+J98),0))</f>
        <v>0</v>
      </c>
    </row>
    <row r="100" spans="1:19" ht="15.75" hidden="1" customHeight="1" x14ac:dyDescent="0.25">
      <c r="A100" s="172" t="s">
        <v>126</v>
      </c>
      <c r="B100" s="173" t="s">
        <v>126</v>
      </c>
      <c r="C100" s="76">
        <v>0</v>
      </c>
      <c r="D100" s="19">
        <f ca="1">((100/(H89))*C100)/100</f>
        <v>0</v>
      </c>
      <c r="E100" s="228"/>
      <c r="F100" s="250"/>
      <c r="G100" s="228"/>
      <c r="H100" s="229"/>
      <c r="I100" s="13" t="s">
        <v>140</v>
      </c>
      <c r="J100" s="30">
        <f ca="1">(IF(B89=1,(H89/(B89+3)+J95),IF(B89=0,(H89/4+J95),IF(B89&gt;1,0))))</f>
        <v>49.5</v>
      </c>
    </row>
    <row r="101" spans="1:19" ht="16.5" hidden="1" thickBot="1" x14ac:dyDescent="0.3">
      <c r="A101" s="175" t="s">
        <v>127</v>
      </c>
      <c r="B101" s="176"/>
      <c r="C101" s="75">
        <v>0</v>
      </c>
      <c r="D101" s="20">
        <f ca="1">((100/(H89))*C101)/100</f>
        <v>0</v>
      </c>
      <c r="E101" s="230"/>
      <c r="F101" s="251"/>
      <c r="G101" s="230"/>
      <c r="H101" s="231"/>
      <c r="I101" s="15" t="s">
        <v>97</v>
      </c>
      <c r="J101" s="32">
        <f ca="1">(IF(B89&gt;1.5,(H89/(B89+2)+J95+MAX(0,J96-J95)+MAX(0,J97-J96)+MAX(0,J98-J97)+MAX(0,J99-J98)+MAX(0,J100-J99)),IF(B89=1,(H89/(B89+3)+J100),IF(B89=0,H89/4+J100))))</f>
        <v>66</v>
      </c>
    </row>
    <row r="102" spans="1:19" ht="15.75" hidden="1" customHeight="1" x14ac:dyDescent="0.25">
      <c r="A102" s="114" t="s">
        <v>133</v>
      </c>
      <c r="B102" s="115"/>
      <c r="C102" s="116" t="e">
        <f>#REF!</f>
        <v>#REF!</v>
      </c>
      <c r="D102" s="117"/>
      <c r="E102" s="117"/>
      <c r="F102" s="117"/>
      <c r="G102" s="117"/>
      <c r="H102" s="118"/>
      <c r="I102" s="46" t="e">
        <f ca="1">IF(D115=100%,"All work Completed. Possession granted to the Building.",IF(D114=100%,"All work Completed, Waiting for OC",I103&amp;""&amp;I104&amp;""&amp;J103&amp;""&amp;J102&amp;" "&amp;J104))</f>
        <v>#REF!</v>
      </c>
      <c r="J102" s="47"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c r="S102"/>
    </row>
    <row r="103" spans="1:19" hidden="1" x14ac:dyDescent="0.25">
      <c r="A103" s="16" t="s">
        <v>135</v>
      </c>
      <c r="B103" s="50">
        <f>IF(AND(ISNUMBER(SEARCH("1B",C102))),1,IF(AND(ISNUMBER(SEARCH("2B",C102))),2,IF(AND(ISNUMBER(SEARCH("3B",C102))),3,IF(AND(ISNUMBER(SEARCH("4B",C102))),4,IF(ISNUMBER(SEARCH("5B",C102)),5,0)))))</f>
        <v>0</v>
      </c>
      <c r="C103" s="50" t="s">
        <v>67</v>
      </c>
      <c r="D103" s="50">
        <v>1</v>
      </c>
      <c r="E103" s="50" t="s">
        <v>66</v>
      </c>
      <c r="F103" s="14">
        <v>0</v>
      </c>
      <c r="G103" s="45" t="s">
        <v>75</v>
      </c>
      <c r="H103" s="17" t="e">
        <f ca="1">--TRIM(RIGHT(SUBSTITUTE(LEFT(C102,_xlfn.AGGREGATE(16,6,FIND({0,1,2,3,4,5,6,7,8,9},C102,ROW(INDIRECT("1:"&amp;LEN(C102)))),1))," ",REPT(" ",LEN(C102))),LEN(C102)))</f>
        <v>#REF!</v>
      </c>
      <c r="I103" s="48" t="e">
        <f ca="1">IF(D106=100%,"Excavation","")&amp;IF(D107=100%,", Plinth","")&amp;IF(D108=100%,", RCC Slab","")&amp;IF(D109=100%,", Brickwork","")&amp;IF(D110=100%,", Internal Plaster","")&amp;IF(D111=100%,", External Plaster","")&amp;IF(D112=100%,", Flooring","")&amp;IF(D113=100%,", Painting","")&amp;IF(D114=100%,", Building common Amenities","")</f>
        <v>#REF!</v>
      </c>
      <c r="J103" s="49"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c r="S103"/>
    </row>
    <row r="104" spans="1:19" hidden="1" x14ac:dyDescent="0.25">
      <c r="A104" s="112" t="s">
        <v>85</v>
      </c>
      <c r="B104" s="113"/>
      <c r="C104" s="121" t="e">
        <f ca="1">I102</f>
        <v>#REF!</v>
      </c>
      <c r="D104" s="121"/>
      <c r="E104" s="121"/>
      <c r="F104" s="121"/>
      <c r="G104" s="121"/>
      <c r="H104" s="122"/>
      <c r="I104" s="48" t="e">
        <f ca="1">IF(I103&lt;&gt;""," Completed","")</f>
        <v>#REF!</v>
      </c>
      <c r="J104" s="49" t="e">
        <f ca="1">IF(J102&lt;&gt;"","Completed","")</f>
        <v>#REF!</v>
      </c>
      <c r="S104"/>
    </row>
    <row r="105" spans="1:19" ht="15.75" hidden="1" customHeight="1" x14ac:dyDescent="0.25">
      <c r="A105" s="172" t="s">
        <v>46</v>
      </c>
      <c r="B105" s="173"/>
      <c r="C105" s="76" t="s">
        <v>132</v>
      </c>
      <c r="D105" s="76" t="s">
        <v>78</v>
      </c>
      <c r="E105" s="173" t="s">
        <v>80</v>
      </c>
      <c r="F105" s="173"/>
      <c r="G105" s="173" t="s">
        <v>79</v>
      </c>
      <c r="H105" s="252"/>
      <c r="I105" s="13" t="s">
        <v>134</v>
      </c>
      <c r="J105" s="28" t="e">
        <f ca="1">H103*25%</f>
        <v>#REF!</v>
      </c>
      <c r="S105"/>
    </row>
    <row r="106" spans="1:19" hidden="1" x14ac:dyDescent="0.25">
      <c r="A106" s="172" t="s">
        <v>121</v>
      </c>
      <c r="B106" s="173"/>
      <c r="C106" s="58" t="e">
        <f ca="1">J107</f>
        <v>#REF!</v>
      </c>
      <c r="D106" s="19" t="e">
        <f ca="1">((100/H103)*C106)/100</f>
        <v>#REF!</v>
      </c>
      <c r="E106" s="226" t="e">
        <f ca="1">(((C107/H103*10)+(40/(D103+F103+H103)*C108)+(7.5/(H103)*C109)+(7.5/(H103)*C110)+(10/H103*C111)+(10/H103*C112)+(5/H103*C113)+(5/H103*C114)+(5/H103*C115))/100)</f>
        <v>#REF!</v>
      </c>
      <c r="F106" s="249"/>
      <c r="G106" s="226" t="e">
        <f ca="1">((((C106/H103)*20)+((C107/H103)*25)+(30/(H103+F103+D103)*C108)+(5/H103*C109)+(5/H103*C110)+(5/H103*C111)+(5/H103*C112)+(0/H103*C113)+(0/H103*C114)+(5/H103*C115))/100)</f>
        <v>#REF!</v>
      </c>
      <c r="H106" s="227"/>
      <c r="I106" s="13" t="s">
        <v>93</v>
      </c>
      <c r="J106" s="29" t="e">
        <f ca="1">H103*50%</f>
        <v>#REF!</v>
      </c>
    </row>
    <row r="107" spans="1:19" hidden="1" x14ac:dyDescent="0.25">
      <c r="A107" s="172" t="s">
        <v>47</v>
      </c>
      <c r="B107" s="173"/>
      <c r="C107" s="76" t="e">
        <f ca="1">J115</f>
        <v>#REF!</v>
      </c>
      <c r="D107" s="19" t="e">
        <f ca="1">((100/H103)*C107)/100</f>
        <v>#REF!</v>
      </c>
      <c r="E107" s="228"/>
      <c r="F107" s="250"/>
      <c r="G107" s="228"/>
      <c r="H107" s="229"/>
      <c r="I107" s="13" t="s">
        <v>94</v>
      </c>
      <c r="J107" s="29" t="e">
        <f ca="1">H103</f>
        <v>#REF!</v>
      </c>
      <c r="S107"/>
    </row>
    <row r="108" spans="1:19" ht="15.75" hidden="1" customHeight="1" x14ac:dyDescent="0.25">
      <c r="A108" s="172" t="s">
        <v>122</v>
      </c>
      <c r="B108" s="173"/>
      <c r="C108" s="76">
        <v>0</v>
      </c>
      <c r="D108" s="19" t="e">
        <f ca="1">((100/(D103+F103+H103))*C108)/100</f>
        <v>#REF!</v>
      </c>
      <c r="E108" s="228"/>
      <c r="F108" s="250"/>
      <c r="G108" s="228"/>
      <c r="H108" s="229"/>
      <c r="I108" s="13" t="s">
        <v>95</v>
      </c>
      <c r="J108" s="30" t="e">
        <f ca="1">(IF(B103&gt;1,(H103/(B103+2)),H103/4))</f>
        <v>#REF!</v>
      </c>
      <c r="S108"/>
    </row>
    <row r="109" spans="1:19" ht="15.75" hidden="1" customHeight="1" x14ac:dyDescent="0.25">
      <c r="A109" s="172" t="s">
        <v>129</v>
      </c>
      <c r="B109" s="173" t="s">
        <v>123</v>
      </c>
      <c r="C109" s="76">
        <v>0</v>
      </c>
      <c r="D109" s="19" t="e">
        <f ca="1">((100/H103)*C109)/100</f>
        <v>#REF!</v>
      </c>
      <c r="E109" s="228"/>
      <c r="F109" s="250"/>
      <c r="G109" s="228"/>
      <c r="H109" s="229"/>
      <c r="I109" s="13" t="s">
        <v>96</v>
      </c>
      <c r="J109" s="30" t="e">
        <f ca="1">(IF(B103&gt;1,(H103/(B103+2)+J108),H103/4+J108))</f>
        <v>#REF!</v>
      </c>
    </row>
    <row r="110" spans="1:19" ht="15.75" hidden="1" customHeight="1" x14ac:dyDescent="0.25">
      <c r="A110" s="172" t="s">
        <v>130</v>
      </c>
      <c r="B110" s="173" t="s">
        <v>123</v>
      </c>
      <c r="C110" s="76">
        <v>0</v>
      </c>
      <c r="D110" s="19" t="e">
        <f ca="1">((100/H103)*C110)/100</f>
        <v>#REF!</v>
      </c>
      <c r="E110" s="228"/>
      <c r="F110" s="250"/>
      <c r="G110" s="228"/>
      <c r="H110" s="229"/>
      <c r="I110" s="13" t="s">
        <v>139</v>
      </c>
      <c r="J110" s="30">
        <f>(IF(B103&gt;1,(H103/(B103+2)+J109),0))</f>
        <v>0</v>
      </c>
    </row>
    <row r="111" spans="1:19" ht="15" hidden="1" customHeight="1" x14ac:dyDescent="0.25">
      <c r="A111" s="172" t="s">
        <v>128</v>
      </c>
      <c r="B111" s="173" t="s">
        <v>125</v>
      </c>
      <c r="C111" s="76">
        <v>0</v>
      </c>
      <c r="D111" s="19" t="e">
        <f ca="1">((100/(H103))*C111)/100</f>
        <v>#REF!</v>
      </c>
      <c r="E111" s="228"/>
      <c r="F111" s="250"/>
      <c r="G111" s="228"/>
      <c r="H111" s="229"/>
      <c r="I111" s="13" t="s">
        <v>136</v>
      </c>
      <c r="J111" s="30">
        <f>(IF(B103&gt;2,(H103/(B103+2)+J110),0))</f>
        <v>0</v>
      </c>
    </row>
    <row r="112" spans="1:19" ht="15.75" hidden="1" customHeight="1" x14ac:dyDescent="0.25">
      <c r="A112" s="172" t="s">
        <v>124</v>
      </c>
      <c r="B112" s="173" t="s">
        <v>124</v>
      </c>
      <c r="C112" s="76">
        <v>0</v>
      </c>
      <c r="D112" s="19" t="e">
        <f ca="1">((100/H103)*C112)/100</f>
        <v>#REF!</v>
      </c>
      <c r="E112" s="228"/>
      <c r="F112" s="250"/>
      <c r="G112" s="228"/>
      <c r="H112" s="229"/>
      <c r="I112" s="13" t="s">
        <v>137</v>
      </c>
      <c r="J112" s="31">
        <f>(IF(B103&gt;3,(H103/(B103+2)+J111),0))</f>
        <v>0</v>
      </c>
    </row>
    <row r="113" spans="1:22" ht="15.75" hidden="1" customHeight="1" x14ac:dyDescent="0.25">
      <c r="A113" s="172" t="s">
        <v>131</v>
      </c>
      <c r="B113" s="173"/>
      <c r="C113" s="76">
        <v>0</v>
      </c>
      <c r="D113" s="19" t="e">
        <f ca="1">((100/H103)*C113)/100</f>
        <v>#REF!</v>
      </c>
      <c r="E113" s="228"/>
      <c r="F113" s="250"/>
      <c r="G113" s="228"/>
      <c r="H113" s="229"/>
      <c r="I113" s="13" t="s">
        <v>138</v>
      </c>
      <c r="J113" s="30">
        <f>(IF(B103&gt;4,(H103/(B103+2)+J112),0))</f>
        <v>0</v>
      </c>
    </row>
    <row r="114" spans="1:22" ht="15.75" hidden="1" customHeight="1" x14ac:dyDescent="0.25">
      <c r="A114" s="172" t="s">
        <v>126</v>
      </c>
      <c r="B114" s="173" t="s">
        <v>126</v>
      </c>
      <c r="C114" s="76">
        <v>0</v>
      </c>
      <c r="D114" s="19" t="e">
        <f ca="1">((100/(H103))*C114)/100</f>
        <v>#REF!</v>
      </c>
      <c r="E114" s="228"/>
      <c r="F114" s="250"/>
      <c r="G114" s="228"/>
      <c r="H114" s="229"/>
      <c r="I114" s="13" t="s">
        <v>140</v>
      </c>
      <c r="J114" s="30" t="e">
        <f ca="1">(IF(B103=1,(H103/(B103+3)+J109),IF(B103=0,(H103/4+J109),IF(B103&gt;1,0))))</f>
        <v>#REF!</v>
      </c>
    </row>
    <row r="115" spans="1:22" ht="16.5" hidden="1" thickBot="1" x14ac:dyDescent="0.3">
      <c r="A115" s="175" t="s">
        <v>127</v>
      </c>
      <c r="B115" s="176"/>
      <c r="C115" s="75">
        <v>0</v>
      </c>
      <c r="D115" s="20" t="e">
        <f ca="1">((100/(H103))*C115)/100</f>
        <v>#REF!</v>
      </c>
      <c r="E115" s="230"/>
      <c r="F115" s="251"/>
      <c r="G115" s="230"/>
      <c r="H115" s="231"/>
      <c r="I115" s="15" t="s">
        <v>97</v>
      </c>
      <c r="J115" s="32" t="e">
        <f ca="1">(IF(B103&gt;1.5,(H103/(B103+2)+J109+MAX(0,J110-J109)+MAX(0,J111-J110)+MAX(0,J112-J111)+MAX(0,J113-J112)+MAX(0,J114-J113)),IF(B103=1,(H103/(B103+3)+J114),IF(B103=0,H103/4+J114))))</f>
        <v>#REF!</v>
      </c>
    </row>
    <row r="116" spans="1:22" x14ac:dyDescent="0.25">
      <c r="A116" s="179" t="s">
        <v>149</v>
      </c>
      <c r="B116" s="179"/>
      <c r="C116" s="179"/>
      <c r="D116" s="179"/>
      <c r="E116" s="179"/>
      <c r="F116" s="182" t="s">
        <v>153</v>
      </c>
      <c r="G116" s="182"/>
      <c r="H116" s="182"/>
      <c r="R116" t="s">
        <v>245</v>
      </c>
      <c r="S116" t="s">
        <v>165</v>
      </c>
      <c r="T116" t="s">
        <v>172</v>
      </c>
      <c r="U116" t="s">
        <v>186</v>
      </c>
      <c r="V116" t="s">
        <v>181</v>
      </c>
    </row>
    <row r="117" spans="1:22" x14ac:dyDescent="0.25">
      <c r="A117" s="119" t="s">
        <v>151</v>
      </c>
      <c r="B117" s="119"/>
      <c r="C117" s="119"/>
      <c r="D117" s="119"/>
      <c r="E117" s="119"/>
      <c r="F117" s="151">
        <v>20500</v>
      </c>
      <c r="G117" s="151"/>
      <c r="H117" s="151"/>
      <c r="I117" s="21" t="s">
        <v>457</v>
      </c>
      <c r="J117" s="21" t="s">
        <v>459</v>
      </c>
      <c r="K117" s="25">
        <v>45742</v>
      </c>
      <c r="L117" s="21" t="s">
        <v>458</v>
      </c>
      <c r="R117"/>
      <c r="S117">
        <v>800000</v>
      </c>
      <c r="T117">
        <v>150000</v>
      </c>
      <c r="U117">
        <v>100000</v>
      </c>
      <c r="V117">
        <v>100000</v>
      </c>
    </row>
    <row r="118" spans="1:22" hidden="1" x14ac:dyDescent="0.25">
      <c r="A118" s="119" t="s">
        <v>150</v>
      </c>
      <c r="B118" s="119"/>
      <c r="C118" s="119"/>
      <c r="D118" s="119"/>
      <c r="E118" s="119"/>
      <c r="F118" s="151"/>
      <c r="G118" s="151"/>
      <c r="H118" s="151"/>
      <c r="R118"/>
      <c r="S118">
        <v>900000</v>
      </c>
      <c r="T118">
        <v>200000</v>
      </c>
      <c r="U118">
        <v>150000</v>
      </c>
      <c r="V118">
        <v>150000</v>
      </c>
    </row>
    <row r="119" spans="1:22" hidden="1" x14ac:dyDescent="0.25">
      <c r="A119" s="119" t="s">
        <v>152</v>
      </c>
      <c r="B119" s="119"/>
      <c r="C119" s="119"/>
      <c r="D119" s="119"/>
      <c r="E119" s="119"/>
      <c r="F119" s="151"/>
      <c r="G119" s="151"/>
      <c r="H119" s="151"/>
      <c r="R119"/>
      <c r="S119">
        <v>1000000</v>
      </c>
      <c r="T119">
        <v>250000</v>
      </c>
      <c r="U119">
        <v>200000</v>
      </c>
      <c r="V119">
        <v>200000</v>
      </c>
    </row>
    <row r="120" spans="1:22" s="33" customFormat="1" hidden="1" x14ac:dyDescent="0.25">
      <c r="A120" s="119" t="s">
        <v>167</v>
      </c>
      <c r="B120" s="119"/>
      <c r="C120" s="119"/>
      <c r="D120" s="119"/>
      <c r="E120" s="119"/>
      <c r="F120" s="151"/>
      <c r="G120" s="151"/>
      <c r="H120" s="151"/>
      <c r="R120"/>
      <c r="S120">
        <v>1100000</v>
      </c>
      <c r="T120">
        <v>300000</v>
      </c>
      <c r="U120">
        <v>250000</v>
      </c>
      <c r="V120" s="23">
        <v>250000</v>
      </c>
    </row>
    <row r="121" spans="1:22" s="33" customFormat="1" x14ac:dyDescent="0.25">
      <c r="A121" s="119" t="s">
        <v>453</v>
      </c>
      <c r="B121" s="119"/>
      <c r="C121" s="119"/>
      <c r="D121" s="119"/>
      <c r="E121" s="119"/>
      <c r="F121" s="151">
        <v>527000</v>
      </c>
      <c r="G121" s="151"/>
      <c r="H121" s="151"/>
      <c r="R121"/>
      <c r="S121">
        <v>1200000</v>
      </c>
      <c r="T121">
        <v>350000</v>
      </c>
      <c r="U121">
        <v>300000</v>
      </c>
      <c r="V121">
        <v>300000</v>
      </c>
    </row>
    <row r="122" spans="1:22" s="33" customFormat="1" x14ac:dyDescent="0.25">
      <c r="A122" s="119" t="s">
        <v>454</v>
      </c>
      <c r="B122" s="119"/>
      <c r="C122" s="119"/>
      <c r="D122" s="119"/>
      <c r="E122" s="119"/>
      <c r="F122" s="151">
        <v>75000</v>
      </c>
      <c r="G122" s="151"/>
      <c r="H122" s="151"/>
      <c r="R122"/>
      <c r="S122">
        <v>1300000</v>
      </c>
      <c r="T122">
        <v>400000</v>
      </c>
      <c r="U122">
        <v>350000</v>
      </c>
      <c r="V122" s="23">
        <v>400000</v>
      </c>
    </row>
    <row r="123" spans="1:22" s="33" customFormat="1" x14ac:dyDescent="0.25">
      <c r="A123" s="119" t="s">
        <v>455</v>
      </c>
      <c r="B123" s="119"/>
      <c r="C123" s="119"/>
      <c r="D123" s="119"/>
      <c r="E123" s="119"/>
      <c r="F123" s="151">
        <v>80000</v>
      </c>
      <c r="G123" s="151"/>
      <c r="H123" s="151"/>
      <c r="R123"/>
      <c r="S123">
        <v>1400000</v>
      </c>
      <c r="T123">
        <v>500000</v>
      </c>
      <c r="U123">
        <v>400000</v>
      </c>
      <c r="V123"/>
    </row>
    <row r="124" spans="1:22" s="33" customFormat="1" hidden="1" x14ac:dyDescent="0.25">
      <c r="A124" s="119" t="s">
        <v>90</v>
      </c>
      <c r="B124" s="119"/>
      <c r="C124" s="119"/>
      <c r="D124" s="119"/>
      <c r="E124" s="119"/>
      <c r="F124" s="151"/>
      <c r="G124" s="151"/>
      <c r="H124" s="151"/>
      <c r="R124"/>
      <c r="S124">
        <v>1500000</v>
      </c>
      <c r="T124">
        <v>600000</v>
      </c>
      <c r="U124">
        <v>500000</v>
      </c>
      <c r="V124" s="23"/>
    </row>
    <row r="125" spans="1:22" s="33" customFormat="1" x14ac:dyDescent="0.25">
      <c r="A125" s="119" t="s">
        <v>91</v>
      </c>
      <c r="B125" s="119"/>
      <c r="C125" s="119"/>
      <c r="D125" s="119"/>
      <c r="E125" s="119"/>
      <c r="F125" s="151">
        <v>27000</v>
      </c>
      <c r="G125" s="151"/>
      <c r="H125" s="151"/>
      <c r="R125"/>
      <c r="S125">
        <v>1600000</v>
      </c>
      <c r="T125">
        <v>700000</v>
      </c>
      <c r="U125">
        <v>600000</v>
      </c>
      <c r="V125"/>
    </row>
    <row r="126" spans="1:22" s="33" customFormat="1" hidden="1" x14ac:dyDescent="0.25">
      <c r="A126" s="119" t="s">
        <v>92</v>
      </c>
      <c r="B126" s="119"/>
      <c r="C126" s="119"/>
      <c r="D126" s="119"/>
      <c r="E126" s="119"/>
      <c r="F126" s="151"/>
      <c r="G126" s="151"/>
      <c r="H126" s="151"/>
      <c r="R126"/>
      <c r="S126">
        <v>1700000</v>
      </c>
      <c r="T126">
        <v>800000</v>
      </c>
      <c r="U126"/>
      <c r="V126" s="23"/>
    </row>
    <row r="127" spans="1:22" x14ac:dyDescent="0.25">
      <c r="A127" s="119" t="s">
        <v>48</v>
      </c>
      <c r="B127" s="119"/>
      <c r="C127" s="119"/>
      <c r="D127" s="119"/>
      <c r="E127" s="119"/>
      <c r="F127" s="151">
        <v>800000</v>
      </c>
      <c r="G127" s="151"/>
      <c r="H127" s="151"/>
      <c r="R127"/>
      <c r="S127">
        <v>1800000</v>
      </c>
      <c r="T127">
        <v>900000</v>
      </c>
      <c r="U127"/>
    </row>
    <row r="128" spans="1:22" s="34" customFormat="1" x14ac:dyDescent="0.25">
      <c r="A128" s="186" t="s">
        <v>49</v>
      </c>
      <c r="B128" s="186"/>
      <c r="C128" s="186"/>
      <c r="D128" s="186"/>
      <c r="E128" s="186"/>
      <c r="F128" s="151">
        <f>F117*0.8</f>
        <v>16400</v>
      </c>
      <c r="G128" s="151"/>
      <c r="H128" s="151"/>
      <c r="R128" s="21"/>
      <c r="S128" s="21"/>
      <c r="T128">
        <v>1000000</v>
      </c>
      <c r="U128"/>
      <c r="V128" s="21"/>
    </row>
    <row r="129" spans="1:22" s="35" customFormat="1" ht="15.75" hidden="1" customHeight="1" x14ac:dyDescent="0.25">
      <c r="A129" s="185" t="s">
        <v>70</v>
      </c>
      <c r="B129" s="185"/>
      <c r="C129" s="185"/>
      <c r="D129" s="185"/>
      <c r="E129" s="185"/>
      <c r="F129" s="185"/>
      <c r="G129" s="185"/>
      <c r="H129" s="185"/>
      <c r="R129"/>
      <c r="S129" s="21"/>
      <c r="T129"/>
      <c r="U129"/>
      <c r="V129" s="21"/>
    </row>
    <row r="130" spans="1:22" s="35" customFormat="1" ht="15.75" hidden="1" customHeight="1" x14ac:dyDescent="0.25">
      <c r="A130" s="153" t="s">
        <v>50</v>
      </c>
      <c r="B130" s="153"/>
      <c r="C130" s="158" t="s">
        <v>73</v>
      </c>
      <c r="D130" s="158"/>
      <c r="E130" s="143" t="s">
        <v>51</v>
      </c>
      <c r="F130" s="143"/>
      <c r="G130" s="153" t="s">
        <v>52</v>
      </c>
      <c r="H130" s="153"/>
      <c r="R130"/>
      <c r="S130" s="21"/>
      <c r="T130"/>
      <c r="U130" s="21"/>
      <c r="V130" s="21"/>
    </row>
    <row r="131" spans="1:22" s="35" customFormat="1" hidden="1" x14ac:dyDescent="0.25">
      <c r="A131" s="157"/>
      <c r="B131" s="157"/>
      <c r="C131" s="244"/>
      <c r="D131" s="244"/>
      <c r="E131" s="245"/>
      <c r="F131" s="245"/>
      <c r="G131" s="174"/>
      <c r="H131" s="174"/>
      <c r="R131"/>
      <c r="S131" s="21"/>
      <c r="T131"/>
      <c r="U131" s="21"/>
      <c r="V131" s="21"/>
    </row>
    <row r="132" spans="1:22" s="35" customFormat="1" hidden="1" x14ac:dyDescent="0.25">
      <c r="A132" s="157"/>
      <c r="B132" s="157"/>
      <c r="C132" s="244"/>
      <c r="D132" s="244"/>
      <c r="E132" s="245"/>
      <c r="F132" s="245"/>
      <c r="G132" s="174"/>
      <c r="H132" s="174"/>
      <c r="R132"/>
      <c r="S132" s="21"/>
      <c r="T132"/>
      <c r="U132" s="21"/>
      <c r="V132" s="21"/>
    </row>
    <row r="133" spans="1:22" s="35" customFormat="1" hidden="1" x14ac:dyDescent="0.25">
      <c r="A133" s="185" t="s">
        <v>143</v>
      </c>
      <c r="B133" s="185"/>
      <c r="C133" s="158"/>
      <c r="D133" s="158"/>
      <c r="E133" s="143"/>
      <c r="F133" s="143"/>
      <c r="G133" s="153"/>
      <c r="H133" s="153"/>
      <c r="R133"/>
      <c r="S133" s="21"/>
      <c r="T133"/>
      <c r="U133" s="21"/>
      <c r="V133" s="21"/>
    </row>
    <row r="134" spans="1:22" s="35" customFormat="1" x14ac:dyDescent="0.25">
      <c r="A134" s="185" t="s">
        <v>65</v>
      </c>
      <c r="B134" s="185"/>
      <c r="C134" s="185"/>
      <c r="D134" s="185"/>
      <c r="E134" s="185"/>
      <c r="F134" s="185"/>
      <c r="G134" s="185"/>
      <c r="H134" s="185"/>
      <c r="T134"/>
    </row>
    <row r="135" spans="1:22" s="35" customFormat="1" ht="15.75" customHeight="1" x14ac:dyDescent="0.25">
      <c r="A135" s="153" t="s">
        <v>50</v>
      </c>
      <c r="B135" s="153"/>
      <c r="C135" s="158" t="s">
        <v>73</v>
      </c>
      <c r="D135" s="158"/>
      <c r="E135" s="143" t="s">
        <v>51</v>
      </c>
      <c r="F135" s="143"/>
      <c r="G135" s="153" t="s">
        <v>52</v>
      </c>
      <c r="H135" s="153"/>
      <c r="T135"/>
    </row>
    <row r="136" spans="1:22" s="35" customFormat="1" x14ac:dyDescent="0.25">
      <c r="A136" s="130" t="s">
        <v>436</v>
      </c>
      <c r="B136" s="86" t="s">
        <v>379</v>
      </c>
      <c r="C136" s="222">
        <f>COUNT(D164:D167)*5+COUNT(D173:D174)+COUNT(D178:D181)+COUNT(D186:D189)+COUNT(D193:D196)+COUNT(D198:D203)*4+COUNT(D205:D206,D209:D210)+COUNT(D212:D217)+COUNT(D219:D224)*8+COUNT(D226:D227,D230:D231)+COUNT(D233:D238)+COUNT(D240:D245)*7+COUNT(D247:D248,D251:D252)*2+COUNT(D254:D259)+COUNT(D261:D266)*8+COUNT(D268:D269,D272:D273)+COUNT(D275:D280)+COUNT(D282:D287)*12+COUNT(D289:D290,D293:D294)*2+COUNT(D296,D299)+COUNT(D301:D303)*6</f>
        <v>340</v>
      </c>
      <c r="D136" s="222"/>
      <c r="E136" s="223">
        <f t="shared" ref="E136" si="0">SUM(F164:F167)*5+SUM(F173:F174)+SUM(F178:F181)+SUM(F186:F189)+SUM(F193:F196)+SUM(F198:F203)*4+SUM(F205:F206,F209:F210)+SUM(F212:F217)+SUM(F219:F224)*8+SUM(F226:F227,F230:F231)+SUM(F233:F238)+SUM(F240:F245)*7+SUM(F247:F248,F251:F252)*2+SUM(F254:F259)+SUM(F261:F266)*8+SUM(F268:F269,F272:F273)+SUM(F275:F280)+SUM(F282:F287)*12+SUM(F289:F290,F293:F294)*2+SUM(F296,F299)+SUM(F301:F303)*6</f>
        <v>424752.78960036003</v>
      </c>
      <c r="F136" s="223"/>
      <c r="G136" s="222">
        <f t="shared" ref="G136" si="1">SUM(H164:H167)*5+SUM(H173:H174)+SUM(H178:H181)+SUM(H186:H189)+SUM(H193:H196)+SUM(H198:H203)*4+SUM(H205:H206,H209:H210)+SUM(H212:H217)+SUM(H219:H224)*8+SUM(H226:H227,H230:H231)+SUM(H233:H238)+SUM(H240:H245)*7+SUM(H247:H248,H251:H252)*2+SUM(H254:H259)+SUM(H261:H266)*8+SUM(H268:H269,H272:H273)+SUM(H275:H280)+SUM(H282:H287)*12+SUM(H289:H290,H293:H294)*2+SUM(H296,H299)+SUM(H301:H303)*6</f>
        <v>637129.18440053996</v>
      </c>
      <c r="H136" s="222"/>
      <c r="T136"/>
    </row>
    <row r="137" spans="1:22" s="35" customFormat="1" x14ac:dyDescent="0.25">
      <c r="A137" s="131"/>
      <c r="B137" s="86" t="s">
        <v>417</v>
      </c>
      <c r="C137" s="244">
        <f>COUNT(D313:D314)*5+COUNT(D327:D328)+COUNT(D342:D343)+COUNT(D347:D352)*9+COUNT(D354:D355,D358:D359)+COUNT(D361:D362,D365:D366)+COUNT(D368:D373)*8+COUNT(D375:D376,D379:D380)+COUNT(D382:D387)+COUNT(D389:D394)*8+COUNT(D396:D397,D400:D401)+COUNT(D403:D408)+COUNT(D410:D415)*7+COUNT(D418:D419,D422:D423)*2+COUNT(D425:D430)+COUNT(D432:D437)*8+COUNT(D439:D440,D443:D444)+COUNT(D446:D448)*6+COUNT(D450,D452)</f>
        <v>320</v>
      </c>
      <c r="D137" s="244"/>
      <c r="E137" s="222">
        <f t="shared" ref="E137" si="2">SUM(F313:F314)*5+SUM(F327:F328)+SUM(F342:F343)+SUM(F347:F352)*9+SUM(F354:F355,F358:F359)+SUM(F361:F362,F365:F366)+SUM(F368:F373)*8+SUM(F375:F376,F379:F380)+SUM(F382:F387)+SUM(F389:F394)*8+SUM(F396:F397,F400:F401)+SUM(F403:F408)+SUM(F410:F415)*7+SUM(F418:F419,F422:F423)*2+SUM(F425:F430)+SUM(F432:F437)*8+SUM(F439:F440,F443:F444)+SUM(F446:F448)*6+SUM(F450,F452)</f>
        <v>523461.18735377991</v>
      </c>
      <c r="F137" s="222"/>
      <c r="G137" s="222">
        <f t="shared" ref="G137" si="3">SUM(H313:H314)*5+SUM(H327:H328)+SUM(H342:H343)+SUM(H347:H352)*9+SUM(H354:H355,H358:H359)+SUM(H361:H362,H365:H366)+SUM(H368:H373)*8+SUM(H375:H376,H379:H380)+SUM(H382:H387)+SUM(H389:H394)*8+SUM(H396:H397,H400:H401)+SUM(H403:H408)+SUM(H410:H415)*7+SUM(H418:H419,H422:H423)*2+SUM(H425:H430)+SUM(H432:H437)*8+SUM(H439:H440,H443:H444)+SUM(H446:H448)*6+SUM(H450,H452)</f>
        <v>785191.78103066969</v>
      </c>
      <c r="H137" s="222"/>
      <c r="T137"/>
    </row>
    <row r="138" spans="1:22" s="35" customFormat="1" x14ac:dyDescent="0.25">
      <c r="A138" s="92" t="s">
        <v>438</v>
      </c>
      <c r="B138" s="92"/>
      <c r="C138" s="93">
        <f>SUM(C136:D137)</f>
        <v>660</v>
      </c>
      <c r="D138" s="94"/>
      <c r="E138" s="93">
        <f>SUM(E136:F137)</f>
        <v>948213.97695414</v>
      </c>
      <c r="F138" s="94"/>
      <c r="G138" s="93">
        <f>SUM(G136:H137)</f>
        <v>1422320.9654312097</v>
      </c>
      <c r="H138" s="94"/>
      <c r="T138"/>
    </row>
    <row r="139" spans="1:22" s="35" customFormat="1" x14ac:dyDescent="0.25">
      <c r="A139" s="130" t="s">
        <v>437</v>
      </c>
      <c r="B139" s="86" t="s">
        <v>379</v>
      </c>
      <c r="C139" s="222">
        <f>COUNT(D171)+COUNT(D298)</f>
        <v>2</v>
      </c>
      <c r="D139" s="222"/>
      <c r="E139" s="222">
        <f t="shared" ref="E139" si="4">SUM(F171)+SUM(F298)</f>
        <v>792.49923089999993</v>
      </c>
      <c r="F139" s="222"/>
      <c r="G139" s="222">
        <f t="shared" ref="G139" si="5">SUM(H171)+SUM(H298)</f>
        <v>1188.7488463499999</v>
      </c>
      <c r="H139" s="222"/>
      <c r="T139"/>
    </row>
    <row r="140" spans="1:22" s="35" customFormat="1" x14ac:dyDescent="0.25">
      <c r="A140" s="131"/>
      <c r="B140" s="86" t="s">
        <v>417</v>
      </c>
      <c r="C140" s="222">
        <f>COUNT(D320)</f>
        <v>1</v>
      </c>
      <c r="D140" s="244"/>
      <c r="E140" s="222">
        <f t="shared" ref="E140" si="6">SUM(F320)</f>
        <v>610.13301335999995</v>
      </c>
      <c r="F140" s="244"/>
      <c r="G140" s="222">
        <f t="shared" ref="G140" si="7">SUM(H320)</f>
        <v>915.19952003999992</v>
      </c>
      <c r="H140" s="244"/>
      <c r="T140"/>
    </row>
    <row r="141" spans="1:22" s="35" customFormat="1" ht="16.5" thickBot="1" x14ac:dyDescent="0.3">
      <c r="A141" s="92" t="s">
        <v>438</v>
      </c>
      <c r="B141" s="92"/>
      <c r="C141" s="93">
        <f>SUM(C139:D140)</f>
        <v>3</v>
      </c>
      <c r="D141" s="94"/>
      <c r="E141" s="93">
        <f>SUM(E139:F140)</f>
        <v>1402.6322442599999</v>
      </c>
      <c r="F141" s="94"/>
      <c r="G141" s="93">
        <f>SUM(G139:H140)</f>
        <v>2103.94836639</v>
      </c>
      <c r="H141" s="94"/>
      <c r="L141" s="35">
        <v>28200000</v>
      </c>
      <c r="M141" s="35">
        <f>L141/H313</f>
        <v>19616.887621141264</v>
      </c>
      <c r="T141"/>
    </row>
    <row r="142" spans="1:22" s="35" customFormat="1" ht="16.5" thickBot="1" x14ac:dyDescent="0.3">
      <c r="A142" s="177" t="s">
        <v>159</v>
      </c>
      <c r="B142" s="178"/>
      <c r="C142" s="188">
        <f>C138+C141</f>
        <v>663</v>
      </c>
      <c r="D142" s="189"/>
      <c r="E142" s="188">
        <f>E138+E141</f>
        <v>949616.60919840005</v>
      </c>
      <c r="F142" s="189"/>
      <c r="G142" s="188">
        <f>G138+G141</f>
        <v>1424424.9137975997</v>
      </c>
      <c r="H142" s="189"/>
      <c r="L142" s="35">
        <f>39900000-1600000</f>
        <v>38300000</v>
      </c>
      <c r="M142" s="35">
        <f>L142/H166</f>
        <v>20709.654586720822</v>
      </c>
      <c r="T142"/>
    </row>
    <row r="143" spans="1:22" s="34" customFormat="1" x14ac:dyDescent="0.25">
      <c r="A143" s="144" t="s">
        <v>348</v>
      </c>
      <c r="B143" s="144"/>
      <c r="C143" s="144"/>
      <c r="D143" s="144"/>
      <c r="E143" s="144"/>
      <c r="F143" s="144"/>
      <c r="G143" s="144"/>
      <c r="H143" s="144"/>
      <c r="T143" s="35"/>
    </row>
    <row r="144" spans="1:22" x14ac:dyDescent="0.25">
      <c r="A144" s="152" t="s">
        <v>386</v>
      </c>
      <c r="B144" s="152"/>
      <c r="C144" s="152"/>
      <c r="D144" s="152"/>
      <c r="E144" s="152"/>
      <c r="F144" s="152"/>
      <c r="G144" s="152"/>
      <c r="H144" s="152"/>
      <c r="T144" s="35"/>
    </row>
    <row r="145" spans="1:20" ht="47.25" hidden="1" customHeight="1" x14ac:dyDescent="0.25">
      <c r="A145" s="147" t="s">
        <v>113</v>
      </c>
      <c r="B145" s="232" t="s">
        <v>169</v>
      </c>
      <c r="C145" s="147" t="s">
        <v>53</v>
      </c>
      <c r="D145" s="232" t="s">
        <v>224</v>
      </c>
      <c r="E145" s="224" t="s">
        <v>148</v>
      </c>
      <c r="F145" s="147" t="s">
        <v>54</v>
      </c>
      <c r="G145" s="180" t="s">
        <v>55</v>
      </c>
      <c r="H145" s="63" t="s">
        <v>142</v>
      </c>
      <c r="T145" s="35"/>
    </row>
    <row r="146" spans="1:20" s="37" customFormat="1" hidden="1" x14ac:dyDescent="0.25">
      <c r="A146" s="148"/>
      <c r="B146" s="233"/>
      <c r="C146" s="148"/>
      <c r="D146" s="233"/>
      <c r="E146" s="225"/>
      <c r="F146" s="148"/>
      <c r="G146" s="181"/>
      <c r="H146" s="53">
        <v>0.45</v>
      </c>
      <c r="T146" s="35"/>
    </row>
    <row r="147" spans="1:20" s="37" customFormat="1" hidden="1" x14ac:dyDescent="0.25">
      <c r="A147" s="95" t="s">
        <v>112</v>
      </c>
      <c r="B147" s="96"/>
      <c r="C147" s="96"/>
      <c r="D147" s="96"/>
      <c r="E147" s="96"/>
      <c r="F147" s="96"/>
      <c r="G147" s="96"/>
      <c r="H147" s="97"/>
      <c r="J147" s="36"/>
      <c r="T147" s="35"/>
    </row>
    <row r="148" spans="1:20" s="37" customFormat="1" ht="15.75" hidden="1" customHeight="1" x14ac:dyDescent="0.25">
      <c r="A148" s="105">
        <v>1</v>
      </c>
      <c r="B148" s="107"/>
      <c r="C148" s="42"/>
      <c r="D148" s="42">
        <v>0</v>
      </c>
      <c r="E148" s="42">
        <v>0</v>
      </c>
      <c r="F148" s="42">
        <f>D148+(IF(E148&lt;201,E148,IF(E148&lt;301,E148/2,E148/3)))</f>
        <v>0</v>
      </c>
      <c r="G148" s="42">
        <v>0</v>
      </c>
      <c r="H148" s="42">
        <f>(F148+(IF(G148&lt;101,G148,IF(G148&lt;201,G148/2,IF(G148&lt;=301,G148/3,G148/4)))))*(($H$146)+1)</f>
        <v>0</v>
      </c>
      <c r="I148" s="36"/>
      <c r="L148" s="109"/>
      <c r="M148" s="109"/>
      <c r="N148" s="36"/>
      <c r="T148" s="35"/>
    </row>
    <row r="149" spans="1:20" s="37" customFormat="1" ht="15.75" hidden="1" customHeight="1" x14ac:dyDescent="0.25">
      <c r="A149" s="105">
        <f>A148+1</f>
        <v>2</v>
      </c>
      <c r="B149" s="107"/>
      <c r="C149" s="42"/>
      <c r="D149" s="42"/>
      <c r="E149" s="42">
        <v>0</v>
      </c>
      <c r="F149" s="42">
        <f>D149+(IF(E149&lt;201,E149,IF(E149&lt;301,E149/2,E149/3)))</f>
        <v>0</v>
      </c>
      <c r="G149" s="42">
        <v>0</v>
      </c>
      <c r="H149" s="42">
        <f>(F149+(IF(G149&lt;101,G149,IF(G149&lt;201,G149/2,IF(G149&lt;=301,G149/3,G149/4)))))*(($H$146)+1)</f>
        <v>0</v>
      </c>
      <c r="I149" s="36"/>
      <c r="L149" s="109"/>
      <c r="M149" s="109"/>
      <c r="N149" s="36"/>
      <c r="T149" s="34"/>
    </row>
    <row r="150" spans="1:20" s="37" customFormat="1" ht="15.75" hidden="1" customHeight="1" x14ac:dyDescent="0.25">
      <c r="A150" s="105">
        <f>A149+1</f>
        <v>3</v>
      </c>
      <c r="B150" s="107"/>
      <c r="C150" s="42"/>
      <c r="D150" s="42"/>
      <c r="E150" s="42">
        <v>0</v>
      </c>
      <c r="F150" s="42">
        <f>D150+(IF(E150&lt;201,E150,IF(E150&lt;301,E150/2,E150/3)))</f>
        <v>0</v>
      </c>
      <c r="G150" s="42">
        <v>0</v>
      </c>
      <c r="H150" s="42">
        <f>(F150+(IF(G150&lt;101,G150,IF(G150&lt;201,G150/2,IF(G150&lt;=301,G150/3,G150/4)))))*(($H$146)+1)</f>
        <v>0</v>
      </c>
      <c r="I150" s="36"/>
      <c r="L150" s="109"/>
      <c r="M150" s="109"/>
      <c r="N150" s="36"/>
      <c r="T150" s="21"/>
    </row>
    <row r="151" spans="1:20" s="37" customFormat="1" ht="15.75" hidden="1" customHeight="1" x14ac:dyDescent="0.25">
      <c r="A151" s="105">
        <f>A150+1</f>
        <v>4</v>
      </c>
      <c r="B151" s="107"/>
      <c r="C151" s="42"/>
      <c r="D151" s="42"/>
      <c r="E151" s="42">
        <v>0</v>
      </c>
      <c r="F151" s="42">
        <f>D151+(IF(E151&lt;201,E151,IF(E151&lt;301,E151/2,E151/3)))</f>
        <v>0</v>
      </c>
      <c r="G151" s="42">
        <v>0</v>
      </c>
      <c r="H151" s="42">
        <f>(F151+(IF(G151&lt;101,G151,IF(G151&lt;201,G151/2,IF(G151&lt;=301,G151/3,G151/4)))))*(($H$146)+1)</f>
        <v>0</v>
      </c>
      <c r="I151" s="36"/>
      <c r="L151" s="109"/>
      <c r="M151" s="109"/>
      <c r="N151" s="36"/>
      <c r="T151" s="21"/>
    </row>
    <row r="152" spans="1:20" s="37" customFormat="1" hidden="1" x14ac:dyDescent="0.25">
      <c r="A152" s="105"/>
      <c r="B152" s="106"/>
      <c r="C152" s="106"/>
      <c r="D152" s="106"/>
      <c r="E152" s="106"/>
      <c r="F152" s="106"/>
      <c r="G152" s="106"/>
      <c r="H152" s="107"/>
      <c r="I152" s="36"/>
      <c r="N152" s="36"/>
    </row>
    <row r="153" spans="1:20" ht="47.25" customHeight="1" x14ac:dyDescent="0.25">
      <c r="A153" s="145" t="s">
        <v>114</v>
      </c>
      <c r="B153" s="170" t="s">
        <v>170</v>
      </c>
      <c r="C153" s="170" t="s">
        <v>53</v>
      </c>
      <c r="D153" s="170" t="s">
        <v>224</v>
      </c>
      <c r="E153" s="170" t="s">
        <v>446</v>
      </c>
      <c r="F153" s="147" t="s">
        <v>54</v>
      </c>
      <c r="G153" s="180" t="s">
        <v>55</v>
      </c>
      <c r="H153" s="62" t="s">
        <v>142</v>
      </c>
      <c r="I153" s="36"/>
      <c r="T153" s="37"/>
    </row>
    <row r="154" spans="1:20" s="37" customFormat="1" x14ac:dyDescent="0.25">
      <c r="A154" s="146"/>
      <c r="B154" s="171"/>
      <c r="C154" s="171"/>
      <c r="D154" s="171"/>
      <c r="E154" s="171"/>
      <c r="F154" s="148"/>
      <c r="G154" s="181"/>
      <c r="H154" s="87">
        <v>0.5</v>
      </c>
      <c r="I154" s="36"/>
    </row>
    <row r="155" spans="1:20" s="37" customFormat="1" x14ac:dyDescent="0.25">
      <c r="A155" s="108" t="s">
        <v>379</v>
      </c>
      <c r="B155" s="108"/>
      <c r="C155" s="108"/>
      <c r="D155" s="108"/>
      <c r="E155" s="108"/>
      <c r="F155" s="108"/>
      <c r="G155" s="108"/>
      <c r="H155" s="108"/>
      <c r="J155" s="36"/>
    </row>
    <row r="156" spans="1:20" s="37" customFormat="1" x14ac:dyDescent="0.25">
      <c r="A156" s="108" t="s">
        <v>380</v>
      </c>
      <c r="B156" s="108"/>
      <c r="C156" s="108"/>
      <c r="D156" s="108"/>
      <c r="E156" s="108"/>
      <c r="F156" s="108"/>
      <c r="G156" s="108"/>
      <c r="H156" s="108"/>
      <c r="J156" s="36"/>
    </row>
    <row r="157" spans="1:20" s="37" customFormat="1" x14ac:dyDescent="0.25">
      <c r="A157" s="108" t="s">
        <v>381</v>
      </c>
      <c r="B157" s="108"/>
      <c r="C157" s="108"/>
      <c r="D157" s="108"/>
      <c r="E157" s="108"/>
      <c r="F157" s="108"/>
      <c r="G157" s="108"/>
      <c r="H157" s="108"/>
      <c r="J157" s="36"/>
    </row>
    <row r="158" spans="1:20" s="37" customFormat="1" x14ac:dyDescent="0.25">
      <c r="A158" s="108" t="s">
        <v>382</v>
      </c>
      <c r="B158" s="108"/>
      <c r="C158" s="108"/>
      <c r="D158" s="108"/>
      <c r="E158" s="108"/>
      <c r="F158" s="108"/>
      <c r="G158" s="108"/>
      <c r="H158" s="108"/>
      <c r="J158" s="36"/>
    </row>
    <row r="159" spans="1:20" s="37" customFormat="1" x14ac:dyDescent="0.25">
      <c r="A159" s="108" t="s">
        <v>383</v>
      </c>
      <c r="B159" s="108"/>
      <c r="C159" s="108"/>
      <c r="D159" s="108"/>
      <c r="E159" s="108"/>
      <c r="F159" s="108"/>
      <c r="G159" s="108"/>
      <c r="H159" s="108"/>
      <c r="J159" s="36"/>
    </row>
    <row r="160" spans="1:20" s="37" customFormat="1" x14ac:dyDescent="0.25">
      <c r="A160" s="108" t="s">
        <v>384</v>
      </c>
      <c r="B160" s="108"/>
      <c r="C160" s="108"/>
      <c r="D160" s="108"/>
      <c r="E160" s="108"/>
      <c r="F160" s="108"/>
      <c r="G160" s="108"/>
      <c r="H160" s="108"/>
      <c r="J160" s="36"/>
    </row>
    <row r="161" spans="1:20" s="37" customFormat="1" x14ac:dyDescent="0.25">
      <c r="A161" s="108" t="s">
        <v>385</v>
      </c>
      <c r="B161" s="108"/>
      <c r="C161" s="108"/>
      <c r="D161" s="108"/>
      <c r="E161" s="108"/>
      <c r="F161" s="108"/>
      <c r="G161" s="108"/>
      <c r="H161" s="108"/>
      <c r="J161" s="36"/>
    </row>
    <row r="162" spans="1:20" s="37" customFormat="1" ht="15.75" customHeight="1" x14ac:dyDescent="0.25">
      <c r="A162" s="98">
        <v>1</v>
      </c>
      <c r="B162" s="98"/>
      <c r="C162" s="98" t="s">
        <v>388</v>
      </c>
      <c r="D162" s="98"/>
      <c r="E162" s="98"/>
      <c r="F162" s="98"/>
      <c r="G162" s="98"/>
      <c r="H162" s="98"/>
      <c r="I162" s="36"/>
      <c r="L162" s="109"/>
      <c r="M162" s="109"/>
      <c r="N162" s="36"/>
    </row>
    <row r="163" spans="1:20" s="37" customFormat="1" ht="15.75" customHeight="1" x14ac:dyDescent="0.25">
      <c r="A163" s="98">
        <f>A162+1</f>
        <v>2</v>
      </c>
      <c r="B163" s="98"/>
      <c r="C163" s="98"/>
      <c r="D163" s="98"/>
      <c r="E163" s="98"/>
      <c r="F163" s="98"/>
      <c r="G163" s="98"/>
      <c r="H163" s="98"/>
      <c r="I163" s="36"/>
      <c r="L163" s="109"/>
      <c r="M163" s="109"/>
      <c r="N163" s="36"/>
    </row>
    <row r="164" spans="1:20" s="37" customFormat="1" ht="15.75" customHeight="1" x14ac:dyDescent="0.25">
      <c r="A164" s="105">
        <f>A163+1</f>
        <v>3</v>
      </c>
      <c r="B164" s="107"/>
      <c r="C164" s="42" t="s">
        <v>387</v>
      </c>
      <c r="D164" s="42">
        <f>(83.163)*10.764</f>
        <v>895.16653199999996</v>
      </c>
      <c r="E164" s="42">
        <f>(7.314)*10.764</f>
        <v>78.727896000000001</v>
      </c>
      <c r="F164" s="42">
        <f>D164+E164</f>
        <v>973.89442799999995</v>
      </c>
      <c r="G164" s="42">
        <v>0</v>
      </c>
      <c r="H164" s="42">
        <f>F164*(($H$154)+1)+(IF(G164&lt;101,G164,IF(G164&lt;201,G164/2,IF(G164&lt;=301,G164/3,G164/4))))</f>
        <v>1460.8416419999999</v>
      </c>
      <c r="I164" s="36"/>
      <c r="L164" s="109"/>
      <c r="M164" s="109"/>
      <c r="N164" s="36"/>
    </row>
    <row r="165" spans="1:20" s="37" customFormat="1" ht="15.75" customHeight="1" x14ac:dyDescent="0.25">
      <c r="A165" s="105">
        <f>A164+1</f>
        <v>4</v>
      </c>
      <c r="B165" s="107"/>
      <c r="C165" s="42" t="s">
        <v>387</v>
      </c>
      <c r="D165" s="42">
        <f>(83.163)*10.764</f>
        <v>895.16653199999996</v>
      </c>
      <c r="E165" s="42">
        <f>(7.314)*10.764</f>
        <v>78.727896000000001</v>
      </c>
      <c r="F165" s="42">
        <f>D165+E165</f>
        <v>973.89442799999995</v>
      </c>
      <c r="G165" s="42">
        <v>0</v>
      </c>
      <c r="H165" s="42">
        <f>F165*(($H$154)+1)+(IF(G165&lt;101,G165,IF(G165&lt;201,G165/2,IF(G165&lt;=301,G165/3,G165/4))))</f>
        <v>1460.8416419999999</v>
      </c>
      <c r="I165" s="36"/>
      <c r="L165" s="109"/>
      <c r="M165" s="109"/>
      <c r="N165" s="36"/>
      <c r="T165" s="21"/>
    </row>
    <row r="166" spans="1:20" s="37" customFormat="1" ht="15.75" customHeight="1" x14ac:dyDescent="0.25">
      <c r="A166" s="105">
        <f t="shared" ref="A166:A167" si="8">A165+1</f>
        <v>5</v>
      </c>
      <c r="B166" s="107"/>
      <c r="C166" s="42" t="s">
        <v>387</v>
      </c>
      <c r="D166" s="42">
        <f>(100.807)*10.764</f>
        <v>1085.086548</v>
      </c>
      <c r="E166" s="42">
        <f>(13.734)*10.764</f>
        <v>147.832776</v>
      </c>
      <c r="F166" s="42">
        <f t="shared" ref="F166:F167" si="9">D166+E166</f>
        <v>1232.919324</v>
      </c>
      <c r="G166" s="42">
        <v>0</v>
      </c>
      <c r="H166" s="42">
        <f t="shared" ref="H166:H167" si="10">F166*(($H$154)+1)+(IF(G166&lt;101,G166,IF(G166&lt;201,G166/2,IF(G166&lt;=301,G166/3,G166/4))))</f>
        <v>1849.3789859999999</v>
      </c>
      <c r="I166" s="36"/>
      <c r="L166" s="109"/>
      <c r="M166" s="109"/>
      <c r="N166" s="36"/>
      <c r="T166" s="21"/>
    </row>
    <row r="167" spans="1:20" s="37" customFormat="1" ht="15.75" customHeight="1" x14ac:dyDescent="0.25">
      <c r="A167" s="105">
        <f t="shared" si="8"/>
        <v>6</v>
      </c>
      <c r="B167" s="107"/>
      <c r="C167" s="42" t="s">
        <v>387</v>
      </c>
      <c r="D167" s="42">
        <f>(100.807)*10.764</f>
        <v>1085.086548</v>
      </c>
      <c r="E167" s="42">
        <f>(13.734)*10.764</f>
        <v>147.832776</v>
      </c>
      <c r="F167" s="42">
        <f t="shared" si="9"/>
        <v>1232.919324</v>
      </c>
      <c r="G167" s="42">
        <v>0</v>
      </c>
      <c r="H167" s="42">
        <f t="shared" si="10"/>
        <v>1849.3789859999999</v>
      </c>
      <c r="I167" s="36"/>
      <c r="L167" s="109"/>
      <c r="M167" s="109"/>
      <c r="N167" s="36"/>
      <c r="T167" s="21"/>
    </row>
    <row r="168" spans="1:20" s="37" customFormat="1" x14ac:dyDescent="0.25">
      <c r="A168" s="95" t="s">
        <v>389</v>
      </c>
      <c r="B168" s="96"/>
      <c r="C168" s="96"/>
      <c r="D168" s="96"/>
      <c r="E168" s="96"/>
      <c r="F168" s="96"/>
      <c r="G168" s="96"/>
      <c r="H168" s="97"/>
      <c r="J168" s="36"/>
    </row>
    <row r="169" spans="1:20" s="37" customFormat="1" ht="15.75" customHeight="1" x14ac:dyDescent="0.25">
      <c r="A169" s="105">
        <v>1</v>
      </c>
      <c r="B169" s="107"/>
      <c r="C169" s="99" t="s">
        <v>388</v>
      </c>
      <c r="D169" s="100"/>
      <c r="E169" s="100"/>
      <c r="F169" s="100"/>
      <c r="G169" s="100"/>
      <c r="H169" s="101"/>
      <c r="I169" s="36"/>
      <c r="L169" s="109"/>
      <c r="M169" s="109"/>
      <c r="N169" s="36"/>
    </row>
    <row r="170" spans="1:20" s="37" customFormat="1" ht="15.75" customHeight="1" x14ac:dyDescent="0.25">
      <c r="A170" s="105">
        <f>A169+1</f>
        <v>2</v>
      </c>
      <c r="B170" s="107"/>
      <c r="C170" s="102"/>
      <c r="D170" s="103"/>
      <c r="E170" s="103"/>
      <c r="F170" s="103"/>
      <c r="G170" s="103"/>
      <c r="H170" s="104"/>
      <c r="I170" s="36"/>
      <c r="L170" s="109"/>
      <c r="M170" s="109"/>
      <c r="N170" s="36"/>
    </row>
    <row r="171" spans="1:20" s="37" customFormat="1" ht="32.1" customHeight="1" x14ac:dyDescent="0.25">
      <c r="A171" s="105">
        <f>A170+1</f>
        <v>3</v>
      </c>
      <c r="B171" s="107"/>
      <c r="C171" s="42" t="s">
        <v>391</v>
      </c>
      <c r="D171" s="42">
        <f>(6.72*2.54+1.86+1.7+1.045*1.05+2.986*1.525+2.44*1.525+3.35*3.85)*10.764</f>
        <v>461.75622479999998</v>
      </c>
      <c r="E171" s="42">
        <v>0</v>
      </c>
      <c r="F171" s="42">
        <f>D171+E171</f>
        <v>461.75622479999998</v>
      </c>
      <c r="G171" s="42">
        <v>0</v>
      </c>
      <c r="H171" s="42">
        <f>F171*(($H$154)+1)+(IF(G171&lt;101,G171,IF(G171&lt;201,G171/2,IF(G171&lt;=301,G171/3,G171/4))))</f>
        <v>692.6343372</v>
      </c>
      <c r="I171" s="36"/>
      <c r="L171" s="109"/>
      <c r="M171" s="109"/>
      <c r="N171" s="36"/>
    </row>
    <row r="172" spans="1:20" s="37" customFormat="1" ht="15.75" customHeight="1" x14ac:dyDescent="0.25">
      <c r="A172" s="105">
        <f>A171+1</f>
        <v>4</v>
      </c>
      <c r="B172" s="107"/>
      <c r="C172" s="105" t="s">
        <v>390</v>
      </c>
      <c r="D172" s="106"/>
      <c r="E172" s="106"/>
      <c r="F172" s="106"/>
      <c r="G172" s="106"/>
      <c r="H172" s="107"/>
      <c r="I172" s="36"/>
      <c r="L172" s="109"/>
      <c r="M172" s="109"/>
      <c r="N172" s="36"/>
      <c r="T172" s="21"/>
    </row>
    <row r="173" spans="1:20" s="37" customFormat="1" ht="15.75" customHeight="1" x14ac:dyDescent="0.25">
      <c r="A173" s="105">
        <f t="shared" ref="A173:A174" si="11">A172+1</f>
        <v>5</v>
      </c>
      <c r="B173" s="107"/>
      <c r="C173" s="42" t="s">
        <v>387</v>
      </c>
      <c r="D173" s="42">
        <f>(100.807)*10.764</f>
        <v>1085.086548</v>
      </c>
      <c r="E173" s="42">
        <f>(13.734)*10.764</f>
        <v>147.832776</v>
      </c>
      <c r="F173" s="42">
        <f t="shared" ref="F173:F174" si="12">D173+E173</f>
        <v>1232.919324</v>
      </c>
      <c r="G173" s="42">
        <v>0</v>
      </c>
      <c r="H173" s="42">
        <f t="shared" ref="H173:H174" si="13">F173*(($H$154)+1)+(IF(G173&lt;101,G173,IF(G173&lt;201,G173/2,IF(G173&lt;=301,G173/3,G173/4))))</f>
        <v>1849.3789859999999</v>
      </c>
      <c r="I173" s="36"/>
      <c r="L173" s="109"/>
      <c r="M173" s="109"/>
      <c r="N173" s="36"/>
      <c r="T173" s="21"/>
    </row>
    <row r="174" spans="1:20" s="37" customFormat="1" ht="15.75" customHeight="1" x14ac:dyDescent="0.25">
      <c r="A174" s="105">
        <f t="shared" si="11"/>
        <v>6</v>
      </c>
      <c r="B174" s="107"/>
      <c r="C174" s="42" t="s">
        <v>387</v>
      </c>
      <c r="D174" s="42">
        <f>(100.807)*10.764</f>
        <v>1085.086548</v>
      </c>
      <c r="E174" s="42">
        <f>(13.734)*10.764</f>
        <v>147.832776</v>
      </c>
      <c r="F174" s="42">
        <f t="shared" si="12"/>
        <v>1232.919324</v>
      </c>
      <c r="G174" s="42">
        <v>0</v>
      </c>
      <c r="H174" s="42">
        <f t="shared" si="13"/>
        <v>1849.3789859999999</v>
      </c>
      <c r="I174" s="36"/>
      <c r="L174" s="109"/>
      <c r="M174" s="109"/>
      <c r="N174" s="36"/>
      <c r="T174" s="21"/>
    </row>
    <row r="175" spans="1:20" s="37" customFormat="1" x14ac:dyDescent="0.25">
      <c r="A175" s="95" t="s">
        <v>392</v>
      </c>
      <c r="B175" s="96"/>
      <c r="C175" s="96"/>
      <c r="D175" s="96"/>
      <c r="E175" s="96"/>
      <c r="F175" s="96"/>
      <c r="G175" s="96"/>
      <c r="H175" s="97"/>
      <c r="J175" s="36"/>
    </row>
    <row r="176" spans="1:20" s="37" customFormat="1" ht="15.75" customHeight="1" x14ac:dyDescent="0.25">
      <c r="A176" s="105">
        <v>1</v>
      </c>
      <c r="B176" s="107"/>
      <c r="C176" s="99" t="s">
        <v>388</v>
      </c>
      <c r="D176" s="100"/>
      <c r="E176" s="100"/>
      <c r="F176" s="100"/>
      <c r="G176" s="100"/>
      <c r="H176" s="101"/>
      <c r="I176" s="36"/>
      <c r="L176" s="109"/>
      <c r="M176" s="109"/>
      <c r="N176" s="36"/>
    </row>
    <row r="177" spans="1:20" s="37" customFormat="1" ht="15.75" customHeight="1" x14ac:dyDescent="0.25">
      <c r="A177" s="105">
        <f>A176+1</f>
        <v>2</v>
      </c>
      <c r="B177" s="107"/>
      <c r="C177" s="102"/>
      <c r="D177" s="103"/>
      <c r="E177" s="103"/>
      <c r="F177" s="103"/>
      <c r="G177" s="103"/>
      <c r="H177" s="104"/>
      <c r="I177" s="36"/>
      <c r="L177" s="109"/>
      <c r="M177" s="109"/>
      <c r="N177" s="36"/>
    </row>
    <row r="178" spans="1:20" s="37" customFormat="1" x14ac:dyDescent="0.25">
      <c r="A178" s="105">
        <f>A177+1</f>
        <v>3</v>
      </c>
      <c r="B178" s="107"/>
      <c r="C178" s="42" t="s">
        <v>387</v>
      </c>
      <c r="D178" s="42">
        <f>(83.163)*10.764</f>
        <v>895.16653199999996</v>
      </c>
      <c r="E178" s="42">
        <f>(7.314)*10.764</f>
        <v>78.727896000000001</v>
      </c>
      <c r="F178" s="42">
        <f>D178+E178</f>
        <v>973.89442799999995</v>
      </c>
      <c r="G178" s="42">
        <v>0</v>
      </c>
      <c r="H178" s="42">
        <f>F178*(($H$154)+1)+(IF(G178&lt;101,G178,IF(G178&lt;201,G178/2,IF(G178&lt;=301,G178/3,G178/4))))</f>
        <v>1460.8416419999999</v>
      </c>
      <c r="I178" s="36"/>
      <c r="L178" s="109"/>
      <c r="M178" s="109"/>
      <c r="N178" s="36"/>
    </row>
    <row r="179" spans="1:20" s="37" customFormat="1" ht="15.75" customHeight="1" x14ac:dyDescent="0.25">
      <c r="A179" s="105">
        <f>A178+1</f>
        <v>4</v>
      </c>
      <c r="B179" s="107"/>
      <c r="C179" s="42" t="s">
        <v>387</v>
      </c>
      <c r="D179" s="42">
        <f>(83.163)*10.764</f>
        <v>895.16653199999996</v>
      </c>
      <c r="E179" s="42">
        <f>(7.314)*10.764</f>
        <v>78.727896000000001</v>
      </c>
      <c r="F179" s="42">
        <f>D179+E179</f>
        <v>973.89442799999995</v>
      </c>
      <c r="G179" s="42">
        <v>0</v>
      </c>
      <c r="H179" s="42">
        <f>F179*(($H$154)+1)+(IF(G179&lt;101,G179,IF(G179&lt;201,G179/2,IF(G179&lt;=301,G179/3,G179/4))))</f>
        <v>1460.8416419999999</v>
      </c>
      <c r="I179" s="36"/>
      <c r="L179" s="109"/>
      <c r="M179" s="109"/>
      <c r="N179" s="36"/>
      <c r="T179" s="21"/>
    </row>
    <row r="180" spans="1:20" s="37" customFormat="1" ht="15.75" customHeight="1" x14ac:dyDescent="0.25">
      <c r="A180" s="105">
        <f t="shared" ref="A180:A181" si="14">A179+1</f>
        <v>5</v>
      </c>
      <c r="B180" s="107"/>
      <c r="C180" s="42" t="s">
        <v>387</v>
      </c>
      <c r="D180" s="42">
        <f>(100.807)*10.764</f>
        <v>1085.086548</v>
      </c>
      <c r="E180" s="42">
        <f>(13.734)*10.764</f>
        <v>147.832776</v>
      </c>
      <c r="F180" s="42">
        <f t="shared" ref="F180:F181" si="15">D180+E180</f>
        <v>1232.919324</v>
      </c>
      <c r="G180" s="42">
        <v>0</v>
      </c>
      <c r="H180" s="42">
        <f t="shared" ref="H180:H181" si="16">F180*(($H$154)+1)+(IF(G180&lt;101,G180,IF(G180&lt;201,G180/2,IF(G180&lt;=301,G180/3,G180/4))))</f>
        <v>1849.3789859999999</v>
      </c>
      <c r="I180" s="36"/>
      <c r="L180" s="109"/>
      <c r="M180" s="109"/>
      <c r="N180" s="36"/>
      <c r="T180" s="21"/>
    </row>
    <row r="181" spans="1:20" s="37" customFormat="1" ht="15.75" customHeight="1" x14ac:dyDescent="0.25">
      <c r="A181" s="105">
        <f t="shared" si="14"/>
        <v>6</v>
      </c>
      <c r="B181" s="107"/>
      <c r="C181" s="42" t="s">
        <v>387</v>
      </c>
      <c r="D181" s="42">
        <f>(100.807)*10.764</f>
        <v>1085.086548</v>
      </c>
      <c r="E181" s="42">
        <f>(13.734)*10.764</f>
        <v>147.832776</v>
      </c>
      <c r="F181" s="42">
        <f t="shared" si="15"/>
        <v>1232.919324</v>
      </c>
      <c r="G181" s="42">
        <v>0</v>
      </c>
      <c r="H181" s="42">
        <f t="shared" si="16"/>
        <v>1849.3789859999999</v>
      </c>
      <c r="I181" s="36"/>
      <c r="L181" s="109"/>
      <c r="M181" s="109"/>
      <c r="N181" s="36"/>
      <c r="T181" s="21"/>
    </row>
    <row r="182" spans="1:20" s="37" customFormat="1" x14ac:dyDescent="0.25">
      <c r="A182" s="95" t="s">
        <v>393</v>
      </c>
      <c r="B182" s="96"/>
      <c r="C182" s="96"/>
      <c r="D182" s="96"/>
      <c r="E182" s="96"/>
      <c r="F182" s="96"/>
      <c r="G182" s="96"/>
      <c r="H182" s="97"/>
      <c r="J182" s="36"/>
    </row>
    <row r="183" spans="1:20" s="37" customFormat="1" x14ac:dyDescent="0.25">
      <c r="A183" s="95" t="s">
        <v>394</v>
      </c>
      <c r="B183" s="96"/>
      <c r="C183" s="96"/>
      <c r="D183" s="96"/>
      <c r="E183" s="96"/>
      <c r="F183" s="96"/>
      <c r="G183" s="96"/>
      <c r="H183" s="97"/>
      <c r="J183" s="36"/>
    </row>
    <row r="184" spans="1:20" s="37" customFormat="1" ht="15.75" customHeight="1" x14ac:dyDescent="0.25">
      <c r="A184" s="105">
        <v>1</v>
      </c>
      <c r="B184" s="107"/>
      <c r="C184" s="99" t="s">
        <v>396</v>
      </c>
      <c r="D184" s="100"/>
      <c r="E184" s="100"/>
      <c r="F184" s="100"/>
      <c r="G184" s="100"/>
      <c r="H184" s="101"/>
      <c r="I184" s="36"/>
      <c r="L184" s="109"/>
      <c r="M184" s="109"/>
      <c r="N184" s="36"/>
    </row>
    <row r="185" spans="1:20" s="37" customFormat="1" ht="15.75" customHeight="1" x14ac:dyDescent="0.25">
      <c r="A185" s="105">
        <f>A184+1</f>
        <v>2</v>
      </c>
      <c r="B185" s="107"/>
      <c r="C185" s="102"/>
      <c r="D185" s="103"/>
      <c r="E185" s="103"/>
      <c r="F185" s="103"/>
      <c r="G185" s="103"/>
      <c r="H185" s="104"/>
      <c r="I185" s="36"/>
      <c r="L185" s="109"/>
      <c r="M185" s="109"/>
      <c r="N185" s="36"/>
    </row>
    <row r="186" spans="1:20" s="37" customFormat="1" x14ac:dyDescent="0.25">
      <c r="A186" s="105">
        <f>A185+1</f>
        <v>3</v>
      </c>
      <c r="B186" s="107"/>
      <c r="C186" s="42" t="s">
        <v>387</v>
      </c>
      <c r="D186" s="42">
        <f>(83.163)*10.764</f>
        <v>895.16653199999996</v>
      </c>
      <c r="E186" s="42">
        <f>(7.314)*10.764</f>
        <v>78.727896000000001</v>
      </c>
      <c r="F186" s="42">
        <f>D186+E186</f>
        <v>973.89442799999995</v>
      </c>
      <c r="G186" s="42">
        <v>0</v>
      </c>
      <c r="H186" s="42">
        <f>F186*(($H$154)+1)+(IF(G186&lt;101,G186,IF(G186&lt;201,G186/2,IF(G186&lt;=301,G186/3,G186/4))))</f>
        <v>1460.8416419999999</v>
      </c>
      <c r="I186" s="36"/>
      <c r="L186" s="109"/>
      <c r="M186" s="109"/>
      <c r="N186" s="36"/>
    </row>
    <row r="187" spans="1:20" s="37" customFormat="1" ht="15.75" customHeight="1" x14ac:dyDescent="0.25">
      <c r="A187" s="105">
        <f>A186+1</f>
        <v>4</v>
      </c>
      <c r="B187" s="107"/>
      <c r="C187" s="42" t="s">
        <v>387</v>
      </c>
      <c r="D187" s="42">
        <f>(83.163)*10.764</f>
        <v>895.16653199999996</v>
      </c>
      <c r="E187" s="42">
        <f>(7.314)*10.764</f>
        <v>78.727896000000001</v>
      </c>
      <c r="F187" s="42">
        <f>D187+E187</f>
        <v>973.89442799999995</v>
      </c>
      <c r="G187" s="42">
        <v>0</v>
      </c>
      <c r="H187" s="42">
        <f>F187*(($H$154)+1)+(IF(G187&lt;101,G187,IF(G187&lt;201,G187/2,IF(G187&lt;=301,G187/3,G187/4))))</f>
        <v>1460.8416419999999</v>
      </c>
      <c r="I187" s="36"/>
      <c r="L187" s="109"/>
      <c r="M187" s="109"/>
      <c r="N187" s="36"/>
      <c r="T187" s="21"/>
    </row>
    <row r="188" spans="1:20" s="37" customFormat="1" ht="15.75" customHeight="1" x14ac:dyDescent="0.25">
      <c r="A188" s="105">
        <f t="shared" ref="A188:A189" si="17">A187+1</f>
        <v>5</v>
      </c>
      <c r="B188" s="107"/>
      <c r="C188" s="42" t="s">
        <v>387</v>
      </c>
      <c r="D188" s="42">
        <f>(100.807)*10.764</f>
        <v>1085.086548</v>
      </c>
      <c r="E188" s="42">
        <f>(13.734)*10.764</f>
        <v>147.832776</v>
      </c>
      <c r="F188" s="42">
        <f t="shared" ref="F188:F189" si="18">D188+E188</f>
        <v>1232.919324</v>
      </c>
      <c r="G188" s="42">
        <v>0</v>
      </c>
      <c r="H188" s="42">
        <f t="shared" ref="H188:H189" si="19">F188*(($H$154)+1)+(IF(G188&lt;101,G188,IF(G188&lt;201,G188/2,IF(G188&lt;=301,G188/3,G188/4))))</f>
        <v>1849.3789859999999</v>
      </c>
      <c r="I188" s="36"/>
      <c r="L188" s="109"/>
      <c r="M188" s="109"/>
      <c r="N188" s="36"/>
      <c r="T188" s="21"/>
    </row>
    <row r="189" spans="1:20" s="37" customFormat="1" ht="15.75" customHeight="1" x14ac:dyDescent="0.25">
      <c r="A189" s="105">
        <f t="shared" si="17"/>
        <v>6</v>
      </c>
      <c r="B189" s="107"/>
      <c r="C189" s="42" t="s">
        <v>387</v>
      </c>
      <c r="D189" s="42">
        <f>(100.807)*10.764</f>
        <v>1085.086548</v>
      </c>
      <c r="E189" s="42">
        <f>(13.734)*10.764</f>
        <v>147.832776</v>
      </c>
      <c r="F189" s="42">
        <f t="shared" si="18"/>
        <v>1232.919324</v>
      </c>
      <c r="G189" s="42">
        <v>0</v>
      </c>
      <c r="H189" s="42">
        <f t="shared" si="19"/>
        <v>1849.3789859999999</v>
      </c>
      <c r="I189" s="36"/>
      <c r="L189" s="109"/>
      <c r="M189" s="109"/>
      <c r="N189" s="36"/>
      <c r="T189" s="21"/>
    </row>
    <row r="190" spans="1:20" s="37" customFormat="1" x14ac:dyDescent="0.25">
      <c r="A190" s="95" t="s">
        <v>395</v>
      </c>
      <c r="B190" s="96"/>
      <c r="C190" s="96"/>
      <c r="D190" s="96"/>
      <c r="E190" s="96"/>
      <c r="F190" s="96"/>
      <c r="G190" s="96"/>
      <c r="H190" s="97"/>
      <c r="J190" s="36"/>
    </row>
    <row r="191" spans="1:20" s="37" customFormat="1" ht="15.75" customHeight="1" x14ac:dyDescent="0.25">
      <c r="A191" s="105">
        <v>1</v>
      </c>
      <c r="B191" s="107"/>
      <c r="C191" s="99" t="s">
        <v>397</v>
      </c>
      <c r="D191" s="100"/>
      <c r="E191" s="100"/>
      <c r="F191" s="100"/>
      <c r="G191" s="100"/>
      <c r="H191" s="101"/>
      <c r="I191" s="36"/>
      <c r="L191" s="109"/>
      <c r="M191" s="109"/>
      <c r="N191" s="36"/>
    </row>
    <row r="192" spans="1:20" s="37" customFormat="1" ht="15.75" customHeight="1" x14ac:dyDescent="0.25">
      <c r="A192" s="105">
        <f>A191+1</f>
        <v>2</v>
      </c>
      <c r="B192" s="107"/>
      <c r="C192" s="102"/>
      <c r="D192" s="103"/>
      <c r="E192" s="103"/>
      <c r="F192" s="103"/>
      <c r="G192" s="103"/>
      <c r="H192" s="104"/>
      <c r="I192" s="36"/>
      <c r="L192" s="109"/>
      <c r="M192" s="109"/>
      <c r="N192" s="36"/>
    </row>
    <row r="193" spans="1:20" s="37" customFormat="1" x14ac:dyDescent="0.25">
      <c r="A193" s="105">
        <f>A192+1</f>
        <v>3</v>
      </c>
      <c r="B193" s="107"/>
      <c r="C193" s="42" t="s">
        <v>387</v>
      </c>
      <c r="D193" s="42">
        <f>(83.163)*10.764</f>
        <v>895.16653199999996</v>
      </c>
      <c r="E193" s="42">
        <f>(7.314)*10.764</f>
        <v>78.727896000000001</v>
      </c>
      <c r="F193" s="42">
        <f>D193+E193</f>
        <v>973.89442799999995</v>
      </c>
      <c r="G193" s="42">
        <v>0</v>
      </c>
      <c r="H193" s="42">
        <f>F193*(($H$154)+1)+(IF(G193&lt;101,G193,IF(G193&lt;201,G193/2,IF(G193&lt;=301,G193/3,G193/4))))</f>
        <v>1460.8416419999999</v>
      </c>
      <c r="I193" s="36"/>
      <c r="L193" s="109"/>
      <c r="M193" s="109"/>
      <c r="N193" s="36"/>
    </row>
    <row r="194" spans="1:20" s="37" customFormat="1" ht="15.75" customHeight="1" x14ac:dyDescent="0.25">
      <c r="A194" s="105">
        <f>A193+1</f>
        <v>4</v>
      </c>
      <c r="B194" s="107"/>
      <c r="C194" s="42" t="s">
        <v>387</v>
      </c>
      <c r="D194" s="42">
        <f>(83.163)*10.764</f>
        <v>895.16653199999996</v>
      </c>
      <c r="E194" s="42">
        <f>(7.314)*10.764</f>
        <v>78.727896000000001</v>
      </c>
      <c r="F194" s="42">
        <f>D194+E194</f>
        <v>973.89442799999995</v>
      </c>
      <c r="G194" s="42">
        <v>0</v>
      </c>
      <c r="H194" s="42">
        <f>F194*(($H$154)+1)+(IF(G194&lt;101,G194,IF(G194&lt;201,G194/2,IF(G194&lt;=301,G194/3,G194/4))))</f>
        <v>1460.8416419999999</v>
      </c>
      <c r="I194" s="36"/>
      <c r="L194" s="109"/>
      <c r="M194" s="109"/>
      <c r="N194" s="36"/>
      <c r="T194" s="21"/>
    </row>
    <row r="195" spans="1:20" s="37" customFormat="1" ht="15.75" customHeight="1" x14ac:dyDescent="0.25">
      <c r="A195" s="105">
        <f t="shared" ref="A195:A196" si="20">A194+1</f>
        <v>5</v>
      </c>
      <c r="B195" s="107"/>
      <c r="C195" s="42" t="s">
        <v>387</v>
      </c>
      <c r="D195" s="42">
        <f>(100.807)*10.764</f>
        <v>1085.086548</v>
      </c>
      <c r="E195" s="42">
        <f>(13.734)*10.764</f>
        <v>147.832776</v>
      </c>
      <c r="F195" s="42">
        <f t="shared" ref="F195:F196" si="21">D195+E195</f>
        <v>1232.919324</v>
      </c>
      <c r="G195" s="42">
        <v>0</v>
      </c>
      <c r="H195" s="42">
        <f t="shared" ref="H195:H196" si="22">F195*(($H$154)+1)+(IF(G195&lt;101,G195,IF(G195&lt;201,G195/2,IF(G195&lt;=301,G195/3,G195/4))))</f>
        <v>1849.3789859999999</v>
      </c>
      <c r="I195" s="36"/>
      <c r="L195" s="109"/>
      <c r="M195" s="109"/>
      <c r="N195" s="36"/>
      <c r="T195" s="21"/>
    </row>
    <row r="196" spans="1:20" s="37" customFormat="1" ht="15.75" customHeight="1" x14ac:dyDescent="0.25">
      <c r="A196" s="105">
        <f t="shared" si="20"/>
        <v>6</v>
      </c>
      <c r="B196" s="107"/>
      <c r="C196" s="42" t="s">
        <v>387</v>
      </c>
      <c r="D196" s="42">
        <f>(100.807)*10.764</f>
        <v>1085.086548</v>
      </c>
      <c r="E196" s="42">
        <f>(13.734)*10.764</f>
        <v>147.832776</v>
      </c>
      <c r="F196" s="42">
        <f t="shared" si="21"/>
        <v>1232.919324</v>
      </c>
      <c r="G196" s="42">
        <v>0</v>
      </c>
      <c r="H196" s="42">
        <f t="shared" si="22"/>
        <v>1849.3789859999999</v>
      </c>
      <c r="I196" s="36"/>
      <c r="L196" s="109"/>
      <c r="M196" s="109"/>
      <c r="N196" s="36"/>
      <c r="T196" s="21"/>
    </row>
    <row r="197" spans="1:20" s="37" customFormat="1" x14ac:dyDescent="0.25">
      <c r="A197" s="108" t="s">
        <v>398</v>
      </c>
      <c r="B197" s="108"/>
      <c r="C197" s="108"/>
      <c r="D197" s="108"/>
      <c r="E197" s="108"/>
      <c r="F197" s="108"/>
      <c r="G197" s="108"/>
      <c r="H197" s="108"/>
      <c r="J197" s="36"/>
    </row>
    <row r="198" spans="1:20" s="37" customFormat="1" ht="15.75" customHeight="1" x14ac:dyDescent="0.25">
      <c r="A198" s="98">
        <v>1</v>
      </c>
      <c r="B198" s="98"/>
      <c r="C198" s="91" t="s">
        <v>387</v>
      </c>
      <c r="D198" s="91">
        <f>(101.401)*10.764</f>
        <v>1091.4803639999998</v>
      </c>
      <c r="E198" s="91">
        <f>(13.203)*10.764</f>
        <v>142.11709199999999</v>
      </c>
      <c r="F198" s="91">
        <f t="shared" ref="F198:F199" si="23">D198+E198</f>
        <v>1233.5974559999997</v>
      </c>
      <c r="G198" s="91">
        <v>0</v>
      </c>
      <c r="H198" s="91">
        <f t="shared" ref="H198:H199" si="24">F198*(($H$154)+1)+(IF(G198&lt;101,G198,IF(G198&lt;201,G198/2,IF(G198&lt;=301,G198/3,G198/4))))</f>
        <v>1850.3961839999997</v>
      </c>
      <c r="I198" s="36"/>
      <c r="L198" s="109"/>
      <c r="M198" s="109"/>
      <c r="N198" s="36"/>
    </row>
    <row r="199" spans="1:20" s="37" customFormat="1" ht="15.75" customHeight="1" x14ac:dyDescent="0.25">
      <c r="A199" s="98">
        <f>A198+1</f>
        <v>2</v>
      </c>
      <c r="B199" s="98"/>
      <c r="C199" s="91" t="s">
        <v>387</v>
      </c>
      <c r="D199" s="91">
        <f>(101.401)*10.764</f>
        <v>1091.4803639999998</v>
      </c>
      <c r="E199" s="91">
        <f>(13.203)*10.764</f>
        <v>142.11709199999999</v>
      </c>
      <c r="F199" s="91">
        <f t="shared" si="23"/>
        <v>1233.5974559999997</v>
      </c>
      <c r="G199" s="91">
        <v>0</v>
      </c>
      <c r="H199" s="91">
        <f t="shared" si="24"/>
        <v>1850.3961839999997</v>
      </c>
      <c r="I199" s="36"/>
      <c r="L199" s="109"/>
      <c r="M199" s="109"/>
      <c r="N199" s="36"/>
    </row>
    <row r="200" spans="1:20" s="37" customFormat="1" x14ac:dyDescent="0.25">
      <c r="A200" s="98">
        <f>A199+1</f>
        <v>3</v>
      </c>
      <c r="B200" s="98"/>
      <c r="C200" s="91" t="s">
        <v>387</v>
      </c>
      <c r="D200" s="91">
        <f>(82.492)*10.764</f>
        <v>887.94388800000002</v>
      </c>
      <c r="E200" s="91">
        <f>(7.173)*10.764</f>
        <v>77.210172</v>
      </c>
      <c r="F200" s="91">
        <f>D200+E200</f>
        <v>965.15406000000007</v>
      </c>
      <c r="G200" s="91">
        <v>0</v>
      </c>
      <c r="H200" s="91">
        <f>F200*(($H$154)+1)+(IF(G200&lt;101,G200,IF(G200&lt;201,G200/2,IF(G200&lt;=301,G200/3,G200/4))))</f>
        <v>1447.7310900000002</v>
      </c>
      <c r="I200" s="36"/>
      <c r="L200" s="109"/>
      <c r="M200" s="109"/>
      <c r="N200" s="36"/>
    </row>
    <row r="201" spans="1:20" s="37" customFormat="1" ht="15.75" customHeight="1" x14ac:dyDescent="0.25">
      <c r="A201" s="98">
        <f>A200+1</f>
        <v>4</v>
      </c>
      <c r="B201" s="98"/>
      <c r="C201" s="91" t="s">
        <v>387</v>
      </c>
      <c r="D201" s="91">
        <f>(82.492)*10.764</f>
        <v>887.94388800000002</v>
      </c>
      <c r="E201" s="91">
        <f>(7.173)*10.764</f>
        <v>77.210172</v>
      </c>
      <c r="F201" s="91">
        <f>D201+E201</f>
        <v>965.15406000000007</v>
      </c>
      <c r="G201" s="91">
        <v>0</v>
      </c>
      <c r="H201" s="91">
        <f>F201*(($H$154)+1)+(IF(G201&lt;101,G201,IF(G201&lt;201,G201/2,IF(G201&lt;=301,G201/3,G201/4))))</f>
        <v>1447.7310900000002</v>
      </c>
      <c r="I201" s="36"/>
      <c r="L201" s="109"/>
      <c r="M201" s="109"/>
      <c r="N201" s="36"/>
      <c r="T201" s="21"/>
    </row>
    <row r="202" spans="1:20" s="37" customFormat="1" ht="15.75" customHeight="1" x14ac:dyDescent="0.25">
      <c r="A202" s="98">
        <f t="shared" ref="A202:A203" si="25">A201+1</f>
        <v>5</v>
      </c>
      <c r="B202" s="98"/>
      <c r="C202" s="91" t="s">
        <v>387</v>
      </c>
      <c r="D202" s="91">
        <f>(99.674)*10.764</f>
        <v>1072.890936</v>
      </c>
      <c r="E202" s="91">
        <f>(13.581)*10.764</f>
        <v>146.18588399999999</v>
      </c>
      <c r="F202" s="91">
        <f t="shared" ref="F202:F203" si="26">D202+E202</f>
        <v>1219.07682</v>
      </c>
      <c r="G202" s="91">
        <v>0</v>
      </c>
      <c r="H202" s="91">
        <f t="shared" ref="H202:H203" si="27">F202*(($H$154)+1)+(IF(G202&lt;101,G202,IF(G202&lt;201,G202/2,IF(G202&lt;=301,G202/3,G202/4))))</f>
        <v>1828.6152299999999</v>
      </c>
      <c r="I202" s="36"/>
      <c r="L202" s="109"/>
      <c r="M202" s="109"/>
      <c r="N202" s="36"/>
      <c r="T202" s="21"/>
    </row>
    <row r="203" spans="1:20" s="37" customFormat="1" ht="15.75" customHeight="1" x14ac:dyDescent="0.25">
      <c r="A203" s="98">
        <f t="shared" si="25"/>
        <v>6</v>
      </c>
      <c r="B203" s="98"/>
      <c r="C203" s="91" t="s">
        <v>387</v>
      </c>
      <c r="D203" s="91">
        <f>(99.674)*10.764</f>
        <v>1072.890936</v>
      </c>
      <c r="E203" s="91">
        <f>(13.581)*10.764</f>
        <v>146.18588399999999</v>
      </c>
      <c r="F203" s="91">
        <f t="shared" si="26"/>
        <v>1219.07682</v>
      </c>
      <c r="G203" s="91">
        <v>0</v>
      </c>
      <c r="H203" s="91">
        <f t="shared" si="27"/>
        <v>1828.6152299999999</v>
      </c>
      <c r="I203" s="36"/>
      <c r="L203" s="109"/>
      <c r="M203" s="109"/>
      <c r="N203" s="36"/>
      <c r="T203" s="21"/>
    </row>
    <row r="204" spans="1:20" s="37" customFormat="1" x14ac:dyDescent="0.25">
      <c r="A204" s="108" t="s">
        <v>399</v>
      </c>
      <c r="B204" s="108"/>
      <c r="C204" s="108"/>
      <c r="D204" s="108"/>
      <c r="E204" s="108"/>
      <c r="F204" s="108"/>
      <c r="G204" s="108"/>
      <c r="H204" s="108"/>
      <c r="J204" s="36"/>
    </row>
    <row r="205" spans="1:20" s="37" customFormat="1" ht="15.75" customHeight="1" x14ac:dyDescent="0.25">
      <c r="A205" s="98">
        <v>1</v>
      </c>
      <c r="B205" s="98"/>
      <c r="C205" s="91" t="s">
        <v>387</v>
      </c>
      <c r="D205" s="91">
        <f>(101.401)*10.764</f>
        <v>1091.4803639999998</v>
      </c>
      <c r="E205" s="91">
        <f>(13.203)*10.764</f>
        <v>142.11709199999999</v>
      </c>
      <c r="F205" s="91">
        <f t="shared" ref="F205:F206" si="28">D205+E205</f>
        <v>1233.5974559999997</v>
      </c>
      <c r="G205" s="91">
        <v>0</v>
      </c>
      <c r="H205" s="91">
        <f t="shared" ref="H205:H206" si="29">F205*(($H$154)+1)+(IF(G205&lt;101,G205,IF(G205&lt;201,G205/2,IF(G205&lt;=301,G205/3,G205/4))))</f>
        <v>1850.3961839999997</v>
      </c>
      <c r="I205" s="36"/>
      <c r="L205" s="109"/>
      <c r="M205" s="109"/>
      <c r="N205" s="36"/>
    </row>
    <row r="206" spans="1:20" s="37" customFormat="1" ht="15.75" customHeight="1" x14ac:dyDescent="0.25">
      <c r="A206" s="105">
        <f>A205+1</f>
        <v>2</v>
      </c>
      <c r="B206" s="107"/>
      <c r="C206" s="42" t="s">
        <v>387</v>
      </c>
      <c r="D206" s="42">
        <f>(101.401)*10.764</f>
        <v>1091.4803639999998</v>
      </c>
      <c r="E206" s="42">
        <f>(13.203)*10.764</f>
        <v>142.11709199999999</v>
      </c>
      <c r="F206" s="42">
        <f t="shared" si="28"/>
        <v>1233.5974559999997</v>
      </c>
      <c r="G206" s="42">
        <v>0</v>
      </c>
      <c r="H206" s="42">
        <f t="shared" si="29"/>
        <v>1850.3961839999997</v>
      </c>
      <c r="I206" s="36"/>
      <c r="L206" s="109"/>
      <c r="M206" s="109"/>
      <c r="N206" s="36"/>
    </row>
    <row r="207" spans="1:20" s="37" customFormat="1" x14ac:dyDescent="0.25">
      <c r="A207" s="105">
        <f>A206+1</f>
        <v>3</v>
      </c>
      <c r="B207" s="107"/>
      <c r="C207" s="99" t="s">
        <v>390</v>
      </c>
      <c r="D207" s="100"/>
      <c r="E207" s="100"/>
      <c r="F207" s="100"/>
      <c r="G207" s="100"/>
      <c r="H207" s="101"/>
      <c r="I207" s="36"/>
      <c r="L207" s="109"/>
      <c r="M207" s="109"/>
      <c r="N207" s="36"/>
    </row>
    <row r="208" spans="1:20" s="37" customFormat="1" ht="15.75" customHeight="1" x14ac:dyDescent="0.25">
      <c r="A208" s="105">
        <f>A207+1</f>
        <v>4</v>
      </c>
      <c r="B208" s="107"/>
      <c r="C208" s="102"/>
      <c r="D208" s="103"/>
      <c r="E208" s="103"/>
      <c r="F208" s="103"/>
      <c r="G208" s="103"/>
      <c r="H208" s="104"/>
      <c r="I208" s="36"/>
      <c r="L208" s="109"/>
      <c r="M208" s="109"/>
      <c r="N208" s="36"/>
      <c r="T208" s="21"/>
    </row>
    <row r="209" spans="1:20" s="37" customFormat="1" ht="15.75" customHeight="1" x14ac:dyDescent="0.25">
      <c r="A209" s="105">
        <f t="shared" ref="A209:A210" si="30">A208+1</f>
        <v>5</v>
      </c>
      <c r="B209" s="107"/>
      <c r="C209" s="42" t="s">
        <v>387</v>
      </c>
      <c r="D209" s="42">
        <f>(99.674)*10.764</f>
        <v>1072.890936</v>
      </c>
      <c r="E209" s="42">
        <f>(13.581)*10.764</f>
        <v>146.18588399999999</v>
      </c>
      <c r="F209" s="42">
        <f t="shared" ref="F209:F210" si="31">D209+E209</f>
        <v>1219.07682</v>
      </c>
      <c r="G209" s="42">
        <v>0</v>
      </c>
      <c r="H209" s="42">
        <f t="shared" ref="H209:H210" si="32">F209*(($H$154)+1)+(IF(G209&lt;101,G209,IF(G209&lt;201,G209/2,IF(G209&lt;=301,G209/3,G209/4))))</f>
        <v>1828.6152299999999</v>
      </c>
      <c r="I209" s="36"/>
      <c r="L209" s="109"/>
      <c r="M209" s="109"/>
      <c r="N209" s="36"/>
      <c r="T209" s="21"/>
    </row>
    <row r="210" spans="1:20" s="37" customFormat="1" ht="15.75" customHeight="1" x14ac:dyDescent="0.25">
      <c r="A210" s="105">
        <f t="shared" si="30"/>
        <v>6</v>
      </c>
      <c r="B210" s="107"/>
      <c r="C210" s="42" t="s">
        <v>387</v>
      </c>
      <c r="D210" s="42">
        <f>(99.674)*10.764</f>
        <v>1072.890936</v>
      </c>
      <c r="E210" s="42">
        <f>(13.581)*10.764</f>
        <v>146.18588399999999</v>
      </c>
      <c r="F210" s="42">
        <f t="shared" si="31"/>
        <v>1219.07682</v>
      </c>
      <c r="G210" s="42">
        <v>0</v>
      </c>
      <c r="H210" s="42">
        <f t="shared" si="32"/>
        <v>1828.6152299999999</v>
      </c>
      <c r="I210" s="36"/>
      <c r="L210" s="109"/>
      <c r="M210" s="109"/>
      <c r="N210" s="36"/>
      <c r="T210" s="21"/>
    </row>
    <row r="211" spans="1:20" s="37" customFormat="1" x14ac:dyDescent="0.25">
      <c r="A211" s="95" t="s">
        <v>400</v>
      </c>
      <c r="B211" s="96"/>
      <c r="C211" s="96"/>
      <c r="D211" s="96"/>
      <c r="E211" s="96"/>
      <c r="F211" s="96"/>
      <c r="G211" s="96"/>
      <c r="H211" s="97"/>
      <c r="J211" s="36"/>
    </row>
    <row r="212" spans="1:20" s="37" customFormat="1" ht="15.75" customHeight="1" x14ac:dyDescent="0.25">
      <c r="A212" s="105">
        <v>1</v>
      </c>
      <c r="B212" s="107"/>
      <c r="C212" s="42" t="s">
        <v>387</v>
      </c>
      <c r="D212" s="42">
        <f>(101.401)*10.764</f>
        <v>1091.4803639999998</v>
      </c>
      <c r="E212" s="42">
        <f>(13.203)*10.764</f>
        <v>142.11709199999999</v>
      </c>
      <c r="F212" s="42">
        <f t="shared" ref="F212:F213" si="33">D212+E212</f>
        <v>1233.5974559999997</v>
      </c>
      <c r="G212" s="42">
        <v>0</v>
      </c>
      <c r="H212" s="42">
        <f t="shared" ref="H212:H213" si="34">F212*(($H$154)+1)+(IF(G212&lt;101,G212,IF(G212&lt;201,G212/2,IF(G212&lt;=301,G212/3,G212/4))))</f>
        <v>1850.3961839999997</v>
      </c>
      <c r="I212" s="36"/>
      <c r="L212" s="109"/>
      <c r="M212" s="109"/>
      <c r="N212" s="36"/>
    </row>
    <row r="213" spans="1:20" s="37" customFormat="1" ht="15.75" customHeight="1" x14ac:dyDescent="0.25">
      <c r="A213" s="105">
        <f>A212+1</f>
        <v>2</v>
      </c>
      <c r="B213" s="107"/>
      <c r="C213" s="42" t="s">
        <v>387</v>
      </c>
      <c r="D213" s="42">
        <f>(101.401)*10.764</f>
        <v>1091.4803639999998</v>
      </c>
      <c r="E213" s="42">
        <f>(13.203)*10.764</f>
        <v>142.11709199999999</v>
      </c>
      <c r="F213" s="42">
        <f t="shared" si="33"/>
        <v>1233.5974559999997</v>
      </c>
      <c r="G213" s="42">
        <v>0</v>
      </c>
      <c r="H213" s="42">
        <f t="shared" si="34"/>
        <v>1850.3961839999997</v>
      </c>
      <c r="I213" s="36"/>
      <c r="L213" s="109"/>
      <c r="M213" s="109"/>
      <c r="N213" s="36"/>
    </row>
    <row r="214" spans="1:20" s="37" customFormat="1" x14ac:dyDescent="0.25">
      <c r="A214" s="105">
        <f>A213+1</f>
        <v>3</v>
      </c>
      <c r="B214" s="107"/>
      <c r="C214" s="42" t="s">
        <v>387</v>
      </c>
      <c r="D214" s="42">
        <f>(82.492)*10.764</f>
        <v>887.94388800000002</v>
      </c>
      <c r="E214" s="42">
        <f>(7.173)*10.764</f>
        <v>77.210172</v>
      </c>
      <c r="F214" s="42">
        <f>D214+E214</f>
        <v>965.15406000000007</v>
      </c>
      <c r="G214" s="42">
        <v>0</v>
      </c>
      <c r="H214" s="42">
        <f>F214*(($H$154)+1)+(IF(G214&lt;101,G214,IF(G214&lt;201,G214/2,IF(G214&lt;=301,G214/3,G214/4))))</f>
        <v>1447.7310900000002</v>
      </c>
      <c r="I214" s="36"/>
      <c r="L214" s="109"/>
      <c r="M214" s="109"/>
      <c r="N214" s="36"/>
    </row>
    <row r="215" spans="1:20" s="37" customFormat="1" ht="15.75" customHeight="1" x14ac:dyDescent="0.25">
      <c r="A215" s="105">
        <f>A214+1</f>
        <v>4</v>
      </c>
      <c r="B215" s="107"/>
      <c r="C215" s="42" t="s">
        <v>387</v>
      </c>
      <c r="D215" s="42">
        <f>(82.492)*10.764</f>
        <v>887.94388800000002</v>
      </c>
      <c r="E215" s="42">
        <f>(7.173)*10.764</f>
        <v>77.210172</v>
      </c>
      <c r="F215" s="42">
        <f>D215+E215</f>
        <v>965.15406000000007</v>
      </c>
      <c r="G215" s="42">
        <v>0</v>
      </c>
      <c r="H215" s="42">
        <f>F215*(($H$154)+1)+(IF(G215&lt;101,G215,IF(G215&lt;201,G215/2,IF(G215&lt;=301,G215/3,G215/4))))</f>
        <v>1447.7310900000002</v>
      </c>
      <c r="I215" s="36"/>
      <c r="L215" s="109"/>
      <c r="M215" s="109"/>
      <c r="N215" s="36"/>
      <c r="T215" s="21"/>
    </row>
    <row r="216" spans="1:20" s="37" customFormat="1" ht="15.75" customHeight="1" x14ac:dyDescent="0.25">
      <c r="A216" s="105">
        <f t="shared" ref="A216:A217" si="35">A215+1</f>
        <v>5</v>
      </c>
      <c r="B216" s="107"/>
      <c r="C216" s="42" t="s">
        <v>387</v>
      </c>
      <c r="D216" s="42">
        <f>(99.674)*10.764</f>
        <v>1072.890936</v>
      </c>
      <c r="E216" s="42">
        <f>(13.581)*10.764</f>
        <v>146.18588399999999</v>
      </c>
      <c r="F216" s="42">
        <f t="shared" ref="F216:F217" si="36">D216+E216</f>
        <v>1219.07682</v>
      </c>
      <c r="G216" s="42">
        <v>0</v>
      </c>
      <c r="H216" s="42">
        <f t="shared" ref="H216:H217" si="37">F216*(($H$154)+1)+(IF(G216&lt;101,G216,IF(G216&lt;201,G216/2,IF(G216&lt;=301,G216/3,G216/4))))</f>
        <v>1828.6152299999999</v>
      </c>
      <c r="I216" s="36"/>
      <c r="L216" s="109"/>
      <c r="M216" s="109"/>
      <c r="N216" s="36"/>
      <c r="T216" s="21"/>
    </row>
    <row r="217" spans="1:20" s="37" customFormat="1" ht="15.75" customHeight="1" x14ac:dyDescent="0.25">
      <c r="A217" s="105">
        <f t="shared" si="35"/>
        <v>6</v>
      </c>
      <c r="B217" s="107"/>
      <c r="C217" s="42" t="s">
        <v>387</v>
      </c>
      <c r="D217" s="42">
        <f>(99.674)*10.764</f>
        <v>1072.890936</v>
      </c>
      <c r="E217" s="42">
        <f>(13.581)*10.764</f>
        <v>146.18588399999999</v>
      </c>
      <c r="F217" s="42">
        <f t="shared" si="36"/>
        <v>1219.07682</v>
      </c>
      <c r="G217" s="42">
        <v>0</v>
      </c>
      <c r="H217" s="42">
        <f t="shared" si="37"/>
        <v>1828.6152299999999</v>
      </c>
      <c r="I217" s="36"/>
      <c r="L217" s="109"/>
      <c r="M217" s="109"/>
      <c r="N217" s="36"/>
      <c r="T217" s="21"/>
    </row>
    <row r="218" spans="1:20" s="37" customFormat="1" x14ac:dyDescent="0.25">
      <c r="A218" s="95" t="s">
        <v>401</v>
      </c>
      <c r="B218" s="96"/>
      <c r="C218" s="96"/>
      <c r="D218" s="96"/>
      <c r="E218" s="96"/>
      <c r="F218" s="96"/>
      <c r="G218" s="96"/>
      <c r="H218" s="97"/>
      <c r="J218" s="36"/>
    </row>
    <row r="219" spans="1:20" s="37" customFormat="1" ht="15.75" customHeight="1" x14ac:dyDescent="0.25">
      <c r="A219" s="105">
        <v>1</v>
      </c>
      <c r="B219" s="107"/>
      <c r="C219" s="42" t="s">
        <v>387</v>
      </c>
      <c r="D219" s="42">
        <f>(102.357)*10.764</f>
        <v>1101.7707479999999</v>
      </c>
      <c r="E219" s="42">
        <f>(13.271)*10.764</f>
        <v>142.84904399999999</v>
      </c>
      <c r="F219" s="42">
        <f t="shared" ref="F219:F220" si="38">D219+E219</f>
        <v>1244.619792</v>
      </c>
      <c r="G219" s="42">
        <v>0</v>
      </c>
      <c r="H219" s="42">
        <f t="shared" ref="H219:H220" si="39">F219*(($H$154)+1)+(IF(G219&lt;101,G219,IF(G219&lt;201,G219/2,IF(G219&lt;=301,G219/3,G219/4))))</f>
        <v>1866.9296879999999</v>
      </c>
      <c r="I219" s="36"/>
      <c r="L219" s="109"/>
      <c r="M219" s="109"/>
      <c r="N219" s="36"/>
    </row>
    <row r="220" spans="1:20" s="37" customFormat="1" ht="15.75" customHeight="1" x14ac:dyDescent="0.25">
      <c r="A220" s="105">
        <f>A219+1</f>
        <v>2</v>
      </c>
      <c r="B220" s="107"/>
      <c r="C220" s="42" t="s">
        <v>387</v>
      </c>
      <c r="D220" s="42">
        <f>(102.357)*10.764</f>
        <v>1101.7707479999999</v>
      </c>
      <c r="E220" s="42">
        <f>(13.271)*10.764</f>
        <v>142.84904399999999</v>
      </c>
      <c r="F220" s="42">
        <f t="shared" si="38"/>
        <v>1244.619792</v>
      </c>
      <c r="G220" s="42">
        <v>0</v>
      </c>
      <c r="H220" s="42">
        <f t="shared" si="39"/>
        <v>1866.9296879999999</v>
      </c>
      <c r="I220" s="36"/>
      <c r="L220" s="109"/>
      <c r="M220" s="109"/>
      <c r="N220" s="36"/>
    </row>
    <row r="221" spans="1:20" s="37" customFormat="1" x14ac:dyDescent="0.25">
      <c r="A221" s="105">
        <f>A220+1</f>
        <v>3</v>
      </c>
      <c r="B221" s="107"/>
      <c r="C221" s="42" t="s">
        <v>387</v>
      </c>
      <c r="D221" s="42">
        <f>(83.163)*10.764</f>
        <v>895.16653199999996</v>
      </c>
      <c r="E221" s="42">
        <f>(7.314)*10.764</f>
        <v>78.727896000000001</v>
      </c>
      <c r="F221" s="42">
        <f>D221+E221</f>
        <v>973.89442799999995</v>
      </c>
      <c r="G221" s="42">
        <v>0</v>
      </c>
      <c r="H221" s="42">
        <f>F221*(($H$154)+1)+(IF(G221&lt;101,G221,IF(G221&lt;201,G221/2,IF(G221&lt;=301,G221/3,G221/4))))</f>
        <v>1460.8416419999999</v>
      </c>
      <c r="I221" s="36"/>
      <c r="L221" s="109"/>
      <c r="M221" s="109"/>
      <c r="N221" s="36"/>
    </row>
    <row r="222" spans="1:20" s="37" customFormat="1" ht="15.75" customHeight="1" x14ac:dyDescent="0.25">
      <c r="A222" s="105">
        <f>A221+1</f>
        <v>4</v>
      </c>
      <c r="B222" s="107"/>
      <c r="C222" s="42" t="s">
        <v>387</v>
      </c>
      <c r="D222" s="42">
        <f>(83.163)*10.764</f>
        <v>895.16653199999996</v>
      </c>
      <c r="E222" s="42">
        <f>(7.314)*10.764</f>
        <v>78.727896000000001</v>
      </c>
      <c r="F222" s="42">
        <f>D222+E222</f>
        <v>973.89442799999995</v>
      </c>
      <c r="G222" s="42">
        <v>0</v>
      </c>
      <c r="H222" s="42">
        <f>F222*(($H$154)+1)+(IF(G222&lt;101,G222,IF(G222&lt;201,G222/2,IF(G222&lt;=301,G222/3,G222/4))))</f>
        <v>1460.8416419999999</v>
      </c>
      <c r="I222" s="36"/>
      <c r="L222" s="109"/>
      <c r="M222" s="109"/>
      <c r="N222" s="36"/>
      <c r="T222" s="21"/>
    </row>
    <row r="223" spans="1:20" s="37" customFormat="1" ht="15.75" customHeight="1" x14ac:dyDescent="0.25">
      <c r="A223" s="105">
        <f t="shared" ref="A223:A224" si="40">A222+1</f>
        <v>5</v>
      </c>
      <c r="B223" s="107"/>
      <c r="C223" s="42" t="s">
        <v>387</v>
      </c>
      <c r="D223" s="42">
        <f>(100.807)*10.764</f>
        <v>1085.086548</v>
      </c>
      <c r="E223" s="42">
        <f>(13.734)*10.764</f>
        <v>147.832776</v>
      </c>
      <c r="F223" s="42">
        <f t="shared" ref="F223:F224" si="41">D223+E223</f>
        <v>1232.919324</v>
      </c>
      <c r="G223" s="42">
        <v>0</v>
      </c>
      <c r="H223" s="42">
        <f t="shared" ref="H223:H224" si="42">F223*(($H$154)+1)+(IF(G223&lt;101,G223,IF(G223&lt;201,G223/2,IF(G223&lt;=301,G223/3,G223/4))))</f>
        <v>1849.3789859999999</v>
      </c>
      <c r="I223" s="36"/>
      <c r="L223" s="109"/>
      <c r="M223" s="109"/>
      <c r="N223" s="36"/>
      <c r="T223" s="21"/>
    </row>
    <row r="224" spans="1:20" s="37" customFormat="1" ht="15.75" customHeight="1" x14ac:dyDescent="0.25">
      <c r="A224" s="105">
        <f t="shared" si="40"/>
        <v>6</v>
      </c>
      <c r="B224" s="107"/>
      <c r="C224" s="42" t="s">
        <v>387</v>
      </c>
      <c r="D224" s="42">
        <f>(100.807)*10.764</f>
        <v>1085.086548</v>
      </c>
      <c r="E224" s="42">
        <f>(13.734)*10.764</f>
        <v>147.832776</v>
      </c>
      <c r="F224" s="42">
        <f t="shared" si="41"/>
        <v>1232.919324</v>
      </c>
      <c r="G224" s="42">
        <v>0</v>
      </c>
      <c r="H224" s="42">
        <f t="shared" si="42"/>
        <v>1849.3789859999999</v>
      </c>
      <c r="I224" s="36"/>
      <c r="L224" s="109"/>
      <c r="M224" s="109"/>
      <c r="N224" s="36"/>
      <c r="T224" s="21"/>
    </row>
    <row r="225" spans="1:20" s="37" customFormat="1" x14ac:dyDescent="0.25">
      <c r="A225" s="95" t="s">
        <v>402</v>
      </c>
      <c r="B225" s="96"/>
      <c r="C225" s="96"/>
      <c r="D225" s="96"/>
      <c r="E225" s="96"/>
      <c r="F225" s="96"/>
      <c r="G225" s="96"/>
      <c r="H225" s="97"/>
      <c r="J225" s="36"/>
    </row>
    <row r="226" spans="1:20" s="37" customFormat="1" ht="15.75" customHeight="1" x14ac:dyDescent="0.25">
      <c r="A226" s="105">
        <v>1</v>
      </c>
      <c r="B226" s="107"/>
      <c r="C226" s="42" t="s">
        <v>387</v>
      </c>
      <c r="D226" s="42">
        <f>(102.357)*10.764</f>
        <v>1101.7707479999999</v>
      </c>
      <c r="E226" s="42">
        <f>(13.271)*10.764</f>
        <v>142.84904399999999</v>
      </c>
      <c r="F226" s="42">
        <f t="shared" ref="F226:F227" si="43">D226+E226</f>
        <v>1244.619792</v>
      </c>
      <c r="G226" s="42">
        <v>0</v>
      </c>
      <c r="H226" s="42">
        <f t="shared" ref="H226:H227" si="44">F226*(($H$154)+1)+(IF(G226&lt;101,G226,IF(G226&lt;201,G226/2,IF(G226&lt;=301,G226/3,G226/4))))</f>
        <v>1866.9296879999999</v>
      </c>
      <c r="I226" s="36"/>
      <c r="L226" s="109"/>
      <c r="M226" s="109"/>
      <c r="N226" s="36"/>
    </row>
    <row r="227" spans="1:20" s="37" customFormat="1" ht="15.75" customHeight="1" x14ac:dyDescent="0.25">
      <c r="A227" s="105">
        <f>A226+1</f>
        <v>2</v>
      </c>
      <c r="B227" s="107"/>
      <c r="C227" s="42" t="s">
        <v>387</v>
      </c>
      <c r="D227" s="42">
        <f>(102.357)*10.764</f>
        <v>1101.7707479999999</v>
      </c>
      <c r="E227" s="42">
        <f>(13.271)*10.764</f>
        <v>142.84904399999999</v>
      </c>
      <c r="F227" s="42">
        <f t="shared" si="43"/>
        <v>1244.619792</v>
      </c>
      <c r="G227" s="42">
        <v>0</v>
      </c>
      <c r="H227" s="42">
        <f t="shared" si="44"/>
        <v>1866.9296879999999</v>
      </c>
      <c r="I227" s="36"/>
      <c r="L227" s="109"/>
      <c r="M227" s="109"/>
      <c r="N227" s="36"/>
    </row>
    <row r="228" spans="1:20" s="37" customFormat="1" x14ac:dyDescent="0.25">
      <c r="A228" s="105">
        <f>A227+1</f>
        <v>3</v>
      </c>
      <c r="B228" s="107"/>
      <c r="C228" s="99" t="s">
        <v>390</v>
      </c>
      <c r="D228" s="100"/>
      <c r="E228" s="100"/>
      <c r="F228" s="100"/>
      <c r="G228" s="100"/>
      <c r="H228" s="101"/>
      <c r="I228" s="36"/>
      <c r="L228" s="109"/>
      <c r="M228" s="109"/>
      <c r="N228" s="36"/>
    </row>
    <row r="229" spans="1:20" s="37" customFormat="1" ht="15.75" customHeight="1" x14ac:dyDescent="0.25">
      <c r="A229" s="105">
        <f>A228+1</f>
        <v>4</v>
      </c>
      <c r="B229" s="107"/>
      <c r="C229" s="102"/>
      <c r="D229" s="103"/>
      <c r="E229" s="103"/>
      <c r="F229" s="103"/>
      <c r="G229" s="103"/>
      <c r="H229" s="104"/>
      <c r="I229" s="36"/>
      <c r="L229" s="109"/>
      <c r="M229" s="109"/>
      <c r="N229" s="36"/>
      <c r="T229" s="21"/>
    </row>
    <row r="230" spans="1:20" s="37" customFormat="1" ht="15.75" customHeight="1" x14ac:dyDescent="0.25">
      <c r="A230" s="105">
        <f t="shared" ref="A230:A231" si="45">A229+1</f>
        <v>5</v>
      </c>
      <c r="B230" s="107"/>
      <c r="C230" s="42" t="s">
        <v>387</v>
      </c>
      <c r="D230" s="42">
        <f>(100.807)*10.764</f>
        <v>1085.086548</v>
      </c>
      <c r="E230" s="42">
        <f>(13.734)*10.764</f>
        <v>147.832776</v>
      </c>
      <c r="F230" s="42">
        <f t="shared" ref="F230:F231" si="46">D230+E230</f>
        <v>1232.919324</v>
      </c>
      <c r="G230" s="42">
        <v>0</v>
      </c>
      <c r="H230" s="42">
        <f t="shared" ref="H230:H231" si="47">F230*(($H$154)+1)+(IF(G230&lt;101,G230,IF(G230&lt;201,G230/2,IF(G230&lt;=301,G230/3,G230/4))))</f>
        <v>1849.3789859999999</v>
      </c>
      <c r="I230" s="36"/>
      <c r="L230" s="109"/>
      <c r="M230" s="109"/>
      <c r="N230" s="36"/>
      <c r="T230" s="21"/>
    </row>
    <row r="231" spans="1:20" s="37" customFormat="1" ht="15.75" customHeight="1" x14ac:dyDescent="0.25">
      <c r="A231" s="105">
        <f t="shared" si="45"/>
        <v>6</v>
      </c>
      <c r="B231" s="107"/>
      <c r="C231" s="42" t="s">
        <v>387</v>
      </c>
      <c r="D231" s="42">
        <f>(100.807)*10.764</f>
        <v>1085.086548</v>
      </c>
      <c r="E231" s="42">
        <f>(13.734)*10.764</f>
        <v>147.832776</v>
      </c>
      <c r="F231" s="42">
        <f t="shared" si="46"/>
        <v>1232.919324</v>
      </c>
      <c r="G231" s="42">
        <v>0</v>
      </c>
      <c r="H231" s="42">
        <f t="shared" si="47"/>
        <v>1849.3789859999999</v>
      </c>
      <c r="I231" s="36"/>
      <c r="L231" s="109"/>
      <c r="M231" s="109"/>
      <c r="N231" s="36"/>
      <c r="T231" s="21"/>
    </row>
    <row r="232" spans="1:20" s="37" customFormat="1" x14ac:dyDescent="0.25">
      <c r="A232" s="95" t="s">
        <v>403</v>
      </c>
      <c r="B232" s="96"/>
      <c r="C232" s="96"/>
      <c r="D232" s="96"/>
      <c r="E232" s="96"/>
      <c r="F232" s="96"/>
      <c r="G232" s="96"/>
      <c r="H232" s="97"/>
      <c r="J232" s="36"/>
    </row>
    <row r="233" spans="1:20" s="37" customFormat="1" ht="15.75" customHeight="1" x14ac:dyDescent="0.25">
      <c r="A233" s="105">
        <v>1</v>
      </c>
      <c r="B233" s="107"/>
      <c r="C233" s="42" t="s">
        <v>387</v>
      </c>
      <c r="D233" s="42">
        <f>(102.357)*10.764</f>
        <v>1101.7707479999999</v>
      </c>
      <c r="E233" s="42">
        <f>(13.271)*10.764</f>
        <v>142.84904399999999</v>
      </c>
      <c r="F233" s="42">
        <f t="shared" ref="F233:F234" si="48">D233+E233</f>
        <v>1244.619792</v>
      </c>
      <c r="G233" s="42">
        <v>0</v>
      </c>
      <c r="H233" s="42">
        <f t="shared" ref="H233:H234" si="49">F233*(($H$154)+1)+(IF(G233&lt;101,G233,IF(G233&lt;201,G233/2,IF(G233&lt;=301,G233/3,G233/4))))</f>
        <v>1866.9296879999999</v>
      </c>
      <c r="I233" s="36"/>
      <c r="L233" s="109"/>
      <c r="M233" s="109"/>
      <c r="N233" s="36"/>
    </row>
    <row r="234" spans="1:20" s="37" customFormat="1" ht="15.75" customHeight="1" x14ac:dyDescent="0.25">
      <c r="A234" s="105">
        <f>A233+1</f>
        <v>2</v>
      </c>
      <c r="B234" s="107"/>
      <c r="C234" s="42" t="s">
        <v>387</v>
      </c>
      <c r="D234" s="42">
        <f>(102.357)*10.764</f>
        <v>1101.7707479999999</v>
      </c>
      <c r="E234" s="42">
        <f>(13.271)*10.764</f>
        <v>142.84904399999999</v>
      </c>
      <c r="F234" s="42">
        <f t="shared" si="48"/>
        <v>1244.619792</v>
      </c>
      <c r="G234" s="42">
        <v>0</v>
      </c>
      <c r="H234" s="42">
        <f t="shared" si="49"/>
        <v>1866.9296879999999</v>
      </c>
      <c r="I234" s="36"/>
      <c r="L234" s="109"/>
      <c r="M234" s="109"/>
      <c r="N234" s="36"/>
    </row>
    <row r="235" spans="1:20" s="37" customFormat="1" x14ac:dyDescent="0.25">
      <c r="A235" s="105">
        <f>A234+1</f>
        <v>3</v>
      </c>
      <c r="B235" s="107"/>
      <c r="C235" s="42" t="s">
        <v>387</v>
      </c>
      <c r="D235" s="42">
        <f>(83.163)*10.764</f>
        <v>895.16653199999996</v>
      </c>
      <c r="E235" s="42">
        <f>(7.314)*10.764</f>
        <v>78.727896000000001</v>
      </c>
      <c r="F235" s="42">
        <f>D235+E235</f>
        <v>973.89442799999995</v>
      </c>
      <c r="G235" s="42">
        <v>0</v>
      </c>
      <c r="H235" s="42">
        <f>F235*(($H$154)+1)+(IF(G235&lt;101,G235,IF(G235&lt;201,G235/2,IF(G235&lt;=301,G235/3,G235/4))))</f>
        <v>1460.8416419999999</v>
      </c>
      <c r="I235" s="36"/>
      <c r="L235" s="109"/>
      <c r="M235" s="109"/>
      <c r="N235" s="36"/>
    </row>
    <row r="236" spans="1:20" s="37" customFormat="1" ht="15.75" customHeight="1" x14ac:dyDescent="0.25">
      <c r="A236" s="105">
        <f>A235+1</f>
        <v>4</v>
      </c>
      <c r="B236" s="107"/>
      <c r="C236" s="42" t="s">
        <v>387</v>
      </c>
      <c r="D236" s="42">
        <f>(83.163)*10.764</f>
        <v>895.16653199999996</v>
      </c>
      <c r="E236" s="42">
        <f>(7.314)*10.764</f>
        <v>78.727896000000001</v>
      </c>
      <c r="F236" s="42">
        <f>D236+E236</f>
        <v>973.89442799999995</v>
      </c>
      <c r="G236" s="42">
        <v>0</v>
      </c>
      <c r="H236" s="42">
        <f>F236*(($H$154)+1)+(IF(G236&lt;101,G236,IF(G236&lt;201,G236/2,IF(G236&lt;=301,G236/3,G236/4))))</f>
        <v>1460.8416419999999</v>
      </c>
      <c r="I236" s="36"/>
      <c r="L236" s="109"/>
      <c r="M236" s="109"/>
      <c r="N236" s="36"/>
      <c r="T236" s="21"/>
    </row>
    <row r="237" spans="1:20" s="37" customFormat="1" ht="15.75" customHeight="1" x14ac:dyDescent="0.25">
      <c r="A237" s="105">
        <f t="shared" ref="A237:A238" si="50">A236+1</f>
        <v>5</v>
      </c>
      <c r="B237" s="107"/>
      <c r="C237" s="42" t="s">
        <v>387</v>
      </c>
      <c r="D237" s="42">
        <f>(100.807)*10.764</f>
        <v>1085.086548</v>
      </c>
      <c r="E237" s="42">
        <f>(13.734)*10.764</f>
        <v>147.832776</v>
      </c>
      <c r="F237" s="42">
        <f t="shared" ref="F237:F238" si="51">D237+E237</f>
        <v>1232.919324</v>
      </c>
      <c r="G237" s="42">
        <v>0</v>
      </c>
      <c r="H237" s="42">
        <f t="shared" ref="H237:H238" si="52">F237*(($H$154)+1)+(IF(G237&lt;101,G237,IF(G237&lt;201,G237/2,IF(G237&lt;=301,G237/3,G237/4))))</f>
        <v>1849.3789859999999</v>
      </c>
      <c r="I237" s="36"/>
      <c r="L237" s="109"/>
      <c r="M237" s="109"/>
      <c r="N237" s="36"/>
      <c r="T237" s="21"/>
    </row>
    <row r="238" spans="1:20" s="37" customFormat="1" ht="15.75" customHeight="1" x14ac:dyDescent="0.25">
      <c r="A238" s="105">
        <f t="shared" si="50"/>
        <v>6</v>
      </c>
      <c r="B238" s="107"/>
      <c r="C238" s="42" t="s">
        <v>387</v>
      </c>
      <c r="D238" s="42">
        <f>(100.807)*10.764</f>
        <v>1085.086548</v>
      </c>
      <c r="E238" s="42">
        <f>(13.734)*10.764</f>
        <v>147.832776</v>
      </c>
      <c r="F238" s="42">
        <f t="shared" si="51"/>
        <v>1232.919324</v>
      </c>
      <c r="G238" s="42">
        <v>0</v>
      </c>
      <c r="H238" s="42">
        <f t="shared" si="52"/>
        <v>1849.3789859999999</v>
      </c>
      <c r="I238" s="36"/>
      <c r="L238" s="109"/>
      <c r="M238" s="109"/>
      <c r="N238" s="36"/>
      <c r="T238" s="21"/>
    </row>
    <row r="239" spans="1:20" s="37" customFormat="1" x14ac:dyDescent="0.25">
      <c r="A239" s="108" t="s">
        <v>404</v>
      </c>
      <c r="B239" s="108"/>
      <c r="C239" s="108"/>
      <c r="D239" s="108"/>
      <c r="E239" s="108"/>
      <c r="F239" s="108"/>
      <c r="G239" s="108"/>
      <c r="H239" s="108"/>
      <c r="J239" s="36"/>
    </row>
    <row r="240" spans="1:20" s="37" customFormat="1" ht="15.75" customHeight="1" x14ac:dyDescent="0.25">
      <c r="A240" s="98">
        <v>1</v>
      </c>
      <c r="B240" s="98"/>
      <c r="C240" s="91" t="s">
        <v>387</v>
      </c>
      <c r="D240" s="91">
        <f>(102.357)*10.764</f>
        <v>1101.7707479999999</v>
      </c>
      <c r="E240" s="91">
        <f>(13.271)*10.764</f>
        <v>142.84904399999999</v>
      </c>
      <c r="F240" s="91">
        <f t="shared" ref="F240:F241" si="53">D240+E240</f>
        <v>1244.619792</v>
      </c>
      <c r="G240" s="91">
        <v>0</v>
      </c>
      <c r="H240" s="91">
        <f t="shared" ref="H240:H241" si="54">F240*(($H$154)+1)+(IF(G240&lt;101,G240,IF(G240&lt;201,G240/2,IF(G240&lt;=301,G240/3,G240/4))))</f>
        <v>1866.9296879999999</v>
      </c>
      <c r="I240" s="36"/>
      <c r="L240" s="109"/>
      <c r="M240" s="109"/>
      <c r="N240" s="36"/>
    </row>
    <row r="241" spans="1:20" s="37" customFormat="1" ht="15.75" customHeight="1" x14ac:dyDescent="0.25">
      <c r="A241" s="98">
        <f>A240+1</f>
        <v>2</v>
      </c>
      <c r="B241" s="98"/>
      <c r="C241" s="91" t="s">
        <v>387</v>
      </c>
      <c r="D241" s="91">
        <f>(102.357)*10.764</f>
        <v>1101.7707479999999</v>
      </c>
      <c r="E241" s="91">
        <f>(13.271)*10.764</f>
        <v>142.84904399999999</v>
      </c>
      <c r="F241" s="91">
        <f t="shared" si="53"/>
        <v>1244.619792</v>
      </c>
      <c r="G241" s="91">
        <v>0</v>
      </c>
      <c r="H241" s="91">
        <f t="shared" si="54"/>
        <v>1866.9296879999999</v>
      </c>
      <c r="I241" s="36"/>
      <c r="L241" s="109"/>
      <c r="M241" s="109"/>
      <c r="N241" s="36"/>
    </row>
    <row r="242" spans="1:20" s="37" customFormat="1" x14ac:dyDescent="0.25">
      <c r="A242" s="98">
        <f>A241+1</f>
        <v>3</v>
      </c>
      <c r="B242" s="98"/>
      <c r="C242" s="91" t="s">
        <v>387</v>
      </c>
      <c r="D242" s="91">
        <f>(83.163)*10.764</f>
        <v>895.16653199999996</v>
      </c>
      <c r="E242" s="91">
        <f>(7.314)*10.764</f>
        <v>78.727896000000001</v>
      </c>
      <c r="F242" s="91">
        <f>D242+E242</f>
        <v>973.89442799999995</v>
      </c>
      <c r="G242" s="91">
        <v>0</v>
      </c>
      <c r="H242" s="91">
        <f>F242*(($H$154)+1)+(IF(G242&lt;101,G242,IF(G242&lt;201,G242/2,IF(G242&lt;=301,G242/3,G242/4))))</f>
        <v>1460.8416419999999</v>
      </c>
      <c r="I242" s="36"/>
      <c r="L242" s="109"/>
      <c r="M242" s="109"/>
      <c r="N242" s="36"/>
    </row>
    <row r="243" spans="1:20" s="37" customFormat="1" ht="15.75" customHeight="1" x14ac:dyDescent="0.25">
      <c r="A243" s="98">
        <f>A242+1</f>
        <v>4</v>
      </c>
      <c r="B243" s="98"/>
      <c r="C243" s="91" t="s">
        <v>387</v>
      </c>
      <c r="D243" s="91">
        <f>(83.163)*10.764</f>
        <v>895.16653199999996</v>
      </c>
      <c r="E243" s="91">
        <f>(7.314)*10.764</f>
        <v>78.727896000000001</v>
      </c>
      <c r="F243" s="91">
        <f>D243+E243</f>
        <v>973.89442799999995</v>
      </c>
      <c r="G243" s="91">
        <v>0</v>
      </c>
      <c r="H243" s="91">
        <f>F243*(($H$154)+1)+(IF(G243&lt;101,G243,IF(G243&lt;201,G243/2,IF(G243&lt;=301,G243/3,G243/4))))</f>
        <v>1460.8416419999999</v>
      </c>
      <c r="I243" s="36"/>
      <c r="L243" s="109"/>
      <c r="M243" s="109"/>
      <c r="N243" s="36"/>
      <c r="T243" s="21"/>
    </row>
    <row r="244" spans="1:20" s="37" customFormat="1" ht="15.75" customHeight="1" x14ac:dyDescent="0.25">
      <c r="A244" s="98">
        <f t="shared" ref="A244:A245" si="55">A243+1</f>
        <v>5</v>
      </c>
      <c r="B244" s="98"/>
      <c r="C244" s="91" t="s">
        <v>387</v>
      </c>
      <c r="D244" s="91">
        <f>(100.807)*10.764</f>
        <v>1085.086548</v>
      </c>
      <c r="E244" s="91">
        <f>(13.734)*10.764</f>
        <v>147.832776</v>
      </c>
      <c r="F244" s="91">
        <f t="shared" ref="F244:F245" si="56">D244+E244</f>
        <v>1232.919324</v>
      </c>
      <c r="G244" s="91">
        <v>0</v>
      </c>
      <c r="H244" s="91">
        <f t="shared" ref="H244:H245" si="57">F244*(($H$154)+1)+(IF(G244&lt;101,G244,IF(G244&lt;201,G244/2,IF(G244&lt;=301,G244/3,G244/4))))</f>
        <v>1849.3789859999999</v>
      </c>
      <c r="I244" s="36"/>
      <c r="L244" s="109"/>
      <c r="M244" s="109"/>
      <c r="N244" s="36"/>
      <c r="T244" s="21"/>
    </row>
    <row r="245" spans="1:20" s="37" customFormat="1" ht="15.75" customHeight="1" x14ac:dyDescent="0.25">
      <c r="A245" s="98">
        <f t="shared" si="55"/>
        <v>6</v>
      </c>
      <c r="B245" s="98"/>
      <c r="C245" s="91" t="s">
        <v>387</v>
      </c>
      <c r="D245" s="91">
        <f>(100.807)*10.764</f>
        <v>1085.086548</v>
      </c>
      <c r="E245" s="91">
        <f>(13.734)*10.764</f>
        <v>147.832776</v>
      </c>
      <c r="F245" s="91">
        <f t="shared" si="56"/>
        <v>1232.919324</v>
      </c>
      <c r="G245" s="91">
        <v>0</v>
      </c>
      <c r="H245" s="91">
        <f t="shared" si="57"/>
        <v>1849.3789859999999</v>
      </c>
      <c r="I245" s="36"/>
      <c r="L245" s="109"/>
      <c r="M245" s="109"/>
      <c r="N245" s="36"/>
      <c r="T245" s="21"/>
    </row>
    <row r="246" spans="1:20" s="37" customFormat="1" x14ac:dyDescent="0.25">
      <c r="A246" s="108" t="s">
        <v>405</v>
      </c>
      <c r="B246" s="108"/>
      <c r="C246" s="108"/>
      <c r="D246" s="108"/>
      <c r="E246" s="108"/>
      <c r="F246" s="108"/>
      <c r="G246" s="108"/>
      <c r="H246" s="108"/>
      <c r="J246" s="36"/>
    </row>
    <row r="247" spans="1:20" s="37" customFormat="1" ht="15.75" customHeight="1" x14ac:dyDescent="0.25">
      <c r="A247" s="98">
        <v>1</v>
      </c>
      <c r="B247" s="98"/>
      <c r="C247" s="91" t="s">
        <v>387</v>
      </c>
      <c r="D247" s="91">
        <f>(102.357)*10.764</f>
        <v>1101.7707479999999</v>
      </c>
      <c r="E247" s="91">
        <f>(13.271)*10.764</f>
        <v>142.84904399999999</v>
      </c>
      <c r="F247" s="91">
        <f t="shared" ref="F247:F248" si="58">D247+E247</f>
        <v>1244.619792</v>
      </c>
      <c r="G247" s="91">
        <v>0</v>
      </c>
      <c r="H247" s="91">
        <f t="shared" ref="H247:H248" si="59">F247*(($H$154)+1)+(IF(G247&lt;101,G247,IF(G247&lt;201,G247/2,IF(G247&lt;=301,G247/3,G247/4))))</f>
        <v>1866.9296879999999</v>
      </c>
      <c r="I247" s="36"/>
      <c r="L247" s="109"/>
      <c r="M247" s="109"/>
      <c r="N247" s="36"/>
    </row>
    <row r="248" spans="1:20" s="37" customFormat="1" ht="15.75" customHeight="1" x14ac:dyDescent="0.25">
      <c r="A248" s="98">
        <f>A247+1</f>
        <v>2</v>
      </c>
      <c r="B248" s="98"/>
      <c r="C248" s="91" t="s">
        <v>387</v>
      </c>
      <c r="D248" s="91">
        <f>(102.357)*10.764</f>
        <v>1101.7707479999999</v>
      </c>
      <c r="E248" s="91">
        <f>(13.271)*10.764</f>
        <v>142.84904399999999</v>
      </c>
      <c r="F248" s="91">
        <f t="shared" si="58"/>
        <v>1244.619792</v>
      </c>
      <c r="G248" s="91">
        <v>0</v>
      </c>
      <c r="H248" s="91">
        <f t="shared" si="59"/>
        <v>1866.9296879999999</v>
      </c>
      <c r="I248" s="36"/>
      <c r="L248" s="109"/>
      <c r="M248" s="109"/>
      <c r="N248" s="36"/>
    </row>
    <row r="249" spans="1:20" s="37" customFormat="1" x14ac:dyDescent="0.25">
      <c r="A249" s="98">
        <f>A248+1</f>
        <v>3</v>
      </c>
      <c r="B249" s="98"/>
      <c r="C249" s="98" t="s">
        <v>390</v>
      </c>
      <c r="D249" s="98"/>
      <c r="E249" s="98"/>
      <c r="F249" s="98"/>
      <c r="G249" s="98"/>
      <c r="H249" s="98"/>
      <c r="I249" s="36"/>
      <c r="L249" s="109"/>
      <c r="M249" s="109"/>
      <c r="N249" s="36"/>
    </row>
    <row r="250" spans="1:20" s="37" customFormat="1" ht="15.75" customHeight="1" x14ac:dyDescent="0.25">
      <c r="A250" s="98">
        <f>A249+1</f>
        <v>4</v>
      </c>
      <c r="B250" s="98"/>
      <c r="C250" s="98"/>
      <c r="D250" s="98"/>
      <c r="E250" s="98"/>
      <c r="F250" s="98"/>
      <c r="G250" s="98"/>
      <c r="H250" s="98"/>
      <c r="I250" s="36"/>
      <c r="L250" s="109"/>
      <c r="M250" s="109"/>
      <c r="N250" s="36"/>
      <c r="T250" s="21"/>
    </row>
    <row r="251" spans="1:20" s="37" customFormat="1" ht="15.75" customHeight="1" x14ac:dyDescent="0.25">
      <c r="A251" s="105">
        <f t="shared" ref="A251:A252" si="60">A250+1</f>
        <v>5</v>
      </c>
      <c r="B251" s="107"/>
      <c r="C251" s="42" t="s">
        <v>387</v>
      </c>
      <c r="D251" s="42">
        <f>(100.807)*10.764</f>
        <v>1085.086548</v>
      </c>
      <c r="E251" s="42">
        <f>(13.734)*10.764</f>
        <v>147.832776</v>
      </c>
      <c r="F251" s="42">
        <f t="shared" ref="F251:F252" si="61">D251+E251</f>
        <v>1232.919324</v>
      </c>
      <c r="G251" s="42">
        <v>0</v>
      </c>
      <c r="H251" s="42">
        <f t="shared" ref="H251:H252" si="62">F251*(($H$154)+1)+(IF(G251&lt;101,G251,IF(G251&lt;201,G251/2,IF(G251&lt;=301,G251/3,G251/4))))</f>
        <v>1849.3789859999999</v>
      </c>
      <c r="I251" s="36"/>
      <c r="L251" s="109"/>
      <c r="M251" s="109"/>
      <c r="N251" s="36"/>
      <c r="T251" s="21"/>
    </row>
    <row r="252" spans="1:20" s="37" customFormat="1" ht="15.75" customHeight="1" x14ac:dyDescent="0.25">
      <c r="A252" s="105">
        <f t="shared" si="60"/>
        <v>6</v>
      </c>
      <c r="B252" s="107"/>
      <c r="C252" s="42" t="s">
        <v>387</v>
      </c>
      <c r="D252" s="42">
        <f>(100.807)*10.764</f>
        <v>1085.086548</v>
      </c>
      <c r="E252" s="42">
        <f>(13.734)*10.764</f>
        <v>147.832776</v>
      </c>
      <c r="F252" s="42">
        <f t="shared" si="61"/>
        <v>1232.919324</v>
      </c>
      <c r="G252" s="42">
        <v>0</v>
      </c>
      <c r="H252" s="42">
        <f t="shared" si="62"/>
        <v>1849.3789859999999</v>
      </c>
      <c r="I252" s="36"/>
      <c r="L252" s="109"/>
      <c r="M252" s="109"/>
      <c r="N252" s="36"/>
      <c r="T252" s="21"/>
    </row>
    <row r="253" spans="1:20" s="37" customFormat="1" x14ac:dyDescent="0.25">
      <c r="A253" s="95" t="s">
        <v>406</v>
      </c>
      <c r="B253" s="96"/>
      <c r="C253" s="96"/>
      <c r="D253" s="96"/>
      <c r="E253" s="96"/>
      <c r="F253" s="96"/>
      <c r="G253" s="96"/>
      <c r="H253" s="97"/>
      <c r="J253" s="36"/>
    </row>
    <row r="254" spans="1:20" s="37" customFormat="1" ht="15.75" customHeight="1" x14ac:dyDescent="0.25">
      <c r="A254" s="105">
        <v>1</v>
      </c>
      <c r="B254" s="107"/>
      <c r="C254" s="42" t="s">
        <v>387</v>
      </c>
      <c r="D254" s="42">
        <f>(102.357)*10.764</f>
        <v>1101.7707479999999</v>
      </c>
      <c r="E254" s="42">
        <f>(13.271)*10.764</f>
        <v>142.84904399999999</v>
      </c>
      <c r="F254" s="42">
        <f t="shared" ref="F254:F255" si="63">D254+E254</f>
        <v>1244.619792</v>
      </c>
      <c r="G254" s="42">
        <v>0</v>
      </c>
      <c r="H254" s="42">
        <f t="shared" ref="H254:H255" si="64">F254*(($H$154)+1)+(IF(G254&lt;101,G254,IF(G254&lt;201,G254/2,IF(G254&lt;=301,G254/3,G254/4))))</f>
        <v>1866.9296879999999</v>
      </c>
      <c r="I254" s="36"/>
      <c r="L254" s="109"/>
      <c r="M254" s="109"/>
      <c r="N254" s="36"/>
    </row>
    <row r="255" spans="1:20" s="37" customFormat="1" ht="15.75" customHeight="1" x14ac:dyDescent="0.25">
      <c r="A255" s="105">
        <f>A254+1</f>
        <v>2</v>
      </c>
      <c r="B255" s="107"/>
      <c r="C255" s="42" t="s">
        <v>387</v>
      </c>
      <c r="D255" s="42">
        <f>(102.357)*10.764</f>
        <v>1101.7707479999999</v>
      </c>
      <c r="E255" s="42">
        <f>(13.271)*10.764</f>
        <v>142.84904399999999</v>
      </c>
      <c r="F255" s="42">
        <f t="shared" si="63"/>
        <v>1244.619792</v>
      </c>
      <c r="G255" s="42">
        <v>0</v>
      </c>
      <c r="H255" s="42">
        <f t="shared" si="64"/>
        <v>1866.9296879999999</v>
      </c>
      <c r="I255" s="36"/>
      <c r="L255" s="109"/>
      <c r="M255" s="109"/>
      <c r="N255" s="36"/>
    </row>
    <row r="256" spans="1:20" s="37" customFormat="1" x14ac:dyDescent="0.25">
      <c r="A256" s="105">
        <f>A255+1</f>
        <v>3</v>
      </c>
      <c r="B256" s="107"/>
      <c r="C256" s="42" t="s">
        <v>387</v>
      </c>
      <c r="D256" s="42">
        <f>(83.163)*10.764</f>
        <v>895.16653199999996</v>
      </c>
      <c r="E256" s="42">
        <f>(7.314)*10.764</f>
        <v>78.727896000000001</v>
      </c>
      <c r="F256" s="42">
        <f>D256+E256</f>
        <v>973.89442799999995</v>
      </c>
      <c r="G256" s="42">
        <v>0</v>
      </c>
      <c r="H256" s="42">
        <f>F256*(($H$154)+1)+(IF(G256&lt;101,G256,IF(G256&lt;201,G256/2,IF(G256&lt;=301,G256/3,G256/4))))</f>
        <v>1460.8416419999999</v>
      </c>
      <c r="I256" s="36"/>
      <c r="L256" s="109"/>
      <c r="M256" s="109"/>
      <c r="N256" s="36"/>
    </row>
    <row r="257" spans="1:20" s="37" customFormat="1" ht="15.75" customHeight="1" x14ac:dyDescent="0.25">
      <c r="A257" s="105">
        <f>A256+1</f>
        <v>4</v>
      </c>
      <c r="B257" s="107"/>
      <c r="C257" s="42" t="s">
        <v>387</v>
      </c>
      <c r="D257" s="42">
        <f>(83.163)*10.764</f>
        <v>895.16653199999996</v>
      </c>
      <c r="E257" s="42">
        <f>(7.314)*10.764</f>
        <v>78.727896000000001</v>
      </c>
      <c r="F257" s="42">
        <f>D257+E257</f>
        <v>973.89442799999995</v>
      </c>
      <c r="G257" s="42">
        <v>0</v>
      </c>
      <c r="H257" s="42">
        <f>F257*(($H$154)+1)+(IF(G257&lt;101,G257,IF(G257&lt;201,G257/2,IF(G257&lt;=301,G257/3,G257/4))))</f>
        <v>1460.8416419999999</v>
      </c>
      <c r="I257" s="36"/>
      <c r="L257" s="109"/>
      <c r="M257" s="109"/>
      <c r="N257" s="36"/>
      <c r="T257" s="21"/>
    </row>
    <row r="258" spans="1:20" s="37" customFormat="1" ht="15.75" customHeight="1" x14ac:dyDescent="0.25">
      <c r="A258" s="105">
        <f t="shared" ref="A258:A259" si="65">A257+1</f>
        <v>5</v>
      </c>
      <c r="B258" s="107"/>
      <c r="C258" s="42" t="s">
        <v>387</v>
      </c>
      <c r="D258" s="42">
        <f>(100.807)*10.764</f>
        <v>1085.086548</v>
      </c>
      <c r="E258" s="42">
        <f>(13.734)*10.764</f>
        <v>147.832776</v>
      </c>
      <c r="F258" s="42">
        <f t="shared" ref="F258:F259" si="66">D258+E258</f>
        <v>1232.919324</v>
      </c>
      <c r="G258" s="42">
        <v>0</v>
      </c>
      <c r="H258" s="42">
        <f t="shared" ref="H258:H259" si="67">F258*(($H$154)+1)+(IF(G258&lt;101,G258,IF(G258&lt;201,G258/2,IF(G258&lt;=301,G258/3,G258/4))))</f>
        <v>1849.3789859999999</v>
      </c>
      <c r="I258" s="36"/>
      <c r="L258" s="109"/>
      <c r="M258" s="109"/>
      <c r="N258" s="36"/>
      <c r="T258" s="21"/>
    </row>
    <row r="259" spans="1:20" s="37" customFormat="1" ht="15.75" customHeight="1" x14ac:dyDescent="0.25">
      <c r="A259" s="105">
        <f t="shared" si="65"/>
        <v>6</v>
      </c>
      <c r="B259" s="107"/>
      <c r="C259" s="42" t="s">
        <v>387</v>
      </c>
      <c r="D259" s="42">
        <f>(100.807)*10.764</f>
        <v>1085.086548</v>
      </c>
      <c r="E259" s="42">
        <f>(13.734)*10.764</f>
        <v>147.832776</v>
      </c>
      <c r="F259" s="42">
        <f t="shared" si="66"/>
        <v>1232.919324</v>
      </c>
      <c r="G259" s="42">
        <v>0</v>
      </c>
      <c r="H259" s="42">
        <f t="shared" si="67"/>
        <v>1849.3789859999999</v>
      </c>
      <c r="I259" s="36"/>
      <c r="L259" s="109"/>
      <c r="M259" s="109"/>
      <c r="N259" s="36"/>
      <c r="T259" s="21"/>
    </row>
    <row r="260" spans="1:20" s="37" customFormat="1" x14ac:dyDescent="0.25">
      <c r="A260" s="95" t="s">
        <v>407</v>
      </c>
      <c r="B260" s="96"/>
      <c r="C260" s="96"/>
      <c r="D260" s="96"/>
      <c r="E260" s="96"/>
      <c r="F260" s="96"/>
      <c r="G260" s="96"/>
      <c r="H260" s="97"/>
      <c r="J260" s="36"/>
    </row>
    <row r="261" spans="1:20" s="37" customFormat="1" ht="15.75" customHeight="1" x14ac:dyDescent="0.25">
      <c r="A261" s="105">
        <v>1</v>
      </c>
      <c r="B261" s="107"/>
      <c r="C261" s="42" t="s">
        <v>387</v>
      </c>
      <c r="D261" s="42">
        <f>(102.357)*10.764</f>
        <v>1101.7707479999999</v>
      </c>
      <c r="E261" s="42">
        <f>(13.271)*10.764</f>
        <v>142.84904399999999</v>
      </c>
      <c r="F261" s="42">
        <f t="shared" ref="F261:F262" si="68">D261+E261</f>
        <v>1244.619792</v>
      </c>
      <c r="G261" s="42">
        <v>0</v>
      </c>
      <c r="H261" s="42">
        <f t="shared" ref="H261:H262" si="69">F261*(($H$154)+1)+(IF(G261&lt;101,G261,IF(G261&lt;201,G261/2,IF(G261&lt;=301,G261/3,G261/4))))</f>
        <v>1866.9296879999999</v>
      </c>
      <c r="I261" s="36"/>
      <c r="L261" s="109"/>
      <c r="M261" s="109"/>
      <c r="N261" s="36"/>
    </row>
    <row r="262" spans="1:20" s="37" customFormat="1" ht="15.75" customHeight="1" x14ac:dyDescent="0.25">
      <c r="A262" s="105">
        <f>A261+1</f>
        <v>2</v>
      </c>
      <c r="B262" s="107"/>
      <c r="C262" s="42" t="s">
        <v>387</v>
      </c>
      <c r="D262" s="42">
        <f>(102.357)*10.764</f>
        <v>1101.7707479999999</v>
      </c>
      <c r="E262" s="42">
        <f>(13.271)*10.764</f>
        <v>142.84904399999999</v>
      </c>
      <c r="F262" s="42">
        <f t="shared" si="68"/>
        <v>1244.619792</v>
      </c>
      <c r="G262" s="42">
        <v>0</v>
      </c>
      <c r="H262" s="42">
        <f t="shared" si="69"/>
        <v>1866.9296879999999</v>
      </c>
      <c r="I262" s="36"/>
      <c r="L262" s="109"/>
      <c r="M262" s="109"/>
      <c r="N262" s="36"/>
    </row>
    <row r="263" spans="1:20" s="37" customFormat="1" x14ac:dyDescent="0.25">
      <c r="A263" s="105">
        <f>A262+1</f>
        <v>3</v>
      </c>
      <c r="B263" s="107"/>
      <c r="C263" s="42" t="s">
        <v>387</v>
      </c>
      <c r="D263" s="42">
        <f>(83.163)*10.764</f>
        <v>895.16653199999996</v>
      </c>
      <c r="E263" s="42">
        <f>(7.314)*10.764</f>
        <v>78.727896000000001</v>
      </c>
      <c r="F263" s="42">
        <f>D263+E263</f>
        <v>973.89442799999995</v>
      </c>
      <c r="G263" s="42">
        <v>0</v>
      </c>
      <c r="H263" s="42">
        <f>F263*(($H$154)+1)+(IF(G263&lt;101,G263,IF(G263&lt;201,G263/2,IF(G263&lt;=301,G263/3,G263/4))))</f>
        <v>1460.8416419999999</v>
      </c>
      <c r="I263" s="36"/>
      <c r="L263" s="109"/>
      <c r="M263" s="109"/>
      <c r="N263" s="36"/>
    </row>
    <row r="264" spans="1:20" s="37" customFormat="1" ht="15.75" customHeight="1" x14ac:dyDescent="0.25">
      <c r="A264" s="105">
        <f>A263+1</f>
        <v>4</v>
      </c>
      <c r="B264" s="107"/>
      <c r="C264" s="42" t="s">
        <v>387</v>
      </c>
      <c r="D264" s="42">
        <f>(83.163)*10.764</f>
        <v>895.16653199999996</v>
      </c>
      <c r="E264" s="42">
        <f>(7.314)*10.764</f>
        <v>78.727896000000001</v>
      </c>
      <c r="F264" s="42">
        <f>D264+E264</f>
        <v>973.89442799999995</v>
      </c>
      <c r="G264" s="42">
        <v>0</v>
      </c>
      <c r="H264" s="42">
        <f>F264*(($H$154)+1)+(IF(G264&lt;101,G264,IF(G264&lt;201,G264/2,IF(G264&lt;=301,G264/3,G264/4))))</f>
        <v>1460.8416419999999</v>
      </c>
      <c r="I264" s="36"/>
      <c r="L264" s="109"/>
      <c r="M264" s="109"/>
      <c r="N264" s="36"/>
      <c r="T264" s="21"/>
    </row>
    <row r="265" spans="1:20" s="37" customFormat="1" ht="15.75" customHeight="1" x14ac:dyDescent="0.25">
      <c r="A265" s="105">
        <f t="shared" ref="A265:A266" si="70">A264+1</f>
        <v>5</v>
      </c>
      <c r="B265" s="107"/>
      <c r="C265" s="42" t="s">
        <v>387</v>
      </c>
      <c r="D265" s="42">
        <f>(100.807)*10.764</f>
        <v>1085.086548</v>
      </c>
      <c r="E265" s="42">
        <f>(13.734)*10.764</f>
        <v>147.832776</v>
      </c>
      <c r="F265" s="42">
        <f t="shared" ref="F265:F266" si="71">D265+E265</f>
        <v>1232.919324</v>
      </c>
      <c r="G265" s="42">
        <v>0</v>
      </c>
      <c r="H265" s="42">
        <f t="shared" ref="H265:H266" si="72">F265*(($H$154)+1)+(IF(G265&lt;101,G265,IF(G265&lt;201,G265/2,IF(G265&lt;=301,G265/3,G265/4))))</f>
        <v>1849.3789859999999</v>
      </c>
      <c r="I265" s="36"/>
      <c r="L265" s="109"/>
      <c r="M265" s="109"/>
      <c r="N265" s="36"/>
      <c r="T265" s="21"/>
    </row>
    <row r="266" spans="1:20" s="37" customFormat="1" ht="15.75" customHeight="1" x14ac:dyDescent="0.25">
      <c r="A266" s="105">
        <f t="shared" si="70"/>
        <v>6</v>
      </c>
      <c r="B266" s="107"/>
      <c r="C266" s="42" t="s">
        <v>387</v>
      </c>
      <c r="D266" s="42">
        <f>(100.807)*10.764</f>
        <v>1085.086548</v>
      </c>
      <c r="E266" s="42">
        <f>(13.734)*10.764</f>
        <v>147.832776</v>
      </c>
      <c r="F266" s="42">
        <f t="shared" si="71"/>
        <v>1232.919324</v>
      </c>
      <c r="G266" s="42">
        <v>0</v>
      </c>
      <c r="H266" s="42">
        <f t="shared" si="72"/>
        <v>1849.3789859999999</v>
      </c>
      <c r="I266" s="36"/>
      <c r="L266" s="109"/>
      <c r="M266" s="109"/>
      <c r="N266" s="36"/>
      <c r="T266" s="21"/>
    </row>
    <row r="267" spans="1:20" s="37" customFormat="1" x14ac:dyDescent="0.25">
      <c r="A267" s="95" t="s">
        <v>408</v>
      </c>
      <c r="B267" s="96"/>
      <c r="C267" s="96"/>
      <c r="D267" s="96"/>
      <c r="E267" s="96"/>
      <c r="F267" s="96"/>
      <c r="G267" s="96"/>
      <c r="H267" s="97"/>
      <c r="J267" s="36"/>
    </row>
    <row r="268" spans="1:20" s="37" customFormat="1" ht="15.75" customHeight="1" x14ac:dyDescent="0.25">
      <c r="A268" s="105">
        <v>1</v>
      </c>
      <c r="B268" s="107"/>
      <c r="C268" s="42" t="s">
        <v>387</v>
      </c>
      <c r="D268" s="42">
        <f>(102.357)*10.764</f>
        <v>1101.7707479999999</v>
      </c>
      <c r="E268" s="42">
        <f>(13.271)*10.764</f>
        <v>142.84904399999999</v>
      </c>
      <c r="F268" s="42">
        <f t="shared" ref="F268:F269" si="73">D268+E268</f>
        <v>1244.619792</v>
      </c>
      <c r="G268" s="42">
        <v>0</v>
      </c>
      <c r="H268" s="42">
        <f t="shared" ref="H268:H269" si="74">F268*(($H$154)+1)+(IF(G268&lt;101,G268,IF(G268&lt;201,G268/2,IF(G268&lt;=301,G268/3,G268/4))))</f>
        <v>1866.9296879999999</v>
      </c>
      <c r="I268" s="36"/>
      <c r="L268" s="109"/>
      <c r="M268" s="109"/>
      <c r="N268" s="36"/>
    </row>
    <row r="269" spans="1:20" s="37" customFormat="1" ht="15.75" customHeight="1" x14ac:dyDescent="0.25">
      <c r="A269" s="105">
        <f>A268+1</f>
        <v>2</v>
      </c>
      <c r="B269" s="107"/>
      <c r="C269" s="42" t="s">
        <v>387</v>
      </c>
      <c r="D269" s="42">
        <f>(102.357)*10.764</f>
        <v>1101.7707479999999</v>
      </c>
      <c r="E269" s="42">
        <f>(13.271)*10.764</f>
        <v>142.84904399999999</v>
      </c>
      <c r="F269" s="42">
        <f t="shared" si="73"/>
        <v>1244.619792</v>
      </c>
      <c r="G269" s="42">
        <v>0</v>
      </c>
      <c r="H269" s="42">
        <f t="shared" si="74"/>
        <v>1866.9296879999999</v>
      </c>
      <c r="I269" s="36"/>
      <c r="L269" s="109"/>
      <c r="M269" s="109"/>
      <c r="N269" s="36"/>
    </row>
    <row r="270" spans="1:20" s="37" customFormat="1" x14ac:dyDescent="0.25">
      <c r="A270" s="105">
        <f>A269+1</f>
        <v>3</v>
      </c>
      <c r="B270" s="107"/>
      <c r="C270" s="99" t="s">
        <v>390</v>
      </c>
      <c r="D270" s="100"/>
      <c r="E270" s="100"/>
      <c r="F270" s="100"/>
      <c r="G270" s="100"/>
      <c r="H270" s="101"/>
      <c r="I270" s="36"/>
      <c r="L270" s="109"/>
      <c r="M270" s="109"/>
      <c r="N270" s="36"/>
    </row>
    <row r="271" spans="1:20" s="37" customFormat="1" ht="15.75" customHeight="1" x14ac:dyDescent="0.25">
      <c r="A271" s="105">
        <f>A270+1</f>
        <v>4</v>
      </c>
      <c r="B271" s="107"/>
      <c r="C271" s="102"/>
      <c r="D271" s="103"/>
      <c r="E271" s="103"/>
      <c r="F271" s="103"/>
      <c r="G271" s="103"/>
      <c r="H271" s="104"/>
      <c r="I271" s="36"/>
      <c r="L271" s="109"/>
      <c r="M271" s="109"/>
      <c r="N271" s="36"/>
      <c r="T271" s="21"/>
    </row>
    <row r="272" spans="1:20" s="37" customFormat="1" ht="15.75" customHeight="1" x14ac:dyDescent="0.25">
      <c r="A272" s="105">
        <f t="shared" ref="A272:A273" si="75">A271+1</f>
        <v>5</v>
      </c>
      <c r="B272" s="107"/>
      <c r="C272" s="42" t="s">
        <v>387</v>
      </c>
      <c r="D272" s="42">
        <f>(100.807)*10.764</f>
        <v>1085.086548</v>
      </c>
      <c r="E272" s="42">
        <f>(13.734)*10.764</f>
        <v>147.832776</v>
      </c>
      <c r="F272" s="42">
        <f t="shared" ref="F272:F273" si="76">D272+E272</f>
        <v>1232.919324</v>
      </c>
      <c r="G272" s="42">
        <v>0</v>
      </c>
      <c r="H272" s="42">
        <f t="shared" ref="H272:H273" si="77">F272*(($H$154)+1)+(IF(G272&lt;101,G272,IF(G272&lt;201,G272/2,IF(G272&lt;=301,G272/3,G272/4))))</f>
        <v>1849.3789859999999</v>
      </c>
      <c r="I272" s="36"/>
      <c r="L272" s="109"/>
      <c r="M272" s="109"/>
      <c r="N272" s="36"/>
      <c r="T272" s="21"/>
    </row>
    <row r="273" spans="1:20" s="37" customFormat="1" ht="15.75" customHeight="1" x14ac:dyDescent="0.25">
      <c r="A273" s="105">
        <f t="shared" si="75"/>
        <v>6</v>
      </c>
      <c r="B273" s="107"/>
      <c r="C273" s="42" t="s">
        <v>387</v>
      </c>
      <c r="D273" s="42">
        <f>(100.807)*10.764</f>
        <v>1085.086548</v>
      </c>
      <c r="E273" s="42">
        <f>(13.734)*10.764</f>
        <v>147.832776</v>
      </c>
      <c r="F273" s="42">
        <f t="shared" si="76"/>
        <v>1232.919324</v>
      </c>
      <c r="G273" s="42">
        <v>0</v>
      </c>
      <c r="H273" s="42">
        <f t="shared" si="77"/>
        <v>1849.3789859999999</v>
      </c>
      <c r="I273" s="36"/>
      <c r="L273" s="109"/>
      <c r="M273" s="109"/>
      <c r="N273" s="36"/>
      <c r="T273" s="21"/>
    </row>
    <row r="274" spans="1:20" s="37" customFormat="1" x14ac:dyDescent="0.25">
      <c r="A274" s="95" t="s">
        <v>409</v>
      </c>
      <c r="B274" s="96"/>
      <c r="C274" s="96"/>
      <c r="D274" s="96"/>
      <c r="E274" s="96"/>
      <c r="F274" s="96"/>
      <c r="G274" s="96"/>
      <c r="H274" s="97"/>
      <c r="J274" s="36"/>
    </row>
    <row r="275" spans="1:20" s="37" customFormat="1" ht="15.75" customHeight="1" x14ac:dyDescent="0.25">
      <c r="A275" s="105">
        <v>1</v>
      </c>
      <c r="B275" s="107"/>
      <c r="C275" s="42" t="s">
        <v>387</v>
      </c>
      <c r="D275" s="42">
        <f>(102.357)*10.764</f>
        <v>1101.7707479999999</v>
      </c>
      <c r="E275" s="42">
        <f>(13.271)*10.764</f>
        <v>142.84904399999999</v>
      </c>
      <c r="F275" s="42">
        <f t="shared" ref="F275:F276" si="78">D275+E275</f>
        <v>1244.619792</v>
      </c>
      <c r="G275" s="42">
        <v>0</v>
      </c>
      <c r="H275" s="42">
        <f t="shared" ref="H275:H276" si="79">F275*(($H$154)+1)+(IF(G275&lt;101,G275,IF(G275&lt;201,G275/2,IF(G275&lt;=301,G275/3,G275/4))))</f>
        <v>1866.9296879999999</v>
      </c>
      <c r="I275" s="36"/>
      <c r="L275" s="109"/>
      <c r="M275" s="109"/>
      <c r="N275" s="36"/>
    </row>
    <row r="276" spans="1:20" s="37" customFormat="1" ht="15.75" customHeight="1" x14ac:dyDescent="0.25">
      <c r="A276" s="105">
        <f>A275+1</f>
        <v>2</v>
      </c>
      <c r="B276" s="107"/>
      <c r="C276" s="42" t="s">
        <v>387</v>
      </c>
      <c r="D276" s="42">
        <f>(102.357)*10.764</f>
        <v>1101.7707479999999</v>
      </c>
      <c r="E276" s="42">
        <f>(13.271)*10.764</f>
        <v>142.84904399999999</v>
      </c>
      <c r="F276" s="42">
        <f t="shared" si="78"/>
        <v>1244.619792</v>
      </c>
      <c r="G276" s="42">
        <v>0</v>
      </c>
      <c r="H276" s="42">
        <f t="shared" si="79"/>
        <v>1866.9296879999999</v>
      </c>
      <c r="I276" s="36"/>
      <c r="L276" s="109"/>
      <c r="M276" s="109"/>
      <c r="N276" s="36"/>
    </row>
    <row r="277" spans="1:20" s="37" customFormat="1" x14ac:dyDescent="0.25">
      <c r="A277" s="105">
        <f>A276+1</f>
        <v>3</v>
      </c>
      <c r="B277" s="107"/>
      <c r="C277" s="42" t="s">
        <v>387</v>
      </c>
      <c r="D277" s="42">
        <f>(83.163)*10.764</f>
        <v>895.16653199999996</v>
      </c>
      <c r="E277" s="42">
        <f>(7.314)*10.764</f>
        <v>78.727896000000001</v>
      </c>
      <c r="F277" s="42">
        <f>D277+E277</f>
        <v>973.89442799999995</v>
      </c>
      <c r="G277" s="42">
        <v>0</v>
      </c>
      <c r="H277" s="42">
        <f>F277*(($H$154)+1)+(IF(G277&lt;101,G277,IF(G277&lt;201,G277/2,IF(G277&lt;=301,G277/3,G277/4))))</f>
        <v>1460.8416419999999</v>
      </c>
      <c r="I277" s="36"/>
      <c r="L277" s="109"/>
      <c r="M277" s="109"/>
      <c r="N277" s="36"/>
    </row>
    <row r="278" spans="1:20" s="37" customFormat="1" ht="15.75" customHeight="1" x14ac:dyDescent="0.25">
      <c r="A278" s="105">
        <f>A277+1</f>
        <v>4</v>
      </c>
      <c r="B278" s="107"/>
      <c r="C278" s="42" t="s">
        <v>387</v>
      </c>
      <c r="D278" s="42">
        <f>(83.163)*10.764</f>
        <v>895.16653199999996</v>
      </c>
      <c r="E278" s="42">
        <f>(7.314)*10.764</f>
        <v>78.727896000000001</v>
      </c>
      <c r="F278" s="42">
        <f>D278+E278</f>
        <v>973.89442799999995</v>
      </c>
      <c r="G278" s="42">
        <v>0</v>
      </c>
      <c r="H278" s="42">
        <f>F278*(($H$154)+1)+(IF(G278&lt;101,G278,IF(G278&lt;201,G278/2,IF(G278&lt;=301,G278/3,G278/4))))</f>
        <v>1460.8416419999999</v>
      </c>
      <c r="I278" s="36"/>
      <c r="L278" s="109"/>
      <c r="M278" s="109"/>
      <c r="N278" s="36"/>
      <c r="T278" s="21"/>
    </row>
    <row r="279" spans="1:20" s="37" customFormat="1" ht="15.75" customHeight="1" x14ac:dyDescent="0.25">
      <c r="A279" s="105">
        <f t="shared" ref="A279:A280" si="80">A278+1</f>
        <v>5</v>
      </c>
      <c r="B279" s="107"/>
      <c r="C279" s="42" t="s">
        <v>387</v>
      </c>
      <c r="D279" s="42">
        <f>(100.807)*10.764</f>
        <v>1085.086548</v>
      </c>
      <c r="E279" s="42">
        <f>(13.734)*10.764</f>
        <v>147.832776</v>
      </c>
      <c r="F279" s="42">
        <f t="shared" ref="F279:F280" si="81">D279+E279</f>
        <v>1232.919324</v>
      </c>
      <c r="G279" s="42">
        <v>0</v>
      </c>
      <c r="H279" s="42">
        <f t="shared" ref="H279:H280" si="82">F279*(($H$154)+1)+(IF(G279&lt;101,G279,IF(G279&lt;201,G279/2,IF(G279&lt;=301,G279/3,G279/4))))</f>
        <v>1849.3789859999999</v>
      </c>
      <c r="I279" s="36"/>
      <c r="L279" s="109"/>
      <c r="M279" s="109"/>
      <c r="N279" s="36"/>
      <c r="T279" s="21"/>
    </row>
    <row r="280" spans="1:20" s="37" customFormat="1" ht="15.75" customHeight="1" x14ac:dyDescent="0.25">
      <c r="A280" s="105">
        <f t="shared" si="80"/>
        <v>6</v>
      </c>
      <c r="B280" s="107"/>
      <c r="C280" s="42" t="s">
        <v>387</v>
      </c>
      <c r="D280" s="42">
        <f>(100.807)*10.764</f>
        <v>1085.086548</v>
      </c>
      <c r="E280" s="42">
        <f>(13.734)*10.764</f>
        <v>147.832776</v>
      </c>
      <c r="F280" s="42">
        <f t="shared" si="81"/>
        <v>1232.919324</v>
      </c>
      <c r="G280" s="42">
        <v>0</v>
      </c>
      <c r="H280" s="42">
        <f t="shared" si="82"/>
        <v>1849.3789859999999</v>
      </c>
      <c r="I280" s="36"/>
      <c r="L280" s="109"/>
      <c r="M280" s="109"/>
      <c r="N280" s="36"/>
      <c r="T280" s="21"/>
    </row>
    <row r="281" spans="1:20" s="37" customFormat="1" x14ac:dyDescent="0.25">
      <c r="A281" s="95" t="s">
        <v>410</v>
      </c>
      <c r="B281" s="96"/>
      <c r="C281" s="96"/>
      <c r="D281" s="96"/>
      <c r="E281" s="96"/>
      <c r="F281" s="96"/>
      <c r="G281" s="96"/>
      <c r="H281" s="97"/>
      <c r="J281" s="36"/>
    </row>
    <row r="282" spans="1:20" s="37" customFormat="1" ht="15.75" customHeight="1" x14ac:dyDescent="0.25">
      <c r="A282" s="105">
        <v>1</v>
      </c>
      <c r="B282" s="107"/>
      <c r="C282" s="42" t="s">
        <v>387</v>
      </c>
      <c r="D282" s="42">
        <f>(102.357)*10.764</f>
        <v>1101.7707479999999</v>
      </c>
      <c r="E282" s="42">
        <f>(13.271)*10.764</f>
        <v>142.84904399999999</v>
      </c>
      <c r="F282" s="42">
        <f t="shared" ref="F282:F283" si="83">D282+E282</f>
        <v>1244.619792</v>
      </c>
      <c r="G282" s="42">
        <v>0</v>
      </c>
      <c r="H282" s="42">
        <f t="shared" ref="H282:H283" si="84">F282*(($H$154)+1)+(IF(G282&lt;101,G282,IF(G282&lt;201,G282/2,IF(G282&lt;=301,G282/3,G282/4))))</f>
        <v>1866.9296879999999</v>
      </c>
      <c r="I282" s="36"/>
      <c r="L282" s="109"/>
      <c r="M282" s="109"/>
      <c r="N282" s="36"/>
    </row>
    <row r="283" spans="1:20" s="37" customFormat="1" ht="15.75" customHeight="1" x14ac:dyDescent="0.25">
      <c r="A283" s="105">
        <f>A282+1</f>
        <v>2</v>
      </c>
      <c r="B283" s="107"/>
      <c r="C283" s="42" t="s">
        <v>387</v>
      </c>
      <c r="D283" s="42">
        <f>(102.357)*10.764</f>
        <v>1101.7707479999999</v>
      </c>
      <c r="E283" s="42">
        <f>(13.271)*10.764</f>
        <v>142.84904399999999</v>
      </c>
      <c r="F283" s="42">
        <f t="shared" si="83"/>
        <v>1244.619792</v>
      </c>
      <c r="G283" s="42">
        <v>0</v>
      </c>
      <c r="H283" s="42">
        <f t="shared" si="84"/>
        <v>1866.9296879999999</v>
      </c>
      <c r="I283" s="36"/>
      <c r="L283" s="109"/>
      <c r="M283" s="109"/>
      <c r="N283" s="36"/>
    </row>
    <row r="284" spans="1:20" s="37" customFormat="1" x14ac:dyDescent="0.25">
      <c r="A284" s="105">
        <f>A283+1</f>
        <v>3</v>
      </c>
      <c r="B284" s="107"/>
      <c r="C284" s="42" t="s">
        <v>387</v>
      </c>
      <c r="D284" s="42">
        <f>(83.163)*10.764</f>
        <v>895.16653199999996</v>
      </c>
      <c r="E284" s="42">
        <f>(7.314)*10.764</f>
        <v>78.727896000000001</v>
      </c>
      <c r="F284" s="42">
        <f>D284+E284</f>
        <v>973.89442799999995</v>
      </c>
      <c r="G284" s="42">
        <v>0</v>
      </c>
      <c r="H284" s="42">
        <f>F284*(($H$154)+1)+(IF(G284&lt;101,G284,IF(G284&lt;201,G284/2,IF(G284&lt;=301,G284/3,G284/4))))</f>
        <v>1460.8416419999999</v>
      </c>
      <c r="I284" s="36"/>
      <c r="L284" s="109"/>
      <c r="M284" s="109"/>
      <c r="N284" s="36"/>
    </row>
    <row r="285" spans="1:20" s="37" customFormat="1" ht="15.75" customHeight="1" x14ac:dyDescent="0.25">
      <c r="A285" s="105">
        <f>A284+1</f>
        <v>4</v>
      </c>
      <c r="B285" s="107"/>
      <c r="C285" s="42" t="s">
        <v>387</v>
      </c>
      <c r="D285" s="42">
        <f>(83.163)*10.764</f>
        <v>895.16653199999996</v>
      </c>
      <c r="E285" s="42">
        <f>(7.314)*10.764</f>
        <v>78.727896000000001</v>
      </c>
      <c r="F285" s="42">
        <f>D285+E285</f>
        <v>973.89442799999995</v>
      </c>
      <c r="G285" s="42">
        <v>0</v>
      </c>
      <c r="H285" s="42">
        <f>F285*(($H$154)+1)+(IF(G285&lt;101,G285,IF(G285&lt;201,G285/2,IF(G285&lt;=301,G285/3,G285/4))))</f>
        <v>1460.8416419999999</v>
      </c>
      <c r="I285" s="36"/>
      <c r="L285" s="109"/>
      <c r="M285" s="109"/>
      <c r="N285" s="36"/>
      <c r="T285" s="21"/>
    </row>
    <row r="286" spans="1:20" s="37" customFormat="1" ht="15.75" customHeight="1" x14ac:dyDescent="0.25">
      <c r="A286" s="105">
        <f t="shared" ref="A286:A287" si="85">A285+1</f>
        <v>5</v>
      </c>
      <c r="B286" s="107"/>
      <c r="C286" s="42" t="s">
        <v>387</v>
      </c>
      <c r="D286" s="42">
        <f>(100.807)*10.764</f>
        <v>1085.086548</v>
      </c>
      <c r="E286" s="42">
        <f>(13.734)*10.764</f>
        <v>147.832776</v>
      </c>
      <c r="F286" s="42">
        <f t="shared" ref="F286:F287" si="86">D286+E286</f>
        <v>1232.919324</v>
      </c>
      <c r="G286" s="42">
        <v>0</v>
      </c>
      <c r="H286" s="42">
        <f t="shared" ref="H286:H287" si="87">F286*(($H$154)+1)+(IF(G286&lt;101,G286,IF(G286&lt;201,G286/2,IF(G286&lt;=301,G286/3,G286/4))))</f>
        <v>1849.3789859999999</v>
      </c>
      <c r="I286" s="36"/>
      <c r="L286" s="109"/>
      <c r="M286" s="109"/>
      <c r="N286" s="36"/>
      <c r="T286" s="21"/>
    </row>
    <row r="287" spans="1:20" s="37" customFormat="1" ht="15.75" customHeight="1" x14ac:dyDescent="0.25">
      <c r="A287" s="105">
        <f t="shared" si="85"/>
        <v>6</v>
      </c>
      <c r="B287" s="107"/>
      <c r="C287" s="42" t="s">
        <v>387</v>
      </c>
      <c r="D287" s="42">
        <f>(100.807)*10.764</f>
        <v>1085.086548</v>
      </c>
      <c r="E287" s="42">
        <f>(13.734)*10.764</f>
        <v>147.832776</v>
      </c>
      <c r="F287" s="42">
        <f t="shared" si="86"/>
        <v>1232.919324</v>
      </c>
      <c r="G287" s="42">
        <v>0</v>
      </c>
      <c r="H287" s="42">
        <f t="shared" si="87"/>
        <v>1849.3789859999999</v>
      </c>
      <c r="I287" s="36"/>
      <c r="L287" s="109"/>
      <c r="M287" s="109"/>
      <c r="N287" s="36"/>
      <c r="T287" s="21"/>
    </row>
    <row r="288" spans="1:20" s="37" customFormat="1" x14ac:dyDescent="0.25">
      <c r="A288" s="108" t="s">
        <v>411</v>
      </c>
      <c r="B288" s="108"/>
      <c r="C288" s="108"/>
      <c r="D288" s="108"/>
      <c r="E288" s="108"/>
      <c r="F288" s="108"/>
      <c r="G288" s="108"/>
      <c r="H288" s="108"/>
      <c r="J288" s="36"/>
    </row>
    <row r="289" spans="1:20" s="37" customFormat="1" ht="15.75" customHeight="1" x14ac:dyDescent="0.25">
      <c r="A289" s="98">
        <v>1</v>
      </c>
      <c r="B289" s="98"/>
      <c r="C289" s="91" t="s">
        <v>387</v>
      </c>
      <c r="D289" s="91">
        <f>(102.357)*10.764</f>
        <v>1101.7707479999999</v>
      </c>
      <c r="E289" s="91">
        <f>(13.271)*10.764</f>
        <v>142.84904399999999</v>
      </c>
      <c r="F289" s="91">
        <f t="shared" ref="F289:F290" si="88">D289+E289</f>
        <v>1244.619792</v>
      </c>
      <c r="G289" s="91">
        <v>0</v>
      </c>
      <c r="H289" s="91">
        <f t="shared" ref="H289:H290" si="89">F289*(($H$154)+1)+(IF(G289&lt;101,G289,IF(G289&lt;201,G289/2,IF(G289&lt;=301,G289/3,G289/4))))</f>
        <v>1866.9296879999999</v>
      </c>
      <c r="I289" s="36"/>
      <c r="L289" s="109"/>
      <c r="M289" s="109"/>
      <c r="N289" s="36"/>
    </row>
    <row r="290" spans="1:20" s="37" customFormat="1" ht="15.75" customHeight="1" x14ac:dyDescent="0.25">
      <c r="A290" s="98">
        <f>A289+1</f>
        <v>2</v>
      </c>
      <c r="B290" s="98"/>
      <c r="C290" s="91" t="s">
        <v>387</v>
      </c>
      <c r="D290" s="91">
        <f>(102.357)*10.764</f>
        <v>1101.7707479999999</v>
      </c>
      <c r="E290" s="91">
        <f>(13.271)*10.764</f>
        <v>142.84904399999999</v>
      </c>
      <c r="F290" s="91">
        <f t="shared" si="88"/>
        <v>1244.619792</v>
      </c>
      <c r="G290" s="91">
        <v>0</v>
      </c>
      <c r="H290" s="91">
        <f t="shared" si="89"/>
        <v>1866.9296879999999</v>
      </c>
      <c r="I290" s="36"/>
      <c r="L290" s="109"/>
      <c r="M290" s="109"/>
      <c r="N290" s="36"/>
    </row>
    <row r="291" spans="1:20" s="37" customFormat="1" x14ac:dyDescent="0.25">
      <c r="A291" s="98">
        <f>A290+1</f>
        <v>3</v>
      </c>
      <c r="B291" s="98"/>
      <c r="C291" s="98" t="s">
        <v>390</v>
      </c>
      <c r="D291" s="98"/>
      <c r="E291" s="98"/>
      <c r="F291" s="98"/>
      <c r="G291" s="98"/>
      <c r="H291" s="98"/>
      <c r="I291" s="36"/>
      <c r="L291" s="109"/>
      <c r="M291" s="109"/>
      <c r="N291" s="36"/>
    </row>
    <row r="292" spans="1:20" s="37" customFormat="1" ht="15.75" customHeight="1" x14ac:dyDescent="0.25">
      <c r="A292" s="98">
        <f>A291+1</f>
        <v>4</v>
      </c>
      <c r="B292" s="98"/>
      <c r="C292" s="98"/>
      <c r="D292" s="98"/>
      <c r="E292" s="98"/>
      <c r="F292" s="98"/>
      <c r="G292" s="98"/>
      <c r="H292" s="98"/>
      <c r="I292" s="36"/>
      <c r="L292" s="109"/>
      <c r="M292" s="109"/>
      <c r="N292" s="36"/>
      <c r="T292" s="21"/>
    </row>
    <row r="293" spans="1:20" s="37" customFormat="1" ht="15.75" customHeight="1" x14ac:dyDescent="0.25">
      <c r="A293" s="98">
        <f t="shared" ref="A293:A294" si="90">A292+1</f>
        <v>5</v>
      </c>
      <c r="B293" s="98"/>
      <c r="C293" s="91" t="s">
        <v>387</v>
      </c>
      <c r="D293" s="91">
        <f>(100.807)*10.764</f>
        <v>1085.086548</v>
      </c>
      <c r="E293" s="91">
        <f>(13.734)*10.764</f>
        <v>147.832776</v>
      </c>
      <c r="F293" s="91">
        <f t="shared" ref="F293:F294" si="91">D293+E293</f>
        <v>1232.919324</v>
      </c>
      <c r="G293" s="91">
        <v>0</v>
      </c>
      <c r="H293" s="91">
        <f t="shared" ref="H293:H294" si="92">F293*(($H$154)+1)+(IF(G293&lt;101,G293,IF(G293&lt;201,G293/2,IF(G293&lt;=301,G293/3,G293/4))))</f>
        <v>1849.3789859999999</v>
      </c>
      <c r="I293" s="36"/>
      <c r="L293" s="109"/>
      <c r="M293" s="109"/>
      <c r="N293" s="36"/>
      <c r="T293" s="21"/>
    </row>
    <row r="294" spans="1:20" s="37" customFormat="1" ht="15.75" customHeight="1" x14ac:dyDescent="0.25">
      <c r="A294" s="98">
        <f t="shared" si="90"/>
        <v>6</v>
      </c>
      <c r="B294" s="98"/>
      <c r="C294" s="91" t="s">
        <v>387</v>
      </c>
      <c r="D294" s="91">
        <f>(100.807)*10.764</f>
        <v>1085.086548</v>
      </c>
      <c r="E294" s="91">
        <f>(13.734)*10.764</f>
        <v>147.832776</v>
      </c>
      <c r="F294" s="91">
        <f t="shared" si="91"/>
        <v>1232.919324</v>
      </c>
      <c r="G294" s="91">
        <v>0</v>
      </c>
      <c r="H294" s="91">
        <f t="shared" si="92"/>
        <v>1849.3789859999999</v>
      </c>
      <c r="I294" s="36"/>
      <c r="L294" s="109"/>
      <c r="M294" s="109"/>
      <c r="N294" s="36"/>
      <c r="T294" s="21"/>
    </row>
    <row r="295" spans="1:20" s="37" customFormat="1" x14ac:dyDescent="0.25">
      <c r="A295" s="108" t="s">
        <v>412</v>
      </c>
      <c r="B295" s="108"/>
      <c r="C295" s="108"/>
      <c r="D295" s="108"/>
      <c r="E295" s="108"/>
      <c r="F295" s="108"/>
      <c r="G295" s="108"/>
      <c r="H295" s="108"/>
      <c r="J295" s="36"/>
    </row>
    <row r="296" spans="1:20" s="37" customFormat="1" ht="15.75" customHeight="1" x14ac:dyDescent="0.25">
      <c r="A296" s="98">
        <v>1</v>
      </c>
      <c r="B296" s="98"/>
      <c r="C296" s="91" t="s">
        <v>413</v>
      </c>
      <c r="D296" s="91">
        <f>((7.65*4.32+5.83*1+4.22*1.45+5.73*2.525+3.55*2.59+4.22*4.565+3.375*4.17+4.45*1.2+3.19*2.325+1.625*1+2.35*1.2+3.25*4.12+1.725*1.72+2.08*2.64+3.25*4.22+3.25*1+1.53*1+3.695*3.325+1.625*1.73+3.75*4.27+3.41*2.275+1.525*2.44+1.525*1.525+1.525*2.44+1.625*2.075+1.23*1.675+1.525*2.275+1.525*2.75))*10.764</f>
        <v>2381.7825720000001</v>
      </c>
      <c r="E296" s="91">
        <f>(2.749*2.59+3.35*1.825+14.55*1.825+3.35*1.825+2.695*2.59)*10.764</f>
        <v>569.21334444000001</v>
      </c>
      <c r="F296" s="91">
        <f t="shared" ref="F296" si="93">D296+E296</f>
        <v>2950.9959164400002</v>
      </c>
      <c r="G296" s="91">
        <v>0</v>
      </c>
      <c r="H296" s="91">
        <f t="shared" ref="H296" si="94">F296*(($H$154)+1)+(IF(G296&lt;101,G296,IF(G296&lt;201,G296/2,IF(G296&lt;=301,G296/3,G296/4))))</f>
        <v>4426.4938746600001</v>
      </c>
      <c r="I296" s="36"/>
      <c r="L296" s="109"/>
      <c r="M296" s="109"/>
      <c r="N296" s="36"/>
    </row>
    <row r="297" spans="1:20" s="37" customFormat="1" ht="15.75" customHeight="1" x14ac:dyDescent="0.25">
      <c r="A297" s="98">
        <f>A296+1</f>
        <v>2</v>
      </c>
      <c r="B297" s="98"/>
      <c r="C297" s="98" t="s">
        <v>390</v>
      </c>
      <c r="D297" s="98"/>
      <c r="E297" s="98"/>
      <c r="F297" s="98"/>
      <c r="G297" s="98"/>
      <c r="H297" s="98"/>
      <c r="I297" s="36"/>
      <c r="L297" s="109"/>
      <c r="M297" s="109"/>
      <c r="N297" s="36"/>
    </row>
    <row r="298" spans="1:20" s="37" customFormat="1" ht="33" customHeight="1" x14ac:dyDescent="0.25">
      <c r="A298" s="98">
        <f>A297+1</f>
        <v>3</v>
      </c>
      <c r="B298" s="98"/>
      <c r="C298" s="91" t="s">
        <v>414</v>
      </c>
      <c r="D298" s="91">
        <v>293.63949809999997</v>
      </c>
      <c r="E298" s="91">
        <v>37.103507999999998</v>
      </c>
      <c r="F298" s="91">
        <f t="shared" ref="F298:F299" si="95">D298+E298</f>
        <v>330.74300609999995</v>
      </c>
      <c r="G298" s="91">
        <v>0</v>
      </c>
      <c r="H298" s="91">
        <f t="shared" ref="H298:H299" si="96">F298*(($H$154)+1)+(IF(G298&lt;101,G298,IF(G298&lt;201,G298/2,IF(G298&lt;=301,G298/3,G298/4))))</f>
        <v>496.11450914999989</v>
      </c>
      <c r="I298" s="36"/>
      <c r="L298" s="109"/>
      <c r="M298" s="109"/>
      <c r="N298" s="36"/>
      <c r="T298" s="21"/>
    </row>
    <row r="299" spans="1:20" s="37" customFormat="1" ht="15.75" customHeight="1" x14ac:dyDescent="0.25">
      <c r="A299" s="105">
        <f t="shared" ref="A299" si="97">A298+1</f>
        <v>4</v>
      </c>
      <c r="B299" s="107"/>
      <c r="C299" s="42" t="s">
        <v>413</v>
      </c>
      <c r="D299" s="42">
        <f>((7.65*4.32+5.83*1+4.22*1.45+5.73*2.525+3.55*2.59+4.22*4.565+3.375*4.17+4.45*1.2+3.19*2.325+1.625*1+2.35*1.2+3.25*4.12+1.725*1.72+2.08*2.64+3.25*4.22+3.25*1+1.53*1+3.695*3.325+1.625*1.73+3.75*4.27+3.41*2.275+1.525*2.44+1.525*1.525+1.525*2.44+1.625*2.075+1.23*1.675+1.525*2.275+1.525*2.75))*10.764</f>
        <v>2381.7825720000001</v>
      </c>
      <c r="E299" s="42">
        <f>(2.749*2.59+3.35*1.825+14.55*1.825+3.35*1.825+2.695*2.59)*10.764</f>
        <v>569.21334444000001</v>
      </c>
      <c r="F299" s="42">
        <f t="shared" si="95"/>
        <v>2950.9959164400002</v>
      </c>
      <c r="G299" s="42">
        <v>0</v>
      </c>
      <c r="H299" s="42">
        <f t="shared" si="96"/>
        <v>4426.4938746600001</v>
      </c>
      <c r="I299" s="36"/>
      <c r="L299" s="109"/>
      <c r="M299" s="109"/>
      <c r="N299" s="36"/>
      <c r="T299" s="21"/>
    </row>
    <row r="300" spans="1:20" s="37" customFormat="1" x14ac:dyDescent="0.25">
      <c r="A300" s="95" t="s">
        <v>415</v>
      </c>
      <c r="B300" s="96"/>
      <c r="C300" s="96"/>
      <c r="D300" s="96"/>
      <c r="E300" s="96"/>
      <c r="F300" s="96"/>
      <c r="G300" s="96"/>
      <c r="H300" s="97"/>
      <c r="J300" s="36"/>
    </row>
    <row r="301" spans="1:20" s="37" customFormat="1" ht="15.75" customHeight="1" x14ac:dyDescent="0.25">
      <c r="A301" s="105">
        <v>1</v>
      </c>
      <c r="B301" s="107"/>
      <c r="C301" s="42" t="s">
        <v>413</v>
      </c>
      <c r="D301" s="42">
        <f>((7.65*4.32+5.83*1+4.22*1.45+5.73*2.525+3.55*2.59+4.22*4.565+3.375*4.17+4.45*1.2+3.19*2.325+1.625*1+2.35*1.2+3.25*4.12+1.725*1.72+2.08*2.64+3.25*4.22+3.25*1+1.53*1+3.695*3.325+1.625*1.73+3.75*4.27+3.41*2.275+1.525*2.44+1.525*1.525+1.525*2.44+1.625*2.075+1.23*1.675+1.525*2.275+1.525*2.75))*10.764</f>
        <v>2381.7825720000001</v>
      </c>
      <c r="E301" s="42">
        <f>(2.749*2.59+3.35*1.825+14.55*1.825+3.35*1.825+2.695*2.59)*10.764</f>
        <v>569.21334444000001</v>
      </c>
      <c r="F301" s="42">
        <f t="shared" ref="F301:F302" si="98">D301+E301</f>
        <v>2950.9959164400002</v>
      </c>
      <c r="G301" s="42">
        <v>0</v>
      </c>
      <c r="H301" s="42">
        <f t="shared" ref="H301:H302" si="99">F301*(($H$154)+1)+(IF(G301&lt;101,G301,IF(G301&lt;201,G301/2,IF(G301&lt;=301,G301/3,G301/4))))</f>
        <v>4426.4938746600001</v>
      </c>
      <c r="I301" s="36"/>
      <c r="L301" s="109"/>
      <c r="M301" s="109"/>
      <c r="N301" s="36"/>
    </row>
    <row r="302" spans="1:20" s="37" customFormat="1" ht="15.75" customHeight="1" x14ac:dyDescent="0.25">
      <c r="A302" s="105">
        <f>A301+1</f>
        <v>2</v>
      </c>
      <c r="B302" s="107"/>
      <c r="C302" s="42" t="s">
        <v>416</v>
      </c>
      <c r="D302" s="42">
        <f>(6.05*6.75+3.95*3.15+3.65*1.425+3.025*0.815+3.975*2.59+1*1.29+2.025*1+6.8*4.975+2.65*3.215+1.16*1.925+3.65*4+1.825*1.825+1.825*1.45+1.145*1+3.05*3.35+3.172*1.525+3.65*3.36+4.8*2.115+1.725*2.965+1.525*1.825+1.25*1.825+2.775*1.825+1.7*2.44+2.44*1.525)*10.764</f>
        <v>2168.3504817000003</v>
      </c>
      <c r="E302" s="42">
        <f>(1.6*1.915+3.95*1.25+5.85*1.84+3.95*1.25)*10.764</f>
        <v>255.13909199999998</v>
      </c>
      <c r="F302" s="42">
        <f t="shared" si="98"/>
        <v>2423.4895737000002</v>
      </c>
      <c r="G302" s="42">
        <v>0</v>
      </c>
      <c r="H302" s="42">
        <f t="shared" si="99"/>
        <v>3635.23436055</v>
      </c>
      <c r="I302" s="36"/>
      <c r="L302" s="109"/>
      <c r="M302" s="109"/>
      <c r="N302" s="36"/>
    </row>
    <row r="303" spans="1:20" s="37" customFormat="1" x14ac:dyDescent="0.25">
      <c r="A303" s="105">
        <f>A302+1</f>
        <v>3</v>
      </c>
      <c r="B303" s="107"/>
      <c r="C303" s="42" t="s">
        <v>413</v>
      </c>
      <c r="D303" s="42">
        <f>((7.65*4.32+5.83*1+4.22*1.45+5.73*2.525+3.55*2.59+4.22*4.565+3.375*4.17+4.45*1.2+3.19*2.325+1.625*1+2.35*1.2+3.25*4.12+1.725*1.72+2.08*2.64+3.25*4.22+3.25*1+1.53*1+3.695*3.325+1.625*1.73+3.75*4.27+3.41*2.275+1.525*2.44+1.525*1.525+1.525*2.44+1.625*2.075+1.23*1.675+1.525*2.275+1.525*2.75))*10.764</f>
        <v>2381.7825720000001</v>
      </c>
      <c r="E303" s="42">
        <f>(2.749*2.59+3.35*1.825+14.55*1.825+3.35*1.825+2.695*2.59)*10.764</f>
        <v>569.21334444000001</v>
      </c>
      <c r="F303" s="42">
        <f>D303+E303</f>
        <v>2950.9959164400002</v>
      </c>
      <c r="G303" s="42">
        <v>0</v>
      </c>
      <c r="H303" s="42">
        <f>F303*(($H$154)+1)+(IF(G303&lt;101,G303,IF(G303&lt;201,G303/2,IF(G303&lt;=301,G303/3,G303/4))))</f>
        <v>4426.4938746600001</v>
      </c>
      <c r="I303" s="36"/>
      <c r="L303" s="109"/>
      <c r="M303" s="109"/>
      <c r="N303" s="36"/>
    </row>
    <row r="304" spans="1:20" s="37" customFormat="1" x14ac:dyDescent="0.25">
      <c r="A304" s="108" t="s">
        <v>417</v>
      </c>
      <c r="B304" s="108"/>
      <c r="C304" s="108"/>
      <c r="D304" s="108"/>
      <c r="E304" s="108"/>
      <c r="F304" s="108"/>
      <c r="G304" s="108"/>
      <c r="H304" s="108"/>
      <c r="I304" s="36"/>
      <c r="L304" s="109"/>
      <c r="M304" s="109"/>
    </row>
    <row r="305" spans="1:14" s="37" customFormat="1" x14ac:dyDescent="0.25">
      <c r="A305" s="108" t="s">
        <v>380</v>
      </c>
      <c r="B305" s="108"/>
      <c r="C305" s="108"/>
      <c r="D305" s="108"/>
      <c r="E305" s="108"/>
      <c r="F305" s="108"/>
      <c r="G305" s="108"/>
      <c r="H305" s="108"/>
      <c r="I305" s="36"/>
      <c r="L305" s="109"/>
      <c r="M305" s="109"/>
    </row>
    <row r="306" spans="1:14" s="37" customFormat="1" x14ac:dyDescent="0.25">
      <c r="A306" s="108" t="s">
        <v>381</v>
      </c>
      <c r="B306" s="108"/>
      <c r="C306" s="108"/>
      <c r="D306" s="108"/>
      <c r="E306" s="108"/>
      <c r="F306" s="108"/>
      <c r="G306" s="108"/>
      <c r="H306" s="108"/>
      <c r="I306" s="36"/>
      <c r="L306" s="109"/>
      <c r="M306" s="109"/>
    </row>
    <row r="307" spans="1:14" s="37" customFormat="1" x14ac:dyDescent="0.25">
      <c r="A307" s="108" t="s">
        <v>382</v>
      </c>
      <c r="B307" s="108"/>
      <c r="C307" s="108"/>
      <c r="D307" s="108"/>
      <c r="E307" s="108"/>
      <c r="F307" s="108"/>
      <c r="G307" s="108"/>
      <c r="H307" s="108"/>
      <c r="I307" s="36"/>
      <c r="L307" s="109"/>
      <c r="M307" s="109"/>
    </row>
    <row r="308" spans="1:14" s="37" customFormat="1" x14ac:dyDescent="0.25">
      <c r="A308" s="108" t="s">
        <v>383</v>
      </c>
      <c r="B308" s="108"/>
      <c r="C308" s="108"/>
      <c r="D308" s="108"/>
      <c r="E308" s="108"/>
      <c r="F308" s="108"/>
      <c r="G308" s="108"/>
      <c r="H308" s="108"/>
      <c r="I308" s="36"/>
      <c r="L308" s="109"/>
      <c r="M308" s="109"/>
    </row>
    <row r="309" spans="1:14" s="37" customFormat="1" x14ac:dyDescent="0.25">
      <c r="A309" s="108" t="s">
        <v>384</v>
      </c>
      <c r="B309" s="108"/>
      <c r="C309" s="108"/>
      <c r="D309" s="108"/>
      <c r="E309" s="108"/>
      <c r="F309" s="108"/>
      <c r="G309" s="108"/>
      <c r="H309" s="108"/>
      <c r="I309" s="36"/>
      <c r="L309" s="109"/>
      <c r="M309" s="109"/>
    </row>
    <row r="310" spans="1:14" s="37" customFormat="1" x14ac:dyDescent="0.25">
      <c r="A310" s="108" t="s">
        <v>385</v>
      </c>
      <c r="B310" s="108"/>
      <c r="C310" s="108"/>
      <c r="D310" s="108"/>
      <c r="E310" s="108"/>
      <c r="F310" s="108"/>
      <c r="G310" s="108"/>
      <c r="H310" s="108"/>
      <c r="I310" s="36"/>
      <c r="L310" s="109"/>
      <c r="M310" s="109"/>
    </row>
    <row r="311" spans="1:14" s="37" customFormat="1" x14ac:dyDescent="0.25">
      <c r="A311" s="98">
        <v>1</v>
      </c>
      <c r="B311" s="98"/>
      <c r="C311" s="99" t="s">
        <v>388</v>
      </c>
      <c r="D311" s="100"/>
      <c r="E311" s="100"/>
      <c r="F311" s="100"/>
      <c r="G311" s="100"/>
      <c r="H311" s="101"/>
      <c r="I311" s="36"/>
      <c r="N311" s="36"/>
    </row>
    <row r="312" spans="1:14" s="37" customFormat="1" x14ac:dyDescent="0.25">
      <c r="A312" s="98">
        <f>A311+1</f>
        <v>2</v>
      </c>
      <c r="B312" s="98"/>
      <c r="C312" s="102"/>
      <c r="D312" s="103"/>
      <c r="E312" s="103"/>
      <c r="F312" s="103"/>
      <c r="G312" s="103"/>
      <c r="H312" s="104"/>
      <c r="I312" s="36"/>
      <c r="N312" s="36"/>
    </row>
    <row r="313" spans="1:14" s="37" customFormat="1" x14ac:dyDescent="0.25">
      <c r="A313" s="98">
        <f>A312+1</f>
        <v>3</v>
      </c>
      <c r="B313" s="98"/>
      <c r="C313" s="42" t="s">
        <v>387</v>
      </c>
      <c r="D313" s="42">
        <f>(3.65*5.74+3.05*2.44+3.5*3.35+3.05*3.115+3.1*3.35+1.525*2.44+2.44*1.525+2.44*1.525+2.05*1.05+1*0.95+3.07*1+2.965*1.525)*10.764</f>
        <v>881.15045850000001</v>
      </c>
      <c r="E313" s="42">
        <f>(3.55*1.225+1.6*1.765)*10.764</f>
        <v>77.207480999999987</v>
      </c>
      <c r="F313" s="42">
        <f>D313+E313</f>
        <v>958.35793950000004</v>
      </c>
      <c r="G313" s="42">
        <v>0</v>
      </c>
      <c r="H313" s="42">
        <f>F313*(($H$154)+1)+(IF(G313&lt;101,G313,IF(G313&lt;201,G313/2,IF(G313&lt;=301,G313/3,G313/4))))</f>
        <v>1437.53690925</v>
      </c>
      <c r="I313" s="36"/>
      <c r="N313" s="36"/>
    </row>
    <row r="314" spans="1:14" s="37" customFormat="1" x14ac:dyDescent="0.25">
      <c r="A314" s="98">
        <f>A313+1</f>
        <v>4</v>
      </c>
      <c r="B314" s="98"/>
      <c r="C314" s="42" t="s">
        <v>387</v>
      </c>
      <c r="D314" s="42">
        <f>(3.65*5.74+3.05*2.44+3.5*3.35+3.05*3.115+3.1*3.35+1.525*2.44+2.44*1.525+2.44*1.525+2.05*1.05+1*0.95+3.07*1+2.965*1.525)*10.764</f>
        <v>881.15045850000001</v>
      </c>
      <c r="E314" s="42">
        <f>(3.55*1.225+1.6*1.765)*10.764</f>
        <v>77.207480999999987</v>
      </c>
      <c r="F314" s="42">
        <f>D314+E314</f>
        <v>958.35793950000004</v>
      </c>
      <c r="G314" s="42">
        <v>0</v>
      </c>
      <c r="H314" s="42">
        <f>F314*(($H$154)+1)+(IF(G314&lt;101,G314,IF(G314&lt;201,G314/2,IF(G314&lt;=301,G314/3,G314/4))))</f>
        <v>1437.53690925</v>
      </c>
      <c r="I314" s="36"/>
      <c r="N314" s="36"/>
    </row>
    <row r="315" spans="1:14" s="37" customFormat="1" x14ac:dyDescent="0.25">
      <c r="A315" s="98">
        <f>A314+1</f>
        <v>5</v>
      </c>
      <c r="B315" s="98"/>
      <c r="C315" s="99" t="s">
        <v>388</v>
      </c>
      <c r="D315" s="100"/>
      <c r="E315" s="100"/>
      <c r="F315" s="100"/>
      <c r="G315" s="100"/>
      <c r="H315" s="101"/>
      <c r="I315" s="36"/>
      <c r="N315" s="36"/>
    </row>
    <row r="316" spans="1:14" s="37" customFormat="1" x14ac:dyDescent="0.25">
      <c r="A316" s="98">
        <f>A315+1</f>
        <v>6</v>
      </c>
      <c r="B316" s="98"/>
      <c r="C316" s="102"/>
      <c r="D316" s="103"/>
      <c r="E316" s="103"/>
      <c r="F316" s="103"/>
      <c r="G316" s="103"/>
      <c r="H316" s="104"/>
      <c r="I316" s="36"/>
      <c r="N316" s="36"/>
    </row>
    <row r="317" spans="1:14" s="37" customFormat="1" x14ac:dyDescent="0.25">
      <c r="A317" s="108" t="s">
        <v>389</v>
      </c>
      <c r="B317" s="108"/>
      <c r="C317" s="108"/>
      <c r="D317" s="108"/>
      <c r="E317" s="108"/>
      <c r="F317" s="108"/>
      <c r="G317" s="108"/>
      <c r="H317" s="108"/>
      <c r="I317" s="36"/>
      <c r="L317" s="109"/>
      <c r="M317" s="109"/>
    </row>
    <row r="318" spans="1:14" s="37" customFormat="1" x14ac:dyDescent="0.25">
      <c r="A318" s="98">
        <v>1</v>
      </c>
      <c r="B318" s="98"/>
      <c r="C318" s="99" t="s">
        <v>388</v>
      </c>
      <c r="D318" s="100"/>
      <c r="E318" s="100"/>
      <c r="F318" s="100"/>
      <c r="G318" s="100"/>
      <c r="H318" s="101"/>
      <c r="I318" s="36"/>
      <c r="N318" s="36"/>
    </row>
    <row r="319" spans="1:14" s="37" customFormat="1" x14ac:dyDescent="0.25">
      <c r="A319" s="98">
        <f>A318+1</f>
        <v>2</v>
      </c>
      <c r="B319" s="98"/>
      <c r="C319" s="102"/>
      <c r="D319" s="103"/>
      <c r="E319" s="103"/>
      <c r="F319" s="103"/>
      <c r="G319" s="103"/>
      <c r="H319" s="104"/>
      <c r="I319" s="36"/>
      <c r="N319" s="36"/>
    </row>
    <row r="320" spans="1:14" s="37" customFormat="1" ht="31.5" x14ac:dyDescent="0.25">
      <c r="A320" s="98">
        <f>A319+1</f>
        <v>3</v>
      </c>
      <c r="B320" s="98"/>
      <c r="C320" s="42" t="s">
        <v>418</v>
      </c>
      <c r="D320" s="42">
        <f>(3.8*2.54+2.92*3.89+1.83*1.768+3.46*3.35+3.05*3.35+2.44*1.525+2.44*1.525+0.9*2.44+0.9*1.1)*10.764</f>
        <v>610.13301335999995</v>
      </c>
      <c r="E320" s="42">
        <v>0</v>
      </c>
      <c r="F320" s="42">
        <f>D320+E320</f>
        <v>610.13301335999995</v>
      </c>
      <c r="G320" s="42">
        <v>0</v>
      </c>
      <c r="H320" s="42">
        <f>F320*(($H$154)+1)+(IF(G320&lt;101,G320,IF(G320&lt;201,G320/2,IF(G320&lt;=301,G320/3,G320/4))))</f>
        <v>915.19952003999992</v>
      </c>
      <c r="I320" s="36"/>
      <c r="N320" s="36"/>
    </row>
    <row r="321" spans="1:14" s="37" customFormat="1" x14ac:dyDescent="0.25">
      <c r="A321" s="98">
        <f>A320+1</f>
        <v>4</v>
      </c>
      <c r="B321" s="98"/>
      <c r="C321" s="105" t="s">
        <v>390</v>
      </c>
      <c r="D321" s="106"/>
      <c r="E321" s="106"/>
      <c r="F321" s="106"/>
      <c r="G321" s="106"/>
      <c r="H321" s="107"/>
      <c r="I321" s="36"/>
      <c r="N321" s="36"/>
    </row>
    <row r="322" spans="1:14" s="37" customFormat="1" x14ac:dyDescent="0.25">
      <c r="A322" s="98">
        <f>A321+1</f>
        <v>5</v>
      </c>
      <c r="B322" s="98"/>
      <c r="C322" s="99" t="s">
        <v>388</v>
      </c>
      <c r="D322" s="100"/>
      <c r="E322" s="100"/>
      <c r="F322" s="100"/>
      <c r="G322" s="100"/>
      <c r="H322" s="101"/>
      <c r="I322" s="36"/>
      <c r="N322" s="36"/>
    </row>
    <row r="323" spans="1:14" s="37" customFormat="1" x14ac:dyDescent="0.25">
      <c r="A323" s="98">
        <f>A322+1</f>
        <v>6</v>
      </c>
      <c r="B323" s="98"/>
      <c r="C323" s="102"/>
      <c r="D323" s="103"/>
      <c r="E323" s="103"/>
      <c r="F323" s="103"/>
      <c r="G323" s="103"/>
      <c r="H323" s="104"/>
      <c r="I323" s="36"/>
      <c r="N323" s="36"/>
    </row>
    <row r="324" spans="1:14" s="37" customFormat="1" x14ac:dyDescent="0.25">
      <c r="A324" s="108" t="s">
        <v>392</v>
      </c>
      <c r="B324" s="108"/>
      <c r="C324" s="108"/>
      <c r="D324" s="108"/>
      <c r="E324" s="108"/>
      <c r="F324" s="108"/>
      <c r="G324" s="108"/>
      <c r="H324" s="108"/>
      <c r="I324" s="36"/>
      <c r="L324" s="109"/>
      <c r="M324" s="109"/>
    </row>
    <row r="325" spans="1:14" s="37" customFormat="1" x14ac:dyDescent="0.25">
      <c r="A325" s="98">
        <v>1</v>
      </c>
      <c r="B325" s="98"/>
      <c r="C325" s="98" t="s">
        <v>388</v>
      </c>
      <c r="D325" s="98"/>
      <c r="E325" s="98"/>
      <c r="F325" s="98"/>
      <c r="G325" s="98"/>
      <c r="H325" s="98"/>
      <c r="I325" s="36"/>
      <c r="N325" s="36"/>
    </row>
    <row r="326" spans="1:14" s="37" customFormat="1" x14ac:dyDescent="0.25">
      <c r="A326" s="98">
        <f>A325+1</f>
        <v>2</v>
      </c>
      <c r="B326" s="98"/>
      <c r="C326" s="98"/>
      <c r="D326" s="98"/>
      <c r="E326" s="98"/>
      <c r="F326" s="98"/>
      <c r="G326" s="98"/>
      <c r="H326" s="98"/>
      <c r="I326" s="36"/>
      <c r="N326" s="36"/>
    </row>
    <row r="327" spans="1:14" s="37" customFormat="1" x14ac:dyDescent="0.25">
      <c r="A327" s="98">
        <f>A326+1</f>
        <v>3</v>
      </c>
      <c r="B327" s="98"/>
      <c r="C327" s="91" t="s">
        <v>387</v>
      </c>
      <c r="D327" s="91">
        <f>(3.65*5.74+3.05*2.44+3.5*3.35+3.05*3.115+3.1*3.35+1.525*2.44+2.44*1.525+2.44*1.525+2.05*1.05+1*0.95+3.07*1+2.965*1.525)*10.764</f>
        <v>881.15045850000001</v>
      </c>
      <c r="E327" s="91">
        <f>(3.55*1.225+1.6*1.765)*10.764</f>
        <v>77.207480999999987</v>
      </c>
      <c r="F327" s="91">
        <f>D327+E327</f>
        <v>958.35793950000004</v>
      </c>
      <c r="G327" s="91">
        <v>0</v>
      </c>
      <c r="H327" s="91">
        <f>F327*(($H$154)+1)+(IF(G327&lt;101,G327,IF(G327&lt;201,G327/2,IF(G327&lt;=301,G327/3,G327/4))))</f>
        <v>1437.53690925</v>
      </c>
      <c r="I327" s="36"/>
      <c r="N327" s="36"/>
    </row>
    <row r="328" spans="1:14" s="37" customFormat="1" x14ac:dyDescent="0.25">
      <c r="A328" s="98">
        <f>A327+1</f>
        <v>4</v>
      </c>
      <c r="B328" s="98"/>
      <c r="C328" s="91" t="s">
        <v>387</v>
      </c>
      <c r="D328" s="91">
        <f>(3.65*5.74+3.05*2.44+3.5*3.35+3.05*3.115+3.1*3.35+1.525*2.44+2.44*1.525+2.44*1.525+2.05*1.05+1*0.95+3.07*1+2.965*1.525)*10.764</f>
        <v>881.15045850000001</v>
      </c>
      <c r="E328" s="91">
        <f>(3.55*1.225+1.6*1.765)*10.764</f>
        <v>77.207480999999987</v>
      </c>
      <c r="F328" s="91">
        <f>D328+E328</f>
        <v>958.35793950000004</v>
      </c>
      <c r="G328" s="91">
        <v>0</v>
      </c>
      <c r="H328" s="91">
        <f>F328*(($H$154)+1)+(IF(G328&lt;101,G328,IF(G328&lt;201,G328/2,IF(G328&lt;=301,G328/3,G328/4))))</f>
        <v>1437.53690925</v>
      </c>
      <c r="I328" s="36"/>
      <c r="N328" s="36"/>
    </row>
    <row r="329" spans="1:14" s="37" customFormat="1" x14ac:dyDescent="0.25">
      <c r="A329" s="98">
        <f>A328+1</f>
        <v>5</v>
      </c>
      <c r="B329" s="98"/>
      <c r="C329" s="98" t="s">
        <v>388</v>
      </c>
      <c r="D329" s="98"/>
      <c r="E329" s="98"/>
      <c r="F329" s="98"/>
      <c r="G329" s="98"/>
      <c r="H329" s="98"/>
      <c r="I329" s="36"/>
      <c r="N329" s="36"/>
    </row>
    <row r="330" spans="1:14" s="37" customFormat="1" x14ac:dyDescent="0.25">
      <c r="A330" s="98">
        <f>A329+1</f>
        <v>6</v>
      </c>
      <c r="B330" s="98"/>
      <c r="C330" s="98"/>
      <c r="D330" s="98"/>
      <c r="E330" s="98"/>
      <c r="F330" s="98"/>
      <c r="G330" s="98"/>
      <c r="H330" s="98"/>
      <c r="I330" s="36"/>
      <c r="N330" s="36"/>
    </row>
    <row r="331" spans="1:14" s="37" customFormat="1" x14ac:dyDescent="0.25">
      <c r="A331" s="108" t="s">
        <v>393</v>
      </c>
      <c r="B331" s="108"/>
      <c r="C331" s="108"/>
      <c r="D331" s="108"/>
      <c r="E331" s="108"/>
      <c r="F331" s="108"/>
      <c r="G331" s="108"/>
      <c r="H331" s="108"/>
      <c r="I331" s="36"/>
      <c r="L331" s="109"/>
      <c r="M331" s="109"/>
    </row>
    <row r="332" spans="1:14" s="37" customFormat="1" x14ac:dyDescent="0.25">
      <c r="A332" s="108" t="s">
        <v>435</v>
      </c>
      <c r="B332" s="108"/>
      <c r="C332" s="108"/>
      <c r="D332" s="108"/>
      <c r="E332" s="108"/>
      <c r="F332" s="108"/>
      <c r="G332" s="108"/>
      <c r="H332" s="108"/>
      <c r="I332" s="36"/>
      <c r="L332" s="109"/>
      <c r="M332" s="109"/>
    </row>
    <row r="333" spans="1:14" s="37" customFormat="1" x14ac:dyDescent="0.25">
      <c r="A333" s="98">
        <v>1</v>
      </c>
      <c r="B333" s="98"/>
      <c r="C333" s="98" t="s">
        <v>396</v>
      </c>
      <c r="D333" s="98"/>
      <c r="E333" s="98"/>
      <c r="F333" s="98"/>
      <c r="G333" s="98"/>
      <c r="H333" s="98"/>
      <c r="I333" s="36"/>
      <c r="N333" s="36"/>
    </row>
    <row r="334" spans="1:14" s="37" customFormat="1" x14ac:dyDescent="0.25">
      <c r="A334" s="98">
        <f>A333+1</f>
        <v>2</v>
      </c>
      <c r="B334" s="98"/>
      <c r="C334" s="98"/>
      <c r="D334" s="98"/>
      <c r="E334" s="98"/>
      <c r="F334" s="98"/>
      <c r="G334" s="98"/>
      <c r="H334" s="98"/>
      <c r="I334" s="36"/>
      <c r="N334" s="36"/>
    </row>
    <row r="335" spans="1:14" s="37" customFormat="1" x14ac:dyDescent="0.25">
      <c r="A335" s="98">
        <f>A334+1</f>
        <v>3</v>
      </c>
      <c r="B335" s="98"/>
      <c r="C335" s="99" t="s">
        <v>419</v>
      </c>
      <c r="D335" s="100"/>
      <c r="E335" s="100"/>
      <c r="F335" s="100"/>
      <c r="G335" s="100"/>
      <c r="H335" s="101"/>
      <c r="I335" s="36"/>
      <c r="N335" s="36"/>
    </row>
    <row r="336" spans="1:14" s="37" customFormat="1" x14ac:dyDescent="0.25">
      <c r="A336" s="98">
        <f>A335+1</f>
        <v>4</v>
      </c>
      <c r="B336" s="98"/>
      <c r="C336" s="102"/>
      <c r="D336" s="103"/>
      <c r="E336" s="103"/>
      <c r="F336" s="103"/>
      <c r="G336" s="103"/>
      <c r="H336" s="104"/>
      <c r="I336" s="36"/>
      <c r="N336" s="36"/>
    </row>
    <row r="337" spans="1:14" s="37" customFormat="1" x14ac:dyDescent="0.25">
      <c r="A337" s="98">
        <f>A336+1</f>
        <v>5</v>
      </c>
      <c r="B337" s="98"/>
      <c r="C337" s="99" t="s">
        <v>396</v>
      </c>
      <c r="D337" s="100"/>
      <c r="E337" s="100"/>
      <c r="F337" s="100"/>
      <c r="G337" s="100"/>
      <c r="H337" s="101"/>
      <c r="I337" s="36"/>
      <c r="N337" s="36"/>
    </row>
    <row r="338" spans="1:14" s="37" customFormat="1" x14ac:dyDescent="0.25">
      <c r="A338" s="98">
        <f>A337+1</f>
        <v>6</v>
      </c>
      <c r="B338" s="98"/>
      <c r="C338" s="102"/>
      <c r="D338" s="103"/>
      <c r="E338" s="103"/>
      <c r="F338" s="103"/>
      <c r="G338" s="103"/>
      <c r="H338" s="104"/>
      <c r="I338" s="36"/>
      <c r="N338" s="36"/>
    </row>
    <row r="339" spans="1:14" s="37" customFormat="1" x14ac:dyDescent="0.25">
      <c r="A339" s="108" t="s">
        <v>395</v>
      </c>
      <c r="B339" s="108"/>
      <c r="C339" s="108"/>
      <c r="D339" s="108"/>
      <c r="E339" s="108"/>
      <c r="F339" s="108"/>
      <c r="G339" s="108"/>
      <c r="H339" s="108"/>
      <c r="I339" s="36"/>
      <c r="L339" s="109"/>
      <c r="M339" s="109"/>
    </row>
    <row r="340" spans="1:14" s="37" customFormat="1" x14ac:dyDescent="0.25">
      <c r="A340" s="98">
        <v>1</v>
      </c>
      <c r="B340" s="98"/>
      <c r="C340" s="99" t="s">
        <v>397</v>
      </c>
      <c r="D340" s="100"/>
      <c r="E340" s="100"/>
      <c r="F340" s="100"/>
      <c r="G340" s="100"/>
      <c r="H340" s="101"/>
      <c r="I340" s="36"/>
      <c r="N340" s="36"/>
    </row>
    <row r="341" spans="1:14" s="37" customFormat="1" x14ac:dyDescent="0.25">
      <c r="A341" s="98">
        <f>A340+1</f>
        <v>2</v>
      </c>
      <c r="B341" s="98"/>
      <c r="C341" s="102"/>
      <c r="D341" s="103"/>
      <c r="E341" s="103"/>
      <c r="F341" s="103"/>
      <c r="G341" s="103"/>
      <c r="H341" s="104"/>
      <c r="I341" s="36"/>
      <c r="N341" s="36"/>
    </row>
    <row r="342" spans="1:14" s="37" customFormat="1" x14ac:dyDescent="0.25">
      <c r="A342" s="98">
        <f>A341+1</f>
        <v>3</v>
      </c>
      <c r="B342" s="98"/>
      <c r="C342" s="42" t="s">
        <v>387</v>
      </c>
      <c r="D342" s="42">
        <f>(3.65*5.74+3.05*2.44+3.5*3.35+3.05*3.115+3.1*3.35+1.525*2.44+2.44*1.525+2.44*1.525+2.05*1.05+1*0.95+3.07*1+2.965*1.525)*10.764</f>
        <v>881.15045850000001</v>
      </c>
      <c r="E342" s="42">
        <f>(3.55*1.225+1.6*1.765)*10.764</f>
        <v>77.207480999999987</v>
      </c>
      <c r="F342" s="42">
        <f>D342+E342</f>
        <v>958.35793950000004</v>
      </c>
      <c r="G342" s="42">
        <v>0</v>
      </c>
      <c r="H342" s="42">
        <f>F342*(($H$154)+1)+(IF(G342&lt;101,G342,IF(G342&lt;201,G342/2,IF(G342&lt;=301,G342/3,G342/4))))</f>
        <v>1437.53690925</v>
      </c>
      <c r="I342" s="36"/>
      <c r="N342" s="36"/>
    </row>
    <row r="343" spans="1:14" s="37" customFormat="1" x14ac:dyDescent="0.25">
      <c r="A343" s="98">
        <f>A342+1</f>
        <v>4</v>
      </c>
      <c r="B343" s="98"/>
      <c r="C343" s="42" t="s">
        <v>387</v>
      </c>
      <c r="D343" s="42">
        <f>(3.65*5.74+3.05*2.44+3.5*3.35+3.05*3.115+3.1*3.35+1.525*2.44+2.44*1.525+2.44*1.525+2.05*1.05+1*0.95+3.07*1+2.965*1.525)*10.764</f>
        <v>881.15045850000001</v>
      </c>
      <c r="E343" s="42">
        <f>(3.55*1.225+1.6*1.765)*10.764</f>
        <v>77.207480999999987</v>
      </c>
      <c r="F343" s="42">
        <f>D343+E343</f>
        <v>958.35793950000004</v>
      </c>
      <c r="G343" s="42">
        <v>0</v>
      </c>
      <c r="H343" s="42">
        <f>F343*(($H$154)+1)+(IF(G343&lt;101,G343,IF(G343&lt;201,G343/2,IF(G343&lt;=301,G343/3,G343/4))))</f>
        <v>1437.53690925</v>
      </c>
      <c r="I343" s="36"/>
      <c r="N343" s="36"/>
    </row>
    <row r="344" spans="1:14" s="37" customFormat="1" x14ac:dyDescent="0.25">
      <c r="A344" s="98">
        <f>A343+1</f>
        <v>5</v>
      </c>
      <c r="B344" s="98"/>
      <c r="C344" s="99" t="s">
        <v>397</v>
      </c>
      <c r="D344" s="100"/>
      <c r="E344" s="100"/>
      <c r="F344" s="100"/>
      <c r="G344" s="100"/>
      <c r="H344" s="101"/>
      <c r="I344" s="36"/>
      <c r="N344" s="36"/>
    </row>
    <row r="345" spans="1:14" s="37" customFormat="1" x14ac:dyDescent="0.25">
      <c r="A345" s="98">
        <f>A344+1</f>
        <v>6</v>
      </c>
      <c r="B345" s="98"/>
      <c r="C345" s="102"/>
      <c r="D345" s="103"/>
      <c r="E345" s="103"/>
      <c r="F345" s="103"/>
      <c r="G345" s="103"/>
      <c r="H345" s="104"/>
      <c r="I345" s="36"/>
      <c r="N345" s="36"/>
    </row>
    <row r="346" spans="1:14" s="37" customFormat="1" ht="15.75" customHeight="1" x14ac:dyDescent="0.25">
      <c r="A346" s="95" t="s">
        <v>420</v>
      </c>
      <c r="B346" s="96"/>
      <c r="C346" s="96"/>
      <c r="D346" s="96"/>
      <c r="E346" s="96"/>
      <c r="F346" s="96"/>
      <c r="G346" s="96"/>
      <c r="H346" s="97"/>
      <c r="I346" s="36"/>
    </row>
    <row r="347" spans="1:14" s="37" customFormat="1" ht="15.75" customHeight="1" x14ac:dyDescent="0.25">
      <c r="A347" s="98">
        <v>1</v>
      </c>
      <c r="B347" s="98"/>
      <c r="C347" s="42" t="s">
        <v>416</v>
      </c>
      <c r="D347" s="42">
        <f>(4.27*8.08+1.35*4.275+3.97*2.44+3.35*6.3455+3.35*4.98+3.35*4.57+4.27*3.05+1.875*2.75+1.525*1.425+1.525*1.525+1.525*2.44+1.525*2.44+1.525*3.35+1.525*2.44+1.35*1.065+1.225*2.54+1*3.6+1.525*1.685+1.3*1.075+0.85*1.675+1.925*1.575)*10.764</f>
        <v>1708.5893642999999</v>
      </c>
      <c r="E347" s="42">
        <f>(4.27*1.825+1.525*2.44+6.3*1.525+3.7*0.6)*10.764</f>
        <v>251.24521499999994</v>
      </c>
      <c r="F347" s="42">
        <f t="shared" ref="F347:F352" si="100">D347+E347</f>
        <v>1959.8345792999999</v>
      </c>
      <c r="G347" s="42">
        <v>0</v>
      </c>
      <c r="H347" s="42">
        <f t="shared" ref="H347:H352" si="101">F347*(($H$154)+1)+(IF(G347&lt;101,G347,IF(G347&lt;201,G347/2,IF(G347&lt;=301,G347/3,G347/4))))</f>
        <v>2939.7518689499998</v>
      </c>
      <c r="I347" s="36"/>
    </row>
    <row r="348" spans="1:14" s="37" customFormat="1" ht="15.75" customHeight="1" x14ac:dyDescent="0.25">
      <c r="A348" s="98">
        <f>A347+1</f>
        <v>2</v>
      </c>
      <c r="B348" s="98"/>
      <c r="C348" s="42" t="s">
        <v>416</v>
      </c>
      <c r="D348" s="42">
        <f>(3.97*8.08+1.255*4.275+3.975*2.4+3.35*4.57+3.35*4.9+4.27*3.35+3.05*3.65+1.525*2.125+1.525*2.44+1.525*2.945+1.525*2.44+1.35*1.065+1.225*1.254+5.16*1.075+1.525*2.39)*10.764</f>
        <v>1415.2897394999998</v>
      </c>
      <c r="E348" s="42">
        <f>(1.525*1.84+3.97*1.825+3.7*0.6+4.065*1.525)*10.764</f>
        <v>198.81511649999999</v>
      </c>
      <c r="F348" s="42">
        <f t="shared" si="100"/>
        <v>1614.1048559999997</v>
      </c>
      <c r="G348" s="42">
        <v>0</v>
      </c>
      <c r="H348" s="42">
        <f t="shared" si="101"/>
        <v>2421.1572839999994</v>
      </c>
      <c r="I348" s="36"/>
    </row>
    <row r="349" spans="1:14" s="37" customFormat="1" ht="15.75" customHeight="1" x14ac:dyDescent="0.25">
      <c r="A349" s="98">
        <f>A348+1</f>
        <v>3</v>
      </c>
      <c r="B349" s="98"/>
      <c r="C349" s="42" t="s">
        <v>387</v>
      </c>
      <c r="D349" s="42">
        <f>(3.65*5.74+3.05*2.44+3.5*3.35+3.05*3.115+3.1*3.35+1.525*2.44+2.44*1.525+2.44*1.525+2.05*1.05+1*0.95+3.07*1+2.965*1.525)*10.764</f>
        <v>881.15045850000001</v>
      </c>
      <c r="E349" s="42">
        <f>(3.55*1.225+1.6*1.765)*10.764</f>
        <v>77.207480999999987</v>
      </c>
      <c r="F349" s="42">
        <f t="shared" si="100"/>
        <v>958.35793950000004</v>
      </c>
      <c r="G349" s="42">
        <v>0</v>
      </c>
      <c r="H349" s="42">
        <f t="shared" si="101"/>
        <v>1437.53690925</v>
      </c>
      <c r="I349" s="36"/>
    </row>
    <row r="350" spans="1:14" s="37" customFormat="1" ht="15.75" customHeight="1" x14ac:dyDescent="0.25">
      <c r="A350" s="98">
        <f>A349+1</f>
        <v>4</v>
      </c>
      <c r="B350" s="98"/>
      <c r="C350" s="42" t="s">
        <v>387</v>
      </c>
      <c r="D350" s="42">
        <f>(3.65*5.74+3.05*2.44+3.5*3.35+3.05*3.115+3.1*3.35+1.525*2.44+2.44*1.525+2.44*1.525+2.05*1.05+1*0.95+3.07*1+2.965*1.525)*10.764</f>
        <v>881.15045850000001</v>
      </c>
      <c r="E350" s="42">
        <f>(3.55*1.225+1.6*1.765)*10.764</f>
        <v>77.207480999999987</v>
      </c>
      <c r="F350" s="42">
        <f t="shared" si="100"/>
        <v>958.35793950000004</v>
      </c>
      <c r="G350" s="42">
        <v>0</v>
      </c>
      <c r="H350" s="42">
        <f t="shared" si="101"/>
        <v>1437.53690925</v>
      </c>
      <c r="I350" s="36"/>
    </row>
    <row r="351" spans="1:14" s="37" customFormat="1" ht="15.75" customHeight="1" x14ac:dyDescent="0.25">
      <c r="A351" s="98">
        <f>A350+1</f>
        <v>5</v>
      </c>
      <c r="B351" s="98"/>
      <c r="C351" s="42" t="s">
        <v>416</v>
      </c>
      <c r="D351" s="42">
        <f>(3.97*8.08+1.255*4.275+3.975*2.4+3.35*4.57+3.35*4.9+4.27*3.35+3.05*3.65+1.525*2.125+1.525*2.44+1.525*2.945+1.525*2.44+1.35*1.065+1.225*1.254+5.16*1.075+1.525*2.39)*10.764</f>
        <v>1415.2897394999998</v>
      </c>
      <c r="E351" s="42">
        <f>(1.525*1.84+3.97*1.825+3.7*0.6+4.065*1.525)*10.764</f>
        <v>198.81511649999999</v>
      </c>
      <c r="F351" s="42">
        <f t="shared" si="100"/>
        <v>1614.1048559999997</v>
      </c>
      <c r="G351" s="42">
        <v>0</v>
      </c>
      <c r="H351" s="42">
        <f t="shared" si="101"/>
        <v>2421.1572839999994</v>
      </c>
      <c r="I351" s="36"/>
    </row>
    <row r="352" spans="1:14" s="37" customFormat="1" ht="15.75" customHeight="1" x14ac:dyDescent="0.25">
      <c r="A352" s="98">
        <f>A351+1</f>
        <v>6</v>
      </c>
      <c r="B352" s="98"/>
      <c r="C352" s="42" t="s">
        <v>416</v>
      </c>
      <c r="D352" s="42">
        <f>(4.27*8.08+1.35*4.275+3.97*2.44+3.35*6.3455+3.35*4.98+3.35*4.57+4.27*3.05+1.875*2.75+1.525*1.425+1.525*1.525+1.525*2.44+1.525*2.44+1.525*3.35+1.525*2.44+1.35*1.065+1.225*2.54+1*3.6+1.525*1.685+1.3*1.075+0.85*1.675+1.925*1.575)*10.764</f>
        <v>1708.5893642999999</v>
      </c>
      <c r="E352" s="42">
        <f>(4.27*1.825+1.525*2.44+6.3*1.525+3.7*0.6)*10.764</f>
        <v>251.24521499999994</v>
      </c>
      <c r="F352" s="42">
        <f t="shared" si="100"/>
        <v>1959.8345792999999</v>
      </c>
      <c r="G352" s="42">
        <v>0</v>
      </c>
      <c r="H352" s="42">
        <f t="shared" si="101"/>
        <v>2939.7518689499998</v>
      </c>
      <c r="I352" s="36"/>
    </row>
    <row r="353" spans="1:9" s="37" customFormat="1" ht="15.75" customHeight="1" x14ac:dyDescent="0.25">
      <c r="A353" s="95" t="s">
        <v>399</v>
      </c>
      <c r="B353" s="96"/>
      <c r="C353" s="96"/>
      <c r="D353" s="96"/>
      <c r="E353" s="96"/>
      <c r="F353" s="96"/>
      <c r="G353" s="96"/>
      <c r="H353" s="97"/>
      <c r="I353" s="36"/>
    </row>
    <row r="354" spans="1:9" s="37" customFormat="1" ht="15.75" customHeight="1" x14ac:dyDescent="0.25">
      <c r="A354" s="98">
        <v>1</v>
      </c>
      <c r="B354" s="98"/>
      <c r="C354" s="42" t="s">
        <v>416</v>
      </c>
      <c r="D354" s="42">
        <f>(4.27*8.08+1.35*4.275+3.97*2.44+3.35*6.3455+3.35*4.98+3.35*4.57+4.27*3.05+1.875*2.75+1.525*1.425+1.525*1.525+1.525*2.44+1.525*2.44+1.525*3.35+1.525*2.44+1.35*1.065+1.225*2.54+1*3.6+1.525*1.685+1.3*1.075+0.85*1.675+1.925*1.575)*10.764</f>
        <v>1708.5893642999999</v>
      </c>
      <c r="E354" s="42">
        <f>(4.27*1.825+1.525*2.44+6.3*1.525+3.7*0.6)*10.764</f>
        <v>251.24521499999994</v>
      </c>
      <c r="F354" s="42">
        <f>D354+E354</f>
        <v>1959.8345792999999</v>
      </c>
      <c r="G354" s="42">
        <v>0</v>
      </c>
      <c r="H354" s="42">
        <f>F354*(($H$154)+1)+(IF(G354&lt;101,G354,IF(G354&lt;201,G354/2,IF(G354&lt;=301,G354/3,G354/4))))</f>
        <v>2939.7518689499998</v>
      </c>
      <c r="I354" s="36"/>
    </row>
    <row r="355" spans="1:9" s="37" customFormat="1" ht="15.75" customHeight="1" x14ac:dyDescent="0.25">
      <c r="A355" s="98">
        <f>A354+1</f>
        <v>2</v>
      </c>
      <c r="B355" s="98"/>
      <c r="C355" s="42" t="s">
        <v>416</v>
      </c>
      <c r="D355" s="42">
        <f>(3.97*8.08+1.255*4.275+3.975*2.4+3.35*4.57+3.35*4.9+4.27*3.35+3.05*3.65+1.525*2.125+1.525*2.44+1.525*2.945+1.525*2.44+1.35*1.065+1.225*1.254+5.16*1.075+1.525*2.39)*10.764</f>
        <v>1415.2897394999998</v>
      </c>
      <c r="E355" s="42">
        <f>(1.525*1.84+3.97*1.825+3.7*0.6+4.065*1.525)*10.764</f>
        <v>198.81511649999999</v>
      </c>
      <c r="F355" s="42">
        <f>D355+E355</f>
        <v>1614.1048559999997</v>
      </c>
      <c r="G355" s="42">
        <v>0</v>
      </c>
      <c r="H355" s="42">
        <f>F355*(($H$154)+1)+(IF(G355&lt;101,G355,IF(G355&lt;201,G355/2,IF(G355&lt;=301,G355/3,G355/4))))</f>
        <v>2421.1572839999994</v>
      </c>
      <c r="I355" s="36"/>
    </row>
    <row r="356" spans="1:9" s="37" customFormat="1" ht="15.75" customHeight="1" x14ac:dyDescent="0.25">
      <c r="A356" s="98">
        <f>A355+1</f>
        <v>3</v>
      </c>
      <c r="B356" s="98"/>
      <c r="C356" s="99" t="s">
        <v>390</v>
      </c>
      <c r="D356" s="100"/>
      <c r="E356" s="100"/>
      <c r="F356" s="100"/>
      <c r="G356" s="100"/>
      <c r="H356" s="101"/>
      <c r="I356" s="36"/>
    </row>
    <row r="357" spans="1:9" s="37" customFormat="1" ht="15.75" customHeight="1" x14ac:dyDescent="0.25">
      <c r="A357" s="98">
        <f>A356+1</f>
        <v>4</v>
      </c>
      <c r="B357" s="98"/>
      <c r="C357" s="102"/>
      <c r="D357" s="103"/>
      <c r="E357" s="103"/>
      <c r="F357" s="103"/>
      <c r="G357" s="103"/>
      <c r="H357" s="104"/>
      <c r="I357" s="36"/>
    </row>
    <row r="358" spans="1:9" s="37" customFormat="1" ht="15.75" customHeight="1" x14ac:dyDescent="0.25">
      <c r="A358" s="98">
        <f>A357+1</f>
        <v>5</v>
      </c>
      <c r="B358" s="98"/>
      <c r="C358" s="42" t="s">
        <v>416</v>
      </c>
      <c r="D358" s="42">
        <f>(3.97*8.08+1.255*4.275+3.975*2.4+3.35*4.57+3.35*4.9+4.27*3.35+3.05*3.65+1.525*2.125+1.525*2.44+1.525*2.945+1.525*2.44+1.35*1.065+1.225*1.254+5.16*1.075+1.525*2.39)*10.764</f>
        <v>1415.2897394999998</v>
      </c>
      <c r="E358" s="42">
        <f>(1.525*1.84+3.97*1.825+3.7*0.6+4.065*1.525)*10.764</f>
        <v>198.81511649999999</v>
      </c>
      <c r="F358" s="42">
        <f>D358+E358</f>
        <v>1614.1048559999997</v>
      </c>
      <c r="G358" s="42">
        <v>0</v>
      </c>
      <c r="H358" s="42">
        <f>F358*(($H$154)+1)+(IF(G358&lt;101,G358,IF(G358&lt;201,G358/2,IF(G358&lt;=301,G358/3,G358/4))))</f>
        <v>2421.1572839999994</v>
      </c>
      <c r="I358" s="36"/>
    </row>
    <row r="359" spans="1:9" s="37" customFormat="1" ht="15.75" customHeight="1" x14ac:dyDescent="0.25">
      <c r="A359" s="98">
        <f>A358+1</f>
        <v>6</v>
      </c>
      <c r="B359" s="98"/>
      <c r="C359" s="42" t="s">
        <v>416</v>
      </c>
      <c r="D359" s="42">
        <f>(4.27*8.08+1.35*4.275+3.97*2.44+3.35*6.3455+3.35*4.98+3.35*4.57+4.27*3.05+1.875*2.75+1.525*1.425+1.525*1.525+1.525*2.44+1.525*2.44+1.525*3.35+1.525*2.44+1.35*1.065+1.225*2.54+1*3.6+1.525*1.685+1.3*1.075+0.85*1.675+1.925*1.575)*10.764</f>
        <v>1708.5893642999999</v>
      </c>
      <c r="E359" s="42">
        <f>(4.27*1.825+1.525*2.44+6.3*1.525+3.7*0.6)*10.764</f>
        <v>251.24521499999994</v>
      </c>
      <c r="F359" s="42">
        <f>D359+E359</f>
        <v>1959.8345792999999</v>
      </c>
      <c r="G359" s="42">
        <v>0</v>
      </c>
      <c r="H359" s="42">
        <f>F359*(($H$154)+1)+(IF(G359&lt;101,G359,IF(G359&lt;201,G359/2,IF(G359&lt;=301,G359/3,G359/4))))</f>
        <v>2939.7518689499998</v>
      </c>
      <c r="I359" s="36"/>
    </row>
    <row r="360" spans="1:9" s="37" customFormat="1" ht="15.75" customHeight="1" x14ac:dyDescent="0.25">
      <c r="A360" s="95" t="s">
        <v>402</v>
      </c>
      <c r="B360" s="96"/>
      <c r="C360" s="96"/>
      <c r="D360" s="96"/>
      <c r="E360" s="96"/>
      <c r="F360" s="96"/>
      <c r="G360" s="96"/>
      <c r="H360" s="97"/>
      <c r="I360" s="36"/>
    </row>
    <row r="361" spans="1:9" s="37" customFormat="1" ht="15.75" customHeight="1" x14ac:dyDescent="0.25">
      <c r="A361" s="98">
        <v>1</v>
      </c>
      <c r="B361" s="98"/>
      <c r="C361" s="42" t="s">
        <v>416</v>
      </c>
      <c r="D361" s="42">
        <f>(4.27*8.08+1.35*4.275+3.97*2.44+3.35*6.3455+3.35*4.98+3.35*4.57+4.27*3.05+1.875*2.75+1.525*1.425+1.525*1.525+1.525*2.44+1.525*2.44+1.525*3.35+1.525*2.44+1.35*1.065+1.225*2.54+1*3.6+1.525*1.685+1.3*1.075+0.85*1.675+1.925*1.575)*10.764</f>
        <v>1708.5893642999999</v>
      </c>
      <c r="E361" s="42">
        <f>(4.27*1.825+1.525*2.44+6.3*1.525+3.7*0.6)*10.764</f>
        <v>251.24521499999994</v>
      </c>
      <c r="F361" s="42">
        <f>D361+E361</f>
        <v>1959.8345792999999</v>
      </c>
      <c r="G361" s="42">
        <v>0</v>
      </c>
      <c r="H361" s="42">
        <f>F361*(($H$154)+1)+(IF(G361&lt;101,G361,IF(G361&lt;201,G361/2,IF(G361&lt;=301,G361/3,G361/4))))</f>
        <v>2939.7518689499998</v>
      </c>
      <c r="I361" s="36"/>
    </row>
    <row r="362" spans="1:9" s="37" customFormat="1" ht="15.75" customHeight="1" x14ac:dyDescent="0.25">
      <c r="A362" s="98">
        <f>A361+1</f>
        <v>2</v>
      </c>
      <c r="B362" s="98"/>
      <c r="C362" s="42" t="s">
        <v>416</v>
      </c>
      <c r="D362" s="42">
        <f>(3.97*8.08+1.255*4.275+3.975*2.4+3.35*4.57+3.35*4.9+4.27*3.35+3.05*3.65+1.525*2.125+1.525*2.44+1.525*2.945+1.525*2.44+1.35*1.065+1.225*1.254+5.16*1.075+1.525*2.39)*10.764</f>
        <v>1415.2897394999998</v>
      </c>
      <c r="E362" s="42">
        <f>(1.525*1.84+3.97*1.825+3.7*0.6+4.065*1.525)*10.764</f>
        <v>198.81511649999999</v>
      </c>
      <c r="F362" s="42">
        <f>D362+E362</f>
        <v>1614.1048559999997</v>
      </c>
      <c r="G362" s="42">
        <v>0</v>
      </c>
      <c r="H362" s="42">
        <f>F362*(($H$154)+1)+(IF(G362&lt;101,G362,IF(G362&lt;201,G362/2,IF(G362&lt;=301,G362/3,G362/4))))</f>
        <v>2421.1572839999994</v>
      </c>
      <c r="I362" s="36"/>
    </row>
    <row r="363" spans="1:9" s="37" customFormat="1" ht="15.75" customHeight="1" x14ac:dyDescent="0.25">
      <c r="A363" s="98">
        <f>A362+1</f>
        <v>3</v>
      </c>
      <c r="B363" s="98"/>
      <c r="C363" s="99" t="s">
        <v>390</v>
      </c>
      <c r="D363" s="100"/>
      <c r="E363" s="100"/>
      <c r="F363" s="100"/>
      <c r="G363" s="100"/>
      <c r="H363" s="101"/>
      <c r="I363" s="36"/>
    </row>
    <row r="364" spans="1:9" s="37" customFormat="1" ht="15.75" customHeight="1" x14ac:dyDescent="0.25">
      <c r="A364" s="98">
        <f>A363+1</f>
        <v>4</v>
      </c>
      <c r="B364" s="98"/>
      <c r="C364" s="102"/>
      <c r="D364" s="103"/>
      <c r="E364" s="103"/>
      <c r="F364" s="103"/>
      <c r="G364" s="103"/>
      <c r="H364" s="104"/>
      <c r="I364" s="36"/>
    </row>
    <row r="365" spans="1:9" s="37" customFormat="1" ht="15.75" customHeight="1" x14ac:dyDescent="0.25">
      <c r="A365" s="98">
        <f>A364+1</f>
        <v>5</v>
      </c>
      <c r="B365" s="98"/>
      <c r="C365" s="42" t="s">
        <v>416</v>
      </c>
      <c r="D365" s="42">
        <f>(3.97*8.08+1.255*4.275+3.975*2.4+3.35*4.57+3.35*4.9+4.27*3.35+3.05*3.65+1.525*2.125+1.525*2.44+1.525*2.945+1.525*2.44+1.35*1.065+1.225*1.254+5.16*1.075+1.525*2.39)*10.764</f>
        <v>1415.2897394999998</v>
      </c>
      <c r="E365" s="42">
        <f>(1.525*1.84+3.97*1.825+3.7*0.6+4.065*1.525)*10.764</f>
        <v>198.81511649999999</v>
      </c>
      <c r="F365" s="42">
        <f>D365+E365</f>
        <v>1614.1048559999997</v>
      </c>
      <c r="G365" s="42">
        <v>0</v>
      </c>
      <c r="H365" s="42">
        <f>F365*(($H$154)+1)+(IF(G365&lt;101,G365,IF(G365&lt;201,G365/2,IF(G365&lt;=301,G365/3,G365/4))))</f>
        <v>2421.1572839999994</v>
      </c>
      <c r="I365" s="36"/>
    </row>
    <row r="366" spans="1:9" s="37" customFormat="1" ht="15.75" customHeight="1" x14ac:dyDescent="0.25">
      <c r="A366" s="98">
        <f>A365+1</f>
        <v>6</v>
      </c>
      <c r="B366" s="98"/>
      <c r="C366" s="42" t="s">
        <v>416</v>
      </c>
      <c r="D366" s="42">
        <f>(4.27*8.08+1.35*4.275+3.97*2.44+3.35*6.3455+3.35*4.98+3.35*4.57+4.27*3.05+1.875*2.75+1.525*1.425+1.525*1.525+1.525*2.44+1.525*2.44+1.525*3.35+1.525*2.44+1.35*1.065+1.225*2.54+1*3.6+1.525*1.685+1.3*1.075+0.85*1.675+1.925*1.575)*10.764</f>
        <v>1708.5893642999999</v>
      </c>
      <c r="E366" s="42">
        <f>(4.27*1.825+1.525*2.44+6.3*1.525+3.7*0.6)*10.764</f>
        <v>251.24521499999994</v>
      </c>
      <c r="F366" s="42">
        <f>D366+E366</f>
        <v>1959.8345792999999</v>
      </c>
      <c r="G366" s="42">
        <v>0</v>
      </c>
      <c r="H366" s="42">
        <f>F366*(($H$154)+1)+(IF(G366&lt;101,G366,IF(G366&lt;201,G366/2,IF(G366&lt;=301,G366/3,G366/4))))</f>
        <v>2939.7518689499998</v>
      </c>
      <c r="I366" s="36"/>
    </row>
    <row r="367" spans="1:9" s="37" customFormat="1" ht="15.75" customHeight="1" x14ac:dyDescent="0.25">
      <c r="A367" s="108" t="s">
        <v>421</v>
      </c>
      <c r="B367" s="108"/>
      <c r="C367" s="108"/>
      <c r="D367" s="108"/>
      <c r="E367" s="108"/>
      <c r="F367" s="108"/>
      <c r="G367" s="108"/>
      <c r="H367" s="108"/>
      <c r="I367" s="36"/>
    </row>
    <row r="368" spans="1:9" s="37" customFormat="1" ht="15.75" customHeight="1" x14ac:dyDescent="0.25">
      <c r="A368" s="98">
        <v>1</v>
      </c>
      <c r="B368" s="98"/>
      <c r="C368" s="91" t="s">
        <v>416</v>
      </c>
      <c r="D368" s="91">
        <f>(4.27*8.08+1.35*4.275+3.97*2.44+3.35*6.3455+3.35*4.98+3.35*4.57+4.27*3.05+1.875*2.75+1.525*1.425+1.525*1.525+1.525*2.44+1.525*2.44+1.525*3.35+1.525*2.44+1.35*1.065+1.225*2.54+1*3.6+1.525*1.685+1.3*1.075+0.85*1.675+1.925*1.575)*10.764</f>
        <v>1708.5893642999999</v>
      </c>
      <c r="E368" s="91">
        <f>(4.27*1.825+1.525*2.44+6.3*1.525+3.7*0.6)*10.764</f>
        <v>251.24521499999994</v>
      </c>
      <c r="F368" s="91">
        <f t="shared" ref="F368:F373" si="102">D368+E368</f>
        <v>1959.8345792999999</v>
      </c>
      <c r="G368" s="91">
        <v>0</v>
      </c>
      <c r="H368" s="91">
        <f t="shared" ref="H368:H373" si="103">F368*(($H$154)+1)+(IF(G368&lt;101,G368,IF(G368&lt;201,G368/2,IF(G368&lt;=301,G368/3,G368/4))))</f>
        <v>2939.7518689499998</v>
      </c>
      <c r="I368" s="36"/>
    </row>
    <row r="369" spans="1:9" s="37" customFormat="1" ht="15.75" customHeight="1" x14ac:dyDescent="0.25">
      <c r="A369" s="98">
        <f>A368+1</f>
        <v>2</v>
      </c>
      <c r="B369" s="98"/>
      <c r="C369" s="91" t="s">
        <v>416</v>
      </c>
      <c r="D369" s="91">
        <f>(3.97*8.08+1.255*4.275+3.975*2.4+3.35*4.57+3.35*4.9+4.27*3.35+3.05*3.65+1.525*2.125+1.525*2.44+1.525*2.945+1.525*2.44+1.35*1.065+1.225*1.254+5.16*1.075+1.525*2.39)*10.764</f>
        <v>1415.2897394999998</v>
      </c>
      <c r="E369" s="91">
        <f>(1.525*1.84+3.97*1.825+3.7*0.6+4.065*1.525)*10.764</f>
        <v>198.81511649999999</v>
      </c>
      <c r="F369" s="91">
        <f t="shared" si="102"/>
        <v>1614.1048559999997</v>
      </c>
      <c r="G369" s="91">
        <v>0</v>
      </c>
      <c r="H369" s="91">
        <f t="shared" si="103"/>
        <v>2421.1572839999994</v>
      </c>
      <c r="I369" s="36"/>
    </row>
    <row r="370" spans="1:9" s="37" customFormat="1" ht="15.75" customHeight="1" x14ac:dyDescent="0.25">
      <c r="A370" s="98">
        <f>A369+1</f>
        <v>3</v>
      </c>
      <c r="B370" s="98"/>
      <c r="C370" s="91" t="s">
        <v>387</v>
      </c>
      <c r="D370" s="91">
        <f>(3.65*5.74+3.05*2.44+3.5*3.35+3.05*3.115+3.1*3.35+1.525*2.44+2.44*1.525+2.44*1.525+2.05*1.05+1*0.95+3.07*1+2.965*1.525)*10.764</f>
        <v>881.15045850000001</v>
      </c>
      <c r="E370" s="91">
        <f>(3.55*1.225+1.6*1.765)*10.764</f>
        <v>77.207480999999987</v>
      </c>
      <c r="F370" s="91">
        <f t="shared" si="102"/>
        <v>958.35793950000004</v>
      </c>
      <c r="G370" s="91">
        <v>0</v>
      </c>
      <c r="H370" s="91">
        <f t="shared" si="103"/>
        <v>1437.53690925</v>
      </c>
      <c r="I370" s="36"/>
    </row>
    <row r="371" spans="1:9" s="37" customFormat="1" ht="15.75" customHeight="1" x14ac:dyDescent="0.25">
      <c r="A371" s="98">
        <f>A370+1</f>
        <v>4</v>
      </c>
      <c r="B371" s="98"/>
      <c r="C371" s="91" t="s">
        <v>387</v>
      </c>
      <c r="D371" s="91">
        <f>(3.65*5.74+3.05*2.44+3.5*3.35+3.05*3.115+3.1*3.35+1.525*2.44+2.44*1.525+2.44*1.525+2.05*1.05+1*0.95+3.07*1+2.965*1.525)*10.764</f>
        <v>881.15045850000001</v>
      </c>
      <c r="E371" s="91">
        <f>(3.55*1.225+1.6*1.765)*10.764</f>
        <v>77.207480999999987</v>
      </c>
      <c r="F371" s="91">
        <f t="shared" si="102"/>
        <v>958.35793950000004</v>
      </c>
      <c r="G371" s="91">
        <v>0</v>
      </c>
      <c r="H371" s="91">
        <f t="shared" si="103"/>
        <v>1437.53690925</v>
      </c>
      <c r="I371" s="36"/>
    </row>
    <row r="372" spans="1:9" s="37" customFormat="1" ht="15.75" customHeight="1" x14ac:dyDescent="0.25">
      <c r="A372" s="98">
        <f>A371+1</f>
        <v>5</v>
      </c>
      <c r="B372" s="98"/>
      <c r="C372" s="91" t="s">
        <v>416</v>
      </c>
      <c r="D372" s="91">
        <f>(3.97*8.08+1.255*4.275+3.975*2.4+3.35*4.57+3.35*4.9+4.27*3.35+3.05*3.65+1.525*2.125+1.525*2.44+1.525*2.945+1.525*2.44+1.35*1.065+1.225*1.254+5.16*1.075+1.525*2.39)*10.764</f>
        <v>1415.2897394999998</v>
      </c>
      <c r="E372" s="91">
        <f>(1.525*1.84+3.97*1.825+3.7*0.6+4.065*1.525)*10.764</f>
        <v>198.81511649999999</v>
      </c>
      <c r="F372" s="91">
        <f t="shared" si="102"/>
        <v>1614.1048559999997</v>
      </c>
      <c r="G372" s="91">
        <v>0</v>
      </c>
      <c r="H372" s="91">
        <f t="shared" si="103"/>
        <v>2421.1572839999994</v>
      </c>
      <c r="I372" s="36"/>
    </row>
    <row r="373" spans="1:9" s="37" customFormat="1" ht="15.75" customHeight="1" x14ac:dyDescent="0.25">
      <c r="A373" s="98">
        <f>A372+1</f>
        <v>6</v>
      </c>
      <c r="B373" s="98"/>
      <c r="C373" s="91" t="s">
        <v>416</v>
      </c>
      <c r="D373" s="91">
        <f>(4.27*8.08+1.35*4.275+3.97*2.44+3.35*6.3455+3.35*4.98+3.35*4.57+4.27*3.05+1.875*2.75+1.525*1.425+1.525*1.525+1.525*2.44+1.525*2.44+1.525*3.35+1.525*2.44+1.35*1.065+1.225*2.54+1*3.6+1.525*1.685+1.3*1.075+0.85*1.675+1.925*1.575)*10.764</f>
        <v>1708.5893642999999</v>
      </c>
      <c r="E373" s="91">
        <f>(4.27*1.825+1.525*2.44+6.3*1.525+3.7*0.6)*10.764</f>
        <v>251.24521499999994</v>
      </c>
      <c r="F373" s="91">
        <f t="shared" si="102"/>
        <v>1959.8345792999999</v>
      </c>
      <c r="G373" s="91">
        <v>0</v>
      </c>
      <c r="H373" s="91">
        <f t="shared" si="103"/>
        <v>2939.7518689499998</v>
      </c>
      <c r="I373" s="36"/>
    </row>
    <row r="374" spans="1:9" s="37" customFormat="1" ht="15.75" customHeight="1" x14ac:dyDescent="0.25">
      <c r="A374" s="108" t="s">
        <v>422</v>
      </c>
      <c r="B374" s="108"/>
      <c r="C374" s="108"/>
      <c r="D374" s="108"/>
      <c r="E374" s="108"/>
      <c r="F374" s="108"/>
      <c r="G374" s="108"/>
      <c r="H374" s="108"/>
      <c r="I374" s="36"/>
    </row>
    <row r="375" spans="1:9" s="37" customFormat="1" ht="15.75" customHeight="1" x14ac:dyDescent="0.25">
      <c r="A375" s="98">
        <v>1</v>
      </c>
      <c r="B375" s="98"/>
      <c r="C375" s="91" t="s">
        <v>416</v>
      </c>
      <c r="D375" s="91">
        <f>(4.27*8.08+1.35*4.275+3.97*2.44+3.35*6.3455+3.35*4.98+3.35*4.57+4.27*3.05+1.875*2.75+1.525*1.425+1.525*1.525+1.525*2.44+1.525*2.44+1.525*3.35+1.525*2.44+1.35*1.065+1.225*2.54+1*3.6+1.525*1.685+1.3*1.075+0.85*1.675+1.925*1.575)*10.764</f>
        <v>1708.5893642999999</v>
      </c>
      <c r="E375" s="91">
        <f>(4.27*1.825+1.525*2.44+6.3*1.525+3.7*0.6)*10.764</f>
        <v>251.24521499999994</v>
      </c>
      <c r="F375" s="91">
        <f>D375+E375</f>
        <v>1959.8345792999999</v>
      </c>
      <c r="G375" s="91">
        <v>0</v>
      </c>
      <c r="H375" s="91">
        <f>F375*(($H$154)+1)+(IF(G375&lt;101,G375,IF(G375&lt;201,G375/2,IF(G375&lt;=301,G375/3,G375/4))))</f>
        <v>2939.7518689499998</v>
      </c>
      <c r="I375" s="36"/>
    </row>
    <row r="376" spans="1:9" s="37" customFormat="1" ht="15.75" customHeight="1" x14ac:dyDescent="0.25">
      <c r="A376" s="98">
        <f>A375+1</f>
        <v>2</v>
      </c>
      <c r="B376" s="98"/>
      <c r="C376" s="91" t="s">
        <v>416</v>
      </c>
      <c r="D376" s="91">
        <f>(3.97*8.08+1.255*4.275+3.975*2.4+3.35*4.57+3.35*4.9+4.27*3.35+3.05*3.65+1.525*2.125+1.525*2.44+1.525*2.945+1.525*2.44+1.35*1.065+1.225*1.254+5.16*1.075+1.525*2.39)*10.764</f>
        <v>1415.2897394999998</v>
      </c>
      <c r="E376" s="91">
        <f>(1.525*1.84+3.97*1.825+3.7*0.6+4.065*1.525)*10.764</f>
        <v>198.81511649999999</v>
      </c>
      <c r="F376" s="91">
        <f>D376+E376</f>
        <v>1614.1048559999997</v>
      </c>
      <c r="G376" s="91">
        <v>0</v>
      </c>
      <c r="H376" s="91">
        <f>F376*(($H$154)+1)+(IF(G376&lt;101,G376,IF(G376&lt;201,G376/2,IF(G376&lt;=301,G376/3,G376/4))))</f>
        <v>2421.1572839999994</v>
      </c>
      <c r="I376" s="36"/>
    </row>
    <row r="377" spans="1:9" s="37" customFormat="1" ht="15.75" customHeight="1" x14ac:dyDescent="0.25">
      <c r="A377" s="98">
        <f>A376+1</f>
        <v>3</v>
      </c>
      <c r="B377" s="98"/>
      <c r="C377" s="98" t="s">
        <v>390</v>
      </c>
      <c r="D377" s="98"/>
      <c r="E377" s="98"/>
      <c r="F377" s="98"/>
      <c r="G377" s="98"/>
      <c r="H377" s="98"/>
      <c r="I377" s="36"/>
    </row>
    <row r="378" spans="1:9" s="37" customFormat="1" ht="15.75" customHeight="1" x14ac:dyDescent="0.25">
      <c r="A378" s="98">
        <f>A377+1</f>
        <v>4</v>
      </c>
      <c r="B378" s="98"/>
      <c r="C378" s="98"/>
      <c r="D378" s="98"/>
      <c r="E378" s="98"/>
      <c r="F378" s="98"/>
      <c r="G378" s="98"/>
      <c r="H378" s="98"/>
      <c r="I378" s="36"/>
    </row>
    <row r="379" spans="1:9" s="37" customFormat="1" ht="15.75" customHeight="1" x14ac:dyDescent="0.25">
      <c r="A379" s="98">
        <f>A378+1</f>
        <v>5</v>
      </c>
      <c r="B379" s="98"/>
      <c r="C379" s="91" t="s">
        <v>416</v>
      </c>
      <c r="D379" s="91">
        <f>(3.97*8.08+1.255*4.275+3.975*2.4+3.35*4.57+3.35*4.9+4.27*3.35+3.05*3.65+1.525*2.125+1.525*2.44+1.525*2.945+1.525*2.44+1.35*1.065+1.225*1.254+5.16*1.075+1.525*2.39)*10.764</f>
        <v>1415.2897394999998</v>
      </c>
      <c r="E379" s="91">
        <f>(1.525*1.84+3.97*1.825+3.7*0.6+4.065*1.525)*10.764</f>
        <v>198.81511649999999</v>
      </c>
      <c r="F379" s="91">
        <f>D379+E379</f>
        <v>1614.1048559999997</v>
      </c>
      <c r="G379" s="91">
        <v>0</v>
      </c>
      <c r="H379" s="91">
        <f>F379*(($H$154)+1)+(IF(G379&lt;101,G379,IF(G379&lt;201,G379/2,IF(G379&lt;=301,G379/3,G379/4))))</f>
        <v>2421.1572839999994</v>
      </c>
      <c r="I379" s="36"/>
    </row>
    <row r="380" spans="1:9" s="37" customFormat="1" ht="15.75" customHeight="1" x14ac:dyDescent="0.25">
      <c r="A380" s="98">
        <f>A379+1</f>
        <v>6</v>
      </c>
      <c r="B380" s="98"/>
      <c r="C380" s="42" t="s">
        <v>416</v>
      </c>
      <c r="D380" s="42">
        <f>(4.27*8.08+1.35*4.275+3.97*2.44+3.35*6.3455+3.35*4.98+3.35*4.57+4.27*3.05+1.875*2.75+1.525*1.425+1.525*1.525+1.525*2.44+1.525*2.44+1.525*3.35+1.525*2.44+1.35*1.065+1.225*2.54+1*3.6+1.525*1.685+1.3*1.075+0.85*1.675+1.925*1.575)*10.764</f>
        <v>1708.5893642999999</v>
      </c>
      <c r="E380" s="42">
        <f>(4.27*1.825+1.525*2.44+6.3*1.525+3.7*0.6)*10.764</f>
        <v>251.24521499999994</v>
      </c>
      <c r="F380" s="42">
        <f>D380+E380</f>
        <v>1959.8345792999999</v>
      </c>
      <c r="G380" s="42">
        <v>0</v>
      </c>
      <c r="H380" s="42">
        <f>F380*(($H$154)+1)+(IF(G380&lt;101,G380,IF(G380&lt;201,G380/2,IF(G380&lt;=301,G380/3,G380/4))))</f>
        <v>2939.7518689499998</v>
      </c>
      <c r="I380" s="36"/>
    </row>
    <row r="381" spans="1:9" s="37" customFormat="1" ht="15.75" customHeight="1" x14ac:dyDescent="0.25">
      <c r="A381" s="95" t="s">
        <v>423</v>
      </c>
      <c r="B381" s="96"/>
      <c r="C381" s="96"/>
      <c r="D381" s="96"/>
      <c r="E381" s="96"/>
      <c r="F381" s="96"/>
      <c r="G381" s="96"/>
      <c r="H381" s="97"/>
      <c r="I381" s="36"/>
    </row>
    <row r="382" spans="1:9" s="37" customFormat="1" ht="15.75" customHeight="1" x14ac:dyDescent="0.25">
      <c r="A382" s="98">
        <v>1</v>
      </c>
      <c r="B382" s="98"/>
      <c r="C382" s="42" t="s">
        <v>416</v>
      </c>
      <c r="D382" s="42">
        <f>(4.27*8.08+1.35*4.275+3.97*2.44+3.35*6.3455+3.35*4.98+3.35*4.57+4.27*3.05+1.875*2.75+1.525*1.425+1.525*1.525+1.525*2.44+1.525*2.44+1.525*3.35+1.525*2.44+1.35*1.065+1.225*2.54+1*3.6+1.525*1.685+1.3*1.075+0.85*1.675+1.925*1.575)*10.764</f>
        <v>1708.5893642999999</v>
      </c>
      <c r="E382" s="42">
        <f>(4.27*1.825+1.525*2.44+6.3*1.525+3.7*0.6)*10.764</f>
        <v>251.24521499999994</v>
      </c>
      <c r="F382" s="42">
        <f t="shared" ref="F382:F387" si="104">D382+E382</f>
        <v>1959.8345792999999</v>
      </c>
      <c r="G382" s="42">
        <v>0</v>
      </c>
      <c r="H382" s="42">
        <f t="shared" ref="H382:H387" si="105">F382*(($H$154)+1)+(IF(G382&lt;101,G382,IF(G382&lt;201,G382/2,IF(G382&lt;=301,G382/3,G382/4))))</f>
        <v>2939.7518689499998</v>
      </c>
      <c r="I382" s="36"/>
    </row>
    <row r="383" spans="1:9" s="37" customFormat="1" ht="15.75" customHeight="1" x14ac:dyDescent="0.25">
      <c r="A383" s="98">
        <f>A382+1</f>
        <v>2</v>
      </c>
      <c r="B383" s="98"/>
      <c r="C383" s="42" t="s">
        <v>416</v>
      </c>
      <c r="D383" s="42">
        <f>(3.97*8.08+1.255*4.275+3.975*2.4+3.35*4.57+3.35*4.9+4.27*3.35+3.05*3.65+1.525*2.125+1.525*2.44+1.525*2.945+1.525*2.44+1.35*1.065+1.225*1.254+5.16*1.075+1.525*2.39)*10.764</f>
        <v>1415.2897394999998</v>
      </c>
      <c r="E383" s="42">
        <f>(1.525*1.84+3.97*1.825+3.7*0.6+4.065*1.525)*10.764</f>
        <v>198.81511649999999</v>
      </c>
      <c r="F383" s="42">
        <f t="shared" si="104"/>
        <v>1614.1048559999997</v>
      </c>
      <c r="G383" s="42">
        <v>0</v>
      </c>
      <c r="H383" s="42">
        <f t="shared" si="105"/>
        <v>2421.1572839999994</v>
      </c>
      <c r="I383" s="36"/>
    </row>
    <row r="384" spans="1:9" s="37" customFormat="1" ht="15.75" customHeight="1" x14ac:dyDescent="0.25">
      <c r="A384" s="98">
        <f>A383+1</f>
        <v>3</v>
      </c>
      <c r="B384" s="98"/>
      <c r="C384" s="42" t="s">
        <v>387</v>
      </c>
      <c r="D384" s="42">
        <f>(3.65*5.74+3.05*2.44+3.5*3.35+3.05*3.115+3.1*3.35+1.525*2.44+2.44*1.525+2.44*1.525+2.05*1.05+1*0.95+3.07*1+2.965*1.525)*10.764</f>
        <v>881.15045850000001</v>
      </c>
      <c r="E384" s="42">
        <f>(3.55*1.225+1.6*1.765)*10.764</f>
        <v>77.207480999999987</v>
      </c>
      <c r="F384" s="42">
        <f t="shared" si="104"/>
        <v>958.35793950000004</v>
      </c>
      <c r="G384" s="42">
        <v>0</v>
      </c>
      <c r="H384" s="42">
        <f t="shared" si="105"/>
        <v>1437.53690925</v>
      </c>
      <c r="I384" s="36"/>
    </row>
    <row r="385" spans="1:9" s="37" customFormat="1" ht="15.75" customHeight="1" x14ac:dyDescent="0.25">
      <c r="A385" s="98">
        <f>A384+1</f>
        <v>4</v>
      </c>
      <c r="B385" s="98"/>
      <c r="C385" s="42" t="s">
        <v>387</v>
      </c>
      <c r="D385" s="42">
        <f>(3.65*5.74+3.05*2.44+3.5*3.35+3.05*3.115+3.1*3.35+1.525*2.44+2.44*1.525+2.44*1.525+2.05*1.05+1*0.95+3.07*1+2.965*1.525)*10.764</f>
        <v>881.15045850000001</v>
      </c>
      <c r="E385" s="42">
        <f>(3.55*1.225+1.6*1.765)*10.764</f>
        <v>77.207480999999987</v>
      </c>
      <c r="F385" s="42">
        <f t="shared" si="104"/>
        <v>958.35793950000004</v>
      </c>
      <c r="G385" s="42">
        <v>0</v>
      </c>
      <c r="H385" s="42">
        <f t="shared" si="105"/>
        <v>1437.53690925</v>
      </c>
      <c r="I385" s="36"/>
    </row>
    <row r="386" spans="1:9" s="37" customFormat="1" ht="15.75" customHeight="1" x14ac:dyDescent="0.25">
      <c r="A386" s="98">
        <f>A385+1</f>
        <v>5</v>
      </c>
      <c r="B386" s="98"/>
      <c r="C386" s="42" t="s">
        <v>416</v>
      </c>
      <c r="D386" s="42">
        <f>(3.97*8.08+1.255*4.275+3.975*2.4+3.35*4.57+3.35*4.9+4.27*3.35+3.05*3.65+1.525*2.125+1.525*2.44+1.525*2.945+1.525*2.44+1.35*1.065+1.225*1.254+5.16*1.075+1.525*2.39)*10.764</f>
        <v>1415.2897394999998</v>
      </c>
      <c r="E386" s="42">
        <f>(1.525*1.84+3.97*1.825+3.7*0.6+4.065*1.525)*10.764</f>
        <v>198.81511649999999</v>
      </c>
      <c r="F386" s="42">
        <f t="shared" si="104"/>
        <v>1614.1048559999997</v>
      </c>
      <c r="G386" s="42">
        <v>0</v>
      </c>
      <c r="H386" s="42">
        <f t="shared" si="105"/>
        <v>2421.1572839999994</v>
      </c>
      <c r="I386" s="36"/>
    </row>
    <row r="387" spans="1:9" s="37" customFormat="1" ht="15.75" customHeight="1" x14ac:dyDescent="0.25">
      <c r="A387" s="98">
        <f>A386+1</f>
        <v>6</v>
      </c>
      <c r="B387" s="98"/>
      <c r="C387" s="42" t="s">
        <v>416</v>
      </c>
      <c r="D387" s="42">
        <f>(4.27*8.08+1.35*4.275+3.97*2.44+3.35*6.3455+3.35*4.98+3.35*4.57+4.27*3.05+1.875*2.75+1.525*1.425+1.525*1.525+1.525*2.44+1.525*2.44+1.525*3.35+1.525*2.44+1.35*1.065+1.225*2.54+1*3.6+1.525*1.685+1.3*1.075+0.85*1.675+1.925*1.575)*10.764</f>
        <v>1708.5893642999999</v>
      </c>
      <c r="E387" s="42">
        <f>(4.27*1.825+1.525*2.44+6.3*1.525+3.7*0.6)*10.764</f>
        <v>251.24521499999994</v>
      </c>
      <c r="F387" s="42">
        <f t="shared" si="104"/>
        <v>1959.8345792999999</v>
      </c>
      <c r="G387" s="42">
        <v>0</v>
      </c>
      <c r="H387" s="42">
        <f t="shared" si="105"/>
        <v>2939.7518689499998</v>
      </c>
      <c r="I387" s="36"/>
    </row>
    <row r="388" spans="1:9" s="37" customFormat="1" ht="15.75" customHeight="1" x14ac:dyDescent="0.25">
      <c r="A388" s="95" t="s">
        <v>424</v>
      </c>
      <c r="B388" s="96"/>
      <c r="C388" s="96"/>
      <c r="D388" s="96"/>
      <c r="E388" s="96"/>
      <c r="F388" s="96"/>
      <c r="G388" s="96"/>
      <c r="H388" s="97"/>
      <c r="I388" s="36"/>
    </row>
    <row r="389" spans="1:9" s="37" customFormat="1" ht="15.75" customHeight="1" x14ac:dyDescent="0.25">
      <c r="A389" s="98">
        <v>1</v>
      </c>
      <c r="B389" s="98"/>
      <c r="C389" s="42" t="s">
        <v>416</v>
      </c>
      <c r="D389" s="42">
        <f>(4.27*8.08+1.35*4.275+3.97*2.44+3.35*6.3455+3.35*4.98+3.35*4.57+4.27*3.05+1.875*2.75+1.525*1.425+1.525*1.525+1.525*2.44+1.525*2.44+1.525*3.35+1.525*2.44+1.35*1.065+1.225*2.54+1*3.6+1.525*1.685+1.3*1.075+0.85*1.675+1.925*1.575)*10.764</f>
        <v>1708.5893642999999</v>
      </c>
      <c r="E389" s="42">
        <f>(4.27*1.825+1.525*2.44+6.3*1.525+3.7*0.6)*10.764</f>
        <v>251.24521499999994</v>
      </c>
      <c r="F389" s="42">
        <f t="shared" ref="F389:F394" si="106">D389+E389</f>
        <v>1959.8345792999999</v>
      </c>
      <c r="G389" s="42">
        <v>0</v>
      </c>
      <c r="H389" s="42">
        <f t="shared" ref="H389:H394" si="107">F389*(($H$154)+1)+(IF(G389&lt;101,G389,IF(G389&lt;201,G389/2,IF(G389&lt;=301,G389/3,G389/4))))</f>
        <v>2939.7518689499998</v>
      </c>
      <c r="I389" s="36"/>
    </row>
    <row r="390" spans="1:9" s="37" customFormat="1" ht="15.75" customHeight="1" x14ac:dyDescent="0.25">
      <c r="A390" s="98">
        <f>A389+1</f>
        <v>2</v>
      </c>
      <c r="B390" s="98"/>
      <c r="C390" s="42" t="s">
        <v>416</v>
      </c>
      <c r="D390" s="42">
        <f>(3.97*8.08+1.255*4.275+3.975*2.4+3.35*4.57+3.35*4.9+4.27*3.35+3.05*3.65+1.525*2.125+1.525*2.44+1.525*2.945+1.525*2.44+1.35*1.065+1.225*1.254+5.16*1.075+1.525*2.39)*10.764</f>
        <v>1415.2897394999998</v>
      </c>
      <c r="E390" s="42">
        <f>(1.525*1.84+3.97*1.825+3.7*0.6+4.065*1.525)*10.764</f>
        <v>198.81511649999999</v>
      </c>
      <c r="F390" s="42">
        <f t="shared" si="106"/>
        <v>1614.1048559999997</v>
      </c>
      <c r="G390" s="42">
        <v>0</v>
      </c>
      <c r="H390" s="42">
        <f t="shared" si="107"/>
        <v>2421.1572839999994</v>
      </c>
      <c r="I390" s="36"/>
    </row>
    <row r="391" spans="1:9" s="37" customFormat="1" ht="15.75" customHeight="1" x14ac:dyDescent="0.25">
      <c r="A391" s="98">
        <f>A390+1</f>
        <v>3</v>
      </c>
      <c r="B391" s="98"/>
      <c r="C391" s="42" t="s">
        <v>387</v>
      </c>
      <c r="D391" s="42">
        <f>(3.65*5.74+3.05*2.44+3.5*3.35+3.05*3.115+3.1*3.35+1.525*2.44+2.44*1.525+2.44*1.525+2.05*1.05+1*0.95+3.07*1+2.965*1.525)*10.764</f>
        <v>881.15045850000001</v>
      </c>
      <c r="E391" s="42">
        <f>(3.55*1.225+1.6*1.765)*10.764</f>
        <v>77.207480999999987</v>
      </c>
      <c r="F391" s="42">
        <f t="shared" si="106"/>
        <v>958.35793950000004</v>
      </c>
      <c r="G391" s="42">
        <v>0</v>
      </c>
      <c r="H391" s="42">
        <f t="shared" si="107"/>
        <v>1437.53690925</v>
      </c>
      <c r="I391" s="36"/>
    </row>
    <row r="392" spans="1:9" s="37" customFormat="1" ht="15.75" customHeight="1" x14ac:dyDescent="0.25">
      <c r="A392" s="98">
        <f>A391+1</f>
        <v>4</v>
      </c>
      <c r="B392" s="98"/>
      <c r="C392" s="42" t="s">
        <v>387</v>
      </c>
      <c r="D392" s="42">
        <f>(3.65*5.74+3.05*2.44+3.5*3.35+3.05*3.115+3.1*3.35+1.525*2.44+2.44*1.525+2.44*1.525+2.05*1.05+1*0.95+3.07*1+2.965*1.525)*10.764</f>
        <v>881.15045850000001</v>
      </c>
      <c r="E392" s="42">
        <f>(3.55*1.225+1.6*1.765)*10.764</f>
        <v>77.207480999999987</v>
      </c>
      <c r="F392" s="42">
        <f t="shared" si="106"/>
        <v>958.35793950000004</v>
      </c>
      <c r="G392" s="42">
        <v>0</v>
      </c>
      <c r="H392" s="42">
        <f t="shared" si="107"/>
        <v>1437.53690925</v>
      </c>
      <c r="I392" s="36"/>
    </row>
    <row r="393" spans="1:9" s="37" customFormat="1" ht="15.75" customHeight="1" x14ac:dyDescent="0.25">
      <c r="A393" s="98">
        <f>A392+1</f>
        <v>5</v>
      </c>
      <c r="B393" s="98"/>
      <c r="C393" s="42" t="s">
        <v>416</v>
      </c>
      <c r="D393" s="42">
        <f>(3.97*8.08+1.255*4.275+3.975*2.4+3.35*4.57+3.35*4.9+4.27*3.35+3.05*3.65+1.525*2.125+1.525*2.44+1.525*2.945+1.525*2.44+1.35*1.065+1.225*1.254+5.16*1.075+1.525*2.39)*10.764</f>
        <v>1415.2897394999998</v>
      </c>
      <c r="E393" s="42">
        <f>(1.525*1.84+3.97*1.825+3.7*0.6+4.065*1.525)*10.764</f>
        <v>198.81511649999999</v>
      </c>
      <c r="F393" s="42">
        <f t="shared" si="106"/>
        <v>1614.1048559999997</v>
      </c>
      <c r="G393" s="42">
        <v>0</v>
      </c>
      <c r="H393" s="42">
        <f t="shared" si="107"/>
        <v>2421.1572839999994</v>
      </c>
      <c r="I393" s="36"/>
    </row>
    <row r="394" spans="1:9" s="37" customFormat="1" ht="15.75" customHeight="1" x14ac:dyDescent="0.25">
      <c r="A394" s="98">
        <f>A393+1</f>
        <v>6</v>
      </c>
      <c r="B394" s="98"/>
      <c r="C394" s="42" t="s">
        <v>416</v>
      </c>
      <c r="D394" s="42">
        <f>(4.27*8.08+1.35*4.275+3.97*2.44+3.35*6.3455+3.35*4.98+3.35*4.57+4.27*3.05+1.875*2.75+1.525*1.425+1.525*1.525+1.525*2.44+1.525*2.44+1.525*3.35+1.525*2.44+1.35*1.065+1.225*2.54+1*3.6+1.525*1.685+1.3*1.075+0.85*1.675+1.925*1.575)*10.764</f>
        <v>1708.5893642999999</v>
      </c>
      <c r="E394" s="42">
        <f>(4.27*1.825+1.525*2.44+6.3*1.525+3.7*0.6)*10.764</f>
        <v>251.24521499999994</v>
      </c>
      <c r="F394" s="42">
        <f t="shared" si="106"/>
        <v>1959.8345792999999</v>
      </c>
      <c r="G394" s="42">
        <v>0</v>
      </c>
      <c r="H394" s="42">
        <f t="shared" si="107"/>
        <v>2939.7518689499998</v>
      </c>
      <c r="I394" s="36"/>
    </row>
    <row r="395" spans="1:9" s="37" customFormat="1" ht="15.75" customHeight="1" x14ac:dyDescent="0.25">
      <c r="A395" s="95" t="s">
        <v>425</v>
      </c>
      <c r="B395" s="96"/>
      <c r="C395" s="96"/>
      <c r="D395" s="96"/>
      <c r="E395" s="96"/>
      <c r="F395" s="96"/>
      <c r="G395" s="96"/>
      <c r="H395" s="97"/>
      <c r="I395" s="36"/>
    </row>
    <row r="396" spans="1:9" s="37" customFormat="1" ht="15.75" customHeight="1" x14ac:dyDescent="0.25">
      <c r="A396" s="98">
        <v>1</v>
      </c>
      <c r="B396" s="98"/>
      <c r="C396" s="42" t="s">
        <v>416</v>
      </c>
      <c r="D396" s="42">
        <f>(4.27*8.08+1.35*4.275+3.97*2.44+3.35*6.3455+3.35*4.98+3.35*4.57+4.27*3.05+1.875*2.75+1.525*1.425+1.525*1.525+1.525*2.44+1.525*2.44+1.525*3.35+1.525*2.44+1.35*1.065+1.225*2.54+1*3.6+1.525*1.685+1.3*1.075+0.85*1.675+1.925*1.575)*10.764</f>
        <v>1708.5893642999999</v>
      </c>
      <c r="E396" s="42">
        <f>(4.27*1.825+1.525*2.44+6.3*1.525+3.7*0.6)*10.764</f>
        <v>251.24521499999994</v>
      </c>
      <c r="F396" s="42">
        <f>D396+E396</f>
        <v>1959.8345792999999</v>
      </c>
      <c r="G396" s="42">
        <v>0</v>
      </c>
      <c r="H396" s="42">
        <f>F396*(($H$154)+1)+(IF(G396&lt;101,G396,IF(G396&lt;201,G396/2,IF(G396&lt;=301,G396/3,G396/4))))</f>
        <v>2939.7518689499998</v>
      </c>
      <c r="I396" s="36"/>
    </row>
    <row r="397" spans="1:9" s="37" customFormat="1" ht="15.75" customHeight="1" x14ac:dyDescent="0.25">
      <c r="A397" s="98">
        <f>A396+1</f>
        <v>2</v>
      </c>
      <c r="B397" s="98"/>
      <c r="C397" s="42" t="s">
        <v>416</v>
      </c>
      <c r="D397" s="42">
        <f>(3.97*8.08+1.255*4.275+3.975*2.4+3.35*4.57+3.35*4.9+4.27*3.35+3.05*3.65+1.525*2.125+1.525*2.44+1.525*2.945+1.525*2.44+1.35*1.065+1.225*1.254+5.16*1.075+1.525*2.39)*10.764</f>
        <v>1415.2897394999998</v>
      </c>
      <c r="E397" s="42">
        <f>(1.525*1.84+3.97*1.825+3.7*0.6+4.065*1.525)*10.764</f>
        <v>198.81511649999999</v>
      </c>
      <c r="F397" s="42">
        <f>D397+E397</f>
        <v>1614.1048559999997</v>
      </c>
      <c r="G397" s="42">
        <v>0</v>
      </c>
      <c r="H397" s="42">
        <f>F397*(($H$154)+1)+(IF(G397&lt;101,G397,IF(G397&lt;201,G397/2,IF(G397&lt;=301,G397/3,G397/4))))</f>
        <v>2421.1572839999994</v>
      </c>
      <c r="I397" s="36"/>
    </row>
    <row r="398" spans="1:9" s="37" customFormat="1" ht="15.75" customHeight="1" x14ac:dyDescent="0.25">
      <c r="A398" s="98">
        <f>A397+1</f>
        <v>3</v>
      </c>
      <c r="B398" s="98"/>
      <c r="C398" s="99" t="s">
        <v>390</v>
      </c>
      <c r="D398" s="100"/>
      <c r="E398" s="100"/>
      <c r="F398" s="100"/>
      <c r="G398" s="100"/>
      <c r="H398" s="101"/>
      <c r="I398" s="36"/>
    </row>
    <row r="399" spans="1:9" s="37" customFormat="1" ht="15.75" customHeight="1" x14ac:dyDescent="0.25">
      <c r="A399" s="98">
        <f>A398+1</f>
        <v>4</v>
      </c>
      <c r="B399" s="98"/>
      <c r="C399" s="102"/>
      <c r="D399" s="103"/>
      <c r="E399" s="103"/>
      <c r="F399" s="103"/>
      <c r="G399" s="103"/>
      <c r="H399" s="104"/>
      <c r="I399" s="36"/>
    </row>
    <row r="400" spans="1:9" s="37" customFormat="1" ht="15.75" customHeight="1" x14ac:dyDescent="0.25">
      <c r="A400" s="98">
        <f>A399+1</f>
        <v>5</v>
      </c>
      <c r="B400" s="98"/>
      <c r="C400" s="42" t="s">
        <v>416</v>
      </c>
      <c r="D400" s="42">
        <f>(3.97*8.08+1.255*4.275+3.975*2.4+3.35*4.57+3.35*4.9+4.27*3.35+3.05*3.65+1.525*2.125+1.525*2.44+1.525*2.945+1.525*2.44+1.35*1.065+1.225*1.254+5.16*1.075+1.525*2.39)*10.764</f>
        <v>1415.2897394999998</v>
      </c>
      <c r="E400" s="42">
        <f>(1.525*1.84+3.97*1.825+3.7*0.6+4.065*1.525)*10.764</f>
        <v>198.81511649999999</v>
      </c>
      <c r="F400" s="42">
        <f>D400+E400</f>
        <v>1614.1048559999997</v>
      </c>
      <c r="G400" s="42">
        <v>0</v>
      </c>
      <c r="H400" s="42">
        <f>F400*(($H$154)+1)+(IF(G400&lt;101,G400,IF(G400&lt;201,G400/2,IF(G400&lt;=301,G400/3,G400/4))))</f>
        <v>2421.1572839999994</v>
      </c>
      <c r="I400" s="36"/>
    </row>
    <row r="401" spans="1:9" s="37" customFormat="1" x14ac:dyDescent="0.25">
      <c r="A401" s="98">
        <f>A400+1</f>
        <v>6</v>
      </c>
      <c r="B401" s="98"/>
      <c r="C401" s="42" t="s">
        <v>416</v>
      </c>
      <c r="D401" s="42">
        <f>(4.27*8.08+1.35*4.275+3.97*2.44+3.35*6.3455+3.35*4.98+3.35*4.57+4.27*3.05+1.875*2.75+1.525*1.425+1.525*1.525+1.525*2.44+1.525*2.44+1.525*3.35+1.525*2.44+1.35*1.065+1.225*2.54+1*3.6+1.525*1.685+1.3*1.075+0.85*1.675+1.925*1.575)*10.764</f>
        <v>1708.5893642999999</v>
      </c>
      <c r="E401" s="42">
        <f>(4.27*1.825+1.525*2.44+6.3*1.525+3.7*0.6)*10.764</f>
        <v>251.24521499999994</v>
      </c>
      <c r="F401" s="42">
        <f>D401+E401</f>
        <v>1959.8345792999999</v>
      </c>
      <c r="G401" s="42">
        <v>0</v>
      </c>
      <c r="H401" s="42">
        <f>F401*(($H$154)+1)+(IF(G401&lt;101,G401,IF(G401&lt;201,G401/2,IF(G401&lt;=301,G401/3,G401/4))))</f>
        <v>2939.7518689499998</v>
      </c>
      <c r="I401" s="36"/>
    </row>
    <row r="402" spans="1:9" s="37" customFormat="1" ht="15.75" customHeight="1" x14ac:dyDescent="0.25">
      <c r="A402" s="95" t="s">
        <v>426</v>
      </c>
      <c r="B402" s="96"/>
      <c r="C402" s="96"/>
      <c r="D402" s="96"/>
      <c r="E402" s="96"/>
      <c r="F402" s="96"/>
      <c r="G402" s="96"/>
      <c r="H402" s="97"/>
      <c r="I402" s="36"/>
    </row>
    <row r="403" spans="1:9" s="37" customFormat="1" ht="15.75" customHeight="1" x14ac:dyDescent="0.25">
      <c r="A403" s="98">
        <v>1</v>
      </c>
      <c r="B403" s="98"/>
      <c r="C403" s="42" t="s">
        <v>416</v>
      </c>
      <c r="D403" s="42">
        <f>(4.27*8.08+1.35*4.275+3.97*2.44+3.35*6.3455+3.35*4.98+3.35*4.57+4.27*3.05+1.875*2.75+1.525*1.425+1.525*1.525+1.525*2.44+1.525*2.44+1.525*3.35+1.525*2.44+1.35*1.065+1.225*2.54+1*3.6+1.525*1.685+1.3*1.075+0.85*1.675+1.925*1.575)*10.764</f>
        <v>1708.5893642999999</v>
      </c>
      <c r="E403" s="42">
        <f>(4.27*1.825+1.525*2.44+6.3*1.525+3.7*0.6)*10.764</f>
        <v>251.24521499999994</v>
      </c>
      <c r="F403" s="42">
        <f t="shared" ref="F403:F408" si="108">D403+E403</f>
        <v>1959.8345792999999</v>
      </c>
      <c r="G403" s="42">
        <v>0</v>
      </c>
      <c r="H403" s="42">
        <f t="shared" ref="H403:H408" si="109">F403*(($H$154)+1)+(IF(G403&lt;101,G403,IF(G403&lt;201,G403/2,IF(G403&lt;=301,G403/3,G403/4))))</f>
        <v>2939.7518689499998</v>
      </c>
      <c r="I403" s="36"/>
    </row>
    <row r="404" spans="1:9" s="37" customFormat="1" ht="15.75" customHeight="1" x14ac:dyDescent="0.25">
      <c r="A404" s="98">
        <f>A403+1</f>
        <v>2</v>
      </c>
      <c r="B404" s="98"/>
      <c r="C404" s="42" t="s">
        <v>416</v>
      </c>
      <c r="D404" s="42">
        <f>(3.97*8.08+1.255*4.275+3.975*2.4+3.35*4.57+3.35*4.9+4.27*3.35+3.05*3.65+1.525*2.125+1.525*2.44+1.525*2.945+1.525*2.44+1.35*1.065+1.225*1.254+5.16*1.075+1.525*2.39)*10.764</f>
        <v>1415.2897394999998</v>
      </c>
      <c r="E404" s="42">
        <f>(1.525*1.84+3.97*1.825+3.7*0.6+4.065*1.525)*10.764</f>
        <v>198.81511649999999</v>
      </c>
      <c r="F404" s="42">
        <f t="shared" si="108"/>
        <v>1614.1048559999997</v>
      </c>
      <c r="G404" s="42">
        <v>0</v>
      </c>
      <c r="H404" s="42">
        <f t="shared" si="109"/>
        <v>2421.1572839999994</v>
      </c>
      <c r="I404" s="36"/>
    </row>
    <row r="405" spans="1:9" s="37" customFormat="1" ht="15.75" customHeight="1" x14ac:dyDescent="0.25">
      <c r="A405" s="98">
        <f>A404+1</f>
        <v>3</v>
      </c>
      <c r="B405" s="98"/>
      <c r="C405" s="42" t="s">
        <v>387</v>
      </c>
      <c r="D405" s="42">
        <f>(3.65*5.74+3.05*2.44+3.5*3.35+3.05*3.115+3.1*3.35+1.525*2.44+2.44*1.525+2.44*1.525+2.05*1.05+1*0.95+3.07*1+2.965*1.525)*10.764</f>
        <v>881.15045850000001</v>
      </c>
      <c r="E405" s="42">
        <f>(3.55*1.225+1.6*1.765)*10.764</f>
        <v>77.207480999999987</v>
      </c>
      <c r="F405" s="42">
        <f t="shared" si="108"/>
        <v>958.35793950000004</v>
      </c>
      <c r="G405" s="42">
        <v>0</v>
      </c>
      <c r="H405" s="42">
        <f t="shared" si="109"/>
        <v>1437.53690925</v>
      </c>
      <c r="I405" s="36"/>
    </row>
    <row r="406" spans="1:9" s="37" customFormat="1" ht="15.75" customHeight="1" x14ac:dyDescent="0.25">
      <c r="A406" s="98">
        <f>A405+1</f>
        <v>4</v>
      </c>
      <c r="B406" s="98"/>
      <c r="C406" s="42" t="s">
        <v>387</v>
      </c>
      <c r="D406" s="42">
        <f>(3.65*5.74+3.05*2.44+3.5*3.35+3.05*3.115+3.1*3.35+1.525*2.44+2.44*1.525+2.44*1.525+2.05*1.05+1*0.95+3.07*1+2.965*1.525)*10.764</f>
        <v>881.15045850000001</v>
      </c>
      <c r="E406" s="42">
        <f>(3.55*1.225+1.6*1.765)*10.764</f>
        <v>77.207480999999987</v>
      </c>
      <c r="F406" s="42">
        <f t="shared" si="108"/>
        <v>958.35793950000004</v>
      </c>
      <c r="G406" s="42">
        <v>0</v>
      </c>
      <c r="H406" s="42">
        <f t="shared" si="109"/>
        <v>1437.53690925</v>
      </c>
      <c r="I406" s="36"/>
    </row>
    <row r="407" spans="1:9" s="37" customFormat="1" ht="15.75" customHeight="1" x14ac:dyDescent="0.25">
      <c r="A407" s="98">
        <f>A406+1</f>
        <v>5</v>
      </c>
      <c r="B407" s="98"/>
      <c r="C407" s="42" t="s">
        <v>416</v>
      </c>
      <c r="D407" s="42">
        <f>(3.97*8.08+1.255*4.275+3.975*2.4+3.35*4.57+3.35*4.9+4.27*3.35+3.05*3.65+1.525*2.125+1.525*2.44+1.525*2.945+1.525*2.44+1.35*1.065+1.225*1.254+5.16*1.075+1.525*2.39)*10.764</f>
        <v>1415.2897394999998</v>
      </c>
      <c r="E407" s="42">
        <f>(1.525*1.84+3.97*1.825+3.7*0.6+4.065*1.525)*10.764</f>
        <v>198.81511649999999</v>
      </c>
      <c r="F407" s="42">
        <f t="shared" si="108"/>
        <v>1614.1048559999997</v>
      </c>
      <c r="G407" s="42">
        <v>0</v>
      </c>
      <c r="H407" s="42">
        <f t="shared" si="109"/>
        <v>2421.1572839999994</v>
      </c>
      <c r="I407" s="36"/>
    </row>
    <row r="408" spans="1:9" s="37" customFormat="1" ht="15.75" customHeight="1" x14ac:dyDescent="0.25">
      <c r="A408" s="98">
        <f>A407+1</f>
        <v>6</v>
      </c>
      <c r="B408" s="98"/>
      <c r="C408" s="42" t="s">
        <v>416</v>
      </c>
      <c r="D408" s="42">
        <f>(4.27*8.08+1.35*4.275+3.97*2.44+3.35*6.3455+3.35*4.98+3.35*4.57+4.27*3.05+1.875*2.75+1.525*1.425+1.525*1.525+1.525*2.44+1.525*2.44+1.525*3.35+1.525*2.44+1.35*1.065+1.225*2.54+1*3.6+1.525*1.685+1.3*1.075+0.85*1.675+1.925*1.575)*10.764</f>
        <v>1708.5893642999999</v>
      </c>
      <c r="E408" s="42">
        <f>(4.27*1.825+1.525*2.44+6.3*1.525+3.7*0.6)*10.764</f>
        <v>251.24521499999994</v>
      </c>
      <c r="F408" s="42">
        <f t="shared" si="108"/>
        <v>1959.8345792999999</v>
      </c>
      <c r="G408" s="42">
        <v>0</v>
      </c>
      <c r="H408" s="42">
        <f t="shared" si="109"/>
        <v>2939.7518689499998</v>
      </c>
      <c r="I408" s="36"/>
    </row>
    <row r="409" spans="1:9" s="37" customFormat="1" x14ac:dyDescent="0.25">
      <c r="A409" s="108" t="s">
        <v>427</v>
      </c>
      <c r="B409" s="108"/>
      <c r="C409" s="108"/>
      <c r="D409" s="108"/>
      <c r="E409" s="108"/>
      <c r="F409" s="108"/>
      <c r="G409" s="108"/>
      <c r="H409" s="108"/>
      <c r="I409" s="36"/>
    </row>
    <row r="410" spans="1:9" s="37" customFormat="1" x14ac:dyDescent="0.25">
      <c r="A410" s="98">
        <v>1</v>
      </c>
      <c r="B410" s="98"/>
      <c r="C410" s="91" t="s">
        <v>416</v>
      </c>
      <c r="D410" s="91">
        <f>(4.27*8.08+1.35*4.275+3.97*2.44+3.35*6.3455+3.35*4.98+3.35*4.57+4.27*3.05+1.875*2.75+1.525*1.425+1.525*1.525+1.525*2.44+1.525*2.44+1.525*3.35+1.525*2.44+1.35*1.065+1.225*2.54+1*3.6+1.525*1.685+1.3*1.075+0.85*1.675+1.925*1.575)*10.764</f>
        <v>1708.5893642999999</v>
      </c>
      <c r="E410" s="91">
        <f>(4.27*1.825+1.525*2.44+6.3*1.525+3.7*0.6)*10.764</f>
        <v>251.24521499999994</v>
      </c>
      <c r="F410" s="91">
        <f t="shared" ref="F410:F415" si="110">D410+E410</f>
        <v>1959.8345792999999</v>
      </c>
      <c r="G410" s="91">
        <v>0</v>
      </c>
      <c r="H410" s="91">
        <f t="shared" ref="H410:H415" si="111">F410*(($H$154)+1)+(IF(G410&lt;101,G410,IF(G410&lt;201,G410/2,IF(G410&lt;=301,G410/3,G410/4))))</f>
        <v>2939.7518689499998</v>
      </c>
      <c r="I410" s="36"/>
    </row>
    <row r="411" spans="1:9" s="37" customFormat="1" x14ac:dyDescent="0.25">
      <c r="A411" s="98">
        <f>A410+1</f>
        <v>2</v>
      </c>
      <c r="B411" s="98"/>
      <c r="C411" s="91" t="s">
        <v>416</v>
      </c>
      <c r="D411" s="91">
        <f>(3.97*8.08+1.255*4.275+3.975*2.4+3.35*4.57+3.35*4.9+4.27*3.35+3.05*3.65+1.525*2.125+1.525*2.44+1.525*2.945+1.525*2.44+1.35*1.065+1.225*1.254+5.16*1.075+1.525*2.39)*10.764</f>
        <v>1415.2897394999998</v>
      </c>
      <c r="E411" s="91">
        <f>(1.525*1.84+3.97*1.825+3.7*0.6+4.065*1.525)*10.764</f>
        <v>198.81511649999999</v>
      </c>
      <c r="F411" s="91">
        <f t="shared" si="110"/>
        <v>1614.1048559999997</v>
      </c>
      <c r="G411" s="91">
        <v>0</v>
      </c>
      <c r="H411" s="91">
        <f t="shared" si="111"/>
        <v>2421.1572839999994</v>
      </c>
      <c r="I411" s="36"/>
    </row>
    <row r="412" spans="1:9" s="37" customFormat="1" x14ac:dyDescent="0.25">
      <c r="A412" s="98">
        <f>A411+1</f>
        <v>3</v>
      </c>
      <c r="B412" s="98"/>
      <c r="C412" s="91" t="s">
        <v>387</v>
      </c>
      <c r="D412" s="91">
        <f>(3.65*5.74+3.05*2.44+3.5*3.35+3.05*3.115+3.1*3.35+1.525*2.44+2.44*1.525+2.44*1.525+2.05*1.05+1*0.95+3.07*1+2.965*1.525)*10.764</f>
        <v>881.15045850000001</v>
      </c>
      <c r="E412" s="91">
        <f>(3.55*1.225+1.6*1.765)*10.764</f>
        <v>77.207480999999987</v>
      </c>
      <c r="F412" s="91">
        <f t="shared" si="110"/>
        <v>958.35793950000004</v>
      </c>
      <c r="G412" s="91">
        <v>0</v>
      </c>
      <c r="H412" s="91">
        <f t="shared" si="111"/>
        <v>1437.53690925</v>
      </c>
      <c r="I412" s="36"/>
    </row>
    <row r="413" spans="1:9" s="37" customFormat="1" x14ac:dyDescent="0.25">
      <c r="A413" s="98">
        <f>A412+1</f>
        <v>4</v>
      </c>
      <c r="B413" s="98"/>
      <c r="C413" s="91" t="s">
        <v>387</v>
      </c>
      <c r="D413" s="91">
        <f>(3.65*5.74+3.05*2.44+3.5*3.35+3.05*3.115+3.1*3.35+1.525*2.44+2.44*1.525+2.44*1.525+2.05*1.05+1*0.95+3.07*1+2.965*1.525)*10.764</f>
        <v>881.15045850000001</v>
      </c>
      <c r="E413" s="91">
        <f>(3.55*1.225+1.6*1.765)*10.764</f>
        <v>77.207480999999987</v>
      </c>
      <c r="F413" s="91">
        <f t="shared" si="110"/>
        <v>958.35793950000004</v>
      </c>
      <c r="G413" s="91">
        <v>0</v>
      </c>
      <c r="H413" s="91">
        <f t="shared" si="111"/>
        <v>1437.53690925</v>
      </c>
      <c r="I413" s="36"/>
    </row>
    <row r="414" spans="1:9" s="37" customFormat="1" x14ac:dyDescent="0.25">
      <c r="A414" s="98">
        <f>A413+1</f>
        <v>5</v>
      </c>
      <c r="B414" s="98"/>
      <c r="C414" s="91" t="s">
        <v>416</v>
      </c>
      <c r="D414" s="91">
        <f>(3.97*8.08+1.255*4.275+3.975*2.4+3.35*4.57+3.35*4.9+4.27*3.35+3.05*3.65+1.525*2.125+1.525*2.44+1.525*2.945+1.525*2.44+1.35*1.065+1.225*1.254+5.16*1.075+1.525*2.39)*10.764</f>
        <v>1415.2897394999998</v>
      </c>
      <c r="E414" s="91">
        <f>(1.525*1.84+3.97*1.825+3.7*0.6+4.065*1.525)*10.764</f>
        <v>198.81511649999999</v>
      </c>
      <c r="F414" s="91">
        <f t="shared" si="110"/>
        <v>1614.1048559999997</v>
      </c>
      <c r="G414" s="91">
        <v>0</v>
      </c>
      <c r="H414" s="91">
        <f t="shared" si="111"/>
        <v>2421.1572839999994</v>
      </c>
      <c r="I414" s="36"/>
    </row>
    <row r="415" spans="1:9" s="37" customFormat="1" x14ac:dyDescent="0.25">
      <c r="A415" s="98">
        <f>A414+1</f>
        <v>6</v>
      </c>
      <c r="B415" s="98"/>
      <c r="C415" s="91" t="s">
        <v>416</v>
      </c>
      <c r="D415" s="91">
        <f>(4.27*8.08+1.35*4.275+3.97*2.44+3.35*6.3455+3.35*4.98+3.35*4.57+4.27*3.05+1.875*2.75+1.525*1.425+1.525*1.525+1.525*2.44+1.525*2.44+1.525*3.35+1.525*2.44+1.35*1.065+1.225*2.54+1*3.6+1.525*1.685+1.3*1.075+0.85*1.675+1.925*1.575)*10.764</f>
        <v>1708.5893642999999</v>
      </c>
      <c r="E415" s="91">
        <f>(4.27*1.825+1.525*2.44+6.3*1.525+3.7*0.6)*10.764</f>
        <v>251.24521499999994</v>
      </c>
      <c r="F415" s="91">
        <f t="shared" si="110"/>
        <v>1959.8345792999999</v>
      </c>
      <c r="G415" s="91">
        <v>0</v>
      </c>
      <c r="H415" s="91">
        <f t="shared" si="111"/>
        <v>2939.7518689499998</v>
      </c>
      <c r="I415" s="36"/>
    </row>
    <row r="416" spans="1:9" s="37" customFormat="1" x14ac:dyDescent="0.25">
      <c r="A416" s="108" t="s">
        <v>428</v>
      </c>
      <c r="B416" s="108"/>
      <c r="C416" s="108"/>
      <c r="D416" s="108"/>
      <c r="E416" s="108"/>
      <c r="F416" s="108"/>
      <c r="G416" s="108"/>
      <c r="H416" s="108"/>
      <c r="I416" s="36"/>
    </row>
    <row r="417" spans="1:9" s="37" customFormat="1" ht="15.75" customHeight="1" x14ac:dyDescent="0.25">
      <c r="A417" s="108" t="s">
        <v>429</v>
      </c>
      <c r="B417" s="108"/>
      <c r="C417" s="108"/>
      <c r="D417" s="108"/>
      <c r="E417" s="108"/>
      <c r="F417" s="108"/>
      <c r="G417" s="108"/>
      <c r="H417" s="108"/>
      <c r="I417" s="36"/>
    </row>
    <row r="418" spans="1:9" s="37" customFormat="1" ht="15.75" customHeight="1" x14ac:dyDescent="0.25">
      <c r="A418" s="98">
        <v>1</v>
      </c>
      <c r="B418" s="98"/>
      <c r="C418" s="91" t="s">
        <v>416</v>
      </c>
      <c r="D418" s="91">
        <f>(4.27*8.08+1.35*4.275+3.97*2.44+3.35*6.3455+3.35*4.98+3.35*4.57+4.27*3.05+1.875*2.75+1.525*1.425+1.525*1.525+1.525*2.44+1.525*2.44+1.525*3.35+1.525*2.44+1.35*1.065+1.225*2.54+1*3.6+1.525*1.685+1.3*1.075+0.85*1.675+1.925*1.575)*10.764</f>
        <v>1708.5893642999999</v>
      </c>
      <c r="E418" s="91">
        <f>(4.27*1.825+1.525*2.44+6.3*1.525+3.7*0.6)*10.764</f>
        <v>251.24521499999994</v>
      </c>
      <c r="F418" s="91">
        <f>D418+E418</f>
        <v>1959.8345792999999</v>
      </c>
      <c r="G418" s="91">
        <v>0</v>
      </c>
      <c r="H418" s="91">
        <f>F418*(($H$154)+1)+(IF(G418&lt;101,G418,IF(G418&lt;201,G418/2,IF(G418&lt;=301,G418/3,G418/4))))</f>
        <v>2939.7518689499998</v>
      </c>
      <c r="I418" s="36"/>
    </row>
    <row r="419" spans="1:9" s="37" customFormat="1" ht="15.75" customHeight="1" x14ac:dyDescent="0.25">
      <c r="A419" s="98">
        <f>A418+1</f>
        <v>2</v>
      </c>
      <c r="B419" s="98"/>
      <c r="C419" s="91" t="s">
        <v>416</v>
      </c>
      <c r="D419" s="91">
        <f>(3.97*8.08+1.255*4.275+3.975*2.4+3.35*4.57+3.35*4.9+4.27*3.35+3.05*3.65+1.525*2.125+1.525*2.44+1.525*2.945+1.525*2.44+1.35*1.065+1.225*1.254+5.16*1.075+1.525*2.39)*10.764</f>
        <v>1415.2897394999998</v>
      </c>
      <c r="E419" s="91">
        <f>(1.525*1.84+3.97*1.825+3.7*0.6+4.065*1.525)*10.764</f>
        <v>198.81511649999999</v>
      </c>
      <c r="F419" s="91">
        <f>D419+E419</f>
        <v>1614.1048559999997</v>
      </c>
      <c r="G419" s="91">
        <v>0</v>
      </c>
      <c r="H419" s="91">
        <f>F419*(($H$154)+1)+(IF(G419&lt;101,G419,IF(G419&lt;201,G419/2,IF(G419&lt;=301,G419/3,G419/4))))</f>
        <v>2421.1572839999994</v>
      </c>
      <c r="I419" s="36"/>
    </row>
    <row r="420" spans="1:9" s="37" customFormat="1" ht="15.75" customHeight="1" x14ac:dyDescent="0.25">
      <c r="A420" s="98">
        <f>A419+1</f>
        <v>3</v>
      </c>
      <c r="B420" s="98"/>
      <c r="C420" s="99" t="s">
        <v>390</v>
      </c>
      <c r="D420" s="100"/>
      <c r="E420" s="100"/>
      <c r="F420" s="100"/>
      <c r="G420" s="100"/>
      <c r="H420" s="101"/>
      <c r="I420" s="36"/>
    </row>
    <row r="421" spans="1:9" s="37" customFormat="1" ht="15.75" customHeight="1" x14ac:dyDescent="0.25">
      <c r="A421" s="98">
        <f>A420+1</f>
        <v>4</v>
      </c>
      <c r="B421" s="98"/>
      <c r="C421" s="102"/>
      <c r="D421" s="103"/>
      <c r="E421" s="103"/>
      <c r="F421" s="103"/>
      <c r="G421" s="103"/>
      <c r="H421" s="104"/>
      <c r="I421" s="36"/>
    </row>
    <row r="422" spans="1:9" s="37" customFormat="1" ht="15.75" customHeight="1" x14ac:dyDescent="0.25">
      <c r="A422" s="98">
        <f>A421+1</f>
        <v>5</v>
      </c>
      <c r="B422" s="98"/>
      <c r="C422" s="42" t="s">
        <v>416</v>
      </c>
      <c r="D422" s="42">
        <f>(3.97*8.08+1.255*4.275+3.975*2.4+3.35*4.57+3.35*4.9+4.27*3.35+3.05*3.65+1.525*2.125+1.525*2.44+1.525*2.945+1.525*2.44+1.35*1.065+1.225*1.254+5.16*1.075+1.525*2.39)*10.764</f>
        <v>1415.2897394999998</v>
      </c>
      <c r="E422" s="42">
        <f>(1.525*1.84+3.97*1.825+3.7*0.6+4.065*1.525)*10.764</f>
        <v>198.81511649999999</v>
      </c>
      <c r="F422" s="42">
        <f>D422+E422</f>
        <v>1614.1048559999997</v>
      </c>
      <c r="G422" s="42">
        <v>0</v>
      </c>
      <c r="H422" s="42">
        <f>F422*(($H$154)+1)+(IF(G422&lt;101,G422,IF(G422&lt;201,G422/2,IF(G422&lt;=301,G422/3,G422/4))))</f>
        <v>2421.1572839999994</v>
      </c>
      <c r="I422" s="36"/>
    </row>
    <row r="423" spans="1:9" s="37" customFormat="1" ht="15.75" customHeight="1" x14ac:dyDescent="0.25">
      <c r="A423" s="98">
        <f>A422+1</f>
        <v>6</v>
      </c>
      <c r="B423" s="98"/>
      <c r="C423" s="42" t="s">
        <v>416</v>
      </c>
      <c r="D423" s="42">
        <f>(4.27*8.08+1.35*4.275+3.97*2.44+3.35*6.3455+3.35*4.98+3.35*4.57+4.27*3.05+1.875*2.75+1.525*1.425+1.525*1.525+1.525*2.44+1.525*2.44+1.525*3.35+1.525*2.44+1.35*1.065+1.225*2.54+1*3.6+1.525*1.685+1.3*1.075+0.85*1.675+1.925*1.575)*10.764</f>
        <v>1708.5893642999999</v>
      </c>
      <c r="E423" s="42">
        <f>(4.27*1.825+1.525*2.44+6.3*1.525+3.7*0.6)*10.764</f>
        <v>251.24521499999994</v>
      </c>
      <c r="F423" s="42">
        <f>D423+E423</f>
        <v>1959.8345792999999</v>
      </c>
      <c r="G423" s="42">
        <v>0</v>
      </c>
      <c r="H423" s="42">
        <f>F423*(($H$154)+1)+(IF(G423&lt;101,G423,IF(G423&lt;201,G423/2,IF(G423&lt;=301,G423/3,G423/4))))</f>
        <v>2939.7518689499998</v>
      </c>
      <c r="I423" s="36"/>
    </row>
    <row r="424" spans="1:9" s="37" customFormat="1" x14ac:dyDescent="0.25">
      <c r="A424" s="95" t="s">
        <v>430</v>
      </c>
      <c r="B424" s="96"/>
      <c r="C424" s="96"/>
      <c r="D424" s="96"/>
      <c r="E424" s="96"/>
      <c r="F424" s="96"/>
      <c r="G424" s="96"/>
      <c r="H424" s="97"/>
      <c r="I424" s="36"/>
    </row>
    <row r="425" spans="1:9" s="37" customFormat="1" x14ac:dyDescent="0.25">
      <c r="A425" s="98">
        <v>1</v>
      </c>
      <c r="B425" s="98"/>
      <c r="C425" s="42" t="s">
        <v>416</v>
      </c>
      <c r="D425" s="42">
        <f>(4.27*8.08+1.35*4.275+3.97*2.44+3.35*6.3455+3.35*4.98+3.35*4.57+4.27*3.05+1.875*2.75+1.525*1.425+1.525*1.525+1.525*2.44+1.525*2.44+1.525*3.35+1.525*2.44+1.35*1.065+1.225*2.54+1*3.6+1.525*1.685+1.3*1.075+0.85*1.675+1.925*1.575)*10.764</f>
        <v>1708.5893642999999</v>
      </c>
      <c r="E425" s="42">
        <f>(4.27*1.825+1.525*2.44+6.3*1.525+3.7*0.6)*10.764</f>
        <v>251.24521499999994</v>
      </c>
      <c r="F425" s="42">
        <f t="shared" ref="F425:F430" si="112">D425+E425</f>
        <v>1959.8345792999999</v>
      </c>
      <c r="G425" s="42">
        <v>0</v>
      </c>
      <c r="H425" s="42">
        <f t="shared" ref="H425:H430" si="113">F425*(($H$154)+1)+(IF(G425&lt;101,G425,IF(G425&lt;201,G425/2,IF(G425&lt;=301,G425/3,G425/4))))</f>
        <v>2939.7518689499998</v>
      </c>
      <c r="I425" s="36"/>
    </row>
    <row r="426" spans="1:9" s="37" customFormat="1" x14ac:dyDescent="0.25">
      <c r="A426" s="98">
        <f>A425+1</f>
        <v>2</v>
      </c>
      <c r="B426" s="98"/>
      <c r="C426" s="42" t="s">
        <v>416</v>
      </c>
      <c r="D426" s="42">
        <f>(3.97*8.08+1.255*4.275+3.975*2.4+3.35*4.57+3.35*4.9+4.27*3.35+3.05*3.65+1.525*2.125+1.525*2.44+1.525*2.945+1.525*2.44+1.35*1.065+1.225*1.254+5.16*1.075+1.525*2.39)*10.764</f>
        <v>1415.2897394999998</v>
      </c>
      <c r="E426" s="42">
        <f>(1.525*1.84+3.97*1.825+3.7*0.6+4.065*1.525)*10.764</f>
        <v>198.81511649999999</v>
      </c>
      <c r="F426" s="42">
        <f t="shared" si="112"/>
        <v>1614.1048559999997</v>
      </c>
      <c r="G426" s="42">
        <v>0</v>
      </c>
      <c r="H426" s="42">
        <f t="shared" si="113"/>
        <v>2421.1572839999994</v>
      </c>
      <c r="I426" s="36"/>
    </row>
    <row r="427" spans="1:9" s="37" customFormat="1" x14ac:dyDescent="0.25">
      <c r="A427" s="98">
        <f>A426+1</f>
        <v>3</v>
      </c>
      <c r="B427" s="98"/>
      <c r="C427" s="42" t="s">
        <v>387</v>
      </c>
      <c r="D427" s="42">
        <f>(3.65*5.74+3.05*2.44+3.5*3.35+3.05*3.115+3.1*3.35+1.525*2.44+2.44*1.525+2.44*1.525+2.05*1.05+1*0.95+3.07*1+2.965*1.525)*10.764</f>
        <v>881.15045850000001</v>
      </c>
      <c r="E427" s="42">
        <f>(3.55*1.225+1.6*1.765)*10.764</f>
        <v>77.207480999999987</v>
      </c>
      <c r="F427" s="42">
        <f t="shared" si="112"/>
        <v>958.35793950000004</v>
      </c>
      <c r="G427" s="42">
        <v>0</v>
      </c>
      <c r="H427" s="42">
        <f t="shared" si="113"/>
        <v>1437.53690925</v>
      </c>
      <c r="I427" s="36"/>
    </row>
    <row r="428" spans="1:9" s="37" customFormat="1" x14ac:dyDescent="0.25">
      <c r="A428" s="98">
        <f>A427+1</f>
        <v>4</v>
      </c>
      <c r="B428" s="98"/>
      <c r="C428" s="42" t="s">
        <v>387</v>
      </c>
      <c r="D428" s="42">
        <f>(3.65*5.74+3.05*2.44+3.5*3.35+3.05*3.115+3.1*3.35+1.525*2.44+2.44*1.525+2.44*1.525+2.05*1.05+1*0.95+3.07*1+2.965*1.525)*10.764</f>
        <v>881.15045850000001</v>
      </c>
      <c r="E428" s="42">
        <f>(3.55*1.225+1.6*1.765)*10.764</f>
        <v>77.207480999999987</v>
      </c>
      <c r="F428" s="42">
        <f t="shared" si="112"/>
        <v>958.35793950000004</v>
      </c>
      <c r="G428" s="42">
        <v>0</v>
      </c>
      <c r="H428" s="42">
        <f t="shared" si="113"/>
        <v>1437.53690925</v>
      </c>
      <c r="I428" s="36"/>
    </row>
    <row r="429" spans="1:9" s="37" customFormat="1" x14ac:dyDescent="0.25">
      <c r="A429" s="98">
        <f>A428+1</f>
        <v>5</v>
      </c>
      <c r="B429" s="98"/>
      <c r="C429" s="42" t="s">
        <v>416</v>
      </c>
      <c r="D429" s="42">
        <f>(3.97*8.08+1.255*4.275+3.975*2.4+3.35*4.57+3.35*4.9+4.27*3.35+3.05*3.65+1.525*2.125+1.525*2.44+1.525*2.945+1.525*2.44+1.35*1.065+1.225*1.254+5.16*1.075+1.525*2.39)*10.764</f>
        <v>1415.2897394999998</v>
      </c>
      <c r="E429" s="42">
        <f>(1.525*1.84+3.97*1.825+3.7*0.6+4.065*1.525)*10.764</f>
        <v>198.81511649999999</v>
      </c>
      <c r="F429" s="42">
        <f t="shared" si="112"/>
        <v>1614.1048559999997</v>
      </c>
      <c r="G429" s="42">
        <v>0</v>
      </c>
      <c r="H429" s="42">
        <f t="shared" si="113"/>
        <v>2421.1572839999994</v>
      </c>
      <c r="I429" s="36"/>
    </row>
    <row r="430" spans="1:9" s="37" customFormat="1" x14ac:dyDescent="0.25">
      <c r="A430" s="98">
        <f>A429+1</f>
        <v>6</v>
      </c>
      <c r="B430" s="98"/>
      <c r="C430" s="42" t="s">
        <v>416</v>
      </c>
      <c r="D430" s="42">
        <f>(4.27*8.08+1.35*4.275+3.97*2.44+3.35*6.3455+3.35*4.98+3.35*4.57+4.27*3.05+1.875*2.75+1.525*1.425+1.525*1.525+1.525*2.44+1.525*2.44+1.525*3.35+1.525*2.44+1.35*1.065+1.225*2.54+1*3.6+1.525*1.685+1.3*1.075+0.85*1.675+1.925*1.575)*10.764</f>
        <v>1708.5893642999999</v>
      </c>
      <c r="E430" s="42">
        <f>(4.27*1.825+1.525*2.44+6.3*1.525+3.7*0.6)*10.764</f>
        <v>251.24521499999994</v>
      </c>
      <c r="F430" s="42">
        <f t="shared" si="112"/>
        <v>1959.8345792999999</v>
      </c>
      <c r="G430" s="42">
        <v>0</v>
      </c>
      <c r="H430" s="42">
        <f t="shared" si="113"/>
        <v>2939.7518689499998</v>
      </c>
      <c r="I430" s="36"/>
    </row>
    <row r="431" spans="1:9" s="37" customFormat="1" x14ac:dyDescent="0.25">
      <c r="A431" s="95" t="s">
        <v>431</v>
      </c>
      <c r="B431" s="96"/>
      <c r="C431" s="96"/>
      <c r="D431" s="96"/>
      <c r="E431" s="96"/>
      <c r="F431" s="96"/>
      <c r="G431" s="96"/>
      <c r="H431" s="97"/>
      <c r="I431" s="36"/>
    </row>
    <row r="432" spans="1:9" s="37" customFormat="1" x14ac:dyDescent="0.25">
      <c r="A432" s="98">
        <v>1</v>
      </c>
      <c r="B432" s="98"/>
      <c r="C432" s="42" t="s">
        <v>416</v>
      </c>
      <c r="D432" s="42">
        <f>(4.27*8.08+1.35*4.275+3.97*2.44+3.35*6.3455+3.35*4.98+3.35*4.57+4.27*3.05+1.875*2.75+1.525*1.425+1.525*1.525+1.525*2.44+1.525*2.44+1.525*3.35+1.525*2.44+1.35*1.065+1.225*2.54+1*3.6+1.525*1.685+1.3*1.075+0.85*1.675+1.925*1.575)*10.764</f>
        <v>1708.5893642999999</v>
      </c>
      <c r="E432" s="42">
        <f>(4.27*1.825+1.525*2.44+6.3*1.525+3.7*0.6)*10.764</f>
        <v>251.24521499999994</v>
      </c>
      <c r="F432" s="42">
        <f t="shared" ref="F432:F437" si="114">D432+E432</f>
        <v>1959.8345792999999</v>
      </c>
      <c r="G432" s="42">
        <v>0</v>
      </c>
      <c r="H432" s="42">
        <f t="shared" ref="H432:H437" si="115">F432*(($H$154)+1)+(IF(G432&lt;101,G432,IF(G432&lt;201,G432/2,IF(G432&lt;=301,G432/3,G432/4))))</f>
        <v>2939.7518689499998</v>
      </c>
      <c r="I432" s="36"/>
    </row>
    <row r="433" spans="1:9" s="37" customFormat="1" x14ac:dyDescent="0.25">
      <c r="A433" s="98">
        <f>A432+1</f>
        <v>2</v>
      </c>
      <c r="B433" s="98"/>
      <c r="C433" s="42" t="s">
        <v>416</v>
      </c>
      <c r="D433" s="42">
        <f>(3.97*8.08+1.255*4.275+3.975*2.4+3.35*4.57+3.35*4.9+4.27*3.35+3.05*3.65+1.525*2.125+1.525*2.44+1.525*2.945+1.525*2.44+1.35*1.065+1.225*1.254+5.16*1.075+1.525*2.39)*10.764</f>
        <v>1415.2897394999998</v>
      </c>
      <c r="E433" s="42">
        <f>(1.525*1.84+3.97*1.825+3.7*0.6+4.065*1.525)*10.764</f>
        <v>198.81511649999999</v>
      </c>
      <c r="F433" s="42">
        <f t="shared" si="114"/>
        <v>1614.1048559999997</v>
      </c>
      <c r="G433" s="42">
        <v>0</v>
      </c>
      <c r="H433" s="42">
        <f t="shared" si="115"/>
        <v>2421.1572839999994</v>
      </c>
      <c r="I433" s="36"/>
    </row>
    <row r="434" spans="1:9" s="37" customFormat="1" x14ac:dyDescent="0.25">
      <c r="A434" s="98">
        <f>A433+1</f>
        <v>3</v>
      </c>
      <c r="B434" s="98"/>
      <c r="C434" s="42" t="s">
        <v>387</v>
      </c>
      <c r="D434" s="42">
        <f>(3.65*5.74+3.05*2.44+3.5*3.35+3.05*3.115+3.1*3.35+1.525*2.44+2.44*1.525+2.44*1.525+2.05*1.05+1*0.95+3.07*1+2.965*1.525)*10.764</f>
        <v>881.15045850000001</v>
      </c>
      <c r="E434" s="42">
        <f>(3.55*1.225+1.6*1.765)*10.764</f>
        <v>77.207480999999987</v>
      </c>
      <c r="F434" s="42">
        <f t="shared" si="114"/>
        <v>958.35793950000004</v>
      </c>
      <c r="G434" s="42">
        <v>0</v>
      </c>
      <c r="H434" s="42">
        <f t="shared" si="115"/>
        <v>1437.53690925</v>
      </c>
      <c r="I434" s="36"/>
    </row>
    <row r="435" spans="1:9" s="37" customFormat="1" x14ac:dyDescent="0.25">
      <c r="A435" s="98">
        <f>A434+1</f>
        <v>4</v>
      </c>
      <c r="B435" s="98"/>
      <c r="C435" s="42" t="s">
        <v>387</v>
      </c>
      <c r="D435" s="42">
        <f>(3.65*5.74+3.05*2.44+3.5*3.35+3.05*3.115+3.1*3.35+1.525*2.44+2.44*1.525+2.44*1.525+2.05*1.05+1*0.95+3.07*1+2.965*1.525)*10.764</f>
        <v>881.15045850000001</v>
      </c>
      <c r="E435" s="42">
        <f>(3.55*1.225+1.6*1.765)*10.764</f>
        <v>77.207480999999987</v>
      </c>
      <c r="F435" s="42">
        <f t="shared" si="114"/>
        <v>958.35793950000004</v>
      </c>
      <c r="G435" s="42">
        <v>0</v>
      </c>
      <c r="H435" s="42">
        <f t="shared" si="115"/>
        <v>1437.53690925</v>
      </c>
      <c r="I435" s="36"/>
    </row>
    <row r="436" spans="1:9" s="37" customFormat="1" x14ac:dyDescent="0.25">
      <c r="A436" s="98">
        <f>A435+1</f>
        <v>5</v>
      </c>
      <c r="B436" s="98"/>
      <c r="C436" s="42" t="s">
        <v>416</v>
      </c>
      <c r="D436" s="42">
        <f>(3.97*8.08+1.255*4.275+3.975*2.4+3.35*4.57+3.35*4.9+4.27*3.35+3.05*3.65+1.525*2.125+1.525*2.44+1.525*2.945+1.525*2.44+1.35*1.065+1.225*1.254+5.16*1.075+1.525*2.39)*10.764</f>
        <v>1415.2897394999998</v>
      </c>
      <c r="E436" s="42">
        <f>(1.525*1.84+3.97*1.825+3.7*0.6+4.065*1.525)*10.764</f>
        <v>198.81511649999999</v>
      </c>
      <c r="F436" s="42">
        <f t="shared" si="114"/>
        <v>1614.1048559999997</v>
      </c>
      <c r="G436" s="42">
        <v>0</v>
      </c>
      <c r="H436" s="42">
        <f t="shared" si="115"/>
        <v>2421.1572839999994</v>
      </c>
      <c r="I436" s="36"/>
    </row>
    <row r="437" spans="1:9" s="37" customFormat="1" x14ac:dyDescent="0.25">
      <c r="A437" s="98">
        <f>A436+1</f>
        <v>6</v>
      </c>
      <c r="B437" s="98"/>
      <c r="C437" s="42" t="s">
        <v>416</v>
      </c>
      <c r="D437" s="42">
        <f>(4.27*8.08+1.35*4.275+3.97*2.44+3.35*6.3455+3.35*4.98+3.35*4.57+4.27*3.05+1.875*2.75+1.525*1.425+1.525*1.525+1.525*2.44+1.525*2.44+1.525*3.35+1.525*2.44+1.35*1.065+1.225*2.54+1*3.6+1.525*1.685+1.3*1.075+0.85*1.675+1.925*1.575)*10.764</f>
        <v>1708.5893642999999</v>
      </c>
      <c r="E437" s="42">
        <f>(4.27*1.825+1.525*2.44+6.3*1.525+3.7*0.6)*10.764</f>
        <v>251.24521499999994</v>
      </c>
      <c r="F437" s="42">
        <f t="shared" si="114"/>
        <v>1959.8345792999999</v>
      </c>
      <c r="G437" s="42">
        <v>0</v>
      </c>
      <c r="H437" s="42">
        <f t="shared" si="115"/>
        <v>2939.7518689499998</v>
      </c>
      <c r="I437" s="36"/>
    </row>
    <row r="438" spans="1:9" s="37" customFormat="1" ht="15.75" customHeight="1" x14ac:dyDescent="0.25">
      <c r="A438" s="95" t="s">
        <v>432</v>
      </c>
      <c r="B438" s="96"/>
      <c r="C438" s="96"/>
      <c r="D438" s="96"/>
      <c r="E438" s="96"/>
      <c r="F438" s="96"/>
      <c r="G438" s="96"/>
      <c r="H438" s="97"/>
      <c r="I438" s="36"/>
    </row>
    <row r="439" spans="1:9" s="37" customFormat="1" ht="15.75" customHeight="1" x14ac:dyDescent="0.25">
      <c r="A439" s="98">
        <v>1</v>
      </c>
      <c r="B439" s="98"/>
      <c r="C439" s="42" t="s">
        <v>416</v>
      </c>
      <c r="D439" s="42">
        <f>(4.27*8.08+1.35*4.275+3.97*2.44+3.35*6.3455+3.35*4.98+3.35*4.57+4.27*3.05+1.875*2.75+1.525*1.425+1.525*1.525+1.525*2.44+1.525*2.44+1.525*3.35+1.525*2.44+1.35*1.065+1.225*2.54+1*3.6+1.525*1.685+1.3*1.075+0.85*1.675+1.925*1.575)*10.764</f>
        <v>1708.5893642999999</v>
      </c>
      <c r="E439" s="42">
        <f>(4.27*1.825+1.525*2.44+6.3*1.525+3.7*0.6)*10.764</f>
        <v>251.24521499999994</v>
      </c>
      <c r="F439" s="42">
        <f>D439+E439</f>
        <v>1959.8345792999999</v>
      </c>
      <c r="G439" s="42">
        <v>0</v>
      </c>
      <c r="H439" s="42">
        <f>F439*(($H$154)+1)+(IF(G439&lt;101,G439,IF(G439&lt;201,G439/2,IF(G439&lt;=301,G439/3,G439/4))))</f>
        <v>2939.7518689499998</v>
      </c>
      <c r="I439" s="36"/>
    </row>
    <row r="440" spans="1:9" s="37" customFormat="1" ht="15.75" customHeight="1" x14ac:dyDescent="0.25">
      <c r="A440" s="98">
        <f>A439+1</f>
        <v>2</v>
      </c>
      <c r="B440" s="98"/>
      <c r="C440" s="42" t="s">
        <v>416</v>
      </c>
      <c r="D440" s="42">
        <f>(3.97*8.08+1.255*4.275+3.975*2.4+3.35*4.57+3.35*4.9+4.27*3.35+3.05*3.65+1.525*2.125+1.525*2.44+1.525*2.945+1.525*2.44+1.35*1.065+1.225*1.254+5.16*1.075+1.525*2.39)*10.764</f>
        <v>1415.2897394999998</v>
      </c>
      <c r="E440" s="42">
        <f>(1.525*1.84+3.97*1.825+3.7*0.6+4.065*1.525)*10.764</f>
        <v>198.81511649999999</v>
      </c>
      <c r="F440" s="42">
        <f>D440+E440</f>
        <v>1614.1048559999997</v>
      </c>
      <c r="G440" s="42">
        <v>0</v>
      </c>
      <c r="H440" s="42">
        <f>F440*(($H$154)+1)+(IF(G440&lt;101,G440,IF(G440&lt;201,G440/2,IF(G440&lt;=301,G440/3,G440/4))))</f>
        <v>2421.1572839999994</v>
      </c>
      <c r="I440" s="36"/>
    </row>
    <row r="441" spans="1:9" s="37" customFormat="1" ht="15.75" customHeight="1" x14ac:dyDescent="0.25">
      <c r="A441" s="98">
        <f>A440+1</f>
        <v>3</v>
      </c>
      <c r="B441" s="98"/>
      <c r="C441" s="99" t="s">
        <v>390</v>
      </c>
      <c r="D441" s="100"/>
      <c r="E441" s="100"/>
      <c r="F441" s="100"/>
      <c r="G441" s="100"/>
      <c r="H441" s="101"/>
      <c r="I441" s="36"/>
    </row>
    <row r="442" spans="1:9" s="37" customFormat="1" ht="15.75" customHeight="1" x14ac:dyDescent="0.25">
      <c r="A442" s="98">
        <f>A441+1</f>
        <v>4</v>
      </c>
      <c r="B442" s="98"/>
      <c r="C442" s="102"/>
      <c r="D442" s="103"/>
      <c r="E442" s="103"/>
      <c r="F442" s="103"/>
      <c r="G442" s="103"/>
      <c r="H442" s="104"/>
      <c r="I442" s="36"/>
    </row>
    <row r="443" spans="1:9" s="37" customFormat="1" ht="15.75" customHeight="1" x14ac:dyDescent="0.25">
      <c r="A443" s="98">
        <f>A442+1</f>
        <v>5</v>
      </c>
      <c r="B443" s="98"/>
      <c r="C443" s="42" t="s">
        <v>416</v>
      </c>
      <c r="D443" s="42">
        <f>(3.97*8.08+1.255*4.275+3.975*2.4+3.35*4.57+3.35*4.9+4.27*3.35+3.05*3.65+1.525*2.125+1.525*2.44+1.525*2.945+1.525*2.44+1.35*1.065+1.225*1.254+5.16*1.075+1.525*2.39)*10.764</f>
        <v>1415.2897394999998</v>
      </c>
      <c r="E443" s="42">
        <f>(1.525*1.84+3.97*1.825+3.7*0.6+4.065*1.525)*10.764</f>
        <v>198.81511649999999</v>
      </c>
      <c r="F443" s="42">
        <f>D443+E443</f>
        <v>1614.1048559999997</v>
      </c>
      <c r="G443" s="42">
        <v>0</v>
      </c>
      <c r="H443" s="42">
        <f>F443*(($H$154)+1)+(IF(G443&lt;101,G443,IF(G443&lt;201,G443/2,IF(G443&lt;=301,G443/3,G443/4))))</f>
        <v>2421.1572839999994</v>
      </c>
      <c r="I443" s="36"/>
    </row>
    <row r="444" spans="1:9" s="37" customFormat="1" ht="15.75" customHeight="1" x14ac:dyDescent="0.25">
      <c r="A444" s="98">
        <f>A443+1</f>
        <v>6</v>
      </c>
      <c r="B444" s="98"/>
      <c r="C444" s="42" t="s">
        <v>416</v>
      </c>
      <c r="D444" s="42">
        <f>(4.27*8.08+1.35*4.275+3.97*2.44+3.35*6.3455+3.35*4.98+3.35*4.57+4.27*3.05+1.875*2.75+1.525*1.425+1.525*1.525+1.525*2.44+1.525*2.44+1.525*3.35+1.525*2.44+1.35*1.065+1.225*2.54+1*3.6+1.525*1.685+1.3*1.075+0.85*1.675+1.925*1.575)*10.764</f>
        <v>1708.5893642999999</v>
      </c>
      <c r="E444" s="42">
        <f>(4.27*1.825+1.525*2.44+6.3*1.525+3.7*0.6)*10.764</f>
        <v>251.24521499999994</v>
      </c>
      <c r="F444" s="42">
        <f>D444+E444</f>
        <v>1959.8345792999999</v>
      </c>
      <c r="G444" s="42">
        <v>0</v>
      </c>
      <c r="H444" s="42">
        <f>F444*(($H$154)+1)+(IF(G444&lt;101,G444,IF(G444&lt;201,G444/2,IF(G444&lt;=301,G444/3,G444/4))))</f>
        <v>2939.7518689499998</v>
      </c>
      <c r="I444" s="36"/>
    </row>
    <row r="445" spans="1:9" s="37" customFormat="1" x14ac:dyDescent="0.25">
      <c r="A445" s="95" t="s">
        <v>415</v>
      </c>
      <c r="B445" s="96"/>
      <c r="C445" s="96"/>
      <c r="D445" s="96"/>
      <c r="E445" s="96"/>
      <c r="F445" s="96"/>
      <c r="G445" s="96"/>
      <c r="H445" s="97"/>
      <c r="I445" s="36"/>
    </row>
    <row r="446" spans="1:9" s="37" customFormat="1" x14ac:dyDescent="0.25">
      <c r="A446" s="98">
        <v>1</v>
      </c>
      <c r="B446" s="98"/>
      <c r="C446" s="42" t="s">
        <v>413</v>
      </c>
      <c r="D446" s="42">
        <f>(8.39*6.105+7.225*3.2+3.97*5.34+6.09*4.67+5.125*4.67+3.5*4.93+3.5*4.93+3.45*4.57+4.27*3.7+4.22*3.4+1.525*2.44+1.525*2.44+3.5*3.05+1.525*1.925+1.825*1.225+1.525*2.85+1.475*2.6+1.475*1.525+3.2*3.05+3.055*1.875+3.47*1.175+5.975*1.075+1.5*1.075+1.925*1.215+2.71*2.59+2.54*2.74+2.515*0.45+1.455*1.525+1.525*0.6+2.85*1.99+2.575*1.05)*10.764</f>
        <v>3429.5871986999996</v>
      </c>
      <c r="E446" s="42">
        <f>(15.79*1.825+6.55*1.525+2.5*2.59+4.065*1.525)*10.764</f>
        <v>554.1266834999999</v>
      </c>
      <c r="F446" s="42">
        <f>D446+E446</f>
        <v>3983.7138821999997</v>
      </c>
      <c r="G446" s="42">
        <v>0</v>
      </c>
      <c r="H446" s="42">
        <f>F446*(($H$154)+1)+(IF(G446&lt;101,G446,IF(G446&lt;201,G446/2,IF(G446&lt;=301,G446/3,G446/4))))</f>
        <v>5975.5708232999996</v>
      </c>
      <c r="I446" s="36"/>
    </row>
    <row r="447" spans="1:9" s="37" customFormat="1" x14ac:dyDescent="0.25">
      <c r="A447" s="98">
        <f>A446+1</f>
        <v>2</v>
      </c>
      <c r="B447" s="98"/>
      <c r="C447" s="42" t="s">
        <v>416</v>
      </c>
      <c r="D447" s="42">
        <f>(6.5*4.75+3.95*3.154+3.975*2.59+6.8*4.975+3.65*3.35+3.05*3.35+3.65*4+4.8*2.115+1.825*2.965+1.525*1.825+1.25*1.825+2.775*1.825+1.725*2.44+2.44*1.525+2.025*1+2.65*3.215+1.15*1.925+3.65*1.42+3.025*0.815+1.825*1.825+1.825*1.45+1.145*1+3.165*1.525)*10.764</f>
        <v>2050.3353312000004</v>
      </c>
      <c r="E447" s="42">
        <f>(4*1.2+5.852*1.835+4.9*1.2+1.6*1.915)*10.764</f>
        <v>263.52876887999997</v>
      </c>
      <c r="F447" s="42">
        <f>D447+E447</f>
        <v>2313.8641000800003</v>
      </c>
      <c r="G447" s="42">
        <v>0</v>
      </c>
      <c r="H447" s="42">
        <f>F447*(($H$154)+1)+(IF(G447&lt;101,G447,IF(G447&lt;201,G447/2,IF(G447&lt;=301,G447/3,G447/4))))</f>
        <v>3470.7961501200007</v>
      </c>
      <c r="I447" s="36"/>
    </row>
    <row r="448" spans="1:9" s="37" customFormat="1" x14ac:dyDescent="0.25">
      <c r="A448" s="98">
        <f>A447+1</f>
        <v>3</v>
      </c>
      <c r="B448" s="98"/>
      <c r="C448" s="42" t="s">
        <v>413</v>
      </c>
      <c r="D448" s="42">
        <f>(8.39*5.03+7.225*4.275+3.97*5.34+6.09*4.67+5.125*5.845+3.5*4.93+3.5*4.93+3.45*4.57+4.27*3.7+4.27*3.4+1.525*2.85+1.625*2.03+3.2*3.05+1.475*2.6+1.475*1.525+1.525*1.925+2.71*5.9+1.825*1.225+1.525*1.925+1.525*2.44+1.525*2.44+3.16*3.06+2.574*1.075+3.97*1.525+2.54*2.74+5.975*1.075+1.175*1.5+3.405*0.7)*10.764</f>
        <v>3491.0308017000011</v>
      </c>
      <c r="E448" s="42">
        <f>(4.065*1.525+15.79*1.825+6.55*1.525+1.525*2.59+1.925*1.215+1.125*1.89)*10.764</f>
        <v>575.00749800000006</v>
      </c>
      <c r="F448" s="42">
        <f>D448+E448</f>
        <v>4066.0382997000011</v>
      </c>
      <c r="G448" s="42">
        <v>0</v>
      </c>
      <c r="H448" s="42">
        <f>F448*(($H$154)+1)+(IF(G448&lt;101,G448,IF(G448&lt;201,G448/2,IF(G448&lt;=301,G448/3,G448/4))))</f>
        <v>6099.0574495500014</v>
      </c>
      <c r="I448" s="36"/>
    </row>
    <row r="449" spans="1:20" s="37" customFormat="1" x14ac:dyDescent="0.25">
      <c r="A449" s="95" t="s">
        <v>412</v>
      </c>
      <c r="B449" s="96"/>
      <c r="C449" s="96"/>
      <c r="D449" s="96"/>
      <c r="E449" s="96"/>
      <c r="F449" s="96"/>
      <c r="G449" s="96"/>
      <c r="H449" s="97"/>
      <c r="I449" s="36"/>
    </row>
    <row r="450" spans="1:20" s="37" customFormat="1" x14ac:dyDescent="0.25">
      <c r="A450" s="98">
        <v>1</v>
      </c>
      <c r="B450" s="98"/>
      <c r="C450" s="42" t="s">
        <v>413</v>
      </c>
      <c r="D450" s="42">
        <f>(8.39*6.105+7.225*3.2+3.97*5.34+6.09*4.67+5.125*4.67+3.5*4.93+3.5*4.93+3.45*4.57+4.27*3.7+4.22*3.4+1.525*2.44+1.525*2.44+3.5*3.05+1.525*1.925+1.825*1.225+1.525*2.85+1.475*2.6+1.475*1.525+3.2*3.05+3.055*1.875+3.47*1.175+5.975*1.075+1.5*1.075+1.925*1.215+2.71*2.59+2.54*2.74+2.515*0.45+1.455*1.525+1.525*0.6+2.85*1.99+2.575*1.05)*10.764</f>
        <v>3429.5871986999996</v>
      </c>
      <c r="E450" s="42">
        <f>(15.79*1.825+6.55*1.525+2.5*2.59+4.065*1.525)*10.764</f>
        <v>554.1266834999999</v>
      </c>
      <c r="F450" s="42">
        <f>D450+E450</f>
        <v>3983.7138821999997</v>
      </c>
      <c r="G450" s="42">
        <v>0</v>
      </c>
      <c r="H450" s="42">
        <f>F450*(($H$154)+1)+(IF(G450&lt;101,G450,IF(G450&lt;201,G450/2,IF(G450&lt;=301,G450/3,G450/4))))</f>
        <v>5975.5708232999996</v>
      </c>
      <c r="I450" s="36"/>
    </row>
    <row r="451" spans="1:20" s="37" customFormat="1" x14ac:dyDescent="0.25">
      <c r="A451" s="98">
        <f>A450+1</f>
        <v>2</v>
      </c>
      <c r="B451" s="98"/>
      <c r="C451" s="105" t="s">
        <v>390</v>
      </c>
      <c r="D451" s="106"/>
      <c r="E451" s="106"/>
      <c r="F451" s="106"/>
      <c r="G451" s="106"/>
      <c r="H451" s="107"/>
      <c r="I451" s="36"/>
    </row>
    <row r="452" spans="1:20" s="37" customFormat="1" x14ac:dyDescent="0.25">
      <c r="A452" s="98">
        <f>A451+1</f>
        <v>3</v>
      </c>
      <c r="B452" s="98"/>
      <c r="C452" s="42" t="s">
        <v>413</v>
      </c>
      <c r="D452" s="42">
        <f>(8.39*5.03+7.225*4.275+3.97*5.34+6.09*4.67+5.125*5.845+3.5*4.93+3.5*4.93+3.45*4.57+4.27*3.7+4.27*3.4+1.525*2.85+1.625*2.03+3.2*3.05+1.475*2.6+1.475*1.525+1.525*1.925+2.71*5.9+1.825*1.225+1.525*1.925+1.525*2.44+1.525*2.44+3.16*3.06+2.574*1.075+3.97*1.525+2.54*2.74+5.975*1.075+1.175*1.5+3.405*0.7)*10.764</f>
        <v>3491.0308017000011</v>
      </c>
      <c r="E452" s="42">
        <f>(4.065*1.525+15.79*1.825+6.55*1.525+1.525*2.59+1.925*1.215+1.125*1.89)*10.764</f>
        <v>575.00749800000006</v>
      </c>
      <c r="F452" s="42">
        <f>D452+E452</f>
        <v>4066.0382997000011</v>
      </c>
      <c r="G452" s="42">
        <v>0</v>
      </c>
      <c r="H452" s="42">
        <f>F452*(($H$154)+1)+(IF(G452&lt;101,G452,IF(G452&lt;201,G452/2,IF(G452&lt;=301,G452/3,G452/4))))</f>
        <v>6099.0574495500014</v>
      </c>
      <c r="I452" s="36"/>
    </row>
    <row r="453" spans="1:20" s="35" customFormat="1" x14ac:dyDescent="0.25">
      <c r="A453" s="139" t="s">
        <v>63</v>
      </c>
      <c r="B453" s="139"/>
      <c r="C453" s="139"/>
      <c r="D453" s="139"/>
      <c r="E453" s="139"/>
      <c r="F453" s="139"/>
      <c r="G453" s="139"/>
      <c r="H453" s="139"/>
      <c r="T453" s="37"/>
    </row>
    <row r="454" spans="1:20" s="35" customFormat="1" ht="33" customHeight="1" x14ac:dyDescent="0.25">
      <c r="A454" s="44">
        <v>1</v>
      </c>
      <c r="B454" s="132" t="s">
        <v>461</v>
      </c>
      <c r="C454" s="133"/>
      <c r="D454" s="133"/>
      <c r="E454" s="133"/>
      <c r="F454" s="133"/>
      <c r="G454" s="133"/>
      <c r="H454" s="134"/>
      <c r="T454" s="37"/>
    </row>
    <row r="455" spans="1:20" s="35" customFormat="1" x14ac:dyDescent="0.25">
      <c r="A455" s="44">
        <f>A454+1</f>
        <v>2</v>
      </c>
      <c r="B455" s="132" t="str">
        <f>(IF(H153="Saleable area Loading :","We have considered Saleable area of Flats as per our Calculation.","We considered Saleable area of Flat as per Builder area Sheet."))</f>
        <v>We have considered Saleable area of Flats as per our Calculation.</v>
      </c>
      <c r="C455" s="133"/>
      <c r="D455" s="133"/>
      <c r="E455" s="133"/>
      <c r="F455" s="133"/>
      <c r="G455" s="133"/>
      <c r="H455" s="134"/>
      <c r="T455" s="37"/>
    </row>
    <row r="456" spans="1:20" s="35" customFormat="1" hidden="1" x14ac:dyDescent="0.25">
      <c r="A456" s="44">
        <f t="shared" ref="A456:A461" si="116">A455+1</f>
        <v>3</v>
      </c>
      <c r="B456" s="132" t="str">
        <f>(IF(H145="Saleable area Loading :","We have considered Saleable area of Commercial as per our Calculation.","We considered Saleable area of Commercial as per Builder area Sheet."))</f>
        <v>We have considered Saleable area of Commercial as per our Calculation.</v>
      </c>
      <c r="C456" s="133"/>
      <c r="D456" s="133"/>
      <c r="E456" s="133"/>
      <c r="F456" s="133"/>
      <c r="G456" s="133"/>
      <c r="H456" s="134"/>
      <c r="T456" s="37"/>
    </row>
    <row r="457" spans="1:20" s="35" customFormat="1" x14ac:dyDescent="0.25">
      <c r="A457" s="44">
        <v>3</v>
      </c>
      <c r="B457" s="132" t="s">
        <v>116</v>
      </c>
      <c r="C457" s="133"/>
      <c r="D457" s="133"/>
      <c r="E457" s="133"/>
      <c r="F457" s="133"/>
      <c r="G457" s="133"/>
      <c r="H457" s="134"/>
      <c r="T457" s="37"/>
    </row>
    <row r="458" spans="1:20" s="35" customFormat="1" x14ac:dyDescent="0.25">
      <c r="A458" s="44">
        <f t="shared" si="116"/>
        <v>4</v>
      </c>
      <c r="B458" s="132" t="s">
        <v>433</v>
      </c>
      <c r="C458" s="133"/>
      <c r="D458" s="133"/>
      <c r="E458" s="133"/>
      <c r="F458" s="133"/>
      <c r="G458" s="133"/>
      <c r="H458" s="134"/>
      <c r="T458" s="37"/>
    </row>
    <row r="459" spans="1:20" s="35" customFormat="1" x14ac:dyDescent="0.25">
      <c r="A459" s="44">
        <f t="shared" si="116"/>
        <v>5</v>
      </c>
      <c r="B459" s="132" t="s">
        <v>145</v>
      </c>
      <c r="C459" s="133"/>
      <c r="D459" s="133"/>
      <c r="E459" s="133"/>
      <c r="F459" s="133"/>
      <c r="G459" s="133"/>
      <c r="H459" s="134"/>
    </row>
    <row r="460" spans="1:20" s="35" customFormat="1" x14ac:dyDescent="0.25">
      <c r="A460" s="44">
        <f t="shared" si="116"/>
        <v>6</v>
      </c>
      <c r="B460" s="132" t="s">
        <v>117</v>
      </c>
      <c r="C460" s="133"/>
      <c r="D460" s="133"/>
      <c r="E460" s="133"/>
      <c r="F460" s="133"/>
      <c r="G460" s="133"/>
      <c r="H460" s="134"/>
    </row>
    <row r="461" spans="1:20" s="35" customFormat="1" ht="34.5" customHeight="1" x14ac:dyDescent="0.25">
      <c r="A461" s="44">
        <f t="shared" si="116"/>
        <v>7</v>
      </c>
      <c r="B461" s="132" t="s">
        <v>146</v>
      </c>
      <c r="C461" s="133"/>
      <c r="D461" s="133"/>
      <c r="E461" s="133"/>
      <c r="F461" s="133"/>
      <c r="G461" s="133"/>
      <c r="H461" s="134"/>
    </row>
    <row r="462" spans="1:20" s="35" customFormat="1" x14ac:dyDescent="0.25">
      <c r="A462" s="44">
        <f t="shared" ref="A462:A465" si="117">A461+1</f>
        <v>8</v>
      </c>
      <c r="B462" s="132" t="s">
        <v>118</v>
      </c>
      <c r="C462" s="133"/>
      <c r="D462" s="133"/>
      <c r="E462" s="133"/>
      <c r="F462" s="133"/>
      <c r="G462" s="133"/>
      <c r="H462" s="134"/>
    </row>
    <row r="463" spans="1:20" s="35" customFormat="1" ht="96.75" customHeight="1" x14ac:dyDescent="0.25">
      <c r="A463" s="44">
        <f t="shared" si="117"/>
        <v>9</v>
      </c>
      <c r="B463" s="132" t="s">
        <v>448</v>
      </c>
      <c r="C463" s="133"/>
      <c r="D463" s="133"/>
      <c r="E463" s="133"/>
      <c r="F463" s="133"/>
      <c r="G463" s="133"/>
      <c r="H463" s="134"/>
      <c r="I463" s="88" t="s">
        <v>442</v>
      </c>
    </row>
    <row r="464" spans="1:20" s="35" customFormat="1" x14ac:dyDescent="0.25">
      <c r="A464" s="44">
        <f t="shared" si="117"/>
        <v>10</v>
      </c>
      <c r="B464" s="132" t="s">
        <v>443</v>
      </c>
      <c r="C464" s="133"/>
      <c r="D464" s="133"/>
      <c r="E464" s="133"/>
      <c r="F464" s="133"/>
      <c r="G464" s="133"/>
      <c r="H464" s="134"/>
    </row>
    <row r="465" spans="1:20" s="35" customFormat="1" hidden="1" x14ac:dyDescent="0.25">
      <c r="A465" s="44">
        <f t="shared" si="117"/>
        <v>11</v>
      </c>
      <c r="B465" s="132" t="s">
        <v>342</v>
      </c>
      <c r="C465" s="133"/>
      <c r="D465" s="133"/>
      <c r="E465" s="133"/>
      <c r="F465" s="133"/>
      <c r="G465" s="133"/>
      <c r="H465" s="134"/>
    </row>
    <row r="466" spans="1:20" s="35" customFormat="1" x14ac:dyDescent="0.25">
      <c r="A466" s="44">
        <f>A464+1</f>
        <v>11</v>
      </c>
      <c r="B466" s="132" t="s">
        <v>452</v>
      </c>
      <c r="C466" s="133"/>
      <c r="D466" s="133"/>
      <c r="E466" s="133"/>
      <c r="F466" s="133"/>
      <c r="G466" s="133"/>
      <c r="H466" s="134"/>
    </row>
    <row r="467" spans="1:20" s="35" customFormat="1" x14ac:dyDescent="0.25">
      <c r="A467" s="90">
        <f>A465+1</f>
        <v>12</v>
      </c>
      <c r="B467" s="132" t="s">
        <v>456</v>
      </c>
      <c r="C467" s="133"/>
      <c r="D467" s="133"/>
      <c r="E467" s="133"/>
      <c r="F467" s="133"/>
      <c r="G467" s="133"/>
      <c r="H467" s="134"/>
    </row>
    <row r="468" spans="1:20" x14ac:dyDescent="0.25">
      <c r="A468" s="187" t="s">
        <v>56</v>
      </c>
      <c r="B468" s="187"/>
      <c r="C468" s="187"/>
      <c r="D468" s="187"/>
      <c r="E468" s="187"/>
      <c r="F468" s="187"/>
      <c r="G468" s="187"/>
      <c r="H468" s="187"/>
      <c r="T468" s="35"/>
    </row>
    <row r="469" spans="1:20" x14ac:dyDescent="0.25">
      <c r="A469" s="119" t="s">
        <v>57</v>
      </c>
      <c r="B469" s="119"/>
      <c r="C469" s="119"/>
      <c r="D469" s="119"/>
      <c r="E469" s="119"/>
      <c r="F469" s="119"/>
      <c r="G469" s="119"/>
      <c r="H469" s="119"/>
      <c r="T469" s="35"/>
    </row>
    <row r="470" spans="1:20" ht="15.75" customHeight="1" x14ac:dyDescent="0.25">
      <c r="A470" s="169" t="s">
        <v>58</v>
      </c>
      <c r="B470" s="169"/>
      <c r="C470" s="169"/>
      <c r="D470" s="169"/>
      <c r="E470" s="169"/>
      <c r="F470" s="169"/>
      <c r="G470" s="169"/>
      <c r="H470" s="169"/>
      <c r="T470" s="35"/>
    </row>
    <row r="471" spans="1:20" x14ac:dyDescent="0.25">
      <c r="A471" s="119" t="s">
        <v>59</v>
      </c>
      <c r="B471" s="119"/>
      <c r="C471" s="119"/>
      <c r="D471" s="119"/>
      <c r="E471" s="119"/>
      <c r="F471" s="119"/>
      <c r="G471" s="119"/>
      <c r="H471" s="119"/>
      <c r="T471" s="35"/>
    </row>
    <row r="472" spans="1:20" x14ac:dyDescent="0.25">
      <c r="A472" s="119" t="s">
        <v>60</v>
      </c>
      <c r="B472" s="119"/>
      <c r="C472" s="119"/>
      <c r="D472" s="119"/>
      <c r="E472" s="119"/>
      <c r="F472" s="119"/>
      <c r="G472" s="119"/>
      <c r="H472" s="119"/>
      <c r="T472" s="35"/>
    </row>
    <row r="473" spans="1:20" x14ac:dyDescent="0.25">
      <c r="A473" s="119" t="s">
        <v>119</v>
      </c>
      <c r="B473" s="119"/>
      <c r="C473" s="119"/>
      <c r="D473" s="119"/>
      <c r="E473" s="119"/>
      <c r="F473" s="119"/>
      <c r="G473" s="119"/>
      <c r="H473" s="119"/>
      <c r="T473" s="35"/>
    </row>
    <row r="474" spans="1:20" ht="33.950000000000003" customHeight="1" x14ac:dyDescent="0.25">
      <c r="A474" s="120" t="s">
        <v>120</v>
      </c>
      <c r="B474" s="120"/>
      <c r="C474" s="120"/>
      <c r="D474" s="120"/>
      <c r="E474" s="120"/>
      <c r="F474" s="120"/>
      <c r="G474" s="120"/>
      <c r="H474" s="120"/>
    </row>
    <row r="475" spans="1:20" x14ac:dyDescent="0.25">
      <c r="A475" s="184" t="s">
        <v>72</v>
      </c>
      <c r="B475" s="184"/>
      <c r="C475" s="184" t="s">
        <v>434</v>
      </c>
      <c r="D475" s="184"/>
      <c r="E475" s="184" t="s">
        <v>99</v>
      </c>
      <c r="F475" s="184"/>
      <c r="G475" s="184" t="s">
        <v>460</v>
      </c>
      <c r="H475" s="184"/>
    </row>
    <row r="476" spans="1:20" x14ac:dyDescent="0.25">
      <c r="A476" s="183" t="s">
        <v>74</v>
      </c>
      <c r="B476" s="183"/>
      <c r="C476" s="183"/>
      <c r="D476" s="183"/>
      <c r="E476" s="183"/>
      <c r="F476" s="183"/>
      <c r="G476" s="183"/>
      <c r="H476" s="183"/>
    </row>
    <row r="477" spans="1:20" x14ac:dyDescent="0.25">
      <c r="A477" s="183"/>
      <c r="B477" s="183"/>
      <c r="C477" s="183"/>
      <c r="D477" s="183"/>
      <c r="E477" s="183"/>
      <c r="F477" s="183"/>
      <c r="G477" s="183"/>
      <c r="H477" s="183"/>
    </row>
    <row r="478" spans="1:20" x14ac:dyDescent="0.25">
      <c r="A478" s="183"/>
      <c r="B478" s="183"/>
      <c r="C478" s="183"/>
      <c r="D478" s="183"/>
      <c r="E478" s="183"/>
      <c r="F478" s="183"/>
      <c r="G478" s="183"/>
      <c r="H478" s="183"/>
    </row>
    <row r="479" spans="1:20" x14ac:dyDescent="0.25">
      <c r="A479" s="183"/>
      <c r="B479" s="183"/>
      <c r="C479" s="183"/>
      <c r="D479" s="183"/>
      <c r="E479" s="183"/>
      <c r="F479" s="183"/>
      <c r="G479" s="183"/>
      <c r="H479" s="183"/>
    </row>
    <row r="480" spans="1:20" x14ac:dyDescent="0.25">
      <c r="A480" s="38" t="s">
        <v>61</v>
      </c>
      <c r="B480" s="39"/>
      <c r="C480" s="39"/>
      <c r="D480" s="38" t="str">
        <f>E9</f>
        <v>Forest Hills Ph 1 at The Prestige City (Wing A &amp; B)</v>
      </c>
      <c r="F480" s="39"/>
      <c r="G480" s="39"/>
      <c r="H480" s="39"/>
    </row>
    <row r="481" spans="1:8" x14ac:dyDescent="0.25">
      <c r="A481" s="39"/>
      <c r="B481" s="39"/>
      <c r="C481" s="39"/>
      <c r="D481" s="39"/>
      <c r="E481" s="39"/>
      <c r="F481" s="39"/>
      <c r="G481" s="39"/>
      <c r="H481" s="39"/>
    </row>
    <row r="482" spans="1:8" x14ac:dyDescent="0.25">
      <c r="A482" s="39"/>
      <c r="B482" s="39"/>
      <c r="C482" s="39"/>
      <c r="D482" s="39"/>
      <c r="E482" s="39"/>
      <c r="F482" s="39"/>
      <c r="G482" s="39"/>
      <c r="H482" s="39"/>
    </row>
    <row r="483" spans="1:8" ht="15" customHeight="1" x14ac:dyDescent="0.25"/>
    <row r="522" spans="1:1" x14ac:dyDescent="0.25">
      <c r="A522" s="41" t="s">
        <v>449</v>
      </c>
    </row>
    <row r="564" spans="1:1" x14ac:dyDescent="0.25">
      <c r="A564" s="41" t="s">
        <v>156</v>
      </c>
    </row>
    <row r="606" spans="1:1" x14ac:dyDescent="0.25">
      <c r="A606" s="41" t="s">
        <v>62</v>
      </c>
    </row>
  </sheetData>
  <mergeCells count="801">
    <mergeCell ref="B467:H467"/>
    <mergeCell ref="A97:B97"/>
    <mergeCell ref="G91:H91"/>
    <mergeCell ref="E142:F142"/>
    <mergeCell ref="B462:H462"/>
    <mergeCell ref="B460:H460"/>
    <mergeCell ref="A115:B115"/>
    <mergeCell ref="C145:C146"/>
    <mergeCell ref="B153:B154"/>
    <mergeCell ref="B456:H456"/>
    <mergeCell ref="A91:B91"/>
    <mergeCell ref="E91:F91"/>
    <mergeCell ref="E92:F101"/>
    <mergeCell ref="A102:B102"/>
    <mergeCell ref="C102:H102"/>
    <mergeCell ref="A104:B104"/>
    <mergeCell ref="C104:H104"/>
    <mergeCell ref="A105:B105"/>
    <mergeCell ref="E105:F105"/>
    <mergeCell ref="G105:H105"/>
    <mergeCell ref="A106:B106"/>
    <mergeCell ref="C139:D139"/>
    <mergeCell ref="E139:F139"/>
    <mergeCell ref="G139:H139"/>
    <mergeCell ref="C140:D140"/>
    <mergeCell ref="E140:F140"/>
    <mergeCell ref="G140:H140"/>
    <mergeCell ref="A109:B109"/>
    <mergeCell ref="A110:B110"/>
    <mergeCell ref="A111:B111"/>
    <mergeCell ref="A112:B112"/>
    <mergeCell ref="E106:F115"/>
    <mergeCell ref="G106:H115"/>
    <mergeCell ref="A107:B107"/>
    <mergeCell ref="A108:B108"/>
    <mergeCell ref="E138:F138"/>
    <mergeCell ref="A126:E126"/>
    <mergeCell ref="G138:H138"/>
    <mergeCell ref="C132:D132"/>
    <mergeCell ref="E132:F132"/>
    <mergeCell ref="G132:H132"/>
    <mergeCell ref="A133:B133"/>
    <mergeCell ref="C133:D133"/>
    <mergeCell ref="E133:F133"/>
    <mergeCell ref="G133:H133"/>
    <mergeCell ref="C137:D137"/>
    <mergeCell ref="E137:F137"/>
    <mergeCell ref="L310:M310"/>
    <mergeCell ref="A315:B315"/>
    <mergeCell ref="A312:B312"/>
    <mergeCell ref="A313:B313"/>
    <mergeCell ref="A40:B40"/>
    <mergeCell ref="C40:H40"/>
    <mergeCell ref="F145:F146"/>
    <mergeCell ref="C131:D131"/>
    <mergeCell ref="E131:F131"/>
    <mergeCell ref="B145:B146"/>
    <mergeCell ref="A145:A146"/>
    <mergeCell ref="C153:C154"/>
    <mergeCell ref="G153:G154"/>
    <mergeCell ref="L165:M165"/>
    <mergeCell ref="L162:M162"/>
    <mergeCell ref="A163:B163"/>
    <mergeCell ref="G142:H142"/>
    <mergeCell ref="L163:M163"/>
    <mergeCell ref="A164:B164"/>
    <mergeCell ref="L164:M164"/>
    <mergeCell ref="C55:H55"/>
    <mergeCell ref="A113:B113"/>
    <mergeCell ref="A114:B114"/>
    <mergeCell ref="A80:B80"/>
    <mergeCell ref="L149:M149"/>
    <mergeCell ref="L148:M148"/>
    <mergeCell ref="A85:B85"/>
    <mergeCell ref="C136:D136"/>
    <mergeCell ref="E136:F136"/>
    <mergeCell ref="G136:H136"/>
    <mergeCell ref="A117:E117"/>
    <mergeCell ref="A88:B88"/>
    <mergeCell ref="C88:H88"/>
    <mergeCell ref="A147:H147"/>
    <mergeCell ref="E145:E146"/>
    <mergeCell ref="A92:B92"/>
    <mergeCell ref="C90:H90"/>
    <mergeCell ref="A93:B93"/>
    <mergeCell ref="A94:B94"/>
    <mergeCell ref="G92:H101"/>
    <mergeCell ref="A95:B95"/>
    <mergeCell ref="F118:H118"/>
    <mergeCell ref="A118:E118"/>
    <mergeCell ref="D145:D146"/>
    <mergeCell ref="G137:H137"/>
    <mergeCell ref="A90:B90"/>
    <mergeCell ref="E78:F87"/>
    <mergeCell ref="G78:H87"/>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46:D46"/>
    <mergeCell ref="A47:D47"/>
    <mergeCell ref="D68:H68"/>
    <mergeCell ref="A44:D44"/>
    <mergeCell ref="E44:H44"/>
    <mergeCell ref="E45:H45"/>
    <mergeCell ref="E46:H46"/>
    <mergeCell ref="E47:H47"/>
    <mergeCell ref="C57:H57"/>
    <mergeCell ref="A48:H48"/>
    <mergeCell ref="D64:H64"/>
    <mergeCell ref="A64:C64"/>
    <mergeCell ref="A45:D45"/>
    <mergeCell ref="A49:B49"/>
    <mergeCell ref="C49:H49"/>
    <mergeCell ref="A65:C66"/>
    <mergeCell ref="D65:H65"/>
    <mergeCell ref="D66:H66"/>
    <mergeCell ref="G52:H52"/>
    <mergeCell ref="A61:H61"/>
    <mergeCell ref="A62:C62"/>
    <mergeCell ref="C53:H5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476:H479"/>
    <mergeCell ref="A475:B475"/>
    <mergeCell ref="E475:F475"/>
    <mergeCell ref="C475:D475"/>
    <mergeCell ref="G475:H475"/>
    <mergeCell ref="A129:H129"/>
    <mergeCell ref="A127:E127"/>
    <mergeCell ref="F127:H127"/>
    <mergeCell ref="A128:E128"/>
    <mergeCell ref="F128:H128"/>
    <mergeCell ref="A310:H310"/>
    <mergeCell ref="A349:B349"/>
    <mergeCell ref="A131:B131"/>
    <mergeCell ref="A471:H471"/>
    <mergeCell ref="A134:H134"/>
    <mergeCell ref="A474:H474"/>
    <mergeCell ref="A472:H472"/>
    <mergeCell ref="A468:H468"/>
    <mergeCell ref="G135:H135"/>
    <mergeCell ref="B459:H459"/>
    <mergeCell ref="A314:B314"/>
    <mergeCell ref="C142:D142"/>
    <mergeCell ref="B464:H464"/>
    <mergeCell ref="A139:A140"/>
    <mergeCell ref="A347:B347"/>
    <mergeCell ref="A148:B148"/>
    <mergeCell ref="B463:H463"/>
    <mergeCell ref="A142:B142"/>
    <mergeCell ref="A99:B99"/>
    <mergeCell ref="A100:B100"/>
    <mergeCell ref="A119:E119"/>
    <mergeCell ref="A116:E116"/>
    <mergeCell ref="F120:H120"/>
    <mergeCell ref="A351:B351"/>
    <mergeCell ref="A120:E120"/>
    <mergeCell ref="A165:B165"/>
    <mergeCell ref="B461:H461"/>
    <mergeCell ref="G145:G146"/>
    <mergeCell ref="B454:H454"/>
    <mergeCell ref="B455:H455"/>
    <mergeCell ref="B457:H457"/>
    <mergeCell ref="F116:H116"/>
    <mergeCell ref="F121:H121"/>
    <mergeCell ref="A162:B162"/>
    <mergeCell ref="A151:B151"/>
    <mergeCell ref="A150:B150"/>
    <mergeCell ref="A121:E121"/>
    <mergeCell ref="A138:B138"/>
    <mergeCell ref="A473:H473"/>
    <mergeCell ref="A470:H470"/>
    <mergeCell ref="A311:B311"/>
    <mergeCell ref="A135:B135"/>
    <mergeCell ref="D153:D154"/>
    <mergeCell ref="E153:E154"/>
    <mergeCell ref="A96:B96"/>
    <mergeCell ref="A98:B98"/>
    <mergeCell ref="F117:H117"/>
    <mergeCell ref="G131:H131"/>
    <mergeCell ref="A101:B101"/>
    <mergeCell ref="F123:H123"/>
    <mergeCell ref="C130:D130"/>
    <mergeCell ref="C138:D138"/>
    <mergeCell ref="A161:H161"/>
    <mergeCell ref="A350:B350"/>
    <mergeCell ref="B458:H458"/>
    <mergeCell ref="A469:H469"/>
    <mergeCell ref="A122:E122"/>
    <mergeCell ref="F122:H122"/>
    <mergeCell ref="A124:E124"/>
    <mergeCell ref="F119:H119"/>
    <mergeCell ref="A123:E123"/>
    <mergeCell ref="A152:H152"/>
    <mergeCell ref="I15:P15"/>
    <mergeCell ref="F126:H126"/>
    <mergeCell ref="F124:H124"/>
    <mergeCell ref="A348:B348"/>
    <mergeCell ref="A144:H144"/>
    <mergeCell ref="G130:H130"/>
    <mergeCell ref="A125:E125"/>
    <mergeCell ref="A149:B149"/>
    <mergeCell ref="A60:B60"/>
    <mergeCell ref="C60:E60"/>
    <mergeCell ref="D62:H62"/>
    <mergeCell ref="F125:H125"/>
    <mergeCell ref="E130:F130"/>
    <mergeCell ref="A130:B130"/>
    <mergeCell ref="A132:B132"/>
    <mergeCell ref="C135:D135"/>
    <mergeCell ref="D71:H71"/>
    <mergeCell ref="D63:H63"/>
    <mergeCell ref="G60:H60"/>
    <mergeCell ref="A54:B55"/>
    <mergeCell ref="C59:E59"/>
    <mergeCell ref="G54:H54"/>
    <mergeCell ref="A56:B57"/>
    <mergeCell ref="C56:E56"/>
    <mergeCell ref="B466:H466"/>
    <mergeCell ref="B465:H465"/>
    <mergeCell ref="E43:H43"/>
    <mergeCell ref="A43:D43"/>
    <mergeCell ref="A83:B83"/>
    <mergeCell ref="A50:B50"/>
    <mergeCell ref="C52:E52"/>
    <mergeCell ref="A453:H453"/>
    <mergeCell ref="A346:H346"/>
    <mergeCell ref="A71:C71"/>
    <mergeCell ref="D72:H72"/>
    <mergeCell ref="A78:B78"/>
    <mergeCell ref="G77:H77"/>
    <mergeCell ref="A86:B86"/>
    <mergeCell ref="A87:B87"/>
    <mergeCell ref="A82:B82"/>
    <mergeCell ref="A81:B81"/>
    <mergeCell ref="E77:F77"/>
    <mergeCell ref="A84:B84"/>
    <mergeCell ref="A79:B79"/>
    <mergeCell ref="E135:F135"/>
    <mergeCell ref="A143:H143"/>
    <mergeCell ref="A153:A154"/>
    <mergeCell ref="F153:F154"/>
    <mergeCell ref="A155:H155"/>
    <mergeCell ref="A156:H156"/>
    <mergeCell ref="A157:H157"/>
    <mergeCell ref="A158:H158"/>
    <mergeCell ref="A159:H159"/>
    <mergeCell ref="A160:H160"/>
    <mergeCell ref="A166:B166"/>
    <mergeCell ref="L166:M166"/>
    <mergeCell ref="G59:H59"/>
    <mergeCell ref="A76:B76"/>
    <mergeCell ref="A74:B74"/>
    <mergeCell ref="C74:H74"/>
    <mergeCell ref="A69:C69"/>
    <mergeCell ref="D69:H69"/>
    <mergeCell ref="C76:H76"/>
    <mergeCell ref="A70:C70"/>
    <mergeCell ref="D70:H70"/>
    <mergeCell ref="A73:C73"/>
    <mergeCell ref="D73:H73"/>
    <mergeCell ref="A72:C72"/>
    <mergeCell ref="A77:B77"/>
    <mergeCell ref="L151:M151"/>
    <mergeCell ref="L150:M150"/>
    <mergeCell ref="A136:A137"/>
    <mergeCell ref="A167:B167"/>
    <mergeCell ref="L167:M167"/>
    <mergeCell ref="C162:H163"/>
    <mergeCell ref="A168:H168"/>
    <mergeCell ref="A169:B169"/>
    <mergeCell ref="C169:H170"/>
    <mergeCell ref="L169:M169"/>
    <mergeCell ref="A170:B170"/>
    <mergeCell ref="L170:M170"/>
    <mergeCell ref="A171:B171"/>
    <mergeCell ref="L171:M171"/>
    <mergeCell ref="A172:B172"/>
    <mergeCell ref="L172:M172"/>
    <mergeCell ref="A173:B173"/>
    <mergeCell ref="L173:M173"/>
    <mergeCell ref="A174:B174"/>
    <mergeCell ref="L174:M174"/>
    <mergeCell ref="C172:H172"/>
    <mergeCell ref="A175:H175"/>
    <mergeCell ref="A176:B176"/>
    <mergeCell ref="C176:H177"/>
    <mergeCell ref="L176:M176"/>
    <mergeCell ref="A177:B177"/>
    <mergeCell ref="L177:M177"/>
    <mergeCell ref="A178:B178"/>
    <mergeCell ref="L178:M178"/>
    <mergeCell ref="A179:B179"/>
    <mergeCell ref="L179:M179"/>
    <mergeCell ref="A180:B180"/>
    <mergeCell ref="L180:M180"/>
    <mergeCell ref="A181:B181"/>
    <mergeCell ref="L181:M181"/>
    <mergeCell ref="A182:H182"/>
    <mergeCell ref="A183:H183"/>
    <mergeCell ref="A184:B184"/>
    <mergeCell ref="C184:H185"/>
    <mergeCell ref="L184:M184"/>
    <mergeCell ref="A185:B185"/>
    <mergeCell ref="L185:M185"/>
    <mergeCell ref="A186:B186"/>
    <mergeCell ref="L186:M186"/>
    <mergeCell ref="A187:B187"/>
    <mergeCell ref="L187:M187"/>
    <mergeCell ref="A188:B188"/>
    <mergeCell ref="L188:M188"/>
    <mergeCell ref="A189:B189"/>
    <mergeCell ref="L189:M189"/>
    <mergeCell ref="A190:H190"/>
    <mergeCell ref="A191:B191"/>
    <mergeCell ref="C191:H192"/>
    <mergeCell ref="L191:M191"/>
    <mergeCell ref="A192:B192"/>
    <mergeCell ref="L192:M192"/>
    <mergeCell ref="A193:B193"/>
    <mergeCell ref="L193:M193"/>
    <mergeCell ref="A194:B194"/>
    <mergeCell ref="L194:M194"/>
    <mergeCell ref="A195:B195"/>
    <mergeCell ref="L195:M195"/>
    <mergeCell ref="A196:B196"/>
    <mergeCell ref="L196:M196"/>
    <mergeCell ref="A197:H197"/>
    <mergeCell ref="A198:B198"/>
    <mergeCell ref="L198:M198"/>
    <mergeCell ref="A199:B199"/>
    <mergeCell ref="L199:M199"/>
    <mergeCell ref="A200:B200"/>
    <mergeCell ref="L200:M200"/>
    <mergeCell ref="A201:B201"/>
    <mergeCell ref="L201:M201"/>
    <mergeCell ref="A202:B202"/>
    <mergeCell ref="L202:M202"/>
    <mergeCell ref="A203:B203"/>
    <mergeCell ref="L203:M203"/>
    <mergeCell ref="A204:H204"/>
    <mergeCell ref="A205:B205"/>
    <mergeCell ref="L205:M205"/>
    <mergeCell ref="A206:B206"/>
    <mergeCell ref="L206:M206"/>
    <mergeCell ref="A207:B207"/>
    <mergeCell ref="L207:M207"/>
    <mergeCell ref="A208:B208"/>
    <mergeCell ref="L208:M208"/>
    <mergeCell ref="A209:B209"/>
    <mergeCell ref="L209:M209"/>
    <mergeCell ref="A210:B210"/>
    <mergeCell ref="L210:M210"/>
    <mergeCell ref="C207:H208"/>
    <mergeCell ref="A211:H211"/>
    <mergeCell ref="A212:B212"/>
    <mergeCell ref="L212:M212"/>
    <mergeCell ref="A213:B213"/>
    <mergeCell ref="L213:M213"/>
    <mergeCell ref="A214:B214"/>
    <mergeCell ref="L214:M214"/>
    <mergeCell ref="A215:B215"/>
    <mergeCell ref="L215:M215"/>
    <mergeCell ref="A216:B216"/>
    <mergeCell ref="L216:M216"/>
    <mergeCell ref="A217:B217"/>
    <mergeCell ref="L217:M217"/>
    <mergeCell ref="A218:H218"/>
    <mergeCell ref="A219:B219"/>
    <mergeCell ref="L219:M219"/>
    <mergeCell ref="A220:B220"/>
    <mergeCell ref="L220:M220"/>
    <mergeCell ref="A221:B221"/>
    <mergeCell ref="L221:M221"/>
    <mergeCell ref="A222:B222"/>
    <mergeCell ref="L222:M222"/>
    <mergeCell ref="A223:B223"/>
    <mergeCell ref="L223:M223"/>
    <mergeCell ref="A224:B224"/>
    <mergeCell ref="L224:M224"/>
    <mergeCell ref="A225:H225"/>
    <mergeCell ref="A226:B226"/>
    <mergeCell ref="L226:M226"/>
    <mergeCell ref="A227:B227"/>
    <mergeCell ref="L227:M227"/>
    <mergeCell ref="A228:B228"/>
    <mergeCell ref="L228:M228"/>
    <mergeCell ref="A229:B229"/>
    <mergeCell ref="L229:M229"/>
    <mergeCell ref="A230:B230"/>
    <mergeCell ref="L230:M230"/>
    <mergeCell ref="A231:B231"/>
    <mergeCell ref="L231:M231"/>
    <mergeCell ref="C228:H229"/>
    <mergeCell ref="A232:H232"/>
    <mergeCell ref="A233:B233"/>
    <mergeCell ref="L233:M233"/>
    <mergeCell ref="A234:B234"/>
    <mergeCell ref="L234:M234"/>
    <mergeCell ref="A235:B235"/>
    <mergeCell ref="L235:M235"/>
    <mergeCell ref="A236:B236"/>
    <mergeCell ref="L236:M236"/>
    <mergeCell ref="A237:B237"/>
    <mergeCell ref="L237:M237"/>
    <mergeCell ref="A238:B238"/>
    <mergeCell ref="L238:M238"/>
    <mergeCell ref="A239:H239"/>
    <mergeCell ref="A240:B240"/>
    <mergeCell ref="L240:M240"/>
    <mergeCell ref="A241:B241"/>
    <mergeCell ref="L241:M241"/>
    <mergeCell ref="A242:B242"/>
    <mergeCell ref="L242:M242"/>
    <mergeCell ref="A243:B243"/>
    <mergeCell ref="L243:M243"/>
    <mergeCell ref="A244:B244"/>
    <mergeCell ref="L244:M244"/>
    <mergeCell ref="A245:B245"/>
    <mergeCell ref="L245:M245"/>
    <mergeCell ref="A246:H246"/>
    <mergeCell ref="A247:B247"/>
    <mergeCell ref="L247:M247"/>
    <mergeCell ref="A248:B248"/>
    <mergeCell ref="L248:M248"/>
    <mergeCell ref="A249:B249"/>
    <mergeCell ref="L249:M249"/>
    <mergeCell ref="A250:B250"/>
    <mergeCell ref="L250:M250"/>
    <mergeCell ref="A251:B251"/>
    <mergeCell ref="L251:M251"/>
    <mergeCell ref="A252:B252"/>
    <mergeCell ref="L252:M252"/>
    <mergeCell ref="C249:H250"/>
    <mergeCell ref="A253:H253"/>
    <mergeCell ref="A254:B254"/>
    <mergeCell ref="L254:M254"/>
    <mergeCell ref="A255:B255"/>
    <mergeCell ref="L255:M255"/>
    <mergeCell ref="A256:B256"/>
    <mergeCell ref="L256:M256"/>
    <mergeCell ref="A257:B257"/>
    <mergeCell ref="L257:M257"/>
    <mergeCell ref="A258:B258"/>
    <mergeCell ref="L258:M258"/>
    <mergeCell ref="A259:B259"/>
    <mergeCell ref="L259:M259"/>
    <mergeCell ref="A260:H260"/>
    <mergeCell ref="A261:B261"/>
    <mergeCell ref="L261:M261"/>
    <mergeCell ref="A262:B262"/>
    <mergeCell ref="L262:M262"/>
    <mergeCell ref="A263:B263"/>
    <mergeCell ref="L263:M263"/>
    <mergeCell ref="A264:B264"/>
    <mergeCell ref="L264:M264"/>
    <mergeCell ref="A265:B265"/>
    <mergeCell ref="L265:M265"/>
    <mergeCell ref="A266:B266"/>
    <mergeCell ref="L266:M266"/>
    <mergeCell ref="A274:H274"/>
    <mergeCell ref="A275:B275"/>
    <mergeCell ref="L275:M275"/>
    <mergeCell ref="A276:B276"/>
    <mergeCell ref="L276:M276"/>
    <mergeCell ref="A277:B277"/>
    <mergeCell ref="L277:M277"/>
    <mergeCell ref="A278:B278"/>
    <mergeCell ref="L278:M278"/>
    <mergeCell ref="A279:B279"/>
    <mergeCell ref="L279:M279"/>
    <mergeCell ref="A280:B280"/>
    <mergeCell ref="L280:M280"/>
    <mergeCell ref="A267:H267"/>
    <mergeCell ref="A268:B268"/>
    <mergeCell ref="L268:M268"/>
    <mergeCell ref="A269:B269"/>
    <mergeCell ref="L269:M269"/>
    <mergeCell ref="A270:B270"/>
    <mergeCell ref="C270:H271"/>
    <mergeCell ref="L270:M270"/>
    <mergeCell ref="A271:B271"/>
    <mergeCell ref="L271:M271"/>
    <mergeCell ref="A272:B272"/>
    <mergeCell ref="L272:M272"/>
    <mergeCell ref="A273:B273"/>
    <mergeCell ref="L273:M273"/>
    <mergeCell ref="A281:H281"/>
    <mergeCell ref="A282:B282"/>
    <mergeCell ref="L282:M282"/>
    <mergeCell ref="A283:B283"/>
    <mergeCell ref="L283:M283"/>
    <mergeCell ref="A284:B284"/>
    <mergeCell ref="L284:M284"/>
    <mergeCell ref="A285:B285"/>
    <mergeCell ref="L285:M285"/>
    <mergeCell ref="A286:B286"/>
    <mergeCell ref="L286:M286"/>
    <mergeCell ref="A287:B287"/>
    <mergeCell ref="L287:M287"/>
    <mergeCell ref="A288:H288"/>
    <mergeCell ref="A289:B289"/>
    <mergeCell ref="L289:M289"/>
    <mergeCell ref="A290:B290"/>
    <mergeCell ref="L290:M290"/>
    <mergeCell ref="A295:H295"/>
    <mergeCell ref="A296:B296"/>
    <mergeCell ref="L296:M296"/>
    <mergeCell ref="A297:B297"/>
    <mergeCell ref="L297:M297"/>
    <mergeCell ref="A291:B291"/>
    <mergeCell ref="L291:M291"/>
    <mergeCell ref="A292:B292"/>
    <mergeCell ref="L292:M292"/>
    <mergeCell ref="A293:B293"/>
    <mergeCell ref="L293:M293"/>
    <mergeCell ref="A294:B294"/>
    <mergeCell ref="L294:M294"/>
    <mergeCell ref="C291:H292"/>
    <mergeCell ref="A302:B302"/>
    <mergeCell ref="L302:M302"/>
    <mergeCell ref="A303:B303"/>
    <mergeCell ref="L303:M303"/>
    <mergeCell ref="A298:B298"/>
    <mergeCell ref="L298:M298"/>
    <mergeCell ref="A299:B299"/>
    <mergeCell ref="L299:M299"/>
    <mergeCell ref="C297:H297"/>
    <mergeCell ref="A300:H300"/>
    <mergeCell ref="A301:B301"/>
    <mergeCell ref="L301:M301"/>
    <mergeCell ref="A308:H308"/>
    <mergeCell ref="L308:M308"/>
    <mergeCell ref="A309:H309"/>
    <mergeCell ref="L309:M309"/>
    <mergeCell ref="A304:H304"/>
    <mergeCell ref="L304:M304"/>
    <mergeCell ref="A305:H305"/>
    <mergeCell ref="L305:M305"/>
    <mergeCell ref="A306:H306"/>
    <mergeCell ref="L306:M306"/>
    <mergeCell ref="A307:H307"/>
    <mergeCell ref="L307:M307"/>
    <mergeCell ref="C311:H312"/>
    <mergeCell ref="A316:B316"/>
    <mergeCell ref="C315:H316"/>
    <mergeCell ref="A317:H317"/>
    <mergeCell ref="L317:M317"/>
    <mergeCell ref="A318:B318"/>
    <mergeCell ref="C318:H319"/>
    <mergeCell ref="A319:B319"/>
    <mergeCell ref="A320:B320"/>
    <mergeCell ref="A321:B321"/>
    <mergeCell ref="A322:B322"/>
    <mergeCell ref="C322:H323"/>
    <mergeCell ref="A323:B323"/>
    <mergeCell ref="C321:H321"/>
    <mergeCell ref="A324:H324"/>
    <mergeCell ref="L324:M324"/>
    <mergeCell ref="A325:B325"/>
    <mergeCell ref="C325:H326"/>
    <mergeCell ref="A326:B326"/>
    <mergeCell ref="A327:B327"/>
    <mergeCell ref="A328:B328"/>
    <mergeCell ref="A329:B329"/>
    <mergeCell ref="C329:H330"/>
    <mergeCell ref="A330:B330"/>
    <mergeCell ref="A331:H331"/>
    <mergeCell ref="L331:M331"/>
    <mergeCell ref="A332:H332"/>
    <mergeCell ref="L332:M332"/>
    <mergeCell ref="A333:B333"/>
    <mergeCell ref="C333:H334"/>
    <mergeCell ref="A334:B334"/>
    <mergeCell ref="A335:B335"/>
    <mergeCell ref="A336:B336"/>
    <mergeCell ref="A337:B337"/>
    <mergeCell ref="C337:H338"/>
    <mergeCell ref="A338:B338"/>
    <mergeCell ref="C335:H336"/>
    <mergeCell ref="A339:H339"/>
    <mergeCell ref="L339:M339"/>
    <mergeCell ref="A340:B340"/>
    <mergeCell ref="C340:H341"/>
    <mergeCell ref="A341:B341"/>
    <mergeCell ref="A342:B342"/>
    <mergeCell ref="A343:B343"/>
    <mergeCell ref="A344:B344"/>
    <mergeCell ref="C344:H345"/>
    <mergeCell ref="A345:B345"/>
    <mergeCell ref="A352:B352"/>
    <mergeCell ref="A353:H353"/>
    <mergeCell ref="A354:B354"/>
    <mergeCell ref="A355:B355"/>
    <mergeCell ref="A356:B356"/>
    <mergeCell ref="A357:B357"/>
    <mergeCell ref="A358:B358"/>
    <mergeCell ref="A359:B359"/>
    <mergeCell ref="C356:H357"/>
    <mergeCell ref="A360:H360"/>
    <mergeCell ref="A361:B361"/>
    <mergeCell ref="A362:B362"/>
    <mergeCell ref="A363:B363"/>
    <mergeCell ref="C363:H364"/>
    <mergeCell ref="A364:B364"/>
    <mergeCell ref="A365:B365"/>
    <mergeCell ref="A366:B366"/>
    <mergeCell ref="A367:H367"/>
    <mergeCell ref="A368:B368"/>
    <mergeCell ref="A369:B369"/>
    <mergeCell ref="A370:B370"/>
    <mergeCell ref="A371:B371"/>
    <mergeCell ref="A372:B372"/>
    <mergeCell ref="A373:B373"/>
    <mergeCell ref="A374:H374"/>
    <mergeCell ref="A375:B375"/>
    <mergeCell ref="A376:B376"/>
    <mergeCell ref="A377:B377"/>
    <mergeCell ref="C377:H378"/>
    <mergeCell ref="A378:B378"/>
    <mergeCell ref="A379:B379"/>
    <mergeCell ref="A380:B380"/>
    <mergeCell ref="A381:H381"/>
    <mergeCell ref="A382:B382"/>
    <mergeCell ref="A383:B383"/>
    <mergeCell ref="A384:B384"/>
    <mergeCell ref="A385:B385"/>
    <mergeCell ref="A386:B386"/>
    <mergeCell ref="A387:B387"/>
    <mergeCell ref="A388:H388"/>
    <mergeCell ref="A389:B389"/>
    <mergeCell ref="A390:B390"/>
    <mergeCell ref="A391:B391"/>
    <mergeCell ref="A392:B392"/>
    <mergeCell ref="A393:B393"/>
    <mergeCell ref="A394:B394"/>
    <mergeCell ref="A395:H395"/>
    <mergeCell ref="A396:B396"/>
    <mergeCell ref="A397:B397"/>
    <mergeCell ref="A398:B398"/>
    <mergeCell ref="A399:B399"/>
    <mergeCell ref="A400:B400"/>
    <mergeCell ref="A401:B401"/>
    <mergeCell ref="C398:H399"/>
    <mergeCell ref="A402:H402"/>
    <mergeCell ref="A403:B403"/>
    <mergeCell ref="A404:B404"/>
    <mergeCell ref="A405:B405"/>
    <mergeCell ref="A406:B406"/>
    <mergeCell ref="A407:B407"/>
    <mergeCell ref="A408:B408"/>
    <mergeCell ref="A409:H409"/>
    <mergeCell ref="A410:B410"/>
    <mergeCell ref="A425:B425"/>
    <mergeCell ref="A426:B426"/>
    <mergeCell ref="A427:B427"/>
    <mergeCell ref="A411:B411"/>
    <mergeCell ref="A412:B412"/>
    <mergeCell ref="A413:B413"/>
    <mergeCell ref="A414:B414"/>
    <mergeCell ref="A415:B415"/>
    <mergeCell ref="A416:H416"/>
    <mergeCell ref="A417:H417"/>
    <mergeCell ref="A418:B418"/>
    <mergeCell ref="A419:B419"/>
    <mergeCell ref="A450:B450"/>
    <mergeCell ref="A451:B451"/>
    <mergeCell ref="A452:B452"/>
    <mergeCell ref="C451:H451"/>
    <mergeCell ref="A437:B437"/>
    <mergeCell ref="A438:H438"/>
    <mergeCell ref="A439:B439"/>
    <mergeCell ref="A440:B440"/>
    <mergeCell ref="A441:B441"/>
    <mergeCell ref="C441:H442"/>
    <mergeCell ref="A442:B442"/>
    <mergeCell ref="A443:B443"/>
    <mergeCell ref="A444:B444"/>
    <mergeCell ref="A141:B141"/>
    <mergeCell ref="C141:D141"/>
    <mergeCell ref="E141:F141"/>
    <mergeCell ref="G141:H141"/>
    <mergeCell ref="A445:H445"/>
    <mergeCell ref="A446:B446"/>
    <mergeCell ref="A447:B447"/>
    <mergeCell ref="A448:B448"/>
    <mergeCell ref="A449:H449"/>
    <mergeCell ref="A428:B428"/>
    <mergeCell ref="A429:B429"/>
    <mergeCell ref="A430:B430"/>
    <mergeCell ref="A431:H431"/>
    <mergeCell ref="A432:B432"/>
    <mergeCell ref="A433:B433"/>
    <mergeCell ref="A434:B434"/>
    <mergeCell ref="A435:B435"/>
    <mergeCell ref="A436:B436"/>
    <mergeCell ref="A420:B420"/>
    <mergeCell ref="A421:B421"/>
    <mergeCell ref="A422:B422"/>
    <mergeCell ref="A423:B423"/>
    <mergeCell ref="C420:H421"/>
    <mergeCell ref="A424:H424"/>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475:H475">
      <formula1>"Kunal Kadam,Pranita Mhatre,Shruti Fule,Pooja Kawale,Gaurav Panchal,Shruti Tathare, Dipti Gothawade,Saurav Panse,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5:B146">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 Deck + Utility Area,Fungible area,Balcony Area,Chajja Area,Cornice Area,AP Area,WS Area"</formula1>
    </dataValidation>
    <dataValidation type="list" allowBlank="1" showInputMessage="1" showErrorMessage="1" sqref="H146 H15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5 H153">
      <formula1>"Saleable area Loading :,Builder Saleable Area"</formula1>
    </dataValidation>
    <dataValidation type="list" allowBlank="1" showInputMessage="1" showErrorMessage="1" sqref="D145:D146 D153:D154">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7" manualBreakCount="7">
    <brk id="73" max="16383" man="1"/>
    <brk id="159" max="7" man="1"/>
    <brk id="245" max="7" man="1"/>
    <brk id="479" max="16383" man="1"/>
    <brk id="521" max="16383" man="1"/>
    <brk id="563" max="16383" man="1"/>
    <brk id="60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5703125" defaultRowHeight="15" x14ac:dyDescent="0.25"/>
  <cols>
    <col min="1" max="1" width="8.570312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5703125" style="1"/>
  </cols>
  <sheetData>
    <row r="1" spans="1:9" ht="15" customHeight="1" x14ac:dyDescent="0.25"/>
    <row r="2" spans="1:9" ht="15" customHeight="1" x14ac:dyDescent="0.25">
      <c r="A2" s="2"/>
      <c r="B2" s="2"/>
      <c r="C2" s="2"/>
      <c r="D2" s="2"/>
      <c r="E2" s="2"/>
      <c r="F2" s="2"/>
      <c r="G2" s="2"/>
      <c r="H2" s="2"/>
    </row>
    <row r="3" spans="1:9" ht="15.75" customHeight="1" x14ac:dyDescent="0.25">
      <c r="A3" s="2"/>
      <c r="B3" s="253" t="s">
        <v>100</v>
      </c>
      <c r="C3" s="253"/>
      <c r="D3" s="253"/>
      <c r="E3" s="253"/>
      <c r="F3" s="253"/>
      <c r="G3" s="253"/>
      <c r="H3" s="253"/>
    </row>
    <row r="4" spans="1:9" x14ac:dyDescent="0.25">
      <c r="A4" s="2"/>
      <c r="B4" s="3" t="s">
        <v>101</v>
      </c>
      <c r="C4" s="3" t="s">
        <v>102</v>
      </c>
      <c r="D4" s="3" t="s">
        <v>64</v>
      </c>
      <c r="E4" s="3" t="s">
        <v>103</v>
      </c>
      <c r="F4" s="3" t="s">
        <v>109</v>
      </c>
      <c r="G4" s="3" t="s">
        <v>110</v>
      </c>
      <c r="H4" s="3" t="s">
        <v>104</v>
      </c>
    </row>
    <row r="5" spans="1:9" ht="15" customHeight="1" x14ac:dyDescent="0.25">
      <c r="A5" s="2"/>
      <c r="B5" s="5" t="s">
        <v>105</v>
      </c>
      <c r="C5" s="6"/>
      <c r="D5" s="5"/>
      <c r="E5" s="5"/>
      <c r="F5" s="7">
        <f>E5*1.6</f>
        <v>0</v>
      </c>
      <c r="G5" s="7" t="e">
        <f>H5/F5</f>
        <v>#DIV/0!</v>
      </c>
      <c r="H5" s="8"/>
    </row>
    <row r="6" spans="1:9" x14ac:dyDescent="0.25">
      <c r="A6" s="2"/>
      <c r="B6" s="5" t="s">
        <v>105</v>
      </c>
      <c r="C6" s="9"/>
      <c r="D6" s="5"/>
      <c r="E6" s="5"/>
      <c r="F6" s="7">
        <f t="shared" ref="F6:F11" si="0">E6*1.6</f>
        <v>0</v>
      </c>
      <c r="G6" s="7" t="e">
        <f t="shared" ref="G6:G11" si="1">H6/F6</f>
        <v>#DIV/0!</v>
      </c>
      <c r="H6" s="8"/>
    </row>
    <row r="7" spans="1:9" ht="15" customHeight="1" x14ac:dyDescent="0.25">
      <c r="A7" s="2"/>
      <c r="B7" s="5" t="s">
        <v>105</v>
      </c>
      <c r="C7" s="6"/>
      <c r="D7" s="5"/>
      <c r="E7" s="5"/>
      <c r="F7" s="7">
        <f t="shared" si="0"/>
        <v>0</v>
      </c>
      <c r="G7" s="7" t="e">
        <f t="shared" si="1"/>
        <v>#DIV/0!</v>
      </c>
      <c r="H7" s="8"/>
    </row>
    <row r="8" spans="1:9" x14ac:dyDescent="0.25">
      <c r="A8" s="2"/>
      <c r="B8" s="5" t="s">
        <v>105</v>
      </c>
      <c r="C8" s="9"/>
      <c r="D8" s="5"/>
      <c r="E8" s="5"/>
      <c r="F8" s="7">
        <f t="shared" si="0"/>
        <v>0</v>
      </c>
      <c r="G8" s="7" t="e">
        <f t="shared" si="1"/>
        <v>#DIV/0!</v>
      </c>
      <c r="H8" s="8"/>
    </row>
    <row r="9" spans="1:9" ht="15" customHeight="1" x14ac:dyDescent="0.25">
      <c r="A9" s="2"/>
      <c r="B9" s="5" t="s">
        <v>105</v>
      </c>
      <c r="C9" s="9"/>
      <c r="D9" s="5"/>
      <c r="E9" s="5"/>
      <c r="F9" s="7">
        <f t="shared" si="0"/>
        <v>0</v>
      </c>
      <c r="G9" s="7" t="e">
        <f t="shared" si="1"/>
        <v>#DIV/0!</v>
      </c>
      <c r="H9" s="8"/>
    </row>
    <row r="10" spans="1:9" ht="15" customHeight="1" x14ac:dyDescent="0.25">
      <c r="A10" s="2"/>
      <c r="B10" s="5" t="s">
        <v>106</v>
      </c>
      <c r="C10" s="6"/>
      <c r="D10" s="5"/>
      <c r="E10" s="5"/>
      <c r="F10" s="7">
        <f t="shared" si="0"/>
        <v>0</v>
      </c>
      <c r="G10" s="7" t="e">
        <f t="shared" si="1"/>
        <v>#DIV/0!</v>
      </c>
      <c r="H10" s="8"/>
    </row>
    <row r="11" spans="1:9" ht="15" customHeight="1" x14ac:dyDescent="0.25">
      <c r="A11" s="2"/>
      <c r="B11" s="5" t="s">
        <v>106</v>
      </c>
      <c r="C11" s="6"/>
      <c r="D11" s="5"/>
      <c r="E11" s="5"/>
      <c r="F11" s="7">
        <f t="shared" si="0"/>
        <v>0</v>
      </c>
      <c r="G11" s="7" t="e">
        <f t="shared" si="1"/>
        <v>#DIV/0!</v>
      </c>
      <c r="H11" s="8"/>
    </row>
    <row r="12" spans="1:9" ht="15" customHeight="1" x14ac:dyDescent="0.25">
      <c r="A12" s="2"/>
      <c r="B12" s="10" t="s">
        <v>107</v>
      </c>
      <c r="C12" s="5"/>
      <c r="D12" s="5"/>
      <c r="E12" s="5"/>
      <c r="F12" s="5"/>
      <c r="G12" s="11" t="e">
        <f>AVERAGE(G5:G11)</f>
        <v>#DIV/0!</v>
      </c>
      <c r="H12" s="5"/>
    </row>
    <row r="13" spans="1:9" ht="15" customHeight="1" x14ac:dyDescent="0.25">
      <c r="B13" s="10" t="s">
        <v>108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171</v>
      </c>
      <c r="E4" s="52" t="s">
        <v>181</v>
      </c>
      <c r="F4" s="52" t="s">
        <v>165</v>
      </c>
      <c r="G4" s="52" t="s">
        <v>186</v>
      </c>
      <c r="H4" s="52" t="s">
        <v>204</v>
      </c>
      <c r="J4" t="s">
        <v>186</v>
      </c>
      <c r="K4" t="s">
        <v>202</v>
      </c>
    </row>
    <row r="5" spans="2:11" x14ac:dyDescent="0.25">
      <c r="B5" s="51"/>
      <c r="C5" s="51"/>
      <c r="D5" s="52" t="s">
        <v>172</v>
      </c>
      <c r="E5" s="52" t="s">
        <v>179</v>
      </c>
      <c r="F5" s="52" t="s">
        <v>201</v>
      </c>
      <c r="G5" s="52" t="s">
        <v>187</v>
      </c>
      <c r="H5" s="52" t="s">
        <v>205</v>
      </c>
    </row>
    <row r="6" spans="2:11" x14ac:dyDescent="0.25">
      <c r="B6" s="51"/>
      <c r="C6" s="51"/>
      <c r="D6" s="52" t="s">
        <v>173</v>
      </c>
      <c r="E6" s="52" t="s">
        <v>180</v>
      </c>
      <c r="F6" s="52" t="s">
        <v>202</v>
      </c>
      <c r="G6" s="52" t="s">
        <v>188</v>
      </c>
      <c r="H6" s="52" t="s">
        <v>218</v>
      </c>
    </row>
    <row r="7" spans="2:11" x14ac:dyDescent="0.25">
      <c r="B7" s="51"/>
      <c r="C7" s="51"/>
      <c r="D7" s="52" t="s">
        <v>174</v>
      </c>
      <c r="E7" s="52" t="s">
        <v>182</v>
      </c>
      <c r="F7" s="52" t="s">
        <v>203</v>
      </c>
      <c r="G7" s="52" t="s">
        <v>189</v>
      </c>
      <c r="H7" s="52" t="s">
        <v>206</v>
      </c>
    </row>
    <row r="8" spans="2:11" x14ac:dyDescent="0.25">
      <c r="B8" s="51"/>
      <c r="C8" s="51"/>
      <c r="D8" s="52" t="s">
        <v>175</v>
      </c>
      <c r="E8" s="52" t="s">
        <v>183</v>
      </c>
      <c r="F8" s="52"/>
      <c r="G8" s="52" t="s">
        <v>190</v>
      </c>
      <c r="H8" s="52" t="s">
        <v>207</v>
      </c>
    </row>
    <row r="9" spans="2:11" x14ac:dyDescent="0.25">
      <c r="B9" s="51"/>
      <c r="C9" s="51"/>
      <c r="D9" s="52" t="s">
        <v>176</v>
      </c>
      <c r="E9" s="52" t="s">
        <v>181</v>
      </c>
      <c r="F9" s="52"/>
      <c r="G9" s="52" t="s">
        <v>191</v>
      </c>
      <c r="H9" s="52" t="s">
        <v>208</v>
      </c>
    </row>
    <row r="10" spans="2:11" x14ac:dyDescent="0.25">
      <c r="B10" s="51"/>
      <c r="C10" s="51"/>
      <c r="D10" s="52" t="s">
        <v>177</v>
      </c>
      <c r="E10" s="52" t="s">
        <v>184</v>
      </c>
      <c r="F10" s="52"/>
      <c r="G10" s="52" t="s">
        <v>192</v>
      </c>
      <c r="H10" s="52" t="s">
        <v>209</v>
      </c>
    </row>
    <row r="11" spans="2:11" x14ac:dyDescent="0.25">
      <c r="B11" s="51"/>
      <c r="C11" s="51"/>
      <c r="D11" s="52" t="s">
        <v>178</v>
      </c>
      <c r="E11" s="52" t="s">
        <v>185</v>
      </c>
      <c r="F11" s="52"/>
      <c r="G11" s="52" t="s">
        <v>193</v>
      </c>
      <c r="H11" s="52" t="s">
        <v>210</v>
      </c>
    </row>
    <row r="12" spans="2:11" x14ac:dyDescent="0.25">
      <c r="B12" s="51"/>
      <c r="C12" s="51"/>
      <c r="D12" s="52"/>
      <c r="E12" s="52"/>
      <c r="F12" s="52"/>
      <c r="G12" s="52" t="s">
        <v>194</v>
      </c>
      <c r="H12" s="52" t="s">
        <v>211</v>
      </c>
    </row>
    <row r="13" spans="2:11" x14ac:dyDescent="0.25">
      <c r="B13" s="51"/>
      <c r="C13" s="51"/>
      <c r="D13" s="52"/>
      <c r="E13" s="52"/>
      <c r="F13" s="52"/>
      <c r="G13" s="52" t="s">
        <v>195</v>
      </c>
      <c r="H13" s="52" t="s">
        <v>212</v>
      </c>
    </row>
    <row r="14" spans="2:11" x14ac:dyDescent="0.25">
      <c r="B14" s="51"/>
      <c r="C14" s="51"/>
      <c r="D14" s="52"/>
      <c r="E14" s="52"/>
      <c r="F14" s="52"/>
      <c r="G14" s="52" t="s">
        <v>196</v>
      </c>
      <c r="H14" s="52" t="s">
        <v>213</v>
      </c>
    </row>
    <row r="15" spans="2:11" x14ac:dyDescent="0.25">
      <c r="B15" s="51"/>
      <c r="C15" s="51"/>
      <c r="D15" s="52"/>
      <c r="E15" s="52"/>
      <c r="F15" s="52"/>
      <c r="G15" s="52" t="s">
        <v>197</v>
      </c>
      <c r="H15" s="52" t="s">
        <v>214</v>
      </c>
    </row>
    <row r="16" spans="2:11" x14ac:dyDescent="0.25">
      <c r="B16" s="51"/>
      <c r="C16" s="51"/>
      <c r="D16" s="52"/>
      <c r="E16" s="52"/>
      <c r="F16" s="52"/>
      <c r="G16" s="52" t="s">
        <v>198</v>
      </c>
      <c r="H16" s="52" t="s">
        <v>215</v>
      </c>
    </row>
    <row r="17" spans="2:8" x14ac:dyDescent="0.25">
      <c r="B17" s="51"/>
      <c r="C17" s="51"/>
      <c r="D17" s="52"/>
      <c r="E17" s="52"/>
      <c r="F17" s="52"/>
      <c r="G17" s="52" t="s">
        <v>199</v>
      </c>
      <c r="H17" s="52" t="s">
        <v>216</v>
      </c>
    </row>
    <row r="18" spans="2:8" x14ac:dyDescent="0.25">
      <c r="B18" s="51"/>
      <c r="C18" s="51"/>
      <c r="D18" s="52"/>
      <c r="E18" s="52"/>
      <c r="F18" s="52"/>
      <c r="G18" s="52" t="s">
        <v>200</v>
      </c>
      <c r="H18" s="52" t="s">
        <v>217</v>
      </c>
    </row>
    <row r="24" spans="2:8" x14ac:dyDescent="0.25">
      <c r="C24" t="s">
        <v>162</v>
      </c>
    </row>
    <row r="25" spans="2:8" x14ac:dyDescent="0.25">
      <c r="C25" t="s">
        <v>219</v>
      </c>
    </row>
    <row r="26" spans="2:8" x14ac:dyDescent="0.25">
      <c r="C26" t="s">
        <v>220</v>
      </c>
    </row>
    <row r="27" spans="2:8" x14ac:dyDescent="0.25">
      <c r="C27" t="s">
        <v>221</v>
      </c>
    </row>
    <row r="28" spans="2:8" x14ac:dyDescent="0.25">
      <c r="C28" t="s">
        <v>222</v>
      </c>
    </row>
    <row r="29" spans="2:8" x14ac:dyDescent="0.25">
      <c r="C29" t="s">
        <v>223</v>
      </c>
    </row>
    <row r="30" spans="2:8" x14ac:dyDescent="0.25">
      <c r="C30" t="s">
        <v>162</v>
      </c>
    </row>
    <row r="33" spans="3:11" x14ac:dyDescent="0.25">
      <c r="J33">
        <v>1</v>
      </c>
      <c r="K33">
        <v>2</v>
      </c>
    </row>
    <row r="34" spans="3:11" x14ac:dyDescent="0.25">
      <c r="C34" s="54" t="s">
        <v>228</v>
      </c>
      <c r="D34" s="52" t="s">
        <v>226</v>
      </c>
      <c r="E34" s="52" t="s">
        <v>231</v>
      </c>
      <c r="F34" s="52" t="s">
        <v>229</v>
      </c>
      <c r="G34" s="52" t="s">
        <v>230</v>
      </c>
      <c r="H34" s="52" t="s">
        <v>232</v>
      </c>
      <c r="J34" t="s">
        <v>186</v>
      </c>
      <c r="K34" t="s">
        <v>202</v>
      </c>
    </row>
    <row r="35" spans="3:11" x14ac:dyDescent="0.25">
      <c r="C35" s="51" t="s">
        <v>227</v>
      </c>
      <c r="D35" s="52" t="s">
        <v>163</v>
      </c>
      <c r="E35" s="52" t="s">
        <v>236</v>
      </c>
      <c r="F35" s="52" t="s">
        <v>238</v>
      </c>
      <c r="G35" s="52" t="s">
        <v>240</v>
      </c>
      <c r="H35" s="52"/>
    </row>
    <row r="36" spans="3:11" x14ac:dyDescent="0.25">
      <c r="C36" s="51"/>
      <c r="D36" s="52" t="s">
        <v>233</v>
      </c>
      <c r="E36" s="52" t="s">
        <v>237</v>
      </c>
      <c r="F36" s="52" t="s">
        <v>239</v>
      </c>
      <c r="G36" s="52" t="s">
        <v>241</v>
      </c>
      <c r="H36" s="52"/>
    </row>
    <row r="37" spans="3:11" x14ac:dyDescent="0.25">
      <c r="C37" s="51"/>
      <c r="D37" s="52" t="s">
        <v>234</v>
      </c>
      <c r="E37" s="52"/>
      <c r="F37" s="52"/>
      <c r="G37" s="52" t="s">
        <v>242</v>
      </c>
      <c r="H37" s="52"/>
    </row>
    <row r="38" spans="3:11" x14ac:dyDescent="0.25">
      <c r="C38" s="51"/>
      <c r="D38" s="52" t="s">
        <v>235</v>
      </c>
      <c r="E38" s="52"/>
      <c r="F38" s="52"/>
      <c r="G38" s="52" t="s">
        <v>242</v>
      </c>
      <c r="H38" s="52"/>
    </row>
    <row r="39" spans="3:11" x14ac:dyDescent="0.25">
      <c r="C39" s="51"/>
      <c r="D39" s="52"/>
      <c r="E39" s="52"/>
      <c r="F39" s="52"/>
      <c r="G39" s="52" t="s">
        <v>243</v>
      </c>
      <c r="H39" s="52"/>
    </row>
    <row r="40" spans="3:11" x14ac:dyDescent="0.25">
      <c r="C40" s="51"/>
      <c r="D40" s="52"/>
      <c r="E40" s="52"/>
      <c r="F40" s="52"/>
      <c r="G40" s="52" t="s">
        <v>244</v>
      </c>
      <c r="H40" s="52"/>
    </row>
    <row r="41" spans="3:11" x14ac:dyDescent="0.25">
      <c r="C41" s="51"/>
      <c r="D41" s="52"/>
      <c r="E41" s="52"/>
      <c r="F41" s="52"/>
      <c r="G41" s="52"/>
      <c r="H41" s="52"/>
    </row>
    <row r="43" spans="3:11" x14ac:dyDescent="0.25">
      <c r="C43" t="s">
        <v>245</v>
      </c>
    </row>
    <row r="44" spans="3:11" x14ac:dyDescent="0.25">
      <c r="C44" t="s">
        <v>165</v>
      </c>
      <c r="D44" t="s">
        <v>246</v>
      </c>
    </row>
    <row r="45" spans="3:11" x14ac:dyDescent="0.25">
      <c r="D45" t="s">
        <v>247</v>
      </c>
    </row>
    <row r="46" spans="3:11" x14ac:dyDescent="0.25">
      <c r="D46" t="s">
        <v>248</v>
      </c>
    </row>
    <row r="47" spans="3:11" x14ac:dyDescent="0.25">
      <c r="D47" t="s">
        <v>249</v>
      </c>
    </row>
    <row r="48" spans="3:11" x14ac:dyDescent="0.25">
      <c r="D48" t="s">
        <v>250</v>
      </c>
    </row>
    <row r="49" spans="3:4" x14ac:dyDescent="0.25">
      <c r="C49" t="s">
        <v>171</v>
      </c>
      <c r="D49" t="s">
        <v>251</v>
      </c>
    </row>
    <row r="50" spans="3:4" x14ac:dyDescent="0.25">
      <c r="D50" t="s">
        <v>252</v>
      </c>
    </row>
    <row r="51" spans="3:4" x14ac:dyDescent="0.25">
      <c r="D51" t="s">
        <v>253</v>
      </c>
    </row>
    <row r="52" spans="3:4" x14ac:dyDescent="0.25">
      <c r="D52" t="s">
        <v>256</v>
      </c>
    </row>
    <row r="53" spans="3:4" x14ac:dyDescent="0.25">
      <c r="D53" t="s">
        <v>254</v>
      </c>
    </row>
    <row r="54" spans="3:4" x14ac:dyDescent="0.25">
      <c r="D54" t="s">
        <v>255</v>
      </c>
    </row>
    <row r="55" spans="3:4" x14ac:dyDescent="0.25">
      <c r="D55" t="s">
        <v>257</v>
      </c>
    </row>
    <row r="56" spans="3:4" x14ac:dyDescent="0.25">
      <c r="D56" t="s">
        <v>258</v>
      </c>
    </row>
    <row r="57" spans="3:4" x14ac:dyDescent="0.25">
      <c r="D57" t="s">
        <v>259</v>
      </c>
    </row>
    <row r="58" spans="3:4" x14ac:dyDescent="0.25">
      <c r="D58" t="s">
        <v>261</v>
      </c>
    </row>
    <row r="59" spans="3:4" x14ac:dyDescent="0.25">
      <c r="D59" t="s">
        <v>270</v>
      </c>
    </row>
    <row r="60" spans="3:4" x14ac:dyDescent="0.25">
      <c r="C60" t="s">
        <v>186</v>
      </c>
      <c r="D60" t="s">
        <v>262</v>
      </c>
    </row>
    <row r="61" spans="3:4" x14ac:dyDescent="0.25">
      <c r="D61" t="s">
        <v>260</v>
      </c>
    </row>
    <row r="62" spans="3:4" x14ac:dyDescent="0.25">
      <c r="D62" t="s">
        <v>250</v>
      </c>
    </row>
    <row r="63" spans="3:4" x14ac:dyDescent="0.25">
      <c r="D63" t="s">
        <v>263</v>
      </c>
    </row>
    <row r="64" spans="3:4" x14ac:dyDescent="0.25">
      <c r="D64" t="s">
        <v>264</v>
      </c>
    </row>
    <row r="65" spans="3:4" x14ac:dyDescent="0.25">
      <c r="D65" t="s">
        <v>265</v>
      </c>
    </row>
    <row r="66" spans="3:4" x14ac:dyDescent="0.25">
      <c r="D66" t="s">
        <v>266</v>
      </c>
    </row>
    <row r="67" spans="3:4" x14ac:dyDescent="0.25">
      <c r="C67" t="s">
        <v>181</v>
      </c>
      <c r="D67" t="s">
        <v>267</v>
      </c>
    </row>
    <row r="68" spans="3:4" x14ac:dyDescent="0.25">
      <c r="D68" t="s">
        <v>268</v>
      </c>
    </row>
    <row r="69" spans="3:4" x14ac:dyDescent="0.25">
      <c r="D69" t="s">
        <v>269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42578125" customWidth="1"/>
  </cols>
  <sheetData>
    <row r="2" spans="2:3" ht="15" customHeight="1" x14ac:dyDescent="0.25">
      <c r="B2" s="55">
        <v>1</v>
      </c>
      <c r="C2" s="57" t="s">
        <v>275</v>
      </c>
    </row>
    <row r="3" spans="2:3" x14ac:dyDescent="0.25">
      <c r="B3" s="55">
        <v>2</v>
      </c>
      <c r="C3" s="56" t="s">
        <v>276</v>
      </c>
    </row>
    <row r="4" spans="2:3" x14ac:dyDescent="0.25">
      <c r="B4" s="55">
        <v>3</v>
      </c>
      <c r="C4" s="55" t="s">
        <v>277</v>
      </c>
    </row>
    <row r="5" spans="2:3" x14ac:dyDescent="0.25">
      <c r="B5" s="55">
        <v>4</v>
      </c>
      <c r="C5" s="56" t="s">
        <v>278</v>
      </c>
    </row>
    <row r="6" spans="2:3" x14ac:dyDescent="0.25">
      <c r="B6" s="55">
        <v>5</v>
      </c>
      <c r="C6" s="55" t="s">
        <v>279</v>
      </c>
    </row>
    <row r="7" spans="2:3" ht="30" x14ac:dyDescent="0.25">
      <c r="B7" s="55">
        <v>6</v>
      </c>
      <c r="C7" s="56" t="s">
        <v>280</v>
      </c>
    </row>
    <row r="8" spans="2:3" ht="75" x14ac:dyDescent="0.25">
      <c r="B8" s="55">
        <v>7</v>
      </c>
      <c r="C8" s="56" t="s">
        <v>281</v>
      </c>
    </row>
    <row r="9" spans="2:3" x14ac:dyDescent="0.25">
      <c r="B9" s="55">
        <v>8</v>
      </c>
      <c r="C9" s="55" t="s">
        <v>282</v>
      </c>
    </row>
    <row r="10" spans="2:3" x14ac:dyDescent="0.25">
      <c r="B10" s="55">
        <v>9</v>
      </c>
      <c r="C10" s="55" t="s">
        <v>283</v>
      </c>
    </row>
    <row r="11" spans="2:3" x14ac:dyDescent="0.25">
      <c r="B11" s="55">
        <v>10</v>
      </c>
      <c r="C11" s="55" t="s">
        <v>284</v>
      </c>
    </row>
    <row r="12" spans="2:3" x14ac:dyDescent="0.25">
      <c r="B12" s="55">
        <v>11</v>
      </c>
      <c r="C12" s="55" t="s">
        <v>285</v>
      </c>
    </row>
    <row r="13" spans="2:3" x14ac:dyDescent="0.25">
      <c r="B13" s="55">
        <v>12</v>
      </c>
      <c r="C13" s="55" t="s">
        <v>286</v>
      </c>
    </row>
    <row r="14" spans="2:3" x14ac:dyDescent="0.25">
      <c r="B14" s="55">
        <v>13</v>
      </c>
      <c r="C14" s="55" t="s">
        <v>287</v>
      </c>
    </row>
    <row r="15" spans="2:3" x14ac:dyDescent="0.25">
      <c r="B15" s="55">
        <v>14</v>
      </c>
      <c r="C15" s="55" t="s">
        <v>277</v>
      </c>
    </row>
    <row r="16" spans="2:3" x14ac:dyDescent="0.25">
      <c r="B16" s="55">
        <v>15</v>
      </c>
      <c r="C16" s="55" t="s">
        <v>289</v>
      </c>
    </row>
    <row r="17" spans="2:3" x14ac:dyDescent="0.25">
      <c r="B17" s="78">
        <v>16</v>
      </c>
      <c r="C17" s="61" t="s">
        <v>290</v>
      </c>
    </row>
    <row r="18" spans="2:3" x14ac:dyDescent="0.25">
      <c r="B18" s="60">
        <v>17</v>
      </c>
      <c r="C18" s="61" t="s">
        <v>291</v>
      </c>
    </row>
    <row r="19" spans="2:3" x14ac:dyDescent="0.25">
      <c r="B19" s="59">
        <v>18</v>
      </c>
      <c r="C19" s="55" t="s">
        <v>292</v>
      </c>
    </row>
    <row r="20" spans="2:3" x14ac:dyDescent="0.25">
      <c r="B20" s="60">
        <v>19</v>
      </c>
      <c r="C20" s="55" t="s">
        <v>328</v>
      </c>
    </row>
    <row r="21" spans="2:3" x14ac:dyDescent="0.25">
      <c r="B21" s="55">
        <v>20</v>
      </c>
      <c r="C21" s="55" t="s">
        <v>293</v>
      </c>
    </row>
    <row r="22" spans="2:3" x14ac:dyDescent="0.25">
      <c r="B22" s="60">
        <v>21</v>
      </c>
      <c r="C22" s="55" t="s">
        <v>292</v>
      </c>
    </row>
    <row r="23" spans="2:3" s="71" customFormat="1" ht="29.25" customHeight="1" x14ac:dyDescent="0.25">
      <c r="B23" s="70">
        <v>22</v>
      </c>
      <c r="C23" s="57" t="s">
        <v>320</v>
      </c>
    </row>
    <row r="24" spans="2:3" s="71" customFormat="1" ht="30.75" customHeight="1" x14ac:dyDescent="0.25">
      <c r="B24" s="72">
        <v>23</v>
      </c>
      <c r="C24" s="57" t="s">
        <v>321</v>
      </c>
    </row>
    <row r="25" spans="2:3" x14ac:dyDescent="0.25">
      <c r="B25" s="55">
        <v>24</v>
      </c>
      <c r="C25" s="55" t="s">
        <v>324</v>
      </c>
    </row>
    <row r="26" spans="2:3" x14ac:dyDescent="0.25">
      <c r="B26" s="60">
        <v>25</v>
      </c>
      <c r="C26" s="55" t="s">
        <v>322</v>
      </c>
    </row>
    <row r="27" spans="2:3" x14ac:dyDescent="0.25">
      <c r="B27" s="72">
        <v>26</v>
      </c>
      <c r="C27" s="55" t="s">
        <v>323</v>
      </c>
    </row>
    <row r="28" spans="2:3" x14ac:dyDescent="0.25">
      <c r="B28" s="60">
        <v>27</v>
      </c>
      <c r="C28" s="55" t="s">
        <v>325</v>
      </c>
    </row>
    <row r="29" spans="2:3" ht="60" x14ac:dyDescent="0.25">
      <c r="B29" s="77">
        <v>28</v>
      </c>
      <c r="C29" s="56" t="s">
        <v>326</v>
      </c>
    </row>
    <row r="30" spans="2:3" x14ac:dyDescent="0.25">
      <c r="B30" s="72">
        <v>29</v>
      </c>
      <c r="C30" s="55" t="s">
        <v>327</v>
      </c>
    </row>
    <row r="31" spans="2:3" ht="30" x14ac:dyDescent="0.25">
      <c r="B31" s="72">
        <v>30</v>
      </c>
      <c r="C31" s="56" t="s">
        <v>329</v>
      </c>
    </row>
    <row r="32" spans="2:3" x14ac:dyDescent="0.25">
      <c r="B32" s="72">
        <v>31</v>
      </c>
      <c r="C32" s="55" t="s">
        <v>330</v>
      </c>
    </row>
    <row r="33" spans="2:3" x14ac:dyDescent="0.25">
      <c r="B33" s="72">
        <v>32</v>
      </c>
      <c r="C33" s="55" t="s">
        <v>331</v>
      </c>
    </row>
    <row r="34" spans="2:3" ht="36.75" customHeight="1" x14ac:dyDescent="0.25">
      <c r="B34" s="72">
        <v>33</v>
      </c>
      <c r="C34" s="61" t="s">
        <v>332</v>
      </c>
    </row>
    <row r="35" spans="2:3" x14ac:dyDescent="0.25">
      <c r="B35" s="70">
        <v>34</v>
      </c>
      <c r="C35" s="55" t="s">
        <v>340</v>
      </c>
    </row>
    <row r="36" spans="2:3" ht="60" x14ac:dyDescent="0.25">
      <c r="B36" s="70">
        <v>35</v>
      </c>
      <c r="C36" s="56" t="s">
        <v>343</v>
      </c>
    </row>
    <row r="37" spans="2:3" x14ac:dyDescent="0.25">
      <c r="B37" s="55"/>
      <c r="C37" s="55"/>
    </row>
    <row r="38" spans="2:3" x14ac:dyDescent="0.25">
      <c r="B38" s="55"/>
      <c r="C38" s="55"/>
    </row>
    <row r="39" spans="2:3" x14ac:dyDescent="0.25">
      <c r="B39" s="55"/>
      <c r="C39" s="55"/>
    </row>
    <row r="40" spans="2:3" x14ac:dyDescent="0.25">
      <c r="B40" s="55"/>
      <c r="C40" s="55"/>
    </row>
    <row r="41" spans="2:3" x14ac:dyDescent="0.25">
      <c r="B41" s="55"/>
      <c r="C41" s="55"/>
    </row>
    <row r="42" spans="2:3" x14ac:dyDescent="0.25">
      <c r="B42" s="55"/>
      <c r="C42" s="55"/>
    </row>
    <row r="43" spans="2:3" x14ac:dyDescent="0.25">
      <c r="B43" s="55"/>
      <c r="C43" s="55"/>
    </row>
    <row r="44" spans="2:3" x14ac:dyDescent="0.25">
      <c r="B44" s="55"/>
      <c r="C44"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1"/>
    <col min="2" max="2" width="12.42578125" style="51" customWidth="1"/>
    <col min="3" max="16384" width="9.140625" style="51"/>
  </cols>
  <sheetData>
    <row r="2" spans="1:12" x14ac:dyDescent="0.25">
      <c r="B2" s="64" t="s">
        <v>294</v>
      </c>
      <c r="C2" s="254"/>
      <c r="D2" s="254"/>
    </row>
    <row r="3" spans="1:12" x14ac:dyDescent="0.25">
      <c r="D3" s="65"/>
      <c r="E3" s="65"/>
      <c r="F3" s="65"/>
      <c r="G3" s="65"/>
      <c r="H3" s="65"/>
      <c r="I3" s="65"/>
    </row>
    <row r="4" spans="1:12" x14ac:dyDescent="0.25">
      <c r="A4" s="64" t="s">
        <v>64</v>
      </c>
      <c r="B4" s="66" t="s">
        <v>295</v>
      </c>
      <c r="C4" s="255" t="s">
        <v>296</v>
      </c>
      <c r="D4" s="255"/>
      <c r="E4" s="255"/>
      <c r="F4" s="66"/>
      <c r="G4" s="256" t="s">
        <v>297</v>
      </c>
      <c r="H4" s="256"/>
      <c r="I4" s="256"/>
      <c r="J4" s="257" t="s">
        <v>298</v>
      </c>
      <c r="K4" s="257"/>
      <c r="L4" s="257"/>
    </row>
    <row r="5" spans="1:12" x14ac:dyDescent="0.25">
      <c r="A5" s="64"/>
      <c r="B5" s="66"/>
      <c r="C5" s="66" t="s">
        <v>299</v>
      </c>
      <c r="D5" s="66" t="s">
        <v>300</v>
      </c>
      <c r="E5" s="66" t="s">
        <v>301</v>
      </c>
      <c r="F5" s="66"/>
      <c r="G5" s="66" t="s">
        <v>299</v>
      </c>
      <c r="H5" s="66" t="s">
        <v>300</v>
      </c>
      <c r="I5" s="66" t="s">
        <v>301</v>
      </c>
      <c r="J5" s="66" t="s">
        <v>299</v>
      </c>
      <c r="K5" s="66" t="s">
        <v>300</v>
      </c>
      <c r="L5" s="66" t="s">
        <v>301</v>
      </c>
    </row>
    <row r="6" spans="1:12" x14ac:dyDescent="0.25">
      <c r="B6" s="52" t="s">
        <v>302</v>
      </c>
      <c r="C6" s="52"/>
      <c r="D6" s="52"/>
      <c r="E6" s="52">
        <f>C6*D6</f>
        <v>0</v>
      </c>
      <c r="F6" s="52" t="s">
        <v>319</v>
      </c>
      <c r="G6" s="52"/>
      <c r="H6" s="52"/>
      <c r="I6" s="52">
        <f>G6*H6</f>
        <v>0</v>
      </c>
      <c r="J6" s="52"/>
      <c r="K6" s="52"/>
      <c r="L6" s="52">
        <f>J6*K6</f>
        <v>0</v>
      </c>
    </row>
    <row r="7" spans="1:12" x14ac:dyDescent="0.25">
      <c r="B7" s="52"/>
      <c r="C7" s="52"/>
      <c r="D7" s="52"/>
      <c r="E7" s="52">
        <f t="shared" ref="E7:E41" si="0">C7*D7</f>
        <v>0</v>
      </c>
      <c r="F7" s="52" t="s">
        <v>319</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303</v>
      </c>
      <c r="G9" s="52"/>
      <c r="H9" s="52"/>
      <c r="I9" s="52">
        <f t="shared" si="1"/>
        <v>0</v>
      </c>
      <c r="J9" s="52"/>
      <c r="K9" s="52"/>
      <c r="L9" s="52">
        <f t="shared" si="2"/>
        <v>0</v>
      </c>
    </row>
    <row r="10" spans="1:12" x14ac:dyDescent="0.25">
      <c r="B10" s="52" t="s">
        <v>304</v>
      </c>
      <c r="C10" s="52"/>
      <c r="D10" s="52"/>
      <c r="E10" s="52">
        <f t="shared" si="0"/>
        <v>0</v>
      </c>
      <c r="F10" s="52" t="s">
        <v>303</v>
      </c>
      <c r="G10" s="52"/>
      <c r="H10" s="52"/>
      <c r="I10" s="52">
        <f t="shared" si="1"/>
        <v>0</v>
      </c>
      <c r="J10" s="52"/>
      <c r="K10" s="52"/>
      <c r="L10" s="52">
        <f t="shared" si="2"/>
        <v>0</v>
      </c>
    </row>
    <row r="11" spans="1:12" x14ac:dyDescent="0.25">
      <c r="B11" s="52"/>
      <c r="C11" s="52"/>
      <c r="D11" s="52"/>
      <c r="E11" s="52">
        <f t="shared" si="0"/>
        <v>0</v>
      </c>
      <c r="F11" s="52" t="s">
        <v>305</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306</v>
      </c>
      <c r="C14" s="52"/>
      <c r="D14" s="52"/>
      <c r="E14" s="52">
        <f t="shared" si="0"/>
        <v>0</v>
      </c>
      <c r="F14" s="52" t="s">
        <v>303</v>
      </c>
      <c r="G14" s="52"/>
      <c r="H14" s="52"/>
      <c r="I14" s="52">
        <f t="shared" si="1"/>
        <v>0</v>
      </c>
      <c r="J14" s="52"/>
      <c r="K14" s="52"/>
      <c r="L14" s="52">
        <f t="shared" si="2"/>
        <v>0</v>
      </c>
    </row>
    <row r="15" spans="1:12" x14ac:dyDescent="0.25">
      <c r="B15" s="52"/>
      <c r="C15" s="52"/>
      <c r="D15" s="52"/>
      <c r="E15" s="52">
        <f t="shared" si="0"/>
        <v>0</v>
      </c>
      <c r="F15" s="52" t="s">
        <v>305</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307</v>
      </c>
      <c r="C18" s="52"/>
      <c r="D18" s="52"/>
      <c r="E18" s="52">
        <f t="shared" si="0"/>
        <v>0</v>
      </c>
      <c r="F18" s="52" t="s">
        <v>303</v>
      </c>
      <c r="G18" s="52"/>
      <c r="H18" s="52"/>
      <c r="I18" s="52">
        <f t="shared" si="1"/>
        <v>0</v>
      </c>
      <c r="J18" s="52"/>
      <c r="K18" s="52"/>
      <c r="L18" s="52">
        <f t="shared" si="2"/>
        <v>0</v>
      </c>
    </row>
    <row r="19" spans="2:12" x14ac:dyDescent="0.25">
      <c r="B19" s="52"/>
      <c r="C19" s="52"/>
      <c r="D19" s="52"/>
      <c r="E19" s="52">
        <f t="shared" si="0"/>
        <v>0</v>
      </c>
      <c r="F19" s="52" t="s">
        <v>305</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308</v>
      </c>
      <c r="C21" s="52"/>
      <c r="D21" s="52"/>
      <c r="E21" s="52">
        <f t="shared" si="0"/>
        <v>0</v>
      </c>
      <c r="F21" s="52" t="s">
        <v>303</v>
      </c>
      <c r="G21" s="52"/>
      <c r="H21" s="52"/>
      <c r="I21" s="52">
        <f t="shared" si="1"/>
        <v>0</v>
      </c>
      <c r="J21" s="52"/>
      <c r="K21" s="52"/>
      <c r="L21" s="52">
        <f t="shared" si="2"/>
        <v>0</v>
      </c>
    </row>
    <row r="22" spans="2:12" x14ac:dyDescent="0.25">
      <c r="B22" s="52"/>
      <c r="C22" s="52"/>
      <c r="D22" s="52"/>
      <c r="E22" s="52">
        <f t="shared" si="0"/>
        <v>0</v>
      </c>
      <c r="F22" s="52" t="s">
        <v>305</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309</v>
      </c>
      <c r="C24" s="52"/>
      <c r="D24" s="52"/>
      <c r="E24" s="52">
        <f t="shared" si="0"/>
        <v>0</v>
      </c>
      <c r="F24" s="52" t="s">
        <v>310</v>
      </c>
      <c r="G24" s="52"/>
      <c r="H24" s="52"/>
      <c r="I24" s="52">
        <f t="shared" si="1"/>
        <v>0</v>
      </c>
      <c r="J24" s="52"/>
      <c r="K24" s="52"/>
      <c r="L24" s="52">
        <f t="shared" si="2"/>
        <v>0</v>
      </c>
    </row>
    <row r="25" spans="2:12" x14ac:dyDescent="0.25">
      <c r="B25" s="52"/>
      <c r="C25" s="52"/>
      <c r="D25" s="52"/>
      <c r="E25" s="52">
        <f>C25*D25</f>
        <v>0</v>
      </c>
      <c r="F25" s="52" t="s">
        <v>310</v>
      </c>
      <c r="G25" s="52"/>
      <c r="H25" s="52"/>
      <c r="I25" s="52">
        <f>G25*H25</f>
        <v>0</v>
      </c>
      <c r="J25" s="52"/>
      <c r="K25" s="52"/>
      <c r="L25" s="52">
        <f>J25*K25</f>
        <v>0</v>
      </c>
    </row>
    <row r="26" spans="2:12" x14ac:dyDescent="0.25">
      <c r="B26" s="52"/>
      <c r="C26" s="52"/>
      <c r="D26" s="52"/>
      <c r="E26" s="52">
        <f>C26*D26</f>
        <v>0</v>
      </c>
      <c r="F26" s="52" t="s">
        <v>310</v>
      </c>
      <c r="G26" s="52"/>
      <c r="H26" s="52"/>
      <c r="I26" s="52">
        <f>G26*H26</f>
        <v>0</v>
      </c>
      <c r="J26" s="52"/>
      <c r="K26" s="52"/>
      <c r="L26" s="52">
        <f>J26*K26</f>
        <v>0</v>
      </c>
    </row>
    <row r="27" spans="2:12" x14ac:dyDescent="0.25">
      <c r="B27" s="52"/>
      <c r="C27" s="52"/>
      <c r="D27" s="52"/>
      <c r="E27" s="52">
        <f>C27*D27</f>
        <v>0</v>
      </c>
      <c r="F27" s="52" t="s">
        <v>310</v>
      </c>
      <c r="G27" s="52"/>
      <c r="H27" s="52"/>
      <c r="I27" s="52">
        <f>G27*H27</f>
        <v>0</v>
      </c>
      <c r="J27" s="52"/>
      <c r="K27" s="52"/>
      <c r="L27" s="52">
        <f>J27*K27</f>
        <v>0</v>
      </c>
    </row>
    <row r="28" spans="2:12" x14ac:dyDescent="0.25">
      <c r="B28" s="52" t="s">
        <v>311</v>
      </c>
      <c r="C28" s="52"/>
      <c r="D28" s="52"/>
      <c r="E28" s="52">
        <f t="shared" si="0"/>
        <v>0</v>
      </c>
      <c r="F28" s="52" t="s">
        <v>310</v>
      </c>
      <c r="G28" s="52"/>
      <c r="H28" s="52"/>
      <c r="I28" s="52">
        <f t="shared" si="1"/>
        <v>0</v>
      </c>
      <c r="J28" s="52"/>
      <c r="K28" s="52"/>
      <c r="L28" s="52">
        <f t="shared" si="2"/>
        <v>0</v>
      </c>
    </row>
    <row r="29" spans="2:12" x14ac:dyDescent="0.25">
      <c r="B29" s="52" t="s">
        <v>312</v>
      </c>
      <c r="C29" s="52"/>
      <c r="D29" s="52"/>
      <c r="E29" s="52">
        <f t="shared" si="0"/>
        <v>0</v>
      </c>
      <c r="F29" s="52" t="s">
        <v>310</v>
      </c>
      <c r="G29" s="52"/>
      <c r="H29" s="52"/>
      <c r="I29" s="52">
        <f t="shared" si="1"/>
        <v>0</v>
      </c>
      <c r="J29" s="52"/>
      <c r="K29" s="52"/>
      <c r="L29" s="52">
        <f t="shared" si="2"/>
        <v>0</v>
      </c>
    </row>
    <row r="30" spans="2:12" x14ac:dyDescent="0.25">
      <c r="B30" s="52" t="s">
        <v>316</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313</v>
      </c>
      <c r="C33" s="52"/>
      <c r="D33" s="52"/>
      <c r="E33" s="52">
        <f t="shared" si="0"/>
        <v>0</v>
      </c>
      <c r="F33" s="52"/>
      <c r="G33" s="52"/>
      <c r="H33" s="52"/>
      <c r="I33" s="52">
        <f t="shared" si="1"/>
        <v>0</v>
      </c>
      <c r="J33" s="52"/>
      <c r="K33" s="52"/>
      <c r="L33" s="52">
        <f t="shared" si="2"/>
        <v>0</v>
      </c>
    </row>
    <row r="34" spans="2:12" x14ac:dyDescent="0.25">
      <c r="B34" s="52" t="s">
        <v>317</v>
      </c>
      <c r="C34" s="52"/>
      <c r="D34" s="52"/>
      <c r="E34" s="52">
        <f t="shared" si="0"/>
        <v>0</v>
      </c>
      <c r="F34" s="52"/>
      <c r="G34" s="52"/>
      <c r="H34" s="52"/>
      <c r="I34" s="52">
        <f t="shared" si="1"/>
        <v>0</v>
      </c>
      <c r="J34" s="52"/>
      <c r="K34" s="52"/>
      <c r="L34" s="52">
        <f t="shared" si="2"/>
        <v>0</v>
      </c>
    </row>
    <row r="35" spans="2:12" x14ac:dyDescent="0.25">
      <c r="B35" s="52" t="s">
        <v>314</v>
      </c>
      <c r="C35" s="52"/>
      <c r="D35" s="52"/>
      <c r="E35" s="52">
        <f t="shared" si="0"/>
        <v>0</v>
      </c>
      <c r="F35" s="52"/>
      <c r="G35" s="52"/>
      <c r="H35" s="52"/>
      <c r="I35" s="52">
        <f t="shared" si="1"/>
        <v>0</v>
      </c>
      <c r="J35" s="52"/>
      <c r="K35" s="52"/>
      <c r="L35" s="52">
        <f t="shared" si="2"/>
        <v>0</v>
      </c>
    </row>
    <row r="36" spans="2:12" x14ac:dyDescent="0.25">
      <c r="B36" s="52" t="s">
        <v>315</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318</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143</v>
      </c>
      <c r="C42" s="52"/>
      <c r="D42" s="52">
        <f>E42*10.764</f>
        <v>0</v>
      </c>
      <c r="E42" s="69">
        <f>SUM(E6:E41)</f>
        <v>0</v>
      </c>
      <c r="F42" s="52"/>
      <c r="G42" s="52"/>
      <c r="H42" s="52">
        <f>I42*10.764</f>
        <v>0</v>
      </c>
      <c r="I42" s="68">
        <f>SUM(I6:I41)</f>
        <v>0</v>
      </c>
      <c r="J42" s="52"/>
      <c r="K42" s="52">
        <f>L42*10.764</f>
        <v>0</v>
      </c>
      <c r="L42" s="67">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2025-09-14T13:04:02Z</cp:lastPrinted>
  <dcterms:created xsi:type="dcterms:W3CDTF">2019-07-16T09:29:46Z</dcterms:created>
  <dcterms:modified xsi:type="dcterms:W3CDTF">2025-09-14T13:05:01Z</dcterms:modified>
</cp:coreProperties>
</file>