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_FilterDatabase" localSheetId="0" hidden="1">Report!$A$209:$H$215</definedName>
    <definedName name="_xlnm.Print_Area" localSheetId="0">Report!$A$1:$H$458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3" i="1" l="1"/>
  <c r="K242" i="1"/>
  <c r="K243" i="1"/>
  <c r="K248" i="1"/>
  <c r="K253" i="1"/>
  <c r="K263" i="1"/>
  <c r="K273" i="1"/>
  <c r="K274" i="1"/>
  <c r="K282" i="1"/>
  <c r="K290" i="1"/>
  <c r="K299" i="1"/>
  <c r="L218" i="1" l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17" i="1"/>
  <c r="M217" i="1" s="1"/>
  <c r="I114" i="1"/>
  <c r="L146" i="1"/>
  <c r="L147" i="1"/>
  <c r="L228" i="1"/>
  <c r="L230" i="1"/>
  <c r="F209" i="1" l="1"/>
  <c r="M209" i="1"/>
  <c r="D209" i="1" l="1"/>
  <c r="N209" i="1" s="1"/>
  <c r="D158" i="1"/>
  <c r="I277" i="1" l="1"/>
  <c r="J278" i="1"/>
  <c r="I278" i="1"/>
  <c r="J258" i="1"/>
  <c r="I258" i="1"/>
  <c r="J244" i="1"/>
  <c r="I244" i="1"/>
  <c r="I235" i="1"/>
  <c r="I234" i="1"/>
  <c r="J232" i="1"/>
  <c r="J231" i="1"/>
  <c r="J230" i="1"/>
  <c r="J229" i="1"/>
  <c r="J228" i="1"/>
  <c r="J227" i="1"/>
  <c r="J226" i="1"/>
  <c r="I230" i="1"/>
  <c r="I229" i="1"/>
  <c r="I228" i="1"/>
  <c r="I227" i="1"/>
  <c r="I226" i="1"/>
  <c r="I225" i="1"/>
  <c r="J215" i="1"/>
  <c r="J212" i="1"/>
  <c r="I212" i="1"/>
  <c r="I215" i="1"/>
  <c r="I213" i="1"/>
  <c r="I209" i="1"/>
  <c r="K209" i="1"/>
  <c r="J209" i="1"/>
  <c r="L209" i="1" l="1"/>
  <c r="I188" i="1"/>
  <c r="I193" i="1"/>
  <c r="J160" i="1"/>
  <c r="I160" i="1"/>
  <c r="I149" i="1"/>
  <c r="I148" i="1"/>
  <c r="I147" i="1"/>
  <c r="I146" i="1"/>
  <c r="D146" i="1"/>
  <c r="D251" i="1" l="1"/>
  <c r="K251" i="1" s="1"/>
  <c r="D246" i="1"/>
  <c r="K246" i="1" s="1"/>
  <c r="D252" i="1"/>
  <c r="K252" i="1" s="1"/>
  <c r="D247" i="1"/>
  <c r="K247" i="1" s="1"/>
  <c r="D307" i="1" l="1"/>
  <c r="D306" i="1"/>
  <c r="D305" i="1"/>
  <c r="D304" i="1"/>
  <c r="D303" i="1"/>
  <c r="D302" i="1"/>
  <c r="D301" i="1"/>
  <c r="G300" i="1"/>
  <c r="D300" i="1"/>
  <c r="E298" i="1"/>
  <c r="D297" i="1"/>
  <c r="D296" i="1"/>
  <c r="D295" i="1"/>
  <c r="D294" i="1"/>
  <c r="D293" i="1"/>
  <c r="D292" i="1"/>
  <c r="D291" i="1"/>
  <c r="D298" i="1"/>
  <c r="A292" i="1"/>
  <c r="A293" i="1" s="1"/>
  <c r="A294" i="1" s="1"/>
  <c r="A295" i="1" s="1"/>
  <c r="A296" i="1" s="1"/>
  <c r="A297" i="1" s="1"/>
  <c r="A298" i="1" s="1"/>
  <c r="G291" i="1"/>
  <c r="D289" i="1"/>
  <c r="D288" i="1"/>
  <c r="D287" i="1"/>
  <c r="D286" i="1"/>
  <c r="D285" i="1"/>
  <c r="D284" i="1"/>
  <c r="A284" i="1"/>
  <c r="A285" i="1" s="1"/>
  <c r="A286" i="1" s="1"/>
  <c r="A287" i="1" s="1"/>
  <c r="A288" i="1" s="1"/>
  <c r="A289" i="1" s="1"/>
  <c r="G283" i="1"/>
  <c r="D283" i="1"/>
  <c r="D281" i="1"/>
  <c r="K281" i="1" s="1"/>
  <c r="D280" i="1"/>
  <c r="K280" i="1" s="1"/>
  <c r="D279" i="1"/>
  <c r="K279" i="1" s="1"/>
  <c r="D278" i="1"/>
  <c r="K278" i="1" s="1"/>
  <c r="D277" i="1"/>
  <c r="K277" i="1" s="1"/>
  <c r="D276" i="1"/>
  <c r="K276" i="1" s="1"/>
  <c r="D275" i="1"/>
  <c r="K275" i="1" s="1"/>
  <c r="A276" i="1"/>
  <c r="A277" i="1" s="1"/>
  <c r="A278" i="1" s="1"/>
  <c r="A279" i="1" s="1"/>
  <c r="A280" i="1" s="1"/>
  <c r="A281" i="1" s="1"/>
  <c r="G275" i="1"/>
  <c r="D272" i="1"/>
  <c r="D271" i="1"/>
  <c r="D267" i="1"/>
  <c r="D268" i="1"/>
  <c r="D269" i="1"/>
  <c r="D270" i="1"/>
  <c r="D266" i="1"/>
  <c r="D265" i="1"/>
  <c r="D264" i="1"/>
  <c r="G264" i="1"/>
  <c r="E260" i="1"/>
  <c r="E259" i="1"/>
  <c r="E258" i="1"/>
  <c r="E257" i="1"/>
  <c r="E256" i="1"/>
  <c r="D262" i="1"/>
  <c r="K262" i="1" s="1"/>
  <c r="D261" i="1"/>
  <c r="K261" i="1" s="1"/>
  <c r="D260" i="1"/>
  <c r="K260" i="1" s="1"/>
  <c r="D259" i="1"/>
  <c r="K259" i="1" s="1"/>
  <c r="D258" i="1"/>
  <c r="K258" i="1" s="1"/>
  <c r="D257" i="1"/>
  <c r="K257" i="1" s="1"/>
  <c r="D256" i="1"/>
  <c r="K256" i="1" s="1"/>
  <c r="D255" i="1"/>
  <c r="K255" i="1" s="1"/>
  <c r="D254" i="1"/>
  <c r="K254" i="1" s="1"/>
  <c r="A255" i="1"/>
  <c r="A256" i="1" s="1"/>
  <c r="A257" i="1" s="1"/>
  <c r="A258" i="1" s="1"/>
  <c r="A259" i="1" s="1"/>
  <c r="A260" i="1" s="1"/>
  <c r="A261" i="1" s="1"/>
  <c r="A262" i="1" s="1"/>
  <c r="G254" i="1"/>
  <c r="D250" i="1"/>
  <c r="K250" i="1" s="1"/>
  <c r="A250" i="1"/>
  <c r="A251" i="1" s="1"/>
  <c r="A252" i="1" s="1"/>
  <c r="G249" i="1"/>
  <c r="D249" i="1"/>
  <c r="K249" i="1" s="1"/>
  <c r="D245" i="1"/>
  <c r="K245" i="1" s="1"/>
  <c r="D244" i="1"/>
  <c r="K244" i="1" s="1"/>
  <c r="G244" i="1"/>
  <c r="A245" i="1"/>
  <c r="A246" i="1" s="1"/>
  <c r="A247" i="1" s="1"/>
  <c r="D241" i="1"/>
  <c r="K241" i="1" s="1"/>
  <c r="D240" i="1"/>
  <c r="K240" i="1" s="1"/>
  <c r="D239" i="1"/>
  <c r="K239" i="1" s="1"/>
  <c r="D238" i="1"/>
  <c r="K238" i="1" s="1"/>
  <c r="D237" i="1"/>
  <c r="K237" i="1" s="1"/>
  <c r="D236" i="1"/>
  <c r="K236" i="1" s="1"/>
  <c r="D235" i="1"/>
  <c r="K235" i="1" s="1"/>
  <c r="G234" i="1"/>
  <c r="D234" i="1"/>
  <c r="K234" i="1" s="1"/>
  <c r="E225" i="1"/>
  <c r="D232" i="1"/>
  <c r="K232" i="1" s="1"/>
  <c r="D231" i="1"/>
  <c r="K231" i="1" s="1"/>
  <c r="D230" i="1"/>
  <c r="K230" i="1" s="1"/>
  <c r="D229" i="1"/>
  <c r="K229" i="1" s="1"/>
  <c r="D228" i="1"/>
  <c r="K228" i="1" s="1"/>
  <c r="D227" i="1"/>
  <c r="K227" i="1" s="1"/>
  <c r="D226" i="1"/>
  <c r="K226" i="1" s="1"/>
  <c r="D225" i="1"/>
  <c r="K225" i="1" s="1"/>
  <c r="A226" i="1"/>
  <c r="A227" i="1" s="1"/>
  <c r="A228" i="1" s="1"/>
  <c r="A229" i="1" s="1"/>
  <c r="A230" i="1" s="1"/>
  <c r="A231" i="1" s="1"/>
  <c r="A232" i="1" s="1"/>
  <c r="G225" i="1"/>
  <c r="D223" i="1"/>
  <c r="K223" i="1" s="1"/>
  <c r="D222" i="1"/>
  <c r="K222" i="1" s="1"/>
  <c r="D221" i="1"/>
  <c r="K221" i="1" s="1"/>
  <c r="D220" i="1"/>
  <c r="K220" i="1" s="1"/>
  <c r="D219" i="1"/>
  <c r="K219" i="1" s="1"/>
  <c r="D218" i="1"/>
  <c r="K218" i="1" s="1"/>
  <c r="A218" i="1"/>
  <c r="A219" i="1" s="1"/>
  <c r="A220" i="1" s="1"/>
  <c r="A221" i="1" s="1"/>
  <c r="A222" i="1" s="1"/>
  <c r="A223" i="1" s="1"/>
  <c r="G217" i="1"/>
  <c r="D217" i="1"/>
  <c r="K217" i="1" s="1"/>
  <c r="D215" i="1"/>
  <c r="N215" i="1" s="1"/>
  <c r="D214" i="1"/>
  <c r="N214" i="1" s="1"/>
  <c r="D213" i="1"/>
  <c r="N213" i="1" s="1"/>
  <c r="D212" i="1"/>
  <c r="N212" i="1" s="1"/>
  <c r="D211" i="1"/>
  <c r="N211" i="1" s="1"/>
  <c r="D210" i="1"/>
  <c r="D202" i="1"/>
  <c r="D201" i="1"/>
  <c r="D200" i="1"/>
  <c r="A201" i="1"/>
  <c r="A202" i="1" s="1"/>
  <c r="A203" i="1" s="1"/>
  <c r="G200" i="1"/>
  <c r="D183" i="1"/>
  <c r="D182" i="1"/>
  <c r="D181" i="1"/>
  <c r="D180" i="1"/>
  <c r="D179" i="1"/>
  <c r="D178" i="1"/>
  <c r="A179" i="1"/>
  <c r="A180" i="1" s="1"/>
  <c r="A181" i="1" s="1"/>
  <c r="A182" i="1" s="1"/>
  <c r="A183" i="1" s="1"/>
  <c r="G178" i="1"/>
  <c r="D155" i="1"/>
  <c r="D154" i="1"/>
  <c r="A155" i="1"/>
  <c r="G154" i="1"/>
  <c r="D198" i="1"/>
  <c r="D197" i="1"/>
  <c r="D196" i="1"/>
  <c r="D195" i="1"/>
  <c r="G195" i="1"/>
  <c r="A196" i="1"/>
  <c r="A197" i="1" s="1"/>
  <c r="A198" i="1" s="1"/>
  <c r="G186" i="1"/>
  <c r="E193" i="1"/>
  <c r="E192" i="1"/>
  <c r="E191" i="1"/>
  <c r="E190" i="1"/>
  <c r="E189" i="1"/>
  <c r="E188" i="1"/>
  <c r="E187" i="1"/>
  <c r="E186" i="1"/>
  <c r="D193" i="1"/>
  <c r="D192" i="1"/>
  <c r="D191" i="1"/>
  <c r="D190" i="1"/>
  <c r="D189" i="1"/>
  <c r="D188" i="1"/>
  <c r="D187" i="1"/>
  <c r="D186" i="1"/>
  <c r="A187" i="1"/>
  <c r="A188" i="1" s="1"/>
  <c r="A189" i="1" s="1"/>
  <c r="A190" i="1" s="1"/>
  <c r="A191" i="1" s="1"/>
  <c r="A192" i="1" s="1"/>
  <c r="A193" i="1" s="1"/>
  <c r="G171" i="1"/>
  <c r="D176" i="1"/>
  <c r="D175" i="1"/>
  <c r="D174" i="1"/>
  <c r="D173" i="1"/>
  <c r="D172" i="1"/>
  <c r="D171" i="1"/>
  <c r="A172" i="1"/>
  <c r="A173" i="1" s="1"/>
  <c r="A174" i="1" s="1"/>
  <c r="A175" i="1" s="1"/>
  <c r="A176" i="1" s="1"/>
  <c r="E169" i="1"/>
  <c r="E168" i="1"/>
  <c r="E167" i="1"/>
  <c r="E166" i="1"/>
  <c r="E165" i="1"/>
  <c r="E164" i="1"/>
  <c r="E163" i="1"/>
  <c r="E162" i="1"/>
  <c r="E161" i="1"/>
  <c r="E160" i="1"/>
  <c r="E159" i="1"/>
  <c r="E158" i="1"/>
  <c r="K158" i="1" s="1"/>
  <c r="D169" i="1"/>
  <c r="D168" i="1"/>
  <c r="D167" i="1"/>
  <c r="D166" i="1"/>
  <c r="D165" i="1"/>
  <c r="D164" i="1"/>
  <c r="D163" i="1"/>
  <c r="D162" i="1"/>
  <c r="D161" i="1"/>
  <c r="D160" i="1"/>
  <c r="D159" i="1"/>
  <c r="G158" i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D152" i="1"/>
  <c r="D151" i="1"/>
  <c r="G151" i="1"/>
  <c r="A152" i="1"/>
  <c r="E149" i="1"/>
  <c r="E148" i="1"/>
  <c r="E147" i="1"/>
  <c r="E146" i="1"/>
  <c r="D149" i="1"/>
  <c r="D148" i="1"/>
  <c r="D147" i="1"/>
  <c r="G146" i="1"/>
  <c r="A147" i="1"/>
  <c r="A148" i="1" s="1"/>
  <c r="K159" i="1" l="1"/>
  <c r="K167" i="1"/>
  <c r="L256" i="1"/>
  <c r="K166" i="1"/>
  <c r="K160" i="1"/>
  <c r="K169" i="1"/>
  <c r="K168" i="1"/>
  <c r="K161" i="1"/>
  <c r="J301" i="1"/>
  <c r="K301" i="1"/>
  <c r="J289" i="1"/>
  <c r="K289" i="1"/>
  <c r="J270" i="1"/>
  <c r="K270" i="1"/>
  <c r="J296" i="1"/>
  <c r="K296" i="1"/>
  <c r="J304" i="1"/>
  <c r="K304" i="1"/>
  <c r="J286" i="1"/>
  <c r="K286" i="1"/>
  <c r="J264" i="1"/>
  <c r="K264" i="1"/>
  <c r="J293" i="1"/>
  <c r="K293" i="1"/>
  <c r="J265" i="1"/>
  <c r="K265" i="1"/>
  <c r="J288" i="1"/>
  <c r="K288" i="1"/>
  <c r="J302" i="1"/>
  <c r="K302" i="1"/>
  <c r="J295" i="1"/>
  <c r="K295" i="1"/>
  <c r="K162" i="1"/>
  <c r="K163" i="1"/>
  <c r="J269" i="1"/>
  <c r="K269" i="1"/>
  <c r="J297" i="1"/>
  <c r="K297" i="1"/>
  <c r="J305" i="1"/>
  <c r="K305" i="1"/>
  <c r="J271" i="1"/>
  <c r="K271" i="1"/>
  <c r="J292" i="1"/>
  <c r="K292" i="1"/>
  <c r="J294" i="1"/>
  <c r="K294" i="1"/>
  <c r="J266" i="1"/>
  <c r="K266" i="1"/>
  <c r="J283" i="1"/>
  <c r="K283" i="1"/>
  <c r="J303" i="1"/>
  <c r="K303" i="1"/>
  <c r="K164" i="1"/>
  <c r="J268" i="1"/>
  <c r="K268" i="1"/>
  <c r="J284" i="1"/>
  <c r="K284" i="1"/>
  <c r="J298" i="1"/>
  <c r="K298" i="1"/>
  <c r="J306" i="1"/>
  <c r="K306" i="1"/>
  <c r="J272" i="1"/>
  <c r="K272" i="1"/>
  <c r="J287" i="1"/>
  <c r="K287" i="1"/>
  <c r="K165" i="1"/>
  <c r="J267" i="1"/>
  <c r="K267" i="1"/>
  <c r="J285" i="1"/>
  <c r="K285" i="1"/>
  <c r="J291" i="1"/>
  <c r="K291" i="1"/>
  <c r="J300" i="1"/>
  <c r="K300" i="1"/>
  <c r="J307" i="1"/>
  <c r="K307" i="1"/>
  <c r="E125" i="1"/>
  <c r="G130" i="1"/>
  <c r="C135" i="1"/>
  <c r="E137" i="1"/>
  <c r="N210" i="1"/>
  <c r="E135" i="1"/>
  <c r="G131" i="1"/>
  <c r="E130" i="1"/>
  <c r="E124" i="1"/>
  <c r="E136" i="1"/>
  <c r="G129" i="1"/>
  <c r="C136" i="1"/>
  <c r="C137" i="1"/>
  <c r="C124" i="1"/>
  <c r="C125" i="1"/>
  <c r="C126" i="1"/>
  <c r="C129" i="1"/>
  <c r="E126" i="1"/>
  <c r="C130" i="1"/>
  <c r="G126" i="1"/>
  <c r="E129" i="1"/>
  <c r="C131" i="1"/>
  <c r="E131" i="1"/>
  <c r="G137" i="1"/>
  <c r="E138" i="1" l="1"/>
  <c r="G132" i="1"/>
  <c r="C138" i="1"/>
  <c r="E127" i="1"/>
  <c r="E132" i="1"/>
  <c r="C132" i="1"/>
  <c r="C127" i="1"/>
  <c r="G125" i="1"/>
  <c r="D55" i="1"/>
  <c r="E42" i="1"/>
  <c r="E139" i="1" l="1"/>
  <c r="C139" i="1"/>
  <c r="Z12" i="1"/>
  <c r="I14" i="1"/>
  <c r="E43" i="1" l="1"/>
  <c r="E44" i="1" s="1"/>
  <c r="C15" i="1" l="1"/>
  <c r="E30" i="1" l="1"/>
  <c r="A210" i="1" l="1"/>
  <c r="A211" i="1" s="1"/>
  <c r="A212" i="1" s="1"/>
  <c r="A213" i="1" s="1"/>
  <c r="A214" i="1" s="1"/>
  <c r="A215" i="1" s="1"/>
  <c r="G209" i="1"/>
  <c r="G135" i="1" l="1"/>
  <c r="F121" i="1"/>
  <c r="G124" i="1" l="1"/>
  <c r="G127" i="1" s="1"/>
  <c r="B310" i="1" l="1"/>
  <c r="G136" i="1" l="1"/>
  <c r="G138" i="1" s="1"/>
  <c r="G139" i="1" s="1"/>
  <c r="B31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0" i="1"/>
  <c r="A149" i="1"/>
  <c r="B67" i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B81" i="1" l="1"/>
  <c r="C70" i="1"/>
  <c r="D70" i="1" s="1"/>
  <c r="J79" i="1"/>
  <c r="H81" i="1"/>
  <c r="J85" i="1" l="1"/>
  <c r="C84" i="1" s="1"/>
  <c r="D84" i="1" s="1"/>
  <c r="J83" i="1"/>
  <c r="J80" i="1"/>
  <c r="J82" i="1" s="1"/>
  <c r="D92" i="1"/>
  <c r="D90" i="1"/>
  <c r="D86" i="1"/>
  <c r="D93" i="1"/>
  <c r="D91" i="1"/>
  <c r="D89" i="1"/>
  <c r="D87" i="1"/>
  <c r="D88" i="1"/>
  <c r="J84" i="1"/>
  <c r="J91" i="1"/>
  <c r="J89" i="1"/>
  <c r="J90" i="1"/>
  <c r="J88" i="1"/>
  <c r="J86" i="1"/>
  <c r="J87" i="1" s="1"/>
  <c r="J92" i="1" s="1"/>
  <c r="J93" i="1" s="1"/>
  <c r="C85" i="1" s="1"/>
  <c r="C71" i="1"/>
  <c r="G70" i="1" s="1"/>
  <c r="D64" i="1" s="1"/>
  <c r="B95" i="1" l="1"/>
  <c r="E84" i="1"/>
  <c r="D85" i="1"/>
  <c r="I81" i="1" s="1"/>
  <c r="I82" i="1" s="1"/>
  <c r="G84" i="1"/>
  <c r="J81" i="1"/>
  <c r="E70" i="1"/>
  <c r="D71" i="1"/>
  <c r="I67" i="1" s="1"/>
  <c r="I68" i="1" s="1"/>
  <c r="J67" i="1"/>
  <c r="D65" i="1"/>
  <c r="F65" i="1"/>
  <c r="H95" i="1"/>
  <c r="I80" i="1" l="1"/>
  <c r="C82" i="1" s="1"/>
  <c r="J99" i="1"/>
  <c r="C98" i="1" s="1"/>
  <c r="J97" i="1"/>
  <c r="J94" i="1"/>
  <c r="J96" i="1" s="1"/>
  <c r="D107" i="1"/>
  <c r="D105" i="1"/>
  <c r="D103" i="1"/>
  <c r="D101" i="1"/>
  <c r="D104" i="1"/>
  <c r="D100" i="1"/>
  <c r="D106" i="1"/>
  <c r="D102" i="1"/>
  <c r="J98" i="1"/>
  <c r="J105" i="1"/>
  <c r="J103" i="1"/>
  <c r="J104" i="1"/>
  <c r="J102" i="1"/>
  <c r="J100" i="1"/>
  <c r="J101" i="1" s="1"/>
  <c r="J106" i="1" s="1"/>
  <c r="J107" i="1" s="1"/>
  <c r="C99" i="1" s="1"/>
  <c r="I66" i="1"/>
  <c r="C68" i="1" s="1"/>
  <c r="E98" i="1" l="1"/>
  <c r="D99" i="1"/>
  <c r="G98" i="1"/>
  <c r="D98" i="1"/>
  <c r="I95" i="1" l="1"/>
  <c r="J95" i="1"/>
  <c r="I96" i="1" l="1"/>
  <c r="I94" i="1" s="1"/>
  <c r="C96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<sst xmlns="http://schemas.openxmlformats.org/spreadsheetml/2006/main" count="648" uniqueCount="304">
  <si>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</si>
  <si>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</si>
  <si>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</si>
  <si>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</si>
  <si>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</si>
  <si>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</si>
  <si>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</si>
  <si>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</si>
  <si>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</si>
  <si>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</si>
  <si>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</si>
  <si>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</si>
  <si>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</si>
  <si>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</si>
  <si>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</si>
  <si>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</si>
  <si>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</si>
  <si>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</si>
  <si>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</si>
  <si>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</si>
  <si>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</si>
  <si>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</si>
  <si>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</si>
  <si>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</si>
  <si>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</si>
  <si>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</si>
  <si>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</si>
  <si>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</si>
  <si>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</si>
  <si>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</si>
  <si>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</si>
  <si>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</si>
  <si>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</si>
  <si>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</si>
  <si>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</si>
  <si>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</si>
  <si>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</si>
  <si>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</si>
  <si>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</si>
  <si>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</si>
  <si>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</si>
  <si>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</si>
  <si>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</si>
  <si>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</si>
  <si>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</si>
  <si>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</si>
  <si>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</si>
  <si>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</si>
  <si>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</si>
  <si>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</si>
  <si>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</si>
  <si>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</si>
  <si>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</si>
  <si>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</si>
  <si>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</si>
  <si>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</si>
  <si>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</si>
  <si>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</si>
  <si>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</si>
  <si>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</si>
  <si>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</si>
  <si>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</si>
  <si>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</si>
  <si>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</si>
  <si>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</si>
  <si>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</si>
  <si>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</si>
  <si>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</si>
  <si>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</si>
  <si>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</si>
  <si>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</si>
  <si>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</si>
  <si>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</si>
  <si>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</si>
  <si>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</si>
  <si>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</si>
  <si>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</si>
  <si>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</si>
  <si>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</si>
  <si>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</si>
  <si>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</si>
  <si>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</si>
  <si>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</si>
  <si>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</si>
  <si>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</si>
  <si>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</si>
  <si>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</si>
  <si>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</si>
  <si>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</si>
  <si>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</si>
  <si>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</si>
  <si>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</si>
  <si>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</si>
  <si>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</si>
  <si>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</si>
  <si>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</si>
  <si>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</si>
  <si>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</si>
  <si>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</si>
  <si>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</si>
  <si>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</si>
  <si>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</si>
  <si>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</si>
  <si>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</si>
  <si>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</si>
  <si>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</si>
  <si>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</si>
  <si>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</si>
  <si>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</si>
  <si>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</si>
  <si>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</si>
  <si>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</si>
  <si>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</si>
  <si>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</si>
  <si>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</si>
  <si>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</si>
  <si>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</si>
  <si>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</si>
  <si>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</si>
  <si>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</si>
  <si>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</si>
  <si>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</si>
  <si>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</si>
  <si>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</si>
  <si>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</si>
  <si>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</si>
  <si>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</si>
  <si>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</si>
  <si>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</si>
  <si>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</si>
  <si>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</si>
  <si>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</si>
  <si>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</si>
  <si>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</si>
  <si>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</si>
  <si>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</si>
  <si>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</si>
  <si>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</si>
  <si>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</si>
  <si>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</si>
  <si>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</si>
  <si>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</si>
  <si>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</si>
  <si>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</si>
  <si>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</si>
  <si>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</si>
  <si>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</si>
  <si>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</si>
  <si>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</si>
  <si>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</si>
  <si>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</si>
  <si>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</si>
  <si>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</si>
  <si>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</si>
  <si>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</si>
  <si>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</si>
  <si>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</si>
  <si>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</si>
  <si>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</si>
  <si>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</si>
  <si>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</si>
  <si>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</si>
  <si>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</si>
  <si>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</si>
  <si>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</si>
  <si>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</si>
  <si>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</si>
  <si>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</si>
  <si>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</si>
  <si>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</si>
  <si>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</si>
  <si>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</si>
  <si>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</si>
  <si>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</si>
  <si>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</si>
  <si>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</si>
  <si>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</si>
  <si>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</si>
  <si>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</si>
  <si>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</si>
  <si>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</si>
  <si>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</si>
  <si>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</si>
  <si>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</si>
  <si>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</si>
  <si>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</si>
  <si>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</si>
  <si>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</si>
  <si>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</si>
  <si>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</si>
  <si>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</si>
  <si>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</si>
  <si>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</si>
  <si>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</si>
  <si>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</si>
  <si>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</si>
  <si>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</si>
  <si>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</si>
  <si>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</si>
  <si>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</si>
  <si>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</si>
  <si>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</si>
  <si>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</si>
  <si>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</si>
  <si>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</si>
  <si>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</si>
  <si>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</si>
  <si>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</si>
  <si>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</si>
  <si>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</si>
  <si>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</si>
  <si>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</si>
  <si>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</si>
  <si>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</si>
  <si>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</si>
  <si>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</si>
  <si>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</si>
  <si>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</si>
  <si>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</si>
  <si>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</si>
  <si>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</si>
  <si>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</si>
  <si>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</si>
  <si>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</si>
  <si>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</si>
  <si>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</si>
  <si>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</si>
  <si>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Badlapur</t>
  </si>
  <si>
    <t>Palak Developers</t>
  </si>
  <si>
    <t>Florence Landmark Phase 1</t>
  </si>
  <si>
    <t>Mr. Vaibhav 9922550640</t>
  </si>
  <si>
    <t>P52000051375</t>
  </si>
  <si>
    <t>Survey No</t>
  </si>
  <si>
    <t>19.050695,73.315103</t>
  </si>
  <si>
    <t>https://maps.app.goo.gl/7Z3WjS3pH4yYKe8u6</t>
  </si>
  <si>
    <t>Damat</t>
  </si>
  <si>
    <t>Neral Badlapur Road</t>
  </si>
  <si>
    <t>Shelu West</t>
  </si>
  <si>
    <t>Sunrise Residency</t>
  </si>
  <si>
    <t>State Highway No. 76</t>
  </si>
  <si>
    <t>S. No. 70</t>
  </si>
  <si>
    <t>S. No. 71 &amp; 72</t>
  </si>
  <si>
    <t>Open Plot</t>
  </si>
  <si>
    <t>River/Open Plot</t>
  </si>
  <si>
    <t>03 Wings</t>
  </si>
  <si>
    <t>Collector Of Raigad, Alibag</t>
  </si>
  <si>
    <t>MS/L.N.A.1/A-1(B)/Token No.15818/
P.K.144/2021</t>
  </si>
  <si>
    <t>As per RERA - 31/12/2026</t>
  </si>
  <si>
    <t>only Building</t>
  </si>
  <si>
    <t>Building 1 Wing A, B &amp; C = 1st to 7th Floor</t>
  </si>
  <si>
    <t>MS/LNA-1/S.R./TokanNo.15818/
P.K.144/2021</t>
  </si>
  <si>
    <t xml:space="preserve">Building 1 </t>
  </si>
  <si>
    <t>Wing A</t>
  </si>
  <si>
    <t>Ground Floor For Commercial, Entrance Lobby &amp; Parking</t>
  </si>
  <si>
    <t>Shop</t>
  </si>
  <si>
    <t>Office</t>
  </si>
  <si>
    <t>Wing B</t>
  </si>
  <si>
    <t>Wing C</t>
  </si>
  <si>
    <t>Building 1</t>
  </si>
  <si>
    <t>1BHK</t>
  </si>
  <si>
    <t>2BHK</t>
  </si>
  <si>
    <t xml:space="preserve">Wing B </t>
  </si>
  <si>
    <t>1RK</t>
  </si>
  <si>
    <t>3rd Floor</t>
  </si>
  <si>
    <t>4th to 7th Floor</t>
  </si>
  <si>
    <r>
      <t xml:space="preserve">Shop No.
</t>
    </r>
    <r>
      <rPr>
        <b/>
        <sz val="12"/>
        <color rgb="FF000000"/>
        <rFont val="Times New Roman"/>
        <family val="1"/>
      </rPr>
      <t>(Approved Plan)</t>
    </r>
  </si>
  <si>
    <r>
      <t xml:space="preserve">Flat No.
</t>
    </r>
    <r>
      <rPr>
        <b/>
        <sz val="12"/>
        <color rgb="FF000000"/>
        <rFont val="Times New Roman"/>
        <family val="1"/>
      </rPr>
      <t>(Approved Plan)</t>
    </r>
  </si>
  <si>
    <t>Commercial Area Details (Shops) :</t>
  </si>
  <si>
    <t>Commercial Area Details (Offices) :</t>
  </si>
  <si>
    <t>Flats - 161, Shops - 24, Offices - 24</t>
  </si>
  <si>
    <t>Building + open space</t>
  </si>
  <si>
    <t>We considered Gross carpet area = Net carpet + Balcony.</t>
  </si>
  <si>
    <t>401 to 701</t>
  </si>
  <si>
    <t>402 to 702</t>
  </si>
  <si>
    <t>403 to 703</t>
  </si>
  <si>
    <t>404 to 704</t>
  </si>
  <si>
    <t>405 to 705</t>
  </si>
  <si>
    <t>406 to 706</t>
  </si>
  <si>
    <t>407 to 707</t>
  </si>
  <si>
    <t>408 to 708</t>
  </si>
  <si>
    <t>409 to 709</t>
  </si>
  <si>
    <t>Kids' Play Areas, Jogging / Cycle Track, Power Backup Treated, Club House, Indoor Games, Parking, etc.</t>
  </si>
  <si>
    <t>NA Order No</t>
  </si>
  <si>
    <t>Builder Saleable area</t>
  </si>
  <si>
    <t>Building 1 (Wing A, B &amp; C)</t>
  </si>
  <si>
    <t>Approved Plans, CC cum NA Order, Builder Saleable Area &amp; Cost Sheet.</t>
  </si>
  <si>
    <t>Other Plot</t>
  </si>
  <si>
    <t>1.80KM from Shelu Railway Station</t>
  </si>
  <si>
    <t>71 H. No.1/B/1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</si>
  <si>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</si>
  <si>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Building 1 (Wing A, B &amp; C) = Gr + 1st to 7th Floor</t>
  </si>
  <si>
    <t xml:space="preserve">Building No. 1 </t>
  </si>
  <si>
    <t>1st Floor For Part Commercial</t>
  </si>
  <si>
    <t>2nd Floor For Part Commercial</t>
  </si>
  <si>
    <t>1st Floor For Part Residential</t>
  </si>
  <si>
    <t>2nd Floor For Part Residential</t>
  </si>
  <si>
    <t>Advance Maintenance Charges (24 Months)</t>
  </si>
  <si>
    <t>Building 1 (Wing A) = Gr + 1st to 7th Floor</t>
  </si>
  <si>
    <t>Building 1 (Wing B) = Gr + 1st to 7th Floor</t>
  </si>
  <si>
    <t>Building 1 (Wing C) = Gr + 1st to 7th Floor</t>
  </si>
  <si>
    <t>Mr. Kiran 7208010790</t>
  </si>
  <si>
    <t>Naynesh Lovanshi</t>
  </si>
  <si>
    <t>Shruti Tathare</t>
  </si>
  <si>
    <t>Construction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</si>
</sst>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28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22" fillId="2" borderId="29" xfId="0" applyFont="1" applyFill="1" applyBorder="1"/>
    <xf numFmtId="0" fontId="23" fillId="0" borderId="30" xfId="0" applyFont="1" applyBorder="1"/>
    <xf numFmtId="0" fontId="23" fillId="0" borderId="1" xfId="0" applyFont="1" applyBorder="1"/>
    <xf numFmtId="0" fontId="23" fillId="0" borderId="4" xfId="0" applyFont="1" applyBorder="1"/>
    <xf numFmtId="0" fontId="11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>
      <alignment horizontal="center"/>
    </xf>
    <xf numFmtId="2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1" fontId="15" fillId="0" borderId="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8" fontId="6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67" fontId="15" fillId="0" borderId="0" xfId="1" applyNumberFormat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22" fillId="2" borderId="14" xfId="0" applyFont="1" applyFill="1" applyBorder="1"/>
    <xf numFmtId="0" fontId="23" fillId="0" borderId="8" xfId="0" applyFont="1" applyBorder="1"/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6" fillId="0" borderId="24" xfId="1" applyFont="1" applyBorder="1" applyAlignment="1">
      <alignment horizontal="center"/>
    </xf>
    <xf numFmtId="0" fontId="6" fillId="0" borderId="0" xfId="1" applyFont="1" applyAlignment="1">
      <alignment horizontal="center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64" fontId="11" fillId="0" borderId="1" xfId="1" applyNumberFormat="1" applyFont="1" applyBorder="1" applyAlignment="1" applyProtection="1">
      <alignment horizontal="left" vertical="top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/>
      <protection locked="0"/>
    </xf>
    <xf numFmtId="0" fontId="5" fillId="0" borderId="8" xfId="1" applyFont="1" applyBorder="1" applyAlignment="1" applyProtection="1">
      <alignment horizontal="left" vertical="top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9" xfId="8" applyFont="1" applyFill="1" applyBorder="1" applyAlignment="1" applyProtection="1">
      <alignment horizontal="center" vertical="center" wrapText="1"/>
      <protection locked="0"/>
    </xf>
    <xf numFmtId="9" fontId="6" fillId="0" borderId="11" xfId="8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33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0" fontId="6" fillId="0" borderId="0" xfId="1" applyFont="1" applyAlignment="1">
      <alignment horizontal="center" vertical="center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4" xfId="1" applyNumberFormat="1" applyFont="1" applyBorder="1" applyAlignment="1" applyProtection="1">
      <alignment horizontal="center" vertical="center" wrapText="1"/>
      <protection locked="0"/>
    </xf>
    <xf numFmtId="1" fontId="5" fillId="0" borderId="25" xfId="1" applyNumberFormat="1" applyFont="1" applyBorder="1" applyAlignment="1" applyProtection="1">
      <alignment horizontal="center" vertical="center" wrapText="1"/>
      <protection locked="0"/>
    </xf>
    <xf numFmtId="1" fontId="9" fillId="0" borderId="2" xfId="0" applyNumberFormat="1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vertical="top" wrapText="1"/>
      <protection locked="0"/>
    </xf>
    <xf numFmtId="0" fontId="5" fillId="0" borderId="20" xfId="1" applyFont="1" applyBorder="1" applyAlignment="1" applyProtection="1">
      <alignment vertical="top" wrapText="1"/>
      <protection locked="0"/>
    </xf>
    <xf numFmtId="0" fontId="5" fillId="0" borderId="8" xfId="1" applyFont="1" applyBorder="1" applyAlignment="1" applyProtection="1">
      <alignment vertical="top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587747</xdr:colOff>
      <xdr:row>331</xdr:row>
      <xdr:rowOff>43963</xdr:rowOff>
    </xdr:from>
    <xdr:ext cx="1011559" cy="405432"/>
    <xdr:sp macro="" textlink="">
      <xdr:nvSpPr>
        <xdr:cNvPr id="18" name="TextBox 17"/>
        <xdr:cNvSpPr txBox="1"/>
      </xdr:nvSpPr>
      <xdr:spPr>
        <a:xfrm>
          <a:off x="8191182" y="62942093"/>
          <a:ext cx="101155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C</a:t>
          </a:r>
        </a:p>
      </xdr:txBody>
    </xdr:sp>
    <xdr:clientData/>
  </xdr:oneCellAnchor>
  <xdr:twoCellAnchor editAs="oneCell">
    <xdr:from>
      <xdr:col>2</xdr:col>
      <xdr:colOff>285828</xdr:colOff>
      <xdr:row>393</xdr:row>
      <xdr:rowOff>855</xdr:rowOff>
    </xdr:from>
    <xdr:to>
      <xdr:col>5</xdr:col>
      <xdr:colOff>182932</xdr:colOff>
      <xdr:row>409</xdr:row>
      <xdr:rowOff>75624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3693" y="76699086"/>
          <a:ext cx="2659354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747348</xdr:colOff>
      <xdr:row>374</xdr:row>
      <xdr:rowOff>29308</xdr:rowOff>
    </xdr:from>
    <xdr:to>
      <xdr:col>7</xdr:col>
      <xdr:colOff>92821</xdr:colOff>
      <xdr:row>392</xdr:row>
      <xdr:rowOff>68423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7348" y="72968827"/>
          <a:ext cx="544147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516995</xdr:colOff>
      <xdr:row>376</xdr:row>
      <xdr:rowOff>100199</xdr:rowOff>
    </xdr:from>
    <xdr:to>
      <xdr:col>3</xdr:col>
      <xdr:colOff>797469</xdr:colOff>
      <xdr:row>379</xdr:row>
      <xdr:rowOff>17258</xdr:rowOff>
    </xdr:to>
    <xdr:sp macro="" textlink="">
      <xdr:nvSpPr>
        <xdr:cNvPr id="21" name="Rectangle 20"/>
        <xdr:cNvSpPr/>
      </xdr:nvSpPr>
      <xdr:spPr>
        <a:xfrm>
          <a:off x="2194860" y="73435372"/>
          <a:ext cx="1196340" cy="51054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516995</xdr:colOff>
      <xdr:row>379</xdr:row>
      <xdr:rowOff>70598</xdr:rowOff>
    </xdr:from>
    <xdr:to>
      <xdr:col>3</xdr:col>
      <xdr:colOff>157389</xdr:colOff>
      <xdr:row>382</xdr:row>
      <xdr:rowOff>94337</xdr:rowOff>
    </xdr:to>
    <xdr:sp macro="" textlink="">
      <xdr:nvSpPr>
        <xdr:cNvPr id="22" name="Rectangle 21"/>
        <xdr:cNvSpPr/>
      </xdr:nvSpPr>
      <xdr:spPr>
        <a:xfrm>
          <a:off x="2194860" y="73999252"/>
          <a:ext cx="556260" cy="61722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516995</xdr:colOff>
      <xdr:row>382</xdr:row>
      <xdr:rowOff>140057</xdr:rowOff>
    </xdr:from>
    <xdr:to>
      <xdr:col>3</xdr:col>
      <xdr:colOff>797469</xdr:colOff>
      <xdr:row>386</xdr:row>
      <xdr:rowOff>95510</xdr:rowOff>
    </xdr:to>
    <xdr:sp macro="" textlink="">
      <xdr:nvSpPr>
        <xdr:cNvPr id="23" name="Rectangle 22"/>
        <xdr:cNvSpPr/>
      </xdr:nvSpPr>
      <xdr:spPr>
        <a:xfrm>
          <a:off x="2194860" y="74662192"/>
          <a:ext cx="1196340" cy="74676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797469</xdr:colOff>
      <xdr:row>377</xdr:row>
      <xdr:rowOff>24084</xdr:rowOff>
    </xdr:from>
    <xdr:to>
      <xdr:col>4</xdr:col>
      <xdr:colOff>479172</xdr:colOff>
      <xdr:row>378</xdr:row>
      <xdr:rowOff>103256</xdr:rowOff>
    </xdr:to>
    <xdr:sp macro="" textlink="">
      <xdr:nvSpPr>
        <xdr:cNvPr id="24" name="TextBox 13"/>
        <xdr:cNvSpPr txBox="1"/>
      </xdr:nvSpPr>
      <xdr:spPr>
        <a:xfrm>
          <a:off x="3391200" y="73557084"/>
          <a:ext cx="692818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WING A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889127</xdr:colOff>
      <xdr:row>383</xdr:row>
      <xdr:rowOff>177110</xdr:rowOff>
    </xdr:from>
    <xdr:to>
      <xdr:col>4</xdr:col>
      <xdr:colOff>559609</xdr:colOff>
      <xdr:row>385</xdr:row>
      <xdr:rowOff>58456</xdr:rowOff>
    </xdr:to>
    <xdr:sp macro="" textlink="">
      <xdr:nvSpPr>
        <xdr:cNvPr id="25" name="Rectangle 24"/>
        <xdr:cNvSpPr/>
      </xdr:nvSpPr>
      <xdr:spPr>
        <a:xfrm>
          <a:off x="3482858" y="74897072"/>
          <a:ext cx="681597" cy="2769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WING C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104651</xdr:colOff>
      <xdr:row>380</xdr:row>
      <xdr:rowOff>46375</xdr:rowOff>
    </xdr:from>
    <xdr:to>
      <xdr:col>3</xdr:col>
      <xdr:colOff>791057</xdr:colOff>
      <xdr:row>381</xdr:row>
      <xdr:rowOff>125547</xdr:rowOff>
    </xdr:to>
    <xdr:sp macro="" textlink="">
      <xdr:nvSpPr>
        <xdr:cNvPr id="26" name="Rectangle 25"/>
        <xdr:cNvSpPr/>
      </xdr:nvSpPr>
      <xdr:spPr>
        <a:xfrm>
          <a:off x="2698382" y="74172856"/>
          <a:ext cx="686406" cy="2769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</a:rPr>
            <a:t>WING B</a:t>
          </a:r>
          <a:endParaRPr lang="en-IN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81611</xdr:colOff>
      <xdr:row>374</xdr:row>
      <xdr:rowOff>99586</xdr:rowOff>
    </xdr:from>
    <xdr:to>
      <xdr:col>4</xdr:col>
      <xdr:colOff>142874</xdr:colOff>
      <xdr:row>375</xdr:row>
      <xdr:rowOff>180975</xdr:rowOff>
    </xdr:to>
    <xdr:sp macro="" textlink="">
      <xdr:nvSpPr>
        <xdr:cNvPr id="27" name="TextBox 16"/>
        <xdr:cNvSpPr txBox="1"/>
      </xdr:nvSpPr>
      <xdr:spPr>
        <a:xfrm>
          <a:off x="1643711" y="73356361"/>
          <a:ext cx="1851963" cy="28141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chemeClr val="accent6">
                  <a:lumMod val="50000"/>
                </a:schemeClr>
              </a:solidFill>
            </a:rPr>
            <a:t>Building 1 (Wing A, B &amp; C)</a:t>
          </a:r>
        </a:p>
      </xdr:txBody>
    </xdr:sp>
    <xdr:clientData/>
  </xdr:twoCellAnchor>
  <xdr:twoCellAnchor>
    <xdr:from>
      <xdr:col>1</xdr:col>
      <xdr:colOff>117228</xdr:colOff>
      <xdr:row>436</xdr:row>
      <xdr:rowOff>62971</xdr:rowOff>
    </xdr:from>
    <xdr:to>
      <xdr:col>6</xdr:col>
      <xdr:colOff>702458</xdr:colOff>
      <xdr:row>456</xdr:row>
      <xdr:rowOff>111969</xdr:rowOff>
    </xdr:to>
    <xdr:grpSp>
      <xdr:nvGrpSpPr>
        <xdr:cNvPr id="39" name="Group 38"/>
        <xdr:cNvGrpSpPr/>
      </xdr:nvGrpSpPr>
      <xdr:grpSpPr>
        <a:xfrm>
          <a:off x="879228" y="90521896"/>
          <a:ext cx="4738130" cy="4049498"/>
          <a:chOff x="961960" y="4005774"/>
          <a:chExt cx="5040000" cy="4005537"/>
        </a:xfrm>
      </xdr:grpSpPr>
      <xdr:pic>
        <xdr:nvPicPr>
          <xdr:cNvPr id="40" name="Picture 3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961960" y="4005774"/>
            <a:ext cx="5040000" cy="4005537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41" name="Straight Connector 40"/>
          <xdr:cNvCxnSpPr/>
        </xdr:nvCxnSpPr>
        <xdr:spPr>
          <a:xfrm>
            <a:off x="2333625" y="5715000"/>
            <a:ext cx="152398" cy="923925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Connector 41"/>
          <xdr:cNvCxnSpPr/>
        </xdr:nvCxnSpPr>
        <xdr:spPr>
          <a:xfrm flipV="1">
            <a:off x="2486025" y="6610351"/>
            <a:ext cx="590550" cy="28575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Connector 42"/>
          <xdr:cNvCxnSpPr/>
        </xdr:nvCxnSpPr>
        <xdr:spPr>
          <a:xfrm flipV="1">
            <a:off x="3076575" y="6429377"/>
            <a:ext cx="247650" cy="180287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Connector 43"/>
          <xdr:cNvCxnSpPr/>
        </xdr:nvCxnSpPr>
        <xdr:spPr>
          <a:xfrm flipV="1">
            <a:off x="3324225" y="6105526"/>
            <a:ext cx="1419225" cy="323851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Straight Connector 44"/>
          <xdr:cNvCxnSpPr/>
        </xdr:nvCxnSpPr>
        <xdr:spPr>
          <a:xfrm flipV="1">
            <a:off x="4743450" y="5438775"/>
            <a:ext cx="38100" cy="66675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Straight Connector 45"/>
          <xdr:cNvCxnSpPr/>
        </xdr:nvCxnSpPr>
        <xdr:spPr>
          <a:xfrm flipH="1" flipV="1">
            <a:off x="3292476" y="5252252"/>
            <a:ext cx="1489075" cy="186525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Connector 46"/>
          <xdr:cNvCxnSpPr/>
        </xdr:nvCxnSpPr>
        <xdr:spPr>
          <a:xfrm flipH="1">
            <a:off x="3076578" y="5252251"/>
            <a:ext cx="238123" cy="48669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Straight Connector 47"/>
          <xdr:cNvCxnSpPr/>
        </xdr:nvCxnSpPr>
        <xdr:spPr>
          <a:xfrm flipH="1">
            <a:off x="2333625" y="5300920"/>
            <a:ext cx="742950" cy="414080"/>
          </a:xfrm>
          <a:prstGeom prst="line">
            <a:avLst/>
          </a:prstGeom>
          <a:ln w="381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65950</xdr:colOff>
      <xdr:row>417</xdr:row>
      <xdr:rowOff>29308</xdr:rowOff>
    </xdr:from>
    <xdr:to>
      <xdr:col>5</xdr:col>
      <xdr:colOff>771993</xdr:colOff>
      <xdr:row>435</xdr:row>
      <xdr:rowOff>68424</xdr:rowOff>
    </xdr:to>
    <xdr:pic>
      <xdr:nvPicPr>
        <xdr:cNvPr id="49" name="Picture 48"/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43815" y="81673212"/>
          <a:ext cx="346829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529185</xdr:colOff>
      <xdr:row>332</xdr:row>
      <xdr:rowOff>58271</xdr:rowOff>
    </xdr:from>
    <xdr:ext cx="1099039" cy="405432"/>
    <xdr:sp macro="" textlink="">
      <xdr:nvSpPr>
        <xdr:cNvPr id="54" name="TextBox 53"/>
        <xdr:cNvSpPr txBox="1"/>
      </xdr:nvSpPr>
      <xdr:spPr>
        <a:xfrm>
          <a:off x="8250038" y="70229506"/>
          <a:ext cx="109903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2000" b="1">
              <a:solidFill>
                <a:srgbClr val="FF0000"/>
              </a:solidFill>
            </a:rPr>
            <a:t>WING B</a:t>
          </a:r>
        </a:p>
      </xdr:txBody>
    </xdr:sp>
    <xdr:clientData/>
  </xdr:oneCellAnchor>
  <xdr:twoCellAnchor>
    <xdr:from>
      <xdr:col>9</xdr:col>
      <xdr:colOff>0</xdr:colOff>
      <xdr:row>324</xdr:row>
      <xdr:rowOff>0</xdr:rowOff>
    </xdr:from>
    <xdr:to>
      <xdr:col>9</xdr:col>
      <xdr:colOff>596574</xdr:colOff>
      <xdr:row>325</xdr:row>
      <xdr:rowOff>67710</xdr:rowOff>
    </xdr:to>
    <xdr:sp macro="" textlink="">
      <xdr:nvSpPr>
        <xdr:cNvPr id="38" name="TextBox 37"/>
        <xdr:cNvSpPr txBox="1"/>
      </xdr:nvSpPr>
      <xdr:spPr>
        <a:xfrm>
          <a:off x="8096250" y="670623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 editAs="oneCell">
    <xdr:from>
      <xdr:col>6</xdr:col>
      <xdr:colOff>228601</xdr:colOff>
      <xdr:row>358</xdr:row>
      <xdr:rowOff>28574</xdr:rowOff>
    </xdr:from>
    <xdr:to>
      <xdr:col>7</xdr:col>
      <xdr:colOff>735235</xdr:colOff>
      <xdr:row>366</xdr:row>
      <xdr:rowOff>121649</xdr:rowOff>
    </xdr:to>
    <xdr:pic>
      <xdr:nvPicPr>
        <xdr:cNvPr id="51" name="Picture 50" descr="https://vsjcllp.vsjadon.com/upload/insp-246588-152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1" y="74856974"/>
          <a:ext cx="1268634" cy="1693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358</xdr:row>
      <xdr:rowOff>33335</xdr:rowOff>
    </xdr:from>
    <xdr:to>
      <xdr:col>2</xdr:col>
      <xdr:colOff>788761</xdr:colOff>
      <xdr:row>366</xdr:row>
      <xdr:rowOff>126411</xdr:rowOff>
    </xdr:to>
    <xdr:pic>
      <xdr:nvPicPr>
        <xdr:cNvPr id="52" name="Picture 51" descr="https://vsjcllp.vsjadon.com/upload/insp-246588-843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74861735"/>
          <a:ext cx="2255610" cy="169327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38101</xdr:colOff>
      <xdr:row>358</xdr:row>
      <xdr:rowOff>28574</xdr:rowOff>
    </xdr:from>
    <xdr:to>
      <xdr:col>4</xdr:col>
      <xdr:colOff>363760</xdr:colOff>
      <xdr:row>366</xdr:row>
      <xdr:rowOff>121649</xdr:rowOff>
    </xdr:to>
    <xdr:pic>
      <xdr:nvPicPr>
        <xdr:cNvPr id="53" name="Picture 52" descr="https://vsjcllp.vsjadon.com/upload/insp-246588-84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6" y="74856974"/>
          <a:ext cx="1268634" cy="1693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438151</xdr:colOff>
      <xdr:row>358</xdr:row>
      <xdr:rowOff>28574</xdr:rowOff>
    </xdr:from>
    <xdr:to>
      <xdr:col>6</xdr:col>
      <xdr:colOff>144685</xdr:colOff>
      <xdr:row>366</xdr:row>
      <xdr:rowOff>121649</xdr:rowOff>
    </xdr:to>
    <xdr:pic>
      <xdr:nvPicPr>
        <xdr:cNvPr id="61" name="Picture 60" descr="https://vsjcllp.vsjadon.com/upload/insp-246588-15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0951" y="74856974"/>
          <a:ext cx="1268634" cy="16932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330</xdr:row>
      <xdr:rowOff>66674</xdr:rowOff>
    </xdr:from>
    <xdr:to>
      <xdr:col>7</xdr:col>
      <xdr:colOff>733425</xdr:colOff>
      <xdr:row>357</xdr:row>
      <xdr:rowOff>136090</xdr:rowOff>
    </xdr:to>
    <xdr:grpSp>
      <xdr:nvGrpSpPr>
        <xdr:cNvPr id="4" name="Group 3"/>
        <xdr:cNvGrpSpPr/>
      </xdr:nvGrpSpPr>
      <xdr:grpSpPr>
        <a:xfrm>
          <a:off x="66675" y="69332474"/>
          <a:ext cx="6343650" cy="5460566"/>
          <a:chOff x="66675" y="69303899"/>
          <a:chExt cx="6343650" cy="5460566"/>
        </a:xfrm>
      </xdr:grpSpPr>
      <xdr:grpSp>
        <xdr:nvGrpSpPr>
          <xdr:cNvPr id="3" name="Group 2"/>
          <xdr:cNvGrpSpPr/>
        </xdr:nvGrpSpPr>
        <xdr:grpSpPr>
          <a:xfrm>
            <a:off x="66675" y="69303899"/>
            <a:ext cx="6343650" cy="5460566"/>
            <a:chOff x="66675" y="69303899"/>
            <a:chExt cx="6343650" cy="5460566"/>
          </a:xfrm>
        </xdr:grpSpPr>
        <xdr:pic>
          <xdr:nvPicPr>
            <xdr:cNvPr id="55" name="Picture 54" descr="https://vsjcllp.vsjadon.com/upload/insp-246588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975" y="72132824"/>
              <a:ext cx="1971675" cy="26316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6" name="Picture 55" descr="https://vsjcllp.vsjadon.com/upload/insp-246588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09800" y="69303899"/>
              <a:ext cx="2057400" cy="27460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8" name="Picture 57" descr="https://vsjcllp.vsjadon.com/upload/insp-246588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52925" y="69303899"/>
              <a:ext cx="2057400" cy="27460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" name="Picture 58" descr="https://vsjcllp.vsjadon.com/upload/insp-246588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5" y="72132824"/>
              <a:ext cx="1971675" cy="26316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0" name="Picture 59" descr="https://vsjcllp.vsjadon.com/upload/insp-246588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675" y="69303899"/>
              <a:ext cx="2057400" cy="274605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2" name="Picture 61" descr="https://vsjcllp.vsjadon.com/upload/insp-246588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05300" y="72132824"/>
              <a:ext cx="1971675" cy="26316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2" name="TextBox 71"/>
          <xdr:cNvSpPr txBox="1"/>
        </xdr:nvSpPr>
        <xdr:spPr>
          <a:xfrm>
            <a:off x="247649" y="69475348"/>
            <a:ext cx="695325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5029200" y="69361049"/>
            <a:ext cx="70485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2390775" y="69513449"/>
            <a:ext cx="685800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971550" y="72437624"/>
            <a:ext cx="695325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100348</xdr:colOff>
      <xdr:row>53</xdr:row>
      <xdr:rowOff>75286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8687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7Z3WjS3pH4yYKe8u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16"/>
  <sheetViews>
    <sheetView tabSelected="1" view="pageBreakPreview" zoomScaleNormal="100" zoomScaleSheetLayoutView="100" workbookViewId="0">
      <selection activeCell="O4" sqref="N4:O4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6" width="11.7109375" style="39" customWidth="1"/>
    <col min="7" max="7" width="11.42578125" style="39" customWidth="1"/>
    <col min="8" max="8" width="12.140625" style="39" customWidth="1"/>
    <col min="9" max="9" width="18.425781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26" ht="46.5" customHeight="1" x14ac:dyDescent="0.25">
      <c r="A1" s="178" t="s">
        <v>289</v>
      </c>
      <c r="B1" s="178"/>
      <c r="C1" s="178"/>
      <c r="D1" s="178"/>
      <c r="E1" s="178"/>
      <c r="F1" s="178"/>
      <c r="G1" s="178"/>
      <c r="H1" s="178"/>
    </row>
    <row r="2" spans="1:26" ht="16.5" customHeight="1" x14ac:dyDescent="0.25">
      <c r="A2" s="179" t="s">
        <v>0</v>
      </c>
      <c r="B2" s="179"/>
      <c r="C2" s="179"/>
      <c r="D2" s="179"/>
      <c r="E2" s="179"/>
      <c r="F2" s="179"/>
      <c r="G2" s="179"/>
      <c r="H2" s="179"/>
    </row>
    <row r="3" spans="1:26" x14ac:dyDescent="0.25">
      <c r="A3" s="91" t="s">
        <v>1</v>
      </c>
      <c r="B3" s="91"/>
      <c r="C3" s="91"/>
      <c r="D3" s="91"/>
      <c r="E3" s="91" t="str">
        <f ca="1">TEXT(TODAY(),"DD/MM/YYYY")</f>
        <v>15/09/2025</v>
      </c>
      <c r="F3" s="91"/>
      <c r="G3" s="91"/>
      <c r="H3" s="91"/>
    </row>
    <row r="4" spans="1:26" ht="15" customHeight="1" x14ac:dyDescent="0.25">
      <c r="A4" s="91" t="s">
        <v>2</v>
      </c>
      <c r="B4" s="91"/>
      <c r="C4" s="91"/>
      <c r="D4" s="91"/>
      <c r="E4" s="91" t="s">
        <v>227</v>
      </c>
      <c r="F4" s="91"/>
      <c r="G4" s="91"/>
      <c r="H4" s="91"/>
    </row>
    <row r="5" spans="1:26" x14ac:dyDescent="0.25">
      <c r="A5" s="91" t="s">
        <v>3</v>
      </c>
      <c r="B5" s="91"/>
      <c r="C5" s="91"/>
      <c r="D5" s="91"/>
      <c r="E5" s="180">
        <v>45908</v>
      </c>
      <c r="F5" s="91"/>
      <c r="G5" s="91"/>
      <c r="H5" s="91"/>
    </row>
    <row r="6" spans="1:26" ht="16.5" customHeight="1" x14ac:dyDescent="0.25">
      <c r="A6" s="91" t="s">
        <v>4</v>
      </c>
      <c r="B6" s="91"/>
      <c r="C6" s="91"/>
      <c r="D6" s="91"/>
      <c r="E6" s="91" t="s">
        <v>228</v>
      </c>
      <c r="F6" s="91"/>
      <c r="G6" s="91"/>
      <c r="H6" s="91"/>
    </row>
    <row r="7" spans="1:26" ht="15" customHeight="1" x14ac:dyDescent="0.25">
      <c r="A7" s="91" t="s">
        <v>5</v>
      </c>
      <c r="B7" s="91"/>
      <c r="C7" s="91"/>
      <c r="D7" s="91"/>
      <c r="E7" s="91" t="str">
        <f>E6</f>
        <v>Palak Developers</v>
      </c>
      <c r="F7" s="91"/>
      <c r="G7" s="91"/>
      <c r="H7" s="91"/>
    </row>
    <row r="8" spans="1:26" x14ac:dyDescent="0.25">
      <c r="A8" s="91" t="s">
        <v>6</v>
      </c>
      <c r="B8" s="91"/>
      <c r="C8" s="91"/>
      <c r="D8" s="91"/>
      <c r="E8" s="119" t="s">
        <v>229</v>
      </c>
      <c r="F8" s="119"/>
      <c r="G8" s="119"/>
      <c r="H8" s="119"/>
    </row>
    <row r="9" spans="1:26" x14ac:dyDescent="0.25">
      <c r="A9" s="91" t="s">
        <v>162</v>
      </c>
      <c r="B9" s="91"/>
      <c r="C9" s="91"/>
      <c r="D9" s="91"/>
      <c r="E9" s="91" t="s">
        <v>230</v>
      </c>
      <c r="F9" s="91"/>
      <c r="G9" s="91"/>
      <c r="H9" s="91"/>
    </row>
    <row r="10" spans="1:26" x14ac:dyDescent="0.25">
      <c r="A10" s="91" t="s">
        <v>163</v>
      </c>
      <c r="B10" s="91"/>
      <c r="C10" s="91"/>
      <c r="D10" s="91"/>
      <c r="E10" s="91" t="s">
        <v>300</v>
      </c>
      <c r="F10" s="91"/>
      <c r="G10" s="91"/>
      <c r="H10" s="91"/>
    </row>
    <row r="11" spans="1:26" x14ac:dyDescent="0.25">
      <c r="A11" s="91" t="s">
        <v>7</v>
      </c>
      <c r="B11" s="91"/>
      <c r="C11" s="91"/>
      <c r="D11" s="91"/>
      <c r="E11" s="91" t="s">
        <v>284</v>
      </c>
      <c r="F11" s="91"/>
      <c r="G11" s="91"/>
      <c r="H11" s="91"/>
    </row>
    <row r="12" spans="1:26" x14ac:dyDescent="0.25">
      <c r="A12" s="91" t="s">
        <v>165</v>
      </c>
      <c r="B12" s="91"/>
      <c r="C12" s="91"/>
      <c r="D12" s="91"/>
      <c r="E12" s="91" t="s">
        <v>29</v>
      </c>
      <c r="F12" s="91"/>
      <c r="G12" s="91"/>
      <c r="H12" s="91"/>
      <c r="S12" s="53" t="s">
        <v>172</v>
      </c>
      <c r="T12" s="53" t="s">
        <v>182</v>
      </c>
      <c r="U12" s="53" t="s">
        <v>166</v>
      </c>
      <c r="V12" s="53" t="s">
        <v>187</v>
      </c>
      <c r="W12" s="53" t="s">
        <v>205</v>
      </c>
      <c r="X12"/>
      <c r="Y12" t="s">
        <v>187</v>
      </c>
      <c r="Z12" t="e">
        <f ca="1">OFFSET($S$12,1,MATCH($G19,$S$12:$W$12,0)-1,15,1)</f>
        <v>#VALUE!</v>
      </c>
    </row>
    <row r="13" spans="1:26" ht="32.25" customHeight="1" x14ac:dyDescent="0.25">
      <c r="A13" s="101" t="s">
        <v>8</v>
      </c>
      <c r="B13" s="101"/>
      <c r="C13" s="101"/>
      <c r="D13" s="101"/>
      <c r="E13" s="94" t="s">
        <v>285</v>
      </c>
      <c r="F13" s="94"/>
      <c r="G13" s="94"/>
      <c r="H13" s="94"/>
      <c r="S13" s="53" t="s">
        <v>173</v>
      </c>
      <c r="T13" s="53" t="s">
        <v>180</v>
      </c>
      <c r="U13" s="53" t="s">
        <v>202</v>
      </c>
      <c r="V13" s="53" t="s">
        <v>188</v>
      </c>
      <c r="W13" s="53" t="s">
        <v>206</v>
      </c>
      <c r="X13"/>
      <c r="Y13"/>
      <c r="Z13"/>
    </row>
    <row r="14" spans="1:26" x14ac:dyDescent="0.25">
      <c r="A14" s="101" t="s">
        <v>9</v>
      </c>
      <c r="B14" s="101"/>
      <c r="C14" s="101"/>
      <c r="D14" s="101"/>
      <c r="E14" s="94" t="s">
        <v>231</v>
      </c>
      <c r="F14" s="91"/>
      <c r="G14" s="91"/>
      <c r="H14" s="91"/>
      <c r="I14" s="96" t="e">
        <f ca="1">OFFSET($D$4,1,MATCH($J12,$D$4:$H$4,0)-1,15,1)</f>
        <v>#N/A</v>
      </c>
      <c r="J14" s="97"/>
      <c r="K14" s="97"/>
      <c r="L14" s="97"/>
      <c r="M14" s="97"/>
      <c r="N14" s="97"/>
      <c r="O14" s="97"/>
      <c r="P14" s="97"/>
      <c r="S14" s="53" t="s">
        <v>174</v>
      </c>
      <c r="T14" s="53" t="s">
        <v>181</v>
      </c>
      <c r="U14" s="53" t="s">
        <v>203</v>
      </c>
      <c r="V14" s="53" t="s">
        <v>189</v>
      </c>
      <c r="W14" s="53" t="s">
        <v>219</v>
      </c>
      <c r="X14"/>
      <c r="Y14"/>
      <c r="Z14"/>
    </row>
    <row r="15" spans="1:26" ht="35.25" customHeight="1" x14ac:dyDescent="0.25">
      <c r="A15" s="95" t="s">
        <v>10</v>
      </c>
      <c r="B15" s="95"/>
      <c r="C15" s="9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Florence Landmark Phase 1, Survey No.71 H. No.1/B/1, near Sunrise Residency, Neral Badlapur Road, Damat, Damat, Shelu West, Karjat, Raigad - 410101.</v>
      </c>
      <c r="D15" s="95"/>
      <c r="E15" s="95"/>
      <c r="F15" s="95"/>
      <c r="G15" s="95"/>
      <c r="H15" s="95"/>
      <c r="S15" s="53" t="s">
        <v>175</v>
      </c>
      <c r="T15" s="53" t="s">
        <v>183</v>
      </c>
      <c r="U15" s="53" t="s">
        <v>204</v>
      </c>
      <c r="V15" s="53" t="s">
        <v>190</v>
      </c>
      <c r="W15" s="53" t="s">
        <v>207</v>
      </c>
      <c r="X15"/>
      <c r="Y15"/>
      <c r="Z15"/>
    </row>
    <row r="16" spans="1:26" x14ac:dyDescent="0.25">
      <c r="A16" s="94" t="s">
        <v>232</v>
      </c>
      <c r="B16" s="94"/>
      <c r="C16" s="94" t="s">
        <v>288</v>
      </c>
      <c r="D16" s="94"/>
      <c r="E16" s="94"/>
      <c r="F16" s="94"/>
      <c r="G16" s="94"/>
      <c r="H16" s="94"/>
      <c r="S16" s="53" t="s">
        <v>176</v>
      </c>
      <c r="T16" s="53" t="s">
        <v>184</v>
      </c>
      <c r="U16" s="53"/>
      <c r="V16" s="53" t="s">
        <v>191</v>
      </c>
      <c r="W16" s="53" t="s">
        <v>208</v>
      </c>
      <c r="X16"/>
      <c r="Y16"/>
      <c r="Z16"/>
    </row>
    <row r="17" spans="1:26" ht="15.75" customHeight="1" x14ac:dyDescent="0.25">
      <c r="A17" s="94" t="s">
        <v>158</v>
      </c>
      <c r="B17" s="94"/>
      <c r="C17" s="94" t="s">
        <v>235</v>
      </c>
      <c r="D17" s="94"/>
      <c r="E17" s="94"/>
      <c r="F17" s="94"/>
      <c r="G17" s="94"/>
      <c r="H17" s="94"/>
      <c r="S17" s="53" t="s">
        <v>177</v>
      </c>
      <c r="T17" s="53" t="s">
        <v>182</v>
      </c>
      <c r="U17" s="53"/>
      <c r="V17" s="53" t="s">
        <v>192</v>
      </c>
      <c r="W17" s="53" t="s">
        <v>209</v>
      </c>
      <c r="X17"/>
      <c r="Y17"/>
      <c r="Z17"/>
    </row>
    <row r="18" spans="1:26" ht="15.75" customHeight="1" x14ac:dyDescent="0.25">
      <c r="A18" s="95" t="s">
        <v>11</v>
      </c>
      <c r="B18" s="95"/>
      <c r="C18" s="91" t="s">
        <v>236</v>
      </c>
      <c r="D18" s="91"/>
      <c r="E18" s="95" t="s">
        <v>73</v>
      </c>
      <c r="F18" s="95"/>
      <c r="G18" s="94" t="s">
        <v>235</v>
      </c>
      <c r="H18" s="94"/>
      <c r="S18" s="53" t="s">
        <v>178</v>
      </c>
      <c r="T18" s="53" t="s">
        <v>185</v>
      </c>
      <c r="U18" s="53"/>
      <c r="V18" s="53" t="s">
        <v>193</v>
      </c>
      <c r="W18" s="53" t="s">
        <v>210</v>
      </c>
      <c r="X18"/>
      <c r="Y18"/>
      <c r="Z18"/>
    </row>
    <row r="19" spans="1:26" x14ac:dyDescent="0.25">
      <c r="A19" s="101" t="s">
        <v>13</v>
      </c>
      <c r="B19" s="101"/>
      <c r="C19" s="94" t="s">
        <v>237</v>
      </c>
      <c r="D19" s="94"/>
      <c r="E19" s="94" t="s">
        <v>12</v>
      </c>
      <c r="F19" s="94"/>
      <c r="G19" s="181" t="s">
        <v>187</v>
      </c>
      <c r="H19" s="181"/>
      <c r="S19" s="53" t="s">
        <v>179</v>
      </c>
      <c r="T19" s="53" t="s">
        <v>186</v>
      </c>
      <c r="U19" s="53"/>
      <c r="V19" s="53" t="s">
        <v>194</v>
      </c>
      <c r="W19" s="53" t="s">
        <v>211</v>
      </c>
      <c r="X19"/>
      <c r="Y19"/>
      <c r="Z19"/>
    </row>
    <row r="20" spans="1:26" x14ac:dyDescent="0.25">
      <c r="A20" s="101" t="s">
        <v>74</v>
      </c>
      <c r="B20" s="101"/>
      <c r="C20" s="94" t="s">
        <v>191</v>
      </c>
      <c r="D20" s="94"/>
      <c r="E20" s="94" t="s">
        <v>14</v>
      </c>
      <c r="F20" s="94"/>
      <c r="G20" s="94">
        <v>410101</v>
      </c>
      <c r="H20" s="94"/>
      <c r="S20" s="53"/>
      <c r="T20" s="53"/>
      <c r="U20" s="53"/>
      <c r="V20" s="53" t="s">
        <v>195</v>
      </c>
      <c r="W20" s="53" t="s">
        <v>212</v>
      </c>
      <c r="X20"/>
      <c r="Y20"/>
      <c r="Z20"/>
    </row>
    <row r="21" spans="1:26" ht="32.25" customHeight="1" x14ac:dyDescent="0.25">
      <c r="A21" s="101" t="s">
        <v>118</v>
      </c>
      <c r="B21" s="101"/>
      <c r="C21" s="94" t="s">
        <v>238</v>
      </c>
      <c r="D21" s="94"/>
      <c r="E21" s="94" t="s">
        <v>15</v>
      </c>
      <c r="F21" s="94"/>
      <c r="G21" s="94" t="s">
        <v>287</v>
      </c>
      <c r="H21" s="94"/>
      <c r="S21" s="53"/>
      <c r="T21" s="53"/>
      <c r="U21" s="53"/>
      <c r="V21" s="53" t="s">
        <v>196</v>
      </c>
      <c r="W21" s="53" t="s">
        <v>213</v>
      </c>
      <c r="X21"/>
      <c r="Y21"/>
      <c r="Z21"/>
    </row>
    <row r="22" spans="1:26" ht="15" customHeight="1" x14ac:dyDescent="0.25">
      <c r="A22" s="95" t="s">
        <v>75</v>
      </c>
      <c r="B22" s="95"/>
      <c r="C22" s="95"/>
      <c r="D22" s="95"/>
      <c r="E22" s="91" t="s">
        <v>16</v>
      </c>
      <c r="F22" s="91"/>
      <c r="G22" s="91"/>
      <c r="H22" s="91"/>
      <c r="S22" s="53"/>
      <c r="T22" s="53"/>
      <c r="U22" s="53"/>
      <c r="V22" s="53" t="s">
        <v>197</v>
      </c>
      <c r="W22" s="53" t="s">
        <v>214</v>
      </c>
      <c r="X22"/>
      <c r="Y22"/>
      <c r="Z22"/>
    </row>
    <row r="23" spans="1:26" ht="18.75" customHeight="1" x14ac:dyDescent="0.25">
      <c r="A23" s="95"/>
      <c r="B23" s="95"/>
      <c r="C23" s="95"/>
      <c r="D23" s="95"/>
      <c r="E23" s="91"/>
      <c r="F23" s="91"/>
      <c r="G23" s="91"/>
      <c r="H23" s="91"/>
      <c r="S23" s="53"/>
      <c r="T23" s="53"/>
      <c r="U23" s="53"/>
      <c r="V23" s="53" t="s">
        <v>198</v>
      </c>
      <c r="W23" s="53" t="s">
        <v>215</v>
      </c>
      <c r="X23"/>
      <c r="Y23"/>
      <c r="Z23"/>
    </row>
    <row r="24" spans="1:26" ht="15" customHeight="1" x14ac:dyDescent="0.25">
      <c r="A24" s="95" t="s">
        <v>17</v>
      </c>
      <c r="B24" s="95"/>
      <c r="C24" s="95"/>
      <c r="D24" s="95"/>
      <c r="E24" s="94" t="s">
        <v>18</v>
      </c>
      <c r="F24" s="94"/>
      <c r="G24" s="94"/>
      <c r="H24" s="94"/>
      <c r="S24" s="53"/>
      <c r="T24" s="53"/>
      <c r="U24" s="53"/>
      <c r="V24" s="53" t="s">
        <v>199</v>
      </c>
      <c r="W24" s="53" t="s">
        <v>216</v>
      </c>
      <c r="X24"/>
      <c r="Y24"/>
      <c r="Z24"/>
    </row>
    <row r="25" spans="1:26" ht="15" customHeight="1" x14ac:dyDescent="0.25">
      <c r="A25" s="101" t="s">
        <v>19</v>
      </c>
      <c r="B25" s="101"/>
      <c r="C25" s="101"/>
      <c r="D25" s="101"/>
      <c r="E25" s="94" t="str">
        <f>IF(AND(G19="Mumbai"),"Upper Class","Middle Class")</f>
        <v>Middle Class</v>
      </c>
      <c r="F25" s="94"/>
      <c r="G25" s="94"/>
      <c r="H25" s="94"/>
      <c r="S25" s="53"/>
      <c r="T25" s="53"/>
      <c r="U25" s="53"/>
      <c r="V25" s="53" t="s">
        <v>200</v>
      </c>
      <c r="W25" s="53" t="s">
        <v>217</v>
      </c>
      <c r="X25"/>
      <c r="Y25"/>
      <c r="Z25"/>
    </row>
    <row r="26" spans="1:26" x14ac:dyDescent="0.25">
      <c r="A26" s="101" t="s">
        <v>20</v>
      </c>
      <c r="B26" s="101"/>
      <c r="C26" s="101"/>
      <c r="D26" s="101"/>
      <c r="E26" s="94" t="s">
        <v>21</v>
      </c>
      <c r="F26" s="94"/>
      <c r="G26" s="94"/>
      <c r="H26" s="94"/>
      <c r="S26" s="53"/>
      <c r="T26" s="53"/>
      <c r="U26" s="53"/>
      <c r="V26" s="53" t="s">
        <v>201</v>
      </c>
      <c r="W26" s="53" t="s">
        <v>218</v>
      </c>
      <c r="X26"/>
      <c r="Y26"/>
      <c r="Z26"/>
    </row>
    <row r="27" spans="1:26" ht="15.75" customHeight="1" x14ac:dyDescent="0.25">
      <c r="A27" s="101" t="s">
        <v>22</v>
      </c>
      <c r="B27" s="101"/>
      <c r="C27" s="101"/>
      <c r="D27" s="101"/>
      <c r="E27" s="94" t="str">
        <f>IF(AND(G19="Mumbai"),"Developed","Developing")</f>
        <v>Developing</v>
      </c>
      <c r="F27" s="94"/>
      <c r="G27" s="94"/>
      <c r="H27" s="94"/>
    </row>
    <row r="28" spans="1:26" x14ac:dyDescent="0.25">
      <c r="A28" s="101" t="s">
        <v>23</v>
      </c>
      <c r="B28" s="101"/>
      <c r="C28" s="101"/>
      <c r="D28" s="101"/>
      <c r="E28" s="94" t="s">
        <v>24</v>
      </c>
      <c r="F28" s="94"/>
      <c r="G28" s="94"/>
      <c r="H28" s="94"/>
    </row>
    <row r="29" spans="1:26" ht="15.75" customHeight="1" x14ac:dyDescent="0.25">
      <c r="A29" s="101" t="s">
        <v>80</v>
      </c>
      <c r="B29" s="101"/>
      <c r="C29" s="101"/>
      <c r="D29" s="101"/>
      <c r="E29" s="94" t="s">
        <v>81</v>
      </c>
      <c r="F29" s="94"/>
      <c r="G29" s="94"/>
      <c r="H29" s="94"/>
    </row>
    <row r="30" spans="1:26" ht="15" customHeight="1" x14ac:dyDescent="0.25">
      <c r="A30" s="101" t="s">
        <v>32</v>
      </c>
      <c r="B30" s="101"/>
      <c r="C30" s="101"/>
      <c r="D30" s="101"/>
      <c r="E30" s="9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4"/>
      <c r="G30" s="94"/>
      <c r="H30" s="94"/>
    </row>
    <row r="31" spans="1:26" ht="15.75" customHeight="1" x14ac:dyDescent="0.25">
      <c r="A31" s="101" t="s">
        <v>92</v>
      </c>
      <c r="B31" s="101"/>
      <c r="C31" s="101"/>
      <c r="D31" s="101"/>
      <c r="E31" s="94" t="s">
        <v>33</v>
      </c>
      <c r="F31" s="94"/>
      <c r="G31" s="94"/>
      <c r="H31" s="94"/>
    </row>
    <row r="32" spans="1:26" s="21" customFormat="1" x14ac:dyDescent="0.25">
      <c r="A32" s="186" t="s">
        <v>93</v>
      </c>
      <c r="B32" s="186"/>
      <c r="C32" s="183" t="s">
        <v>167</v>
      </c>
      <c r="D32" s="184"/>
      <c r="E32" s="185"/>
      <c r="F32" s="183" t="s">
        <v>30</v>
      </c>
      <c r="G32" s="184"/>
      <c r="H32" s="185"/>
    </row>
    <row r="33" spans="1:11" s="21" customFormat="1" x14ac:dyDescent="0.25">
      <c r="A33" s="182" t="s">
        <v>25</v>
      </c>
      <c r="B33" s="182" t="s">
        <v>29</v>
      </c>
      <c r="C33" s="102" t="s">
        <v>241</v>
      </c>
      <c r="D33" s="102"/>
      <c r="E33" s="102"/>
      <c r="F33" s="102" t="s">
        <v>242</v>
      </c>
      <c r="G33" s="102"/>
      <c r="H33" s="102"/>
    </row>
    <row r="34" spans="1:11" x14ac:dyDescent="0.25">
      <c r="A34" s="182" t="s">
        <v>26</v>
      </c>
      <c r="B34" s="182" t="s">
        <v>29</v>
      </c>
      <c r="C34" s="102" t="s">
        <v>239</v>
      </c>
      <c r="D34" s="102"/>
      <c r="E34" s="102"/>
      <c r="F34" s="102" t="s">
        <v>236</v>
      </c>
      <c r="G34" s="102"/>
      <c r="H34" s="102"/>
    </row>
    <row r="35" spans="1:11" s="21" customFormat="1" x14ac:dyDescent="0.25">
      <c r="A35" s="182" t="s">
        <v>28</v>
      </c>
      <c r="B35" s="182" t="s">
        <v>29</v>
      </c>
      <c r="C35" s="102" t="s">
        <v>240</v>
      </c>
      <c r="D35" s="102"/>
      <c r="E35" s="102"/>
      <c r="F35" s="102" t="s">
        <v>243</v>
      </c>
      <c r="G35" s="102"/>
      <c r="H35" s="102"/>
    </row>
    <row r="36" spans="1:11" x14ac:dyDescent="0.25">
      <c r="A36" s="182" t="s">
        <v>27</v>
      </c>
      <c r="B36" s="182" t="s">
        <v>29</v>
      </c>
      <c r="C36" s="102" t="s">
        <v>286</v>
      </c>
      <c r="D36" s="102"/>
      <c r="E36" s="102"/>
      <c r="F36" s="102" t="s">
        <v>238</v>
      </c>
      <c r="G36" s="102"/>
      <c r="H36" s="102"/>
    </row>
    <row r="37" spans="1:11" x14ac:dyDescent="0.25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11" ht="15.75" customHeight="1" x14ac:dyDescent="0.25">
      <c r="A38" s="168" t="s">
        <v>160</v>
      </c>
      <c r="B38" s="168"/>
      <c r="C38" s="101" t="s">
        <v>233</v>
      </c>
      <c r="D38" s="101"/>
      <c r="E38" s="101"/>
      <c r="F38" s="101"/>
      <c r="G38" s="101"/>
      <c r="H38" s="101"/>
    </row>
    <row r="39" spans="1:11" x14ac:dyDescent="0.25">
      <c r="A39" s="168" t="s">
        <v>157</v>
      </c>
      <c r="B39" s="168"/>
      <c r="C39" s="215" t="s">
        <v>234</v>
      </c>
      <c r="D39" s="94"/>
      <c r="E39" s="94"/>
      <c r="F39" s="94"/>
      <c r="G39" s="94"/>
      <c r="H39" s="94"/>
    </row>
    <row r="40" spans="1:11" x14ac:dyDescent="0.25">
      <c r="A40" s="168" t="s">
        <v>34</v>
      </c>
      <c r="B40" s="168"/>
      <c r="C40" s="168"/>
      <c r="D40" s="168"/>
      <c r="E40" s="168"/>
      <c r="F40" s="168"/>
      <c r="G40" s="168"/>
      <c r="H40" s="168"/>
    </row>
    <row r="41" spans="1:11" x14ac:dyDescent="0.25">
      <c r="A41" s="101" t="s">
        <v>35</v>
      </c>
      <c r="B41" s="101"/>
      <c r="C41" s="101"/>
      <c r="D41" s="101"/>
      <c r="E41" s="187">
        <v>8352.1299999999992</v>
      </c>
      <c r="F41" s="187"/>
      <c r="G41" s="187"/>
      <c r="H41" s="187"/>
    </row>
    <row r="42" spans="1:11" x14ac:dyDescent="0.25">
      <c r="A42" s="91" t="s">
        <v>36</v>
      </c>
      <c r="B42" s="91"/>
      <c r="C42" s="91"/>
      <c r="D42" s="91"/>
      <c r="E42" s="103">
        <f>9187.34/E41</f>
        <v>1.0999996408101886</v>
      </c>
      <c r="F42" s="103"/>
      <c r="G42" s="103"/>
      <c r="H42" s="103"/>
    </row>
    <row r="43" spans="1:11" x14ac:dyDescent="0.25">
      <c r="A43" s="91" t="s">
        <v>37</v>
      </c>
      <c r="B43" s="91"/>
      <c r="C43" s="91"/>
      <c r="D43" s="91"/>
      <c r="E43" s="103">
        <f>E45/E41-E42</f>
        <v>0.71218120407608598</v>
      </c>
      <c r="F43" s="103"/>
      <c r="G43" s="103"/>
      <c r="H43" s="103"/>
    </row>
    <row r="44" spans="1:11" x14ac:dyDescent="0.25">
      <c r="A44" s="91" t="s">
        <v>38</v>
      </c>
      <c r="B44" s="91"/>
      <c r="C44" s="91"/>
      <c r="D44" s="91"/>
      <c r="E44" s="103">
        <f>E42+E43</f>
        <v>1.8121808448862746</v>
      </c>
      <c r="F44" s="103"/>
      <c r="G44" s="103"/>
      <c r="H44" s="103"/>
    </row>
    <row r="45" spans="1:11" x14ac:dyDescent="0.25">
      <c r="A45" s="91" t="s">
        <v>91</v>
      </c>
      <c r="B45" s="91"/>
      <c r="C45" s="91"/>
      <c r="D45" s="91"/>
      <c r="E45" s="190">
        <v>15135.57</v>
      </c>
      <c r="F45" s="190"/>
      <c r="G45" s="190"/>
      <c r="H45" s="190"/>
      <c r="I45" s="21" t="s">
        <v>270</v>
      </c>
      <c r="J45" s="20">
        <v>14993.5</v>
      </c>
      <c r="K45" s="20" t="s">
        <v>248</v>
      </c>
    </row>
    <row r="46" spans="1:11" x14ac:dyDescent="0.25">
      <c r="A46" s="91" t="s">
        <v>39</v>
      </c>
      <c r="B46" s="91"/>
      <c r="C46" s="91"/>
      <c r="D46" s="91"/>
      <c r="E46" s="91" t="s">
        <v>244</v>
      </c>
      <c r="F46" s="91"/>
      <c r="G46" s="91"/>
      <c r="H46" s="91"/>
    </row>
    <row r="47" spans="1:11" x14ac:dyDescent="0.25">
      <c r="A47" s="168" t="s">
        <v>40</v>
      </c>
      <c r="B47" s="168"/>
      <c r="C47" s="168"/>
      <c r="D47" s="168"/>
      <c r="E47" s="168"/>
      <c r="F47" s="168"/>
      <c r="G47" s="168"/>
      <c r="H47" s="168"/>
    </row>
    <row r="48" spans="1:11" ht="33.75" customHeight="1" x14ac:dyDescent="0.25">
      <c r="A48" s="104" t="s">
        <v>146</v>
      </c>
      <c r="B48" s="105"/>
      <c r="C48" s="191" t="s">
        <v>245</v>
      </c>
      <c r="D48" s="192"/>
      <c r="E48" s="192"/>
      <c r="F48" s="192"/>
      <c r="G48" s="192"/>
      <c r="H48" s="193"/>
    </row>
    <row r="49" spans="1:14" ht="32.25" customHeight="1" x14ac:dyDescent="0.25">
      <c r="A49" s="104" t="s">
        <v>41</v>
      </c>
      <c r="B49" s="105"/>
      <c r="C49" s="104" t="s">
        <v>250</v>
      </c>
      <c r="D49" s="106"/>
      <c r="E49" s="107"/>
      <c r="F49" s="17" t="s">
        <v>42</v>
      </c>
      <c r="G49" s="108">
        <v>44852</v>
      </c>
      <c r="H49" s="105"/>
    </row>
    <row r="50" spans="1:14" ht="30.75" customHeight="1" x14ac:dyDescent="0.25">
      <c r="A50" s="104" t="s">
        <v>43</v>
      </c>
      <c r="B50" s="105"/>
      <c r="C50" s="104" t="str">
        <f>C49</f>
        <v>MS/LNA-1/S.R./TokanNo.15818/
P.K.144/2021</v>
      </c>
      <c r="D50" s="111"/>
      <c r="E50" s="105"/>
      <c r="F50" s="17" t="s">
        <v>42</v>
      </c>
      <c r="G50" s="108">
        <f>G49</f>
        <v>44852</v>
      </c>
      <c r="H50" s="109"/>
    </row>
    <row r="51" spans="1:14" s="22" customFormat="1" ht="31.5" customHeight="1" x14ac:dyDescent="0.25">
      <c r="A51" s="95" t="s">
        <v>282</v>
      </c>
      <c r="B51" s="95"/>
      <c r="C51" s="104" t="s">
        <v>246</v>
      </c>
      <c r="D51" s="111"/>
      <c r="E51" s="105"/>
      <c r="F51" s="17" t="s">
        <v>42</v>
      </c>
      <c r="G51" s="108">
        <f>G50</f>
        <v>44852</v>
      </c>
      <c r="H51" s="109"/>
    </row>
    <row r="52" spans="1:14" s="22" customFormat="1" x14ac:dyDescent="0.25">
      <c r="A52" s="110" t="s">
        <v>225</v>
      </c>
      <c r="B52" s="110"/>
      <c r="C52" s="219" t="s">
        <v>249</v>
      </c>
      <c r="D52" s="220"/>
      <c r="E52" s="220"/>
      <c r="F52" s="220"/>
      <c r="G52" s="220"/>
      <c r="H52" s="221"/>
    </row>
    <row r="53" spans="1:14" x14ac:dyDescent="0.25">
      <c r="A53" s="134" t="s">
        <v>44</v>
      </c>
      <c r="B53" s="135"/>
      <c r="C53" s="134" t="s">
        <v>104</v>
      </c>
      <c r="D53" s="136"/>
      <c r="E53" s="135"/>
      <c r="F53" s="43" t="s">
        <v>42</v>
      </c>
      <c r="G53" s="176" t="s">
        <v>29</v>
      </c>
      <c r="H53" s="177"/>
    </row>
    <row r="54" spans="1:14" x14ac:dyDescent="0.25">
      <c r="A54" s="138" t="s">
        <v>46</v>
      </c>
      <c r="B54" s="138"/>
      <c r="C54" s="138"/>
      <c r="D54" s="138"/>
      <c r="E54" s="138"/>
      <c r="F54" s="138"/>
      <c r="G54" s="138"/>
      <c r="H54" s="138"/>
    </row>
    <row r="55" spans="1:14" x14ac:dyDescent="0.25">
      <c r="A55" s="95" t="s">
        <v>90</v>
      </c>
      <c r="B55" s="95"/>
      <c r="C55" s="95"/>
      <c r="D55" s="101">
        <f>2908.9+3220.17+3228.48</f>
        <v>9357.5499999999993</v>
      </c>
      <c r="E55" s="101"/>
      <c r="F55" s="101"/>
      <c r="G55" s="101"/>
      <c r="H55" s="101"/>
    </row>
    <row r="56" spans="1:14" x14ac:dyDescent="0.25">
      <c r="A56" s="94" t="s">
        <v>47</v>
      </c>
      <c r="B56" s="91"/>
      <c r="C56" s="91"/>
      <c r="D56" s="91" t="s">
        <v>269</v>
      </c>
      <c r="E56" s="91"/>
      <c r="F56" s="91"/>
      <c r="G56" s="91"/>
      <c r="H56" s="91"/>
      <c r="I56" s="23"/>
    </row>
    <row r="57" spans="1:14" x14ac:dyDescent="0.25">
      <c r="A57" s="173" t="s">
        <v>48</v>
      </c>
      <c r="B57" s="174"/>
      <c r="C57" s="175"/>
      <c r="D57" s="171" t="s">
        <v>290</v>
      </c>
      <c r="E57" s="172"/>
      <c r="F57" s="172"/>
      <c r="G57" s="172"/>
      <c r="H57" s="172"/>
    </row>
    <row r="58" spans="1:14" ht="15.75" customHeight="1" x14ac:dyDescent="0.25">
      <c r="A58" s="173" t="s">
        <v>88</v>
      </c>
      <c r="B58" s="174"/>
      <c r="C58" s="174"/>
      <c r="D58" s="194" t="s">
        <v>290</v>
      </c>
      <c r="E58" s="195"/>
      <c r="F58" s="195"/>
      <c r="G58" s="195"/>
      <c r="H58" s="196"/>
    </row>
    <row r="59" spans="1:14" ht="15.75" customHeight="1" x14ac:dyDescent="0.25">
      <c r="A59" s="101" t="s">
        <v>45</v>
      </c>
      <c r="B59" s="101"/>
      <c r="C59" s="101"/>
      <c r="D59" s="188" t="s">
        <v>247</v>
      </c>
      <c r="E59" s="188"/>
      <c r="F59" s="188"/>
      <c r="G59" s="188"/>
      <c r="H59" s="188"/>
      <c r="J59" s="24"/>
      <c r="K59" s="23"/>
      <c r="N59" s="23"/>
    </row>
    <row r="60" spans="1:14" ht="15.75" customHeight="1" x14ac:dyDescent="0.25">
      <c r="A60" s="101" t="s">
        <v>86</v>
      </c>
      <c r="B60" s="101"/>
      <c r="C60" s="101"/>
      <c r="D60" s="189" t="str">
        <f>(IF(G53="NA","60 Years After Completion",IF(G53&lt;&gt;"NA",""&amp;60-ROUNDDOWN((E3-G53)/360,0)&amp;" Years"," ")))</f>
        <v>60 Years After Completion</v>
      </c>
      <c r="E60" s="189"/>
      <c r="F60" s="189"/>
      <c r="G60" s="189"/>
      <c r="H60" s="189"/>
      <c r="N60" s="23"/>
    </row>
    <row r="61" spans="1:14" ht="15.75" customHeight="1" x14ac:dyDescent="0.25">
      <c r="A61" s="101" t="s">
        <v>87</v>
      </c>
      <c r="B61" s="101"/>
      <c r="C61" s="101"/>
      <c r="D61" s="95" t="s">
        <v>24</v>
      </c>
      <c r="E61" s="95"/>
      <c r="F61" s="95"/>
      <c r="G61" s="95"/>
      <c r="H61" s="95"/>
      <c r="J61" s="25"/>
      <c r="K61" s="25"/>
    </row>
    <row r="62" spans="1:14" ht="33.75" customHeight="1" x14ac:dyDescent="0.25">
      <c r="A62" s="91" t="s">
        <v>226</v>
      </c>
      <c r="B62" s="91"/>
      <c r="C62" s="91"/>
      <c r="D62" s="94" t="s">
        <v>281</v>
      </c>
      <c r="E62" s="95"/>
      <c r="F62" s="95"/>
      <c r="G62" s="95"/>
      <c r="H62" s="95"/>
    </row>
    <row r="63" spans="1:14" x14ac:dyDescent="0.25">
      <c r="A63" s="95" t="s">
        <v>144</v>
      </c>
      <c r="B63" s="95"/>
      <c r="C63" s="95"/>
      <c r="D63" s="95" t="s">
        <v>29</v>
      </c>
      <c r="E63" s="95"/>
      <c r="F63" s="95"/>
      <c r="G63" s="95"/>
      <c r="H63" s="95"/>
      <c r="I63" s="26"/>
      <c r="J63" s="26"/>
      <c r="K63" s="26"/>
      <c r="L63" s="26"/>
      <c r="M63" s="26"/>
      <c r="N63" s="26"/>
    </row>
    <row r="64" spans="1:14" ht="15.75" customHeight="1" x14ac:dyDescent="0.25">
      <c r="A64" s="101" t="s">
        <v>85</v>
      </c>
      <c r="B64" s="101"/>
      <c r="C64" s="101"/>
      <c r="D64" s="94" t="str">
        <f ca="1">(IF(G70&gt;95%,"Nothing",IF(G70&gt;0%,"Cement, Aggregate, Steel, etc",IF(G70=0%,"Work not yet Started"))))</f>
        <v>Cement, Aggregate, Steel, etc</v>
      </c>
      <c r="E64" s="94"/>
      <c r="F64" s="94"/>
      <c r="G64" s="94"/>
      <c r="H64" s="94"/>
      <c r="J64" s="25"/>
    </row>
    <row r="65" spans="1:10" ht="33.75" customHeight="1" thickBot="1" x14ac:dyDescent="0.3">
      <c r="A65" s="95" t="s">
        <v>117</v>
      </c>
      <c r="B65" s="95"/>
      <c r="C65" s="95"/>
      <c r="D65" s="94" t="str">
        <f ca="1">(IF(D64="Nothing","Yes",IF(D64="Cement, Aggregate, Steel, etc","Under Construction",IF(D64="Work not yet Started","Work not yet Started"))))</f>
        <v>Under Construction</v>
      </c>
      <c r="E65" s="94"/>
      <c r="F65" s="94" t="str">
        <f ca="1">(IF(D64="Nothing","Yes",IF(D64="Cement, Aggregate, Steel, etc","Under Construction",IF(D64="Work not yet Started","Work not yet Started"))))</f>
        <v>Under Construction</v>
      </c>
      <c r="G65" s="94"/>
      <c r="H65" s="94"/>
    </row>
    <row r="66" spans="1:10" ht="15.75" customHeight="1" x14ac:dyDescent="0.25">
      <c r="A66" s="120" t="s">
        <v>136</v>
      </c>
      <c r="B66" s="120"/>
      <c r="C66" s="120" t="s">
        <v>297</v>
      </c>
      <c r="D66" s="120"/>
      <c r="E66" s="120"/>
      <c r="F66" s="120"/>
      <c r="G66" s="120"/>
      <c r="H66" s="120"/>
      <c r="I66" s="88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3 Floor, External Plaster upto 1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3 Floor, External Plaster upto 1 Floor</v>
      </c>
    </row>
    <row r="67" spans="1:10" x14ac:dyDescent="0.25">
      <c r="A67" s="87" t="s">
        <v>138</v>
      </c>
      <c r="B67" s="87">
        <f>IF(AND(ISNUMBER(SEARCH("1B",C66))),1,IF(AND(ISNUMBER(SEARCH("2B",C66))),2,IF(AND(ISNUMBER(SEARCH("3B",C66))),3,IF(AND(ISNUMBER(SEARCH("4B",C66))),4,IF(ISNUMBER(SEARCH("5B",C66)),5,0)))))</f>
        <v>0</v>
      </c>
      <c r="C67" s="87" t="s">
        <v>72</v>
      </c>
      <c r="D67" s="87">
        <v>1</v>
      </c>
      <c r="E67" s="87" t="s">
        <v>71</v>
      </c>
      <c r="F67" s="87">
        <v>0</v>
      </c>
      <c r="G67" s="45" t="s">
        <v>79</v>
      </c>
      <c r="H67" s="87">
        <f ca="1">--TRIM(RIGHT(SUBSTITUTE(LEFT(C66,_xlfn.AGGREGATE(16,6,FIND({0,1,2,3,4,5,6,7,8,9},C66,ROW(INDIRECT("1:"&amp;LEN(C66)))),1))," ",REPT(" ",LEN(C66))),LEN(C66)))</f>
        <v>7</v>
      </c>
      <c r="I67" s="8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5" customHeight="1" x14ac:dyDescent="0.25">
      <c r="A68" s="119" t="s">
        <v>89</v>
      </c>
      <c r="B68" s="119"/>
      <c r="C68" s="112" t="str">
        <f ca="1">I66</f>
        <v>Excavation, Plinth, RCC Slab, Brickwork Completed, Internal Plaster upto 3 Floor, External Plaster upto 1 Floor Completed</v>
      </c>
      <c r="D68" s="112"/>
      <c r="E68" s="112"/>
      <c r="F68" s="112"/>
      <c r="G68" s="112"/>
      <c r="H68" s="112"/>
      <c r="I68" s="89" t="str">
        <f ca="1">IF(I67&lt;&gt;""," Completed","")</f>
        <v xml:space="preserve"> Completed</v>
      </c>
      <c r="J68" s="49" t="str">
        <f ca="1">IF(J66&lt;&gt;"","Completed","")</f>
        <v>Completed</v>
      </c>
    </row>
    <row r="69" spans="1:10" ht="15.75" customHeight="1" x14ac:dyDescent="0.25">
      <c r="A69" s="93" t="s">
        <v>49</v>
      </c>
      <c r="B69" s="93"/>
      <c r="C69" s="86" t="s">
        <v>135</v>
      </c>
      <c r="D69" s="86" t="s">
        <v>82</v>
      </c>
      <c r="E69" s="93" t="s">
        <v>84</v>
      </c>
      <c r="F69" s="93"/>
      <c r="G69" s="93" t="s">
        <v>83</v>
      </c>
      <c r="H69" s="93"/>
      <c r="I69" s="13" t="s">
        <v>137</v>
      </c>
      <c r="J69" s="27">
        <f ca="1">H67*25%</f>
        <v>1.75</v>
      </c>
    </row>
    <row r="70" spans="1:10" x14ac:dyDescent="0.25">
      <c r="A70" s="92" t="s">
        <v>124</v>
      </c>
      <c r="B70" s="93"/>
      <c r="C70" s="41">
        <f ca="1">J71</f>
        <v>7</v>
      </c>
      <c r="D70" s="18">
        <f ca="1">((100/H67)*C70)/100</f>
        <v>1</v>
      </c>
      <c r="E70" s="124">
        <f ca="1">(((C71/H67*10)+(40/(D67+F67+H67)*C72)+(7.5/(H67)*C73)+(7.5/(H67)*C74)+(10/H67*C75)+(10/H67*C76)+(5/H67*C77)+(5/H67*C78)+(5/H67*C79))/100)</f>
        <v>0.62142857142857144</v>
      </c>
      <c r="F70" s="125"/>
      <c r="G70" s="124">
        <f ca="1">((((C70/H67)*20)+((C71/H67)*25)+(30/(H67+F67+D67)*C72)+(5/H67*C73)+(5/H67*C74)+(5/H67*C75)+(5/H67*C76)+(0/H67*C77)+(0/H67*C78)+(5/H67*C79))/100)</f>
        <v>0.82857142857142851</v>
      </c>
      <c r="H70" s="130"/>
      <c r="I70" s="13" t="s">
        <v>99</v>
      </c>
      <c r="J70" s="28">
        <f ca="1">H67*50%</f>
        <v>3.5</v>
      </c>
    </row>
    <row r="71" spans="1:10" x14ac:dyDescent="0.25">
      <c r="A71" s="92" t="s">
        <v>50</v>
      </c>
      <c r="B71" s="93"/>
      <c r="C71" s="51">
        <f ca="1">J79</f>
        <v>7</v>
      </c>
      <c r="D71" s="18">
        <f ca="1">((100/H67)*C71)/100</f>
        <v>1</v>
      </c>
      <c r="E71" s="126"/>
      <c r="F71" s="127"/>
      <c r="G71" s="126"/>
      <c r="H71" s="131"/>
      <c r="I71" s="13" t="s">
        <v>100</v>
      </c>
      <c r="J71" s="28">
        <f ca="1">H67</f>
        <v>7</v>
      </c>
    </row>
    <row r="72" spans="1:10" ht="15.75" customHeight="1" x14ac:dyDescent="0.25">
      <c r="A72" s="92" t="s">
        <v>125</v>
      </c>
      <c r="B72" s="93"/>
      <c r="C72" s="41">
        <v>8</v>
      </c>
      <c r="D72" s="18">
        <f ca="1">((100/(D67+F67+H67))*C72)/100</f>
        <v>1</v>
      </c>
      <c r="E72" s="126"/>
      <c r="F72" s="127"/>
      <c r="G72" s="126"/>
      <c r="H72" s="131"/>
      <c r="I72" s="13" t="s">
        <v>101</v>
      </c>
      <c r="J72" s="29">
        <f ca="1">(IF(B67&gt;1,(H67/(B67+2)),H67/4))</f>
        <v>1.75</v>
      </c>
    </row>
    <row r="73" spans="1:10" ht="15.75" customHeight="1" x14ac:dyDescent="0.25">
      <c r="A73" s="92" t="s">
        <v>132</v>
      </c>
      <c r="B73" s="93" t="s">
        <v>126</v>
      </c>
      <c r="C73" s="41">
        <v>7</v>
      </c>
      <c r="D73" s="18">
        <f ca="1">((100/H67)*C73)/100</f>
        <v>1</v>
      </c>
      <c r="E73" s="126"/>
      <c r="F73" s="127"/>
      <c r="G73" s="126"/>
      <c r="H73" s="131"/>
      <c r="I73" s="13" t="s">
        <v>102</v>
      </c>
      <c r="J73" s="29">
        <f ca="1">(IF(B67&gt;1,(H67/(B67+2)+J72),H67/4+J72))</f>
        <v>3.5</v>
      </c>
    </row>
    <row r="74" spans="1:10" ht="15.75" customHeight="1" x14ac:dyDescent="0.25">
      <c r="A74" s="92" t="s">
        <v>133</v>
      </c>
      <c r="B74" s="93" t="s">
        <v>126</v>
      </c>
      <c r="C74" s="41">
        <v>3</v>
      </c>
      <c r="D74" s="18">
        <f ca="1">((100/H67)*C74)/100</f>
        <v>0.4285714285714286</v>
      </c>
      <c r="E74" s="126"/>
      <c r="F74" s="127"/>
      <c r="G74" s="126"/>
      <c r="H74" s="131"/>
      <c r="I74" s="13" t="s">
        <v>142</v>
      </c>
      <c r="J74" s="29">
        <f>(IF(B67&gt;1,(H67/(B67+2)+J73),0))</f>
        <v>0</v>
      </c>
    </row>
    <row r="75" spans="1:10" ht="15" customHeight="1" x14ac:dyDescent="0.25">
      <c r="A75" s="92" t="s">
        <v>131</v>
      </c>
      <c r="B75" s="93" t="s">
        <v>128</v>
      </c>
      <c r="C75" s="41">
        <v>1</v>
      </c>
      <c r="D75" s="18">
        <f ca="1">((100/(H67))*C75)/100</f>
        <v>0.14285714285714288</v>
      </c>
      <c r="E75" s="126"/>
      <c r="F75" s="127"/>
      <c r="G75" s="126"/>
      <c r="H75" s="131"/>
      <c r="I75" s="13" t="s">
        <v>139</v>
      </c>
      <c r="J75" s="29">
        <f>(IF(B67&gt;2,(H67/(B67+2)+J74),0))</f>
        <v>0</v>
      </c>
    </row>
    <row r="76" spans="1:10" ht="15.75" customHeight="1" x14ac:dyDescent="0.25">
      <c r="A76" s="92" t="s">
        <v>127</v>
      </c>
      <c r="B76" s="93" t="s">
        <v>127</v>
      </c>
      <c r="C76" s="41">
        <v>0</v>
      </c>
      <c r="D76" s="18">
        <f ca="1">((100/H67)*C76)/100</f>
        <v>0</v>
      </c>
      <c r="E76" s="126"/>
      <c r="F76" s="127"/>
      <c r="G76" s="126"/>
      <c r="H76" s="131"/>
      <c r="I76" s="13" t="s">
        <v>140</v>
      </c>
      <c r="J76" s="30">
        <f>(IF(B67&gt;3,(H67/(B67+2)+J75),0))</f>
        <v>0</v>
      </c>
    </row>
    <row r="77" spans="1:10" ht="15.75" customHeight="1" x14ac:dyDescent="0.25">
      <c r="A77" s="92" t="s">
        <v>134</v>
      </c>
      <c r="B77" s="93"/>
      <c r="C77" s="41">
        <v>0</v>
      </c>
      <c r="D77" s="18">
        <f ca="1">((100/H67)*C77)/100</f>
        <v>0</v>
      </c>
      <c r="E77" s="126"/>
      <c r="F77" s="127"/>
      <c r="G77" s="126"/>
      <c r="H77" s="131"/>
      <c r="I77" s="13" t="s">
        <v>141</v>
      </c>
      <c r="J77" s="29">
        <f>(IF(B67&gt;4,(H67/(B67+2)+J76),0))</f>
        <v>0</v>
      </c>
    </row>
    <row r="78" spans="1:10" ht="15.75" customHeight="1" x14ac:dyDescent="0.25">
      <c r="A78" s="92" t="s">
        <v>129</v>
      </c>
      <c r="B78" s="93" t="s">
        <v>129</v>
      </c>
      <c r="C78" s="41">
        <v>0</v>
      </c>
      <c r="D78" s="18">
        <f ca="1">((100/(H67))*C78)/100</f>
        <v>0</v>
      </c>
      <c r="E78" s="126"/>
      <c r="F78" s="127"/>
      <c r="G78" s="126"/>
      <c r="H78" s="131"/>
      <c r="I78" s="13" t="s">
        <v>143</v>
      </c>
      <c r="J78" s="29">
        <f ca="1">(IF(B67=1,(H67/(B67+3)+J73),IF(B67=0,(H67/4+J73),IF(B67&gt;1,0))))</f>
        <v>5.25</v>
      </c>
    </row>
    <row r="79" spans="1:10" ht="16.5" thickBot="1" x14ac:dyDescent="0.3">
      <c r="A79" s="200" t="s">
        <v>130</v>
      </c>
      <c r="B79" s="201"/>
      <c r="C79" s="42">
        <v>0</v>
      </c>
      <c r="D79" s="19">
        <f ca="1">((100/(H67))*C79)/100</f>
        <v>0</v>
      </c>
      <c r="E79" s="128"/>
      <c r="F79" s="129"/>
      <c r="G79" s="128"/>
      <c r="H79" s="132"/>
      <c r="I79" s="14" t="s">
        <v>103</v>
      </c>
      <c r="J79" s="31">
        <f ca="1">(IF(B67&gt;1.5,(H67/(B67+2)+J73+MAX(0,J74-J73)+MAX(0,J75-J74)+MAX(0,J76-J75)+MAX(0,J77-J76)+MAX(0,J78-J77)),IF(B67=1,(H67/(B67+3)+J78),IF(B67=0,H67/4+J78))))</f>
        <v>7</v>
      </c>
    </row>
    <row r="80" spans="1:10" ht="15.75" customHeight="1" x14ac:dyDescent="0.25">
      <c r="A80" s="217" t="s">
        <v>136</v>
      </c>
      <c r="B80" s="218"/>
      <c r="C80" s="149" t="s">
        <v>298</v>
      </c>
      <c r="D80" s="150"/>
      <c r="E80" s="150"/>
      <c r="F80" s="150"/>
      <c r="G80" s="150"/>
      <c r="H80" s="151"/>
      <c r="I80" s="46" t="str">
        <f ca="1">IF(D93=100%,"All work Completed. Possession granted to the Building.",IF(D92=100%,"All work Completed, Waiting for OC",I81&amp;""&amp;I82&amp;""&amp;J81&amp;""&amp;J80&amp;" "&amp;J82))</f>
        <v>Excavation, Plinth Completed, RCC upto 7 Slab, Brickwork upto 3 Floor Completed</v>
      </c>
      <c r="J80" s="47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7 Slab, Brickwork upto 3 Floor</v>
      </c>
    </row>
    <row r="81" spans="1:10" x14ac:dyDescent="0.25">
      <c r="A81" s="15" t="s">
        <v>138</v>
      </c>
      <c r="B81" s="50">
        <f>IF(AND(ISNUMBER(SEARCH("1B",C80))),1,IF(AND(ISNUMBER(SEARCH("2B",C80))),2,IF(AND(ISNUMBER(SEARCH("3B",C80))),3,IF(AND(ISNUMBER(SEARCH("4B",C80))),4,IF(ISNUMBER(SEARCH("5B",C80)),5,0)))))</f>
        <v>0</v>
      </c>
      <c r="C81" s="50" t="s">
        <v>72</v>
      </c>
      <c r="D81" s="50">
        <v>1</v>
      </c>
      <c r="E81" s="50" t="s">
        <v>71</v>
      </c>
      <c r="F81" s="50">
        <v>0</v>
      </c>
      <c r="G81" s="45" t="s">
        <v>79</v>
      </c>
      <c r="H81" s="16">
        <f ca="1">--TRIM(RIGHT(SUBSTITUTE(LEFT(C80,_xlfn.AGGREGATE(16,6,FIND({0,1,2,3,4,5,6,7,8,9},C80,ROW(INDIRECT("1:"&amp;LEN(C80)))),1))," ",REPT(" ",LEN(C80))),LEN(C80)))</f>
        <v>7</v>
      </c>
      <c r="I81" s="48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49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1.5" customHeight="1" x14ac:dyDescent="0.25">
      <c r="A82" s="121" t="s">
        <v>89</v>
      </c>
      <c r="B82" s="119"/>
      <c r="C82" s="112" t="str">
        <f ca="1">I80</f>
        <v>Excavation, Plinth Completed, RCC upto 7 Slab, Brickwork upto 3 Floor Completed</v>
      </c>
      <c r="D82" s="112"/>
      <c r="E82" s="112"/>
      <c r="F82" s="112"/>
      <c r="G82" s="112"/>
      <c r="H82" s="122"/>
      <c r="I82" s="48" t="str">
        <f ca="1">IF(I81&lt;&gt;""," Completed","")</f>
        <v xml:space="preserve"> Completed</v>
      </c>
      <c r="J82" s="49" t="str">
        <f ca="1">IF(J80&lt;&gt;"","Completed","")</f>
        <v>Completed</v>
      </c>
    </row>
    <row r="83" spans="1:10" ht="15.75" customHeight="1" x14ac:dyDescent="0.25">
      <c r="A83" s="92" t="s">
        <v>49</v>
      </c>
      <c r="B83" s="93"/>
      <c r="C83" s="84" t="s">
        <v>135</v>
      </c>
      <c r="D83" s="84" t="s">
        <v>82</v>
      </c>
      <c r="E83" s="93" t="s">
        <v>84</v>
      </c>
      <c r="F83" s="93"/>
      <c r="G83" s="93" t="s">
        <v>83</v>
      </c>
      <c r="H83" s="123"/>
      <c r="I83" s="13" t="s">
        <v>137</v>
      </c>
      <c r="J83" s="27">
        <f ca="1">H81*25%</f>
        <v>1.75</v>
      </c>
    </row>
    <row r="84" spans="1:10" x14ac:dyDescent="0.25">
      <c r="A84" s="92" t="s">
        <v>124</v>
      </c>
      <c r="B84" s="93"/>
      <c r="C84" s="84">
        <f ca="1">J85</f>
        <v>7</v>
      </c>
      <c r="D84" s="18">
        <f ca="1">((100/H81)*C84)/100</f>
        <v>1</v>
      </c>
      <c r="E84" s="124">
        <f ca="1">(((C85/H81*10)+(40/(D81+F81+H81)*C86)+(7.5/(H81)*C87)+(7.5/(H81)*C88)+(10/H81*C89)+(10/H81*C90)+(5/H81*C91)+(5/H81*C92)+(5/H81*C93))/100)</f>
        <v>0.48214285714285715</v>
      </c>
      <c r="F84" s="125"/>
      <c r="G84" s="124">
        <f ca="1">((((C84/H81)*20)+((C85/H81)*25)+(30/(H81+F81+D81)*C86)+(5/H81*C87)+(5/H81*C88)+(5/H81*C89)+(5/H81*C90)+(0/H81*C91)+(0/H81*C92)+(5/H81*C93))/100)</f>
        <v>0.73392857142857137</v>
      </c>
      <c r="H84" s="130"/>
      <c r="I84" s="13" t="s">
        <v>99</v>
      </c>
      <c r="J84" s="28">
        <f ca="1">H81*50%</f>
        <v>3.5</v>
      </c>
    </row>
    <row r="85" spans="1:10" x14ac:dyDescent="0.25">
      <c r="A85" s="92" t="s">
        <v>50</v>
      </c>
      <c r="B85" s="93"/>
      <c r="C85" s="51">
        <f ca="1">J93</f>
        <v>7</v>
      </c>
      <c r="D85" s="18">
        <f ca="1">((100/H81)*C85)/100</f>
        <v>1</v>
      </c>
      <c r="E85" s="126"/>
      <c r="F85" s="127"/>
      <c r="G85" s="126"/>
      <c r="H85" s="131"/>
      <c r="I85" s="13" t="s">
        <v>100</v>
      </c>
      <c r="J85" s="28">
        <f ca="1">H81</f>
        <v>7</v>
      </c>
    </row>
    <row r="86" spans="1:10" ht="15.75" customHeight="1" x14ac:dyDescent="0.25">
      <c r="A86" s="92" t="s">
        <v>125</v>
      </c>
      <c r="B86" s="93"/>
      <c r="C86" s="84">
        <v>7</v>
      </c>
      <c r="D86" s="18">
        <f ca="1">((100/(D81+F81+H81))*C86)/100</f>
        <v>0.875</v>
      </c>
      <c r="E86" s="126"/>
      <c r="F86" s="127"/>
      <c r="G86" s="126"/>
      <c r="H86" s="131"/>
      <c r="I86" s="13" t="s">
        <v>101</v>
      </c>
      <c r="J86" s="29">
        <f ca="1">(IF(B81&gt;1,(H81/(B81+2)),H81/4))</f>
        <v>1.75</v>
      </c>
    </row>
    <row r="87" spans="1:10" ht="15.75" customHeight="1" x14ac:dyDescent="0.25">
      <c r="A87" s="92" t="s">
        <v>132</v>
      </c>
      <c r="B87" s="93" t="s">
        <v>126</v>
      </c>
      <c r="C87" s="84">
        <v>3</v>
      </c>
      <c r="D87" s="18">
        <f ca="1">((100/H81)*C87)/100</f>
        <v>0.4285714285714286</v>
      </c>
      <c r="E87" s="126"/>
      <c r="F87" s="127"/>
      <c r="G87" s="126"/>
      <c r="H87" s="131"/>
      <c r="I87" s="13" t="s">
        <v>102</v>
      </c>
      <c r="J87" s="29">
        <f ca="1">(IF(B81&gt;1,(H81/(B81+2)+J86),H81/4+J86))</f>
        <v>3.5</v>
      </c>
    </row>
    <row r="88" spans="1:10" ht="15.75" customHeight="1" x14ac:dyDescent="0.25">
      <c r="A88" s="92" t="s">
        <v>133</v>
      </c>
      <c r="B88" s="93" t="s">
        <v>126</v>
      </c>
      <c r="C88" s="84">
        <v>0</v>
      </c>
      <c r="D88" s="18">
        <f ca="1">((100/H81)*C88)/100</f>
        <v>0</v>
      </c>
      <c r="E88" s="126"/>
      <c r="F88" s="127"/>
      <c r="G88" s="126"/>
      <c r="H88" s="131"/>
      <c r="I88" s="13" t="s">
        <v>142</v>
      </c>
      <c r="J88" s="29">
        <f>(IF(B81&gt;1,(H81/(B81+2)+J87),0))</f>
        <v>0</v>
      </c>
    </row>
    <row r="89" spans="1:10" ht="15" customHeight="1" x14ac:dyDescent="0.25">
      <c r="A89" s="92" t="s">
        <v>131</v>
      </c>
      <c r="B89" s="93" t="s">
        <v>128</v>
      </c>
      <c r="C89" s="84">
        <v>0</v>
      </c>
      <c r="D89" s="18">
        <f ca="1">((100/(H81))*C89)/100</f>
        <v>0</v>
      </c>
      <c r="E89" s="126"/>
      <c r="F89" s="127"/>
      <c r="G89" s="126"/>
      <c r="H89" s="131"/>
      <c r="I89" s="13" t="s">
        <v>139</v>
      </c>
      <c r="J89" s="29">
        <f>(IF(B81&gt;2,(H81/(B81+2)+J88),0))</f>
        <v>0</v>
      </c>
    </row>
    <row r="90" spans="1:10" ht="15.75" customHeight="1" x14ac:dyDescent="0.25">
      <c r="A90" s="92" t="s">
        <v>127</v>
      </c>
      <c r="B90" s="93" t="s">
        <v>127</v>
      </c>
      <c r="C90" s="84">
        <v>0</v>
      </c>
      <c r="D90" s="18">
        <f ca="1">((100/H81)*C90)/100</f>
        <v>0</v>
      </c>
      <c r="E90" s="126"/>
      <c r="F90" s="127"/>
      <c r="G90" s="126"/>
      <c r="H90" s="131"/>
      <c r="I90" s="13" t="s">
        <v>140</v>
      </c>
      <c r="J90" s="30">
        <f>(IF(B81&gt;3,(H81/(B81+2)+J89),0))</f>
        <v>0</v>
      </c>
    </row>
    <row r="91" spans="1:10" ht="15.75" customHeight="1" x14ac:dyDescent="0.25">
      <c r="A91" s="92" t="s">
        <v>134</v>
      </c>
      <c r="B91" s="93"/>
      <c r="C91" s="84">
        <v>0</v>
      </c>
      <c r="D91" s="18">
        <f ca="1">((100/H81)*C91)/100</f>
        <v>0</v>
      </c>
      <c r="E91" s="126"/>
      <c r="F91" s="127"/>
      <c r="G91" s="126"/>
      <c r="H91" s="131"/>
      <c r="I91" s="13" t="s">
        <v>141</v>
      </c>
      <c r="J91" s="29">
        <f>(IF(B81&gt;4,(H81/(B81+2)+J90),0))</f>
        <v>0</v>
      </c>
    </row>
    <row r="92" spans="1:10" ht="15.75" customHeight="1" x14ac:dyDescent="0.25">
      <c r="A92" s="92" t="s">
        <v>129</v>
      </c>
      <c r="B92" s="93" t="s">
        <v>129</v>
      </c>
      <c r="C92" s="84">
        <v>0</v>
      </c>
      <c r="D92" s="18">
        <f ca="1">((100/(H81))*C92)/100</f>
        <v>0</v>
      </c>
      <c r="E92" s="126"/>
      <c r="F92" s="127"/>
      <c r="G92" s="126"/>
      <c r="H92" s="131"/>
      <c r="I92" s="13" t="s">
        <v>143</v>
      </c>
      <c r="J92" s="29">
        <f ca="1">(IF(B81=1,(H81/(B81+3)+J87),IF(B81=0,(H81/4+J87),IF(B81&gt;1,0))))</f>
        <v>5.25</v>
      </c>
    </row>
    <row r="93" spans="1:10" ht="16.5" thickBot="1" x14ac:dyDescent="0.3">
      <c r="A93" s="200" t="s">
        <v>130</v>
      </c>
      <c r="B93" s="201"/>
      <c r="C93" s="85">
        <v>0</v>
      </c>
      <c r="D93" s="19">
        <f ca="1">((100/(H81))*C93)/100</f>
        <v>0</v>
      </c>
      <c r="E93" s="128"/>
      <c r="F93" s="129"/>
      <c r="G93" s="128"/>
      <c r="H93" s="132"/>
      <c r="I93" s="14" t="s">
        <v>103</v>
      </c>
      <c r="J93" s="31">
        <f ca="1">(IF(B81&gt;1.5,(H81/(B81+2)+J87+MAX(0,J88-J87)+MAX(0,J89-J88)+MAX(0,J90-J89)+MAX(0,J91-J90)+MAX(0,J92-J91)),IF(B81=1,(H81/(B81+3)+J92),IF(B81=0,H81/4+J92))))</f>
        <v>7</v>
      </c>
    </row>
    <row r="94" spans="1:10" ht="15.75" customHeight="1" x14ac:dyDescent="0.25">
      <c r="A94" s="217" t="s">
        <v>136</v>
      </c>
      <c r="B94" s="218"/>
      <c r="C94" s="149" t="s">
        <v>299</v>
      </c>
      <c r="D94" s="150"/>
      <c r="E94" s="150"/>
      <c r="F94" s="150"/>
      <c r="G94" s="150"/>
      <c r="H94" s="151"/>
      <c r="I94" s="46" t="str">
        <f ca="1">IF(D107=100%,"All work Completed. Possession granted to the Building.",IF(D106=100%,"All work Completed, Waiting for OC",I95&amp;""&amp;I96&amp;""&amp;J95&amp;""&amp;J94&amp;" "&amp;J96))</f>
        <v>Excavation, Plinth Completed, RCC upto 7 Slab, Brickwork upto 3 Floor, Internal Plaster upto 1 Floor Completed</v>
      </c>
      <c r="J94" s="47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7 Slab, Brickwork upto 3 Floor, Internal Plaster upto 1 Floor</v>
      </c>
    </row>
    <row r="95" spans="1:10" x14ac:dyDescent="0.25">
      <c r="A95" s="15" t="s">
        <v>138</v>
      </c>
      <c r="B95" s="50">
        <f>IF(AND(ISNUMBER(SEARCH("1B",C94))),1,IF(AND(ISNUMBER(SEARCH("2B",C94))),2,IF(AND(ISNUMBER(SEARCH("3B",C94))),3,IF(AND(ISNUMBER(SEARCH("4B",C94))),4,IF(ISNUMBER(SEARCH("5B",C94)),5,0)))))</f>
        <v>0</v>
      </c>
      <c r="C95" s="50" t="s">
        <v>72</v>
      </c>
      <c r="D95" s="50">
        <v>1</v>
      </c>
      <c r="E95" s="50" t="s">
        <v>71</v>
      </c>
      <c r="F95" s="50">
        <v>0</v>
      </c>
      <c r="G95" s="45" t="s">
        <v>79</v>
      </c>
      <c r="H95" s="16">
        <f ca="1">--TRIM(RIGHT(SUBSTITUTE(LEFT(C94,_xlfn.AGGREGATE(16,6,FIND({0,1,2,3,4,5,6,7,8,9},C94,ROW(INDIRECT("1:"&amp;LEN(C94)))),1))," ",REPT(" ",LEN(C94))),LEN(C94)))</f>
        <v>7</v>
      </c>
      <c r="I95" s="48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9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ht="32.25" customHeight="1" x14ac:dyDescent="0.25">
      <c r="A96" s="119" t="s">
        <v>89</v>
      </c>
      <c r="B96" s="119"/>
      <c r="C96" s="112" t="str">
        <f ca="1">I94</f>
        <v>Excavation, Plinth Completed, RCC upto 7 Slab, Brickwork upto 3 Floor, Internal Plaster upto 1 Floor Completed</v>
      </c>
      <c r="D96" s="112"/>
      <c r="E96" s="112"/>
      <c r="F96" s="112"/>
      <c r="G96" s="112"/>
      <c r="H96" s="112"/>
      <c r="I96" s="89" t="str">
        <f ca="1">IF(I95&lt;&gt;""," Completed","")</f>
        <v xml:space="preserve"> Completed</v>
      </c>
      <c r="J96" s="49" t="str">
        <f ca="1">IF(J94&lt;&gt;"","Completed","")</f>
        <v>Completed</v>
      </c>
    </row>
    <row r="97" spans="1:10" ht="15.75" customHeight="1" x14ac:dyDescent="0.25">
      <c r="A97" s="93" t="s">
        <v>49</v>
      </c>
      <c r="B97" s="93"/>
      <c r="C97" s="86" t="s">
        <v>135</v>
      </c>
      <c r="D97" s="86" t="s">
        <v>82</v>
      </c>
      <c r="E97" s="93" t="s">
        <v>84</v>
      </c>
      <c r="F97" s="93"/>
      <c r="G97" s="93" t="s">
        <v>83</v>
      </c>
      <c r="H97" s="93"/>
      <c r="I97" s="13" t="s">
        <v>137</v>
      </c>
      <c r="J97" s="27">
        <f ca="1">H95*25%</f>
        <v>1.75</v>
      </c>
    </row>
    <row r="98" spans="1:10" x14ac:dyDescent="0.25">
      <c r="A98" s="93" t="s">
        <v>124</v>
      </c>
      <c r="B98" s="93"/>
      <c r="C98" s="86">
        <f ca="1">J99</f>
        <v>7</v>
      </c>
      <c r="D98" s="18">
        <f ca="1">((100/H95)*C98)/100</f>
        <v>1</v>
      </c>
      <c r="E98" s="226">
        <f ca="1">(((C99/H95*10)+(40/(D95+F95+H95)*C100)+(7.5/(H95)*C101)+(7.5/(H95)*C102)+(10/H95*C103)+(10/H95*C104)+(5/H95*C105)+(5/H95*C106)+(5/H95*C107))/100)</f>
        <v>0.49285714285714283</v>
      </c>
      <c r="F98" s="226"/>
      <c r="G98" s="226">
        <f ca="1">((((C98/H95)*20)+((C99/H95)*25)+(30/(H95+F95+D95)*C100)+(5/H95*C101)+(5/H95*C102)+(5/H95*C103)+(5/H95*C104)+(0/H95*C105)+(0/H95*C106)+(5/H95*C107))/100)</f>
        <v>0.74107142857142849</v>
      </c>
      <c r="H98" s="226"/>
      <c r="I98" s="13" t="s">
        <v>99</v>
      </c>
      <c r="J98" s="28">
        <f ca="1">H95*50%</f>
        <v>3.5</v>
      </c>
    </row>
    <row r="99" spans="1:10" x14ac:dyDescent="0.25">
      <c r="A99" s="93" t="s">
        <v>50</v>
      </c>
      <c r="B99" s="93"/>
      <c r="C99" s="51">
        <f ca="1">J107</f>
        <v>7</v>
      </c>
      <c r="D99" s="18">
        <f ca="1">((100/H95)*C99)/100</f>
        <v>1</v>
      </c>
      <c r="E99" s="226"/>
      <c r="F99" s="226"/>
      <c r="G99" s="226"/>
      <c r="H99" s="226"/>
      <c r="I99" s="13" t="s">
        <v>100</v>
      </c>
      <c r="J99" s="28">
        <f ca="1">H95</f>
        <v>7</v>
      </c>
    </row>
    <row r="100" spans="1:10" ht="15.75" customHeight="1" x14ac:dyDescent="0.25">
      <c r="A100" s="93" t="s">
        <v>125</v>
      </c>
      <c r="B100" s="93"/>
      <c r="C100" s="86">
        <v>7</v>
      </c>
      <c r="D100" s="18">
        <f ca="1">((100/(D95+F95+H95))*C100)/100</f>
        <v>0.875</v>
      </c>
      <c r="E100" s="226"/>
      <c r="F100" s="226"/>
      <c r="G100" s="226"/>
      <c r="H100" s="226"/>
      <c r="I100" s="13" t="s">
        <v>101</v>
      </c>
      <c r="J100" s="29">
        <f ca="1">(IF(B95&gt;1,(H95/(B95+2)),H95/4))</f>
        <v>1.75</v>
      </c>
    </row>
    <row r="101" spans="1:10" ht="15.75" customHeight="1" x14ac:dyDescent="0.25">
      <c r="A101" s="93" t="s">
        <v>132</v>
      </c>
      <c r="B101" s="93" t="s">
        <v>126</v>
      </c>
      <c r="C101" s="86">
        <v>3</v>
      </c>
      <c r="D101" s="18">
        <f ca="1">((100/H95)*C101)/100</f>
        <v>0.4285714285714286</v>
      </c>
      <c r="E101" s="226"/>
      <c r="F101" s="226"/>
      <c r="G101" s="226"/>
      <c r="H101" s="226"/>
      <c r="I101" s="13" t="s">
        <v>102</v>
      </c>
      <c r="J101" s="29">
        <f ca="1">(IF(B95&gt;1,(H95/(B95+2)+J100),H95/4+J100))</f>
        <v>3.5</v>
      </c>
    </row>
    <row r="102" spans="1:10" ht="15.75" customHeight="1" x14ac:dyDescent="0.25">
      <c r="A102" s="93" t="s">
        <v>133</v>
      </c>
      <c r="B102" s="93" t="s">
        <v>126</v>
      </c>
      <c r="C102" s="86">
        <v>1</v>
      </c>
      <c r="D102" s="18">
        <f ca="1">((100/H95)*C102)/100</f>
        <v>0.14285714285714288</v>
      </c>
      <c r="E102" s="226"/>
      <c r="F102" s="226"/>
      <c r="G102" s="226"/>
      <c r="H102" s="226"/>
      <c r="I102" s="13" t="s">
        <v>142</v>
      </c>
      <c r="J102" s="29">
        <f>(IF(B95&gt;1,(H95/(B95+2)+J101),0))</f>
        <v>0</v>
      </c>
    </row>
    <row r="103" spans="1:10" ht="15" customHeight="1" x14ac:dyDescent="0.25">
      <c r="A103" s="93" t="s">
        <v>131</v>
      </c>
      <c r="B103" s="93" t="s">
        <v>128</v>
      </c>
      <c r="C103" s="86">
        <v>0</v>
      </c>
      <c r="D103" s="18">
        <f ca="1">((100/(H95))*C103)/100</f>
        <v>0</v>
      </c>
      <c r="E103" s="226"/>
      <c r="F103" s="226"/>
      <c r="G103" s="226"/>
      <c r="H103" s="226"/>
      <c r="I103" s="13" t="s">
        <v>139</v>
      </c>
      <c r="J103" s="29">
        <f>(IF(B95&gt;2,(H95/(B95+2)+J102),0))</f>
        <v>0</v>
      </c>
    </row>
    <row r="104" spans="1:10" ht="15.75" customHeight="1" x14ac:dyDescent="0.25">
      <c r="A104" s="93" t="s">
        <v>127</v>
      </c>
      <c r="B104" s="93" t="s">
        <v>127</v>
      </c>
      <c r="C104" s="86">
        <v>0</v>
      </c>
      <c r="D104" s="18">
        <f ca="1">((100/H95)*C104)/100</f>
        <v>0</v>
      </c>
      <c r="E104" s="226"/>
      <c r="F104" s="226"/>
      <c r="G104" s="226"/>
      <c r="H104" s="226"/>
      <c r="I104" s="13" t="s">
        <v>140</v>
      </c>
      <c r="J104" s="30">
        <f>(IF(B95&gt;3,(H95/(B95+2)+J103),0))</f>
        <v>0</v>
      </c>
    </row>
    <row r="105" spans="1:10" ht="15.75" customHeight="1" x14ac:dyDescent="0.25">
      <c r="A105" s="93" t="s">
        <v>134</v>
      </c>
      <c r="B105" s="93"/>
      <c r="C105" s="86">
        <v>0</v>
      </c>
      <c r="D105" s="18">
        <f ca="1">((100/H95)*C105)/100</f>
        <v>0</v>
      </c>
      <c r="E105" s="226"/>
      <c r="F105" s="226"/>
      <c r="G105" s="226"/>
      <c r="H105" s="226"/>
      <c r="I105" s="13" t="s">
        <v>141</v>
      </c>
      <c r="J105" s="29">
        <f>(IF(B95&gt;4,(H95/(B95+2)+J104),0))</f>
        <v>0</v>
      </c>
    </row>
    <row r="106" spans="1:10" ht="15.75" customHeight="1" x14ac:dyDescent="0.25">
      <c r="A106" s="93" t="s">
        <v>129</v>
      </c>
      <c r="B106" s="93" t="s">
        <v>129</v>
      </c>
      <c r="C106" s="86">
        <v>0</v>
      </c>
      <c r="D106" s="18">
        <f ca="1">((100/(H95))*C106)/100</f>
        <v>0</v>
      </c>
      <c r="E106" s="226"/>
      <c r="F106" s="226"/>
      <c r="G106" s="226"/>
      <c r="H106" s="226"/>
      <c r="I106" s="13" t="s">
        <v>143</v>
      </c>
      <c r="J106" s="29">
        <f ca="1">(IF(B95=1,(H95/(B95+3)+J101),IF(B95=0,(H95/4+J101),IF(B95&gt;1,0))))</f>
        <v>5.25</v>
      </c>
    </row>
    <row r="107" spans="1:10" ht="16.5" thickBot="1" x14ac:dyDescent="0.3">
      <c r="A107" s="93" t="s">
        <v>130</v>
      </c>
      <c r="B107" s="93"/>
      <c r="C107" s="86">
        <v>0</v>
      </c>
      <c r="D107" s="18">
        <f ca="1">((100/(H95))*C107)/100</f>
        <v>0</v>
      </c>
      <c r="E107" s="226"/>
      <c r="F107" s="226"/>
      <c r="G107" s="226"/>
      <c r="H107" s="226"/>
      <c r="I107" s="14" t="s">
        <v>103</v>
      </c>
      <c r="J107" s="31">
        <f ca="1">(IF(B95&gt;1.5,(H95/(B95+2)+J101+MAX(0,J102-J101)+MAX(0,J103-J102)+MAX(0,J104-J103)+MAX(0,J105-J104)+MAX(0,J106-J105)),IF(B95=1,(H95/(B95+3)+J106),IF(B95=0,H95/4+J106))))</f>
        <v>7</v>
      </c>
    </row>
    <row r="108" spans="1:10" x14ac:dyDescent="0.25">
      <c r="A108" s="202" t="s">
        <v>151</v>
      </c>
      <c r="B108" s="202"/>
      <c r="C108" s="202"/>
      <c r="D108" s="202"/>
      <c r="E108" s="202"/>
      <c r="F108" s="160" t="s">
        <v>155</v>
      </c>
      <c r="G108" s="160"/>
      <c r="H108" s="160"/>
    </row>
    <row r="109" spans="1:10" x14ac:dyDescent="0.25">
      <c r="A109" s="101" t="s">
        <v>153</v>
      </c>
      <c r="B109" s="101"/>
      <c r="C109" s="101"/>
      <c r="D109" s="101"/>
      <c r="E109" s="101"/>
      <c r="F109" s="98">
        <v>3000</v>
      </c>
      <c r="G109" s="98"/>
      <c r="H109" s="98"/>
    </row>
    <row r="110" spans="1:10" x14ac:dyDescent="0.25">
      <c r="A110" s="101" t="s">
        <v>152</v>
      </c>
      <c r="B110" s="101"/>
      <c r="C110" s="101"/>
      <c r="D110" s="101"/>
      <c r="E110" s="101"/>
      <c r="F110" s="98">
        <v>5500</v>
      </c>
      <c r="G110" s="98"/>
      <c r="H110" s="98"/>
    </row>
    <row r="111" spans="1:10" x14ac:dyDescent="0.25">
      <c r="A111" s="101" t="s">
        <v>154</v>
      </c>
      <c r="B111" s="101"/>
      <c r="C111" s="101"/>
      <c r="D111" s="101"/>
      <c r="E111" s="101"/>
      <c r="F111" s="98">
        <v>4500</v>
      </c>
      <c r="G111" s="98"/>
      <c r="H111" s="98"/>
    </row>
    <row r="112" spans="1:10" s="32" customFormat="1" hidden="1" x14ac:dyDescent="0.25">
      <c r="A112" s="101" t="s">
        <v>169</v>
      </c>
      <c r="B112" s="101"/>
      <c r="C112" s="101"/>
      <c r="D112" s="101"/>
      <c r="E112" s="101"/>
      <c r="F112" s="98"/>
      <c r="G112" s="98"/>
      <c r="H112" s="98"/>
    </row>
    <row r="113" spans="1:9" s="32" customFormat="1" x14ac:dyDescent="0.25">
      <c r="A113" s="101" t="s">
        <v>94</v>
      </c>
      <c r="B113" s="101"/>
      <c r="C113" s="101"/>
      <c r="D113" s="101"/>
      <c r="E113" s="101"/>
      <c r="F113" s="98">
        <v>150000</v>
      </c>
      <c r="G113" s="98"/>
      <c r="H113" s="98"/>
    </row>
    <row r="114" spans="1:9" s="32" customFormat="1" x14ac:dyDescent="0.25">
      <c r="A114" s="101" t="s">
        <v>95</v>
      </c>
      <c r="B114" s="101"/>
      <c r="C114" s="101"/>
      <c r="D114" s="101"/>
      <c r="E114" s="101"/>
      <c r="F114" s="98">
        <v>25000</v>
      </c>
      <c r="G114" s="98"/>
      <c r="H114" s="98"/>
      <c r="I114" s="82">
        <f>SUM(F113:H119)</f>
        <v>210000</v>
      </c>
    </row>
    <row r="115" spans="1:9" s="32" customFormat="1" hidden="1" x14ac:dyDescent="0.25">
      <c r="A115" s="101" t="s">
        <v>156</v>
      </c>
      <c r="B115" s="101"/>
      <c r="C115" s="101"/>
      <c r="D115" s="101"/>
      <c r="E115" s="101"/>
      <c r="F115" s="98"/>
      <c r="G115" s="98"/>
      <c r="H115" s="98"/>
    </row>
    <row r="116" spans="1:9" s="32" customFormat="1" hidden="1" x14ac:dyDescent="0.25">
      <c r="A116" s="101" t="s">
        <v>96</v>
      </c>
      <c r="B116" s="101"/>
      <c r="C116" s="101"/>
      <c r="D116" s="101"/>
      <c r="E116" s="101"/>
      <c r="F116" s="98"/>
      <c r="G116" s="98"/>
      <c r="H116" s="98"/>
    </row>
    <row r="117" spans="1:9" s="32" customFormat="1" hidden="1" x14ac:dyDescent="0.25">
      <c r="A117" s="101" t="s">
        <v>97</v>
      </c>
      <c r="B117" s="101"/>
      <c r="C117" s="101"/>
      <c r="D117" s="101"/>
      <c r="E117" s="101"/>
      <c r="F117" s="98"/>
      <c r="G117" s="98"/>
      <c r="H117" s="98"/>
    </row>
    <row r="118" spans="1:9" s="32" customFormat="1" hidden="1" x14ac:dyDescent="0.25">
      <c r="A118" s="101" t="s">
        <v>98</v>
      </c>
      <c r="B118" s="101"/>
      <c r="C118" s="101"/>
      <c r="D118" s="101"/>
      <c r="E118" s="101"/>
      <c r="F118" s="98"/>
      <c r="G118" s="98"/>
      <c r="H118" s="98"/>
    </row>
    <row r="119" spans="1:9" s="32" customFormat="1" x14ac:dyDescent="0.25">
      <c r="A119" s="101" t="s">
        <v>296</v>
      </c>
      <c r="B119" s="101"/>
      <c r="C119" s="101"/>
      <c r="D119" s="101"/>
      <c r="E119" s="101"/>
      <c r="F119" s="98">
        <v>35000</v>
      </c>
      <c r="G119" s="98"/>
      <c r="H119" s="98"/>
    </row>
    <row r="120" spans="1:9" x14ac:dyDescent="0.25">
      <c r="A120" s="101" t="s">
        <v>51</v>
      </c>
      <c r="B120" s="101"/>
      <c r="C120" s="101"/>
      <c r="D120" s="101"/>
      <c r="E120" s="101"/>
      <c r="F120" s="98">
        <v>100000</v>
      </c>
      <c r="G120" s="98"/>
      <c r="H120" s="98"/>
    </row>
    <row r="121" spans="1:9" s="33" customFormat="1" x14ac:dyDescent="0.25">
      <c r="A121" s="168" t="s">
        <v>52</v>
      </c>
      <c r="B121" s="168"/>
      <c r="C121" s="168"/>
      <c r="D121" s="168"/>
      <c r="E121" s="168"/>
      <c r="F121" s="98">
        <f>F109*0.8</f>
        <v>2400</v>
      </c>
      <c r="G121" s="98"/>
      <c r="H121" s="98"/>
    </row>
    <row r="122" spans="1:9" s="34" customFormat="1" ht="15.75" customHeight="1" x14ac:dyDescent="0.25">
      <c r="A122" s="141" t="s">
        <v>267</v>
      </c>
      <c r="B122" s="141"/>
      <c r="C122" s="141"/>
      <c r="D122" s="141"/>
      <c r="E122" s="141"/>
      <c r="F122" s="141"/>
      <c r="G122" s="141"/>
      <c r="H122" s="141"/>
    </row>
    <row r="123" spans="1:9" s="34" customFormat="1" ht="15.75" customHeight="1" x14ac:dyDescent="0.25">
      <c r="A123" s="100" t="s">
        <v>53</v>
      </c>
      <c r="B123" s="100"/>
      <c r="C123" s="137" t="s">
        <v>77</v>
      </c>
      <c r="D123" s="137"/>
      <c r="E123" s="133" t="s">
        <v>54</v>
      </c>
      <c r="F123" s="133"/>
      <c r="G123" s="100" t="s">
        <v>55</v>
      </c>
      <c r="H123" s="100"/>
    </row>
    <row r="124" spans="1:9" s="34" customFormat="1" x14ac:dyDescent="0.25">
      <c r="A124" s="139" t="s">
        <v>251</v>
      </c>
      <c r="B124" s="57" t="s">
        <v>252</v>
      </c>
      <c r="C124" s="144">
        <f>COUNT(D146:D149)</f>
        <v>4</v>
      </c>
      <c r="D124" s="118"/>
      <c r="E124" s="145">
        <f>SUM(D146:D149)</f>
        <v>810.74447999999984</v>
      </c>
      <c r="F124" s="146"/>
      <c r="G124" s="145">
        <f>SUM(F146:F149)</f>
        <v>2320</v>
      </c>
      <c r="H124" s="146"/>
    </row>
    <row r="125" spans="1:9" s="34" customFormat="1" x14ac:dyDescent="0.25">
      <c r="A125" s="140"/>
      <c r="B125" s="57" t="s">
        <v>256</v>
      </c>
      <c r="C125" s="144">
        <f>COUNT(D158:D169)</f>
        <v>12</v>
      </c>
      <c r="D125" s="118"/>
      <c r="E125" s="145">
        <f>SUM(D158:D169)</f>
        <v>2477.7651599999999</v>
      </c>
      <c r="F125" s="146"/>
      <c r="G125" s="145">
        <f>SUM(F158:F169)</f>
        <v>7055</v>
      </c>
      <c r="H125" s="146"/>
    </row>
    <row r="126" spans="1:9" s="34" customFormat="1" x14ac:dyDescent="0.25">
      <c r="A126" s="140"/>
      <c r="B126" s="64" t="s">
        <v>257</v>
      </c>
      <c r="C126" s="147">
        <f>COUNT(D186:D193)</f>
        <v>8</v>
      </c>
      <c r="D126" s="148"/>
      <c r="E126" s="203">
        <f>SUM(D186:D193)</f>
        <v>1901.13768</v>
      </c>
      <c r="F126" s="204"/>
      <c r="G126" s="203">
        <f>SUM(F186:F193)</f>
        <v>5405</v>
      </c>
      <c r="H126" s="204"/>
    </row>
    <row r="127" spans="1:9" s="34" customFormat="1" x14ac:dyDescent="0.25">
      <c r="A127" s="141" t="s">
        <v>145</v>
      </c>
      <c r="B127" s="141"/>
      <c r="C127" s="205">
        <f>SUM(C124:D126)</f>
        <v>24</v>
      </c>
      <c r="D127" s="133"/>
      <c r="E127" s="205">
        <f>SUM(E124:F126)</f>
        <v>5189.64732</v>
      </c>
      <c r="F127" s="133"/>
      <c r="G127" s="205">
        <f>SUM(G124:H126)</f>
        <v>14780</v>
      </c>
      <c r="H127" s="133"/>
    </row>
    <row r="128" spans="1:9" s="34" customFormat="1" ht="15.75" customHeight="1" x14ac:dyDescent="0.25">
      <c r="A128" s="141" t="s">
        <v>268</v>
      </c>
      <c r="B128" s="141"/>
      <c r="C128" s="141"/>
      <c r="D128" s="141"/>
      <c r="E128" s="141"/>
      <c r="F128" s="141"/>
      <c r="G128" s="141"/>
      <c r="H128" s="141"/>
    </row>
    <row r="129" spans="1:10" s="34" customFormat="1" x14ac:dyDescent="0.25">
      <c r="A129" s="140" t="s">
        <v>258</v>
      </c>
      <c r="B129" s="65" t="s">
        <v>252</v>
      </c>
      <c r="C129" s="206">
        <f>COUNT(D151:D152)+COUNT(D154:D155)</f>
        <v>4</v>
      </c>
      <c r="D129" s="207"/>
      <c r="E129" s="142">
        <f>SUM(D151:D152)+SUM(D154:D155)</f>
        <v>1662.3921599999999</v>
      </c>
      <c r="F129" s="143"/>
      <c r="G129" s="142">
        <f>SUM(F151:F152)+SUM(F154:F155)</f>
        <v>3630</v>
      </c>
      <c r="H129" s="143"/>
    </row>
    <row r="130" spans="1:10" s="34" customFormat="1" x14ac:dyDescent="0.25">
      <c r="A130" s="140"/>
      <c r="B130" s="57" t="s">
        <v>256</v>
      </c>
      <c r="C130" s="144">
        <f>COUNT(D171:D176)+COUNT(D178:D183)</f>
        <v>12</v>
      </c>
      <c r="D130" s="118"/>
      <c r="E130" s="145">
        <f>SUM(D171:D176)+SUM(D178:D183)</f>
        <v>5029.5866399999995</v>
      </c>
      <c r="F130" s="146"/>
      <c r="G130" s="145">
        <f>SUM(F171:F176)+SUM(F178:F183)</f>
        <v>10920</v>
      </c>
      <c r="H130" s="146"/>
    </row>
    <row r="131" spans="1:10" s="34" customFormat="1" x14ac:dyDescent="0.25">
      <c r="A131" s="140"/>
      <c r="B131" s="64" t="s">
        <v>257</v>
      </c>
      <c r="C131" s="147">
        <f>COUNT(D195:D198)+COUNT(D200:D203)</f>
        <v>8</v>
      </c>
      <c r="D131" s="148"/>
      <c r="E131" s="203">
        <f>SUM(D195:D198)+SUM(D200:D203)</f>
        <v>3215.4220799999998</v>
      </c>
      <c r="F131" s="204"/>
      <c r="G131" s="203">
        <f>SUM(F195:F198)+SUM(F200:F203)</f>
        <v>7000</v>
      </c>
      <c r="H131" s="204"/>
    </row>
    <row r="132" spans="1:10" s="34" customFormat="1" x14ac:dyDescent="0.25">
      <c r="A132" s="141" t="s">
        <v>145</v>
      </c>
      <c r="B132" s="141"/>
      <c r="C132" s="205">
        <f>SUM(C129:D131)</f>
        <v>24</v>
      </c>
      <c r="D132" s="133"/>
      <c r="E132" s="205">
        <f>SUM(E129:F131)</f>
        <v>9907.4008799999992</v>
      </c>
      <c r="F132" s="133"/>
      <c r="G132" s="205">
        <f>SUM(G129:H131)</f>
        <v>21550</v>
      </c>
      <c r="H132" s="133"/>
    </row>
    <row r="133" spans="1:10" s="34" customFormat="1" x14ac:dyDescent="0.25">
      <c r="A133" s="169" t="s">
        <v>70</v>
      </c>
      <c r="B133" s="169"/>
      <c r="C133" s="169"/>
      <c r="D133" s="169"/>
      <c r="E133" s="169"/>
      <c r="F133" s="169"/>
      <c r="G133" s="169"/>
      <c r="H133" s="169"/>
    </row>
    <row r="134" spans="1:10" s="34" customFormat="1" ht="15.75" customHeight="1" x14ac:dyDescent="0.25">
      <c r="A134" s="100" t="s">
        <v>53</v>
      </c>
      <c r="B134" s="100"/>
      <c r="C134" s="137" t="s">
        <v>77</v>
      </c>
      <c r="D134" s="137"/>
      <c r="E134" s="133" t="s">
        <v>54</v>
      </c>
      <c r="F134" s="133"/>
      <c r="G134" s="100" t="s">
        <v>55</v>
      </c>
      <c r="H134" s="100"/>
    </row>
    <row r="135" spans="1:10" s="34" customFormat="1" x14ac:dyDescent="0.25">
      <c r="A135" s="140" t="s">
        <v>258</v>
      </c>
      <c r="B135" s="65" t="s">
        <v>252</v>
      </c>
      <c r="C135" s="118">
        <f>COUNT(D209:D215)+COUNT(D217:D223)+COUNT(D225:D232)+COUNT(D234:D241)*4</f>
        <v>54</v>
      </c>
      <c r="D135" s="118"/>
      <c r="E135" s="145">
        <f>SUM(D209:D215)+SUM(D217:D223)+SUM(D225:D232)+SUM(D234:D241)*4</f>
        <v>20426.519879999993</v>
      </c>
      <c r="F135" s="145"/>
      <c r="G135" s="145">
        <f>SUM(F209:F215)+SUM(F217:F223)+SUM(F225:F232)+SUM(F234:F241)*4</f>
        <v>32275</v>
      </c>
      <c r="H135" s="145"/>
    </row>
    <row r="136" spans="1:10" s="34" customFormat="1" x14ac:dyDescent="0.25">
      <c r="A136" s="140"/>
      <c r="B136" s="80" t="s">
        <v>256</v>
      </c>
      <c r="C136" s="118">
        <f>COUNT(D244:D247)+COUNT(D249:D252)+COUNT(D254:D262)+COUNT(D264:D272)*4</f>
        <v>53</v>
      </c>
      <c r="D136" s="118"/>
      <c r="E136" s="145">
        <f>SUM(D244:D247)+SUM(D249:D252)+SUM(D254:D262)+SUM(D264:D272)*4</f>
        <v>17404.742159999998</v>
      </c>
      <c r="F136" s="145"/>
      <c r="G136" s="145">
        <f>SUM(F244:F247)+SUM(F249:F252)+SUM(F254:F262)+SUM(F264:F272)*4</f>
        <v>28415</v>
      </c>
      <c r="H136" s="145"/>
    </row>
    <row r="137" spans="1:10" s="34" customFormat="1" x14ac:dyDescent="0.25">
      <c r="A137" s="140"/>
      <c r="B137" s="81" t="s">
        <v>257</v>
      </c>
      <c r="C137" s="118">
        <f>COUNT(D275:D281)+COUNT(D283:D289)+COUNT(D291:D298)+COUNT(D300:D307)*4</f>
        <v>54</v>
      </c>
      <c r="D137" s="118"/>
      <c r="E137" s="145">
        <f>SUM(D275:D281)+SUM(D283:D289)+SUM(D291:D298)+SUM(D300:D307)*4</f>
        <v>20613.598199999997</v>
      </c>
      <c r="F137" s="145"/>
      <c r="G137" s="145">
        <f>SUM(F275:F281)+SUM(F283:F289)+SUM(F291:F298)+SUM(F300:F307)*4</f>
        <v>32345</v>
      </c>
      <c r="H137" s="145"/>
    </row>
    <row r="138" spans="1:10" s="34" customFormat="1" ht="16.5" thickBot="1" x14ac:dyDescent="0.3">
      <c r="A138" s="224" t="s">
        <v>145</v>
      </c>
      <c r="B138" s="224"/>
      <c r="C138" s="117">
        <f>SUM(C135:C137)</f>
        <v>161</v>
      </c>
      <c r="D138" s="117"/>
      <c r="E138" s="213">
        <f>SUM(E135:E137)</f>
        <v>58444.86023999998</v>
      </c>
      <c r="F138" s="214"/>
      <c r="G138" s="216">
        <f>SUM(G135:G137)</f>
        <v>93035</v>
      </c>
      <c r="H138" s="216"/>
    </row>
    <row r="139" spans="1:10" s="34" customFormat="1" ht="16.5" thickBot="1" x14ac:dyDescent="0.3">
      <c r="A139" s="113" t="s">
        <v>161</v>
      </c>
      <c r="B139" s="114"/>
      <c r="C139" s="115">
        <f>C127+C132+C138</f>
        <v>209</v>
      </c>
      <c r="D139" s="116"/>
      <c r="E139" s="115">
        <f t="shared" ref="E139" si="0">E127+E132+E138</f>
        <v>73541.908439999985</v>
      </c>
      <c r="F139" s="116"/>
      <c r="G139" s="115">
        <f t="shared" ref="G139" si="1">G127+G132+G138</f>
        <v>129365</v>
      </c>
      <c r="H139" s="116"/>
    </row>
    <row r="140" spans="1:10" s="33" customFormat="1" x14ac:dyDescent="0.25">
      <c r="A140" s="160" t="s">
        <v>56</v>
      </c>
      <c r="B140" s="160"/>
      <c r="C140" s="160"/>
      <c r="D140" s="160"/>
      <c r="E140" s="160"/>
      <c r="F140" s="160"/>
      <c r="G140" s="160"/>
      <c r="H140" s="160"/>
    </row>
    <row r="141" spans="1:10" x14ac:dyDescent="0.25">
      <c r="A141" s="99" t="s">
        <v>168</v>
      </c>
      <c r="B141" s="99"/>
      <c r="C141" s="99"/>
      <c r="D141" s="99"/>
      <c r="E141" s="99"/>
      <c r="F141" s="99"/>
      <c r="G141" s="99"/>
      <c r="H141" s="99"/>
    </row>
    <row r="142" spans="1:10" ht="48.75" customHeight="1" x14ac:dyDescent="0.25">
      <c r="A142" s="58" t="s">
        <v>265</v>
      </c>
      <c r="B142" s="58" t="s">
        <v>170</v>
      </c>
      <c r="C142" s="58" t="s">
        <v>57</v>
      </c>
      <c r="D142" s="58" t="s">
        <v>58</v>
      </c>
      <c r="E142" s="58" t="s">
        <v>150</v>
      </c>
      <c r="F142" s="55" t="s">
        <v>283</v>
      </c>
      <c r="G142" s="198" t="s">
        <v>60</v>
      </c>
      <c r="H142" s="199"/>
    </row>
    <row r="143" spans="1:10" s="56" customFormat="1" x14ac:dyDescent="0.25">
      <c r="A143" s="162" t="s">
        <v>291</v>
      </c>
      <c r="B143" s="163"/>
      <c r="C143" s="163"/>
      <c r="D143" s="163"/>
      <c r="E143" s="163"/>
      <c r="F143" s="163"/>
      <c r="G143" s="163"/>
      <c r="H143" s="164"/>
      <c r="J143" s="35"/>
    </row>
    <row r="144" spans="1:10" s="56" customFormat="1" x14ac:dyDescent="0.25">
      <c r="A144" s="161" t="s">
        <v>252</v>
      </c>
      <c r="B144" s="161"/>
      <c r="C144" s="161"/>
      <c r="D144" s="161"/>
      <c r="E144" s="161"/>
      <c r="F144" s="161"/>
      <c r="G144" s="161"/>
      <c r="H144" s="161"/>
      <c r="J144" s="35"/>
    </row>
    <row r="145" spans="1:14" s="36" customFormat="1" ht="15.75" customHeight="1" x14ac:dyDescent="0.25">
      <c r="A145" s="161" t="s">
        <v>253</v>
      </c>
      <c r="B145" s="161"/>
      <c r="C145" s="161"/>
      <c r="D145" s="161"/>
      <c r="E145" s="161"/>
      <c r="F145" s="161"/>
      <c r="G145" s="161"/>
      <c r="H145" s="161"/>
      <c r="J145" s="35"/>
    </row>
    <row r="146" spans="1:14" s="36" customFormat="1" ht="15.75" customHeight="1" x14ac:dyDescent="0.25">
      <c r="A146" s="165">
        <v>1</v>
      </c>
      <c r="B146" s="165"/>
      <c r="C146" s="61" t="s">
        <v>254</v>
      </c>
      <c r="D146" s="62">
        <f>(17.95)*10.764</f>
        <v>193.21379999999999</v>
      </c>
      <c r="E146" s="62">
        <f>(5.98)*10.764</f>
        <v>64.368719999999996</v>
      </c>
      <c r="F146" s="90">
        <v>555</v>
      </c>
      <c r="G146" s="165" t="str">
        <f>A145</f>
        <v>Ground Floor For Commercial, Entrance Lobby &amp; Parking</v>
      </c>
      <c r="H146" s="165"/>
      <c r="I146" s="67">
        <f>6.3*2.85</f>
        <v>17.954999999999998</v>
      </c>
      <c r="J146" s="36">
        <v>555</v>
      </c>
      <c r="L146" s="197">
        <f>7192800/F146</f>
        <v>12960</v>
      </c>
      <c r="M146" s="197"/>
      <c r="N146" s="35"/>
    </row>
    <row r="147" spans="1:14" s="36" customFormat="1" ht="15.75" customHeight="1" x14ac:dyDescent="0.25">
      <c r="A147" s="165">
        <f t="shared" ref="A147:A149" si="2">A146+1</f>
        <v>2</v>
      </c>
      <c r="B147" s="165"/>
      <c r="C147" s="61" t="s">
        <v>254</v>
      </c>
      <c r="D147" s="62">
        <f>(19.84)*10.764</f>
        <v>213.55775999999997</v>
      </c>
      <c r="E147" s="62">
        <f>(6.62)*10.764</f>
        <v>71.257679999999993</v>
      </c>
      <c r="F147" s="90">
        <v>610</v>
      </c>
      <c r="G147" s="165"/>
      <c r="H147" s="165"/>
      <c r="I147" s="67">
        <f>7.35*2.7</f>
        <v>19.844999999999999</v>
      </c>
      <c r="J147" s="36">
        <v>610</v>
      </c>
      <c r="K147" s="60"/>
      <c r="L147" s="197">
        <f>7776000/F147</f>
        <v>12747.540983606557</v>
      </c>
      <c r="M147" s="197"/>
      <c r="N147" s="35"/>
    </row>
    <row r="148" spans="1:14" s="36" customFormat="1" ht="15.75" customHeight="1" x14ac:dyDescent="0.25">
      <c r="A148" s="165">
        <f t="shared" si="2"/>
        <v>3</v>
      </c>
      <c r="B148" s="165"/>
      <c r="C148" s="61" t="s">
        <v>254</v>
      </c>
      <c r="D148" s="62">
        <f>(20.21)*10.764</f>
        <v>217.54043999999999</v>
      </c>
      <c r="E148" s="62">
        <f>(6.74)*10.764</f>
        <v>72.549359999999993</v>
      </c>
      <c r="F148" s="90">
        <v>620</v>
      </c>
      <c r="G148" s="165"/>
      <c r="H148" s="165"/>
      <c r="I148" s="67">
        <f>7.35*2.75</f>
        <v>20.212499999999999</v>
      </c>
      <c r="J148" s="36">
        <v>620</v>
      </c>
      <c r="K148" s="60"/>
      <c r="L148" s="197"/>
      <c r="M148" s="197"/>
      <c r="N148" s="35"/>
    </row>
    <row r="149" spans="1:14" s="36" customFormat="1" ht="15.75" customHeight="1" x14ac:dyDescent="0.25">
      <c r="A149" s="165">
        <f t="shared" si="2"/>
        <v>4</v>
      </c>
      <c r="B149" s="165"/>
      <c r="C149" s="61" t="s">
        <v>254</v>
      </c>
      <c r="D149" s="62">
        <f>(17.32)*10.764</f>
        <v>186.43248</v>
      </c>
      <c r="E149" s="62">
        <f>(5.77)*10.764</f>
        <v>62.108279999999993</v>
      </c>
      <c r="F149" s="90">
        <v>535</v>
      </c>
      <c r="G149" s="165"/>
      <c r="H149" s="165"/>
      <c r="I149" s="67">
        <f>6.3*2.75</f>
        <v>17.324999999999999</v>
      </c>
      <c r="J149" s="36">
        <v>535</v>
      </c>
      <c r="K149" s="60"/>
      <c r="L149" s="197"/>
      <c r="M149" s="197"/>
      <c r="N149" s="35"/>
    </row>
    <row r="150" spans="1:14" s="56" customFormat="1" ht="15.75" customHeight="1" x14ac:dyDescent="0.25">
      <c r="A150" s="161" t="s">
        <v>292</v>
      </c>
      <c r="B150" s="161"/>
      <c r="C150" s="161"/>
      <c r="D150" s="161"/>
      <c r="E150" s="161"/>
      <c r="F150" s="161"/>
      <c r="G150" s="161"/>
      <c r="H150" s="161"/>
      <c r="J150" s="35"/>
    </row>
    <row r="151" spans="1:14" s="56" customFormat="1" ht="15.75" customHeight="1" x14ac:dyDescent="0.25">
      <c r="A151" s="165">
        <v>101</v>
      </c>
      <c r="B151" s="165"/>
      <c r="C151" s="61" t="s">
        <v>255</v>
      </c>
      <c r="D151" s="62">
        <f>(38.74)*10.764</f>
        <v>416.99736000000001</v>
      </c>
      <c r="E151" s="62">
        <v>0</v>
      </c>
      <c r="F151" s="90">
        <v>910</v>
      </c>
      <c r="G151" s="165" t="str">
        <f>A150</f>
        <v>1st Floor For Part Commercial</v>
      </c>
      <c r="H151" s="165"/>
      <c r="I151" s="35"/>
      <c r="J151" s="56">
        <v>910</v>
      </c>
      <c r="L151" s="197"/>
      <c r="M151" s="197"/>
      <c r="N151" s="35"/>
    </row>
    <row r="152" spans="1:14" s="56" customFormat="1" ht="15.75" customHeight="1" x14ac:dyDescent="0.25">
      <c r="A152" s="165">
        <f t="shared" ref="A152" si="3">A151+1</f>
        <v>102</v>
      </c>
      <c r="B152" s="165"/>
      <c r="C152" s="61" t="s">
        <v>255</v>
      </c>
      <c r="D152" s="62">
        <f>(38.48)*10.764</f>
        <v>414.19871999999992</v>
      </c>
      <c r="E152" s="62">
        <v>0</v>
      </c>
      <c r="F152" s="90">
        <v>905</v>
      </c>
      <c r="G152" s="165"/>
      <c r="H152" s="165"/>
      <c r="I152" s="35"/>
      <c r="J152" s="56">
        <v>905</v>
      </c>
      <c r="L152" s="197"/>
      <c r="M152" s="197"/>
      <c r="N152" s="35"/>
    </row>
    <row r="153" spans="1:14" s="56" customFormat="1" ht="15.75" customHeight="1" x14ac:dyDescent="0.25">
      <c r="A153" s="161" t="s">
        <v>293</v>
      </c>
      <c r="B153" s="161"/>
      <c r="C153" s="161"/>
      <c r="D153" s="161"/>
      <c r="E153" s="161"/>
      <c r="F153" s="161"/>
      <c r="G153" s="161"/>
      <c r="H153" s="161"/>
      <c r="J153" s="35"/>
    </row>
    <row r="154" spans="1:14" s="56" customFormat="1" ht="15.75" customHeight="1" x14ac:dyDescent="0.25">
      <c r="A154" s="165">
        <v>201</v>
      </c>
      <c r="B154" s="165"/>
      <c r="C154" s="61" t="s">
        <v>255</v>
      </c>
      <c r="D154" s="62">
        <f>(38.74)*10.764</f>
        <v>416.99736000000001</v>
      </c>
      <c r="E154" s="62">
        <v>0</v>
      </c>
      <c r="F154" s="90">
        <v>910</v>
      </c>
      <c r="G154" s="165" t="str">
        <f>A153</f>
        <v>2nd Floor For Part Commercial</v>
      </c>
      <c r="H154" s="165"/>
      <c r="I154" s="35"/>
      <c r="L154" s="197"/>
      <c r="M154" s="197"/>
      <c r="N154" s="35"/>
    </row>
    <row r="155" spans="1:14" s="56" customFormat="1" ht="15.75" customHeight="1" x14ac:dyDescent="0.25">
      <c r="A155" s="165">
        <f t="shared" ref="A155" si="4">A154+1</f>
        <v>202</v>
      </c>
      <c r="B155" s="165"/>
      <c r="C155" s="61" t="s">
        <v>255</v>
      </c>
      <c r="D155" s="62">
        <f>(38.48)*10.764</f>
        <v>414.19871999999992</v>
      </c>
      <c r="E155" s="62">
        <v>0</v>
      </c>
      <c r="F155" s="90">
        <v>905</v>
      </c>
      <c r="G155" s="165"/>
      <c r="H155" s="165"/>
      <c r="I155" s="35"/>
      <c r="L155" s="197"/>
      <c r="M155" s="197"/>
      <c r="N155" s="35"/>
    </row>
    <row r="156" spans="1:14" s="56" customFormat="1" x14ac:dyDescent="0.25">
      <c r="A156" s="161" t="s">
        <v>256</v>
      </c>
      <c r="B156" s="161"/>
      <c r="C156" s="161"/>
      <c r="D156" s="161"/>
      <c r="E156" s="161"/>
      <c r="F156" s="161"/>
      <c r="G156" s="161"/>
      <c r="H156" s="161"/>
      <c r="J156" s="35"/>
    </row>
    <row r="157" spans="1:14" s="56" customFormat="1" ht="15.75" customHeight="1" x14ac:dyDescent="0.25">
      <c r="A157" s="161" t="s">
        <v>253</v>
      </c>
      <c r="B157" s="161"/>
      <c r="C157" s="161"/>
      <c r="D157" s="161"/>
      <c r="E157" s="161"/>
      <c r="F157" s="161"/>
      <c r="G157" s="161"/>
      <c r="H157" s="161"/>
      <c r="J157" s="35"/>
    </row>
    <row r="158" spans="1:14" s="56" customFormat="1" ht="15.75" customHeight="1" x14ac:dyDescent="0.25">
      <c r="A158" s="158">
        <v>5</v>
      </c>
      <c r="B158" s="159"/>
      <c r="C158" s="61" t="s">
        <v>254</v>
      </c>
      <c r="D158" s="62">
        <f>(15.65)*10.764</f>
        <v>168.45659999999998</v>
      </c>
      <c r="E158" s="62">
        <f>(5.22)*10.764</f>
        <v>56.188079999999992</v>
      </c>
      <c r="F158" s="54">
        <v>480</v>
      </c>
      <c r="G158" s="209" t="str">
        <f>A157</f>
        <v>Ground Floor For Commercial, Entrance Lobby &amp; Parking</v>
      </c>
      <c r="H158" s="210"/>
      <c r="I158" s="35"/>
      <c r="K158" s="56">
        <f>(F158-E158)/D158</f>
        <v>2.5158522729296449</v>
      </c>
      <c r="L158" s="197"/>
      <c r="M158" s="197"/>
      <c r="N158" s="35"/>
    </row>
    <row r="159" spans="1:14" s="56" customFormat="1" ht="15.75" customHeight="1" x14ac:dyDescent="0.25">
      <c r="A159" s="158">
        <f t="shared" ref="A159:A169" si="5">A158+1</f>
        <v>6</v>
      </c>
      <c r="B159" s="159"/>
      <c r="C159" s="61" t="s">
        <v>254</v>
      </c>
      <c r="D159" s="62">
        <f>(20.21)*10.764</f>
        <v>217.54043999999999</v>
      </c>
      <c r="E159" s="62">
        <f>(6.74)*10.764</f>
        <v>72.549359999999993</v>
      </c>
      <c r="F159" s="54">
        <v>620</v>
      </c>
      <c r="G159" s="211"/>
      <c r="H159" s="212"/>
      <c r="I159" s="35"/>
      <c r="K159" s="79">
        <f t="shared" ref="K159:K169" si="6">(F159-E159)/D159</f>
        <v>2.5165465326814638</v>
      </c>
      <c r="L159" s="197"/>
      <c r="M159" s="197"/>
      <c r="N159" s="35"/>
    </row>
    <row r="160" spans="1:14" s="56" customFormat="1" ht="15.75" customHeight="1" x14ac:dyDescent="0.25">
      <c r="A160" s="158">
        <f t="shared" si="5"/>
        <v>7</v>
      </c>
      <c r="B160" s="159"/>
      <c r="C160" s="61" t="s">
        <v>254</v>
      </c>
      <c r="D160" s="62">
        <f>(25.57)*10.764</f>
        <v>275.23548</v>
      </c>
      <c r="E160" s="62">
        <f>(8.52)*10.764</f>
        <v>91.709279999999993</v>
      </c>
      <c r="F160" s="54">
        <v>775</v>
      </c>
      <c r="G160" s="211"/>
      <c r="H160" s="212"/>
      <c r="I160" s="35">
        <f>9.3*2.75</f>
        <v>25.575000000000003</v>
      </c>
      <c r="J160" s="56">
        <f>(2.75*3.1)*10.764</f>
        <v>91.763099999999994</v>
      </c>
      <c r="K160" s="79">
        <f t="shared" si="6"/>
        <v>2.4825677270968116</v>
      </c>
      <c r="L160" s="197"/>
      <c r="M160" s="197"/>
      <c r="N160" s="35"/>
    </row>
    <row r="161" spans="1:14" s="56" customFormat="1" ht="15.75" customHeight="1" x14ac:dyDescent="0.25">
      <c r="A161" s="158">
        <f t="shared" si="5"/>
        <v>8</v>
      </c>
      <c r="B161" s="159"/>
      <c r="C161" s="61" t="s">
        <v>254</v>
      </c>
      <c r="D161" s="62">
        <f>(19.81)*10.764</f>
        <v>213.23483999999996</v>
      </c>
      <c r="E161" s="62">
        <f>(6.6)*10.764</f>
        <v>71.042399999999986</v>
      </c>
      <c r="F161" s="54">
        <v>600</v>
      </c>
      <c r="G161" s="211"/>
      <c r="H161" s="212"/>
      <c r="I161" s="35"/>
      <c r="K161" s="79">
        <f t="shared" si="6"/>
        <v>2.4806340277226746</v>
      </c>
      <c r="L161" s="197"/>
      <c r="M161" s="197"/>
      <c r="N161" s="35"/>
    </row>
    <row r="162" spans="1:14" s="56" customFormat="1" ht="15.75" customHeight="1" x14ac:dyDescent="0.25">
      <c r="A162" s="158">
        <f t="shared" si="5"/>
        <v>9</v>
      </c>
      <c r="B162" s="159"/>
      <c r="C162" s="61" t="s">
        <v>254</v>
      </c>
      <c r="D162" s="62">
        <f>(17.32)*10.764</f>
        <v>186.43248</v>
      </c>
      <c r="E162" s="62">
        <f>(5.77)*10.764</f>
        <v>62.108279999999993</v>
      </c>
      <c r="F162" s="54">
        <v>535</v>
      </c>
      <c r="G162" s="211"/>
      <c r="H162" s="212"/>
      <c r="I162" s="35"/>
      <c r="K162" s="79">
        <f t="shared" si="6"/>
        <v>2.5365307590179569</v>
      </c>
      <c r="L162" s="197"/>
      <c r="M162" s="197"/>
      <c r="N162" s="35"/>
    </row>
    <row r="163" spans="1:14" s="56" customFormat="1" ht="15.75" customHeight="1" x14ac:dyDescent="0.25">
      <c r="A163" s="158">
        <f t="shared" si="5"/>
        <v>10</v>
      </c>
      <c r="B163" s="159"/>
      <c r="C163" s="61" t="s">
        <v>254</v>
      </c>
      <c r="D163" s="62">
        <f>(20.21)*10.764</f>
        <v>217.54043999999999</v>
      </c>
      <c r="E163" s="62">
        <f>(6.74)*10.764</f>
        <v>72.549359999999993</v>
      </c>
      <c r="F163" s="54">
        <v>620</v>
      </c>
      <c r="G163" s="211"/>
      <c r="H163" s="212"/>
      <c r="I163" s="35"/>
      <c r="K163" s="79">
        <f t="shared" si="6"/>
        <v>2.5165465326814638</v>
      </c>
      <c r="L163" s="197"/>
      <c r="M163" s="197"/>
      <c r="N163" s="35"/>
    </row>
    <row r="164" spans="1:14" s="56" customFormat="1" ht="15.75" customHeight="1" x14ac:dyDescent="0.25">
      <c r="A164" s="158">
        <f t="shared" si="5"/>
        <v>11</v>
      </c>
      <c r="B164" s="159"/>
      <c r="C164" s="61" t="s">
        <v>254</v>
      </c>
      <c r="D164" s="62">
        <f>(15.65)*10.764</f>
        <v>168.45659999999998</v>
      </c>
      <c r="E164" s="62">
        <f>(5.22)*10.764</f>
        <v>56.188079999999992</v>
      </c>
      <c r="F164" s="54">
        <v>480</v>
      </c>
      <c r="G164" s="211"/>
      <c r="H164" s="212"/>
      <c r="I164" s="35"/>
      <c r="K164" s="79">
        <f t="shared" si="6"/>
        <v>2.5158522729296449</v>
      </c>
      <c r="L164" s="197"/>
      <c r="M164" s="197"/>
      <c r="N164" s="35"/>
    </row>
    <row r="165" spans="1:14" s="56" customFormat="1" ht="15.75" customHeight="1" x14ac:dyDescent="0.25">
      <c r="A165" s="158">
        <f t="shared" si="5"/>
        <v>12</v>
      </c>
      <c r="B165" s="159"/>
      <c r="C165" s="61" t="s">
        <v>254</v>
      </c>
      <c r="D165" s="62">
        <f>(17.32)*10.764</f>
        <v>186.43248</v>
      </c>
      <c r="E165" s="62">
        <f>(5.78)*10.764</f>
        <v>62.215919999999997</v>
      </c>
      <c r="F165" s="54">
        <v>535</v>
      </c>
      <c r="G165" s="211"/>
      <c r="H165" s="212"/>
      <c r="I165" s="35"/>
      <c r="K165" s="79">
        <f t="shared" si="6"/>
        <v>2.5359533918124137</v>
      </c>
      <c r="L165" s="197"/>
      <c r="M165" s="197"/>
      <c r="N165" s="35"/>
    </row>
    <row r="166" spans="1:14" s="56" customFormat="1" ht="15.75" customHeight="1" x14ac:dyDescent="0.25">
      <c r="A166" s="158">
        <f t="shared" si="5"/>
        <v>13</v>
      </c>
      <c r="B166" s="159"/>
      <c r="C166" s="61" t="s">
        <v>254</v>
      </c>
      <c r="D166" s="62">
        <f>(25.27)*10.764</f>
        <v>272.00628</v>
      </c>
      <c r="E166" s="62">
        <f>(8.52)*10.764</f>
        <v>91.709279999999993</v>
      </c>
      <c r="F166" s="54">
        <v>775</v>
      </c>
      <c r="G166" s="211"/>
      <c r="H166" s="212"/>
      <c r="I166" s="35"/>
      <c r="K166" s="79">
        <f t="shared" si="6"/>
        <v>2.5120402367180636</v>
      </c>
      <c r="L166" s="197"/>
      <c r="M166" s="197"/>
      <c r="N166" s="35"/>
    </row>
    <row r="167" spans="1:14" s="56" customFormat="1" ht="15.75" customHeight="1" x14ac:dyDescent="0.25">
      <c r="A167" s="158">
        <f t="shared" si="5"/>
        <v>14</v>
      </c>
      <c r="B167" s="159"/>
      <c r="C167" s="61" t="s">
        <v>254</v>
      </c>
      <c r="D167" s="62">
        <f>(20.21)*10.764</f>
        <v>217.54043999999999</v>
      </c>
      <c r="E167" s="62">
        <f>(6.74)*10.764</f>
        <v>72.549359999999993</v>
      </c>
      <c r="F167" s="54">
        <v>620</v>
      </c>
      <c r="G167" s="211"/>
      <c r="H167" s="212"/>
      <c r="I167" s="35"/>
      <c r="K167" s="79">
        <f t="shared" si="6"/>
        <v>2.5165465326814638</v>
      </c>
      <c r="L167" s="197"/>
      <c r="M167" s="197"/>
      <c r="N167" s="35"/>
    </row>
    <row r="168" spans="1:14" s="56" customFormat="1" ht="15.75" customHeight="1" x14ac:dyDescent="0.25">
      <c r="A168" s="158">
        <f t="shared" si="5"/>
        <v>15</v>
      </c>
      <c r="B168" s="159"/>
      <c r="C168" s="61" t="s">
        <v>254</v>
      </c>
      <c r="D168" s="62">
        <f>(15.65)*10.764</f>
        <v>168.45659999999998</v>
      </c>
      <c r="E168" s="62">
        <f>(5.22)*10.764</f>
        <v>56.188079999999992</v>
      </c>
      <c r="F168" s="54">
        <v>480</v>
      </c>
      <c r="G168" s="211"/>
      <c r="H168" s="212"/>
      <c r="I168" s="35"/>
      <c r="K168" s="79">
        <f t="shared" si="6"/>
        <v>2.5158522729296449</v>
      </c>
      <c r="L168" s="197"/>
      <c r="M168" s="197"/>
      <c r="N168" s="35"/>
    </row>
    <row r="169" spans="1:14" s="56" customFormat="1" ht="15.75" customHeight="1" x14ac:dyDescent="0.25">
      <c r="A169" s="158">
        <f t="shared" si="5"/>
        <v>16</v>
      </c>
      <c r="B169" s="159"/>
      <c r="C169" s="61" t="s">
        <v>254</v>
      </c>
      <c r="D169" s="62">
        <f>(17.32)*10.764</f>
        <v>186.43248</v>
      </c>
      <c r="E169" s="62">
        <f>(5.78)*10.764</f>
        <v>62.215919999999997</v>
      </c>
      <c r="F169" s="54">
        <v>535</v>
      </c>
      <c r="G169" s="222"/>
      <c r="H169" s="223"/>
      <c r="I169" s="35"/>
      <c r="K169" s="79">
        <f t="shared" si="6"/>
        <v>2.5359533918124137</v>
      </c>
      <c r="L169" s="197"/>
      <c r="M169" s="197"/>
      <c r="N169" s="35"/>
    </row>
    <row r="170" spans="1:14" s="56" customFormat="1" ht="15.75" customHeight="1" x14ac:dyDescent="0.25">
      <c r="A170" s="162" t="s">
        <v>292</v>
      </c>
      <c r="B170" s="163"/>
      <c r="C170" s="163"/>
      <c r="D170" s="163"/>
      <c r="E170" s="163"/>
      <c r="F170" s="163"/>
      <c r="G170" s="163"/>
      <c r="H170" s="164"/>
      <c r="J170" s="35"/>
    </row>
    <row r="171" spans="1:14" s="56" customFormat="1" ht="15.75" customHeight="1" x14ac:dyDescent="0.25">
      <c r="A171" s="158">
        <v>103</v>
      </c>
      <c r="B171" s="159"/>
      <c r="C171" s="61" t="s">
        <v>255</v>
      </c>
      <c r="D171" s="62">
        <f>(42.85)*10.764</f>
        <v>461.23739999999998</v>
      </c>
      <c r="E171" s="62">
        <v>0</v>
      </c>
      <c r="F171" s="54">
        <v>990</v>
      </c>
      <c r="G171" s="209" t="str">
        <f>A170</f>
        <v>1st Floor For Part Commercial</v>
      </c>
      <c r="H171" s="210"/>
      <c r="I171" s="35"/>
      <c r="L171" s="197"/>
      <c r="M171" s="197"/>
      <c r="N171" s="35"/>
    </row>
    <row r="172" spans="1:14" s="56" customFormat="1" ht="15.75" customHeight="1" x14ac:dyDescent="0.25">
      <c r="A172" s="158">
        <f>A171+1</f>
        <v>104</v>
      </c>
      <c r="B172" s="159"/>
      <c r="C172" s="61" t="s">
        <v>255</v>
      </c>
      <c r="D172" s="62">
        <f>(36.97)*10.764</f>
        <v>397.94507999999996</v>
      </c>
      <c r="E172" s="62">
        <v>0</v>
      </c>
      <c r="F172" s="54">
        <v>865</v>
      </c>
      <c r="G172" s="211"/>
      <c r="H172" s="212"/>
      <c r="I172" s="35"/>
      <c r="L172" s="197"/>
      <c r="M172" s="197"/>
      <c r="N172" s="35"/>
    </row>
    <row r="173" spans="1:14" s="56" customFormat="1" ht="15.75" customHeight="1" x14ac:dyDescent="0.25">
      <c r="A173" s="158">
        <f t="shared" ref="A173:A176" si="7">A172+1</f>
        <v>105</v>
      </c>
      <c r="B173" s="159"/>
      <c r="C173" s="61" t="s">
        <v>255</v>
      </c>
      <c r="D173" s="62">
        <f>(38.48)*10.764</f>
        <v>414.19871999999992</v>
      </c>
      <c r="E173" s="62">
        <v>0</v>
      </c>
      <c r="F173" s="54">
        <v>905</v>
      </c>
      <c r="G173" s="211"/>
      <c r="H173" s="212"/>
      <c r="I173" s="35"/>
      <c r="L173" s="197"/>
      <c r="M173" s="197"/>
      <c r="N173" s="35"/>
    </row>
    <row r="174" spans="1:14" s="56" customFormat="1" ht="15.75" customHeight="1" x14ac:dyDescent="0.25">
      <c r="A174" s="158">
        <f t="shared" si="7"/>
        <v>106</v>
      </c>
      <c r="B174" s="159"/>
      <c r="C174" s="61" t="s">
        <v>255</v>
      </c>
      <c r="D174" s="62">
        <f>(33.93)*10.764</f>
        <v>365.22251999999997</v>
      </c>
      <c r="E174" s="62">
        <v>0</v>
      </c>
      <c r="F174" s="54">
        <v>800</v>
      </c>
      <c r="G174" s="211"/>
      <c r="H174" s="212"/>
      <c r="I174" s="35"/>
      <c r="L174" s="197"/>
      <c r="M174" s="197"/>
      <c r="N174" s="35"/>
    </row>
    <row r="175" spans="1:14" s="56" customFormat="1" ht="15.75" customHeight="1" x14ac:dyDescent="0.25">
      <c r="A175" s="158">
        <f t="shared" si="7"/>
        <v>107</v>
      </c>
      <c r="B175" s="159"/>
      <c r="C175" s="61" t="s">
        <v>255</v>
      </c>
      <c r="D175" s="62">
        <f>(47.47)*10.764</f>
        <v>510.96707999999995</v>
      </c>
      <c r="E175" s="62">
        <v>0</v>
      </c>
      <c r="F175" s="54">
        <v>1100</v>
      </c>
      <c r="G175" s="211"/>
      <c r="H175" s="212"/>
      <c r="I175" s="35"/>
      <c r="L175" s="197"/>
      <c r="M175" s="197"/>
      <c r="N175" s="35"/>
    </row>
    <row r="176" spans="1:14" s="56" customFormat="1" ht="15.75" customHeight="1" x14ac:dyDescent="0.25">
      <c r="A176" s="158">
        <f t="shared" si="7"/>
        <v>108</v>
      </c>
      <c r="B176" s="159"/>
      <c r="C176" s="61" t="s">
        <v>255</v>
      </c>
      <c r="D176" s="62">
        <f>(33.93)*10.764</f>
        <v>365.22251999999997</v>
      </c>
      <c r="E176" s="62">
        <v>0</v>
      </c>
      <c r="F176" s="54">
        <v>800</v>
      </c>
      <c r="G176" s="222"/>
      <c r="H176" s="223"/>
      <c r="I176" s="35"/>
      <c r="L176" s="197"/>
      <c r="M176" s="197"/>
      <c r="N176" s="35"/>
    </row>
    <row r="177" spans="1:14" s="56" customFormat="1" ht="15.75" customHeight="1" x14ac:dyDescent="0.25">
      <c r="A177" s="162" t="s">
        <v>293</v>
      </c>
      <c r="B177" s="163"/>
      <c r="C177" s="163"/>
      <c r="D177" s="163"/>
      <c r="E177" s="163"/>
      <c r="F177" s="163"/>
      <c r="G177" s="163"/>
      <c r="H177" s="164"/>
      <c r="J177" s="35"/>
    </row>
    <row r="178" spans="1:14" s="56" customFormat="1" ht="15.75" customHeight="1" x14ac:dyDescent="0.25">
      <c r="A178" s="158">
        <v>203</v>
      </c>
      <c r="B178" s="159"/>
      <c r="C178" s="61" t="s">
        <v>255</v>
      </c>
      <c r="D178" s="62">
        <f>(42.85)*10.764</f>
        <v>461.23739999999998</v>
      </c>
      <c r="E178" s="62">
        <v>0</v>
      </c>
      <c r="F178" s="54">
        <v>990</v>
      </c>
      <c r="G178" s="209" t="str">
        <f>A177</f>
        <v>2nd Floor For Part Commercial</v>
      </c>
      <c r="H178" s="210"/>
      <c r="I178" s="35"/>
      <c r="L178" s="197"/>
      <c r="M178" s="197"/>
      <c r="N178" s="35"/>
    </row>
    <row r="179" spans="1:14" s="56" customFormat="1" ht="15.75" customHeight="1" x14ac:dyDescent="0.25">
      <c r="A179" s="158">
        <f>A178+1</f>
        <v>204</v>
      </c>
      <c r="B179" s="159"/>
      <c r="C179" s="61" t="s">
        <v>255</v>
      </c>
      <c r="D179" s="62">
        <f>(36.97)*10.764</f>
        <v>397.94507999999996</v>
      </c>
      <c r="E179" s="62">
        <v>0</v>
      </c>
      <c r="F179" s="54">
        <v>865</v>
      </c>
      <c r="G179" s="211"/>
      <c r="H179" s="212"/>
      <c r="I179" s="35"/>
      <c r="L179" s="197"/>
      <c r="M179" s="197"/>
      <c r="N179" s="35"/>
    </row>
    <row r="180" spans="1:14" s="56" customFormat="1" ht="15.75" customHeight="1" x14ac:dyDescent="0.25">
      <c r="A180" s="158">
        <f t="shared" ref="A180:A183" si="8">A179+1</f>
        <v>205</v>
      </c>
      <c r="B180" s="159"/>
      <c r="C180" s="61" t="s">
        <v>255</v>
      </c>
      <c r="D180" s="62">
        <f>(38.48)*10.764</f>
        <v>414.19871999999992</v>
      </c>
      <c r="E180" s="62">
        <v>0</v>
      </c>
      <c r="F180" s="54">
        <v>905</v>
      </c>
      <c r="G180" s="211"/>
      <c r="H180" s="212"/>
      <c r="I180" s="35"/>
      <c r="L180" s="197"/>
      <c r="M180" s="197"/>
      <c r="N180" s="35"/>
    </row>
    <row r="181" spans="1:14" s="56" customFormat="1" ht="15.75" customHeight="1" x14ac:dyDescent="0.25">
      <c r="A181" s="158">
        <f t="shared" si="8"/>
        <v>206</v>
      </c>
      <c r="B181" s="159"/>
      <c r="C181" s="61" t="s">
        <v>255</v>
      </c>
      <c r="D181" s="62">
        <f>(33.93)*10.764</f>
        <v>365.22251999999997</v>
      </c>
      <c r="E181" s="62">
        <v>0</v>
      </c>
      <c r="F181" s="54">
        <v>800</v>
      </c>
      <c r="G181" s="211"/>
      <c r="H181" s="212"/>
      <c r="I181" s="35"/>
      <c r="L181" s="197"/>
      <c r="M181" s="197"/>
      <c r="N181" s="35"/>
    </row>
    <row r="182" spans="1:14" s="56" customFormat="1" ht="15.75" customHeight="1" x14ac:dyDescent="0.25">
      <c r="A182" s="158">
        <f t="shared" si="8"/>
        <v>207</v>
      </c>
      <c r="B182" s="159"/>
      <c r="C182" s="61" t="s">
        <v>255</v>
      </c>
      <c r="D182" s="62">
        <f>(47.47)*10.764</f>
        <v>510.96707999999995</v>
      </c>
      <c r="E182" s="62">
        <v>0</v>
      </c>
      <c r="F182" s="54">
        <v>1100</v>
      </c>
      <c r="G182" s="211"/>
      <c r="H182" s="212"/>
      <c r="I182" s="35"/>
      <c r="L182" s="197"/>
      <c r="M182" s="197"/>
      <c r="N182" s="35"/>
    </row>
    <row r="183" spans="1:14" s="56" customFormat="1" ht="15.75" customHeight="1" x14ac:dyDescent="0.25">
      <c r="A183" s="158">
        <f t="shared" si="8"/>
        <v>208</v>
      </c>
      <c r="B183" s="159"/>
      <c r="C183" s="61" t="s">
        <v>255</v>
      </c>
      <c r="D183" s="62">
        <f>(33.93)*10.764</f>
        <v>365.22251999999997</v>
      </c>
      <c r="E183" s="62">
        <v>0</v>
      </c>
      <c r="F183" s="54">
        <v>800</v>
      </c>
      <c r="G183" s="222"/>
      <c r="H183" s="223"/>
      <c r="I183" s="35"/>
      <c r="L183" s="197"/>
      <c r="M183" s="197"/>
      <c r="N183" s="35"/>
    </row>
    <row r="184" spans="1:14" s="56" customFormat="1" x14ac:dyDescent="0.25">
      <c r="A184" s="162" t="s">
        <v>257</v>
      </c>
      <c r="B184" s="163"/>
      <c r="C184" s="163"/>
      <c r="D184" s="163"/>
      <c r="E184" s="163"/>
      <c r="F184" s="163"/>
      <c r="G184" s="163"/>
      <c r="H184" s="164"/>
      <c r="J184" s="35"/>
    </row>
    <row r="185" spans="1:14" s="56" customFormat="1" ht="15.75" customHeight="1" x14ac:dyDescent="0.25">
      <c r="A185" s="161" t="s">
        <v>253</v>
      </c>
      <c r="B185" s="161"/>
      <c r="C185" s="161"/>
      <c r="D185" s="161"/>
      <c r="E185" s="161"/>
      <c r="F185" s="161"/>
      <c r="G185" s="161"/>
      <c r="H185" s="161"/>
      <c r="J185" s="35"/>
    </row>
    <row r="186" spans="1:14" s="56" customFormat="1" ht="15.75" customHeight="1" x14ac:dyDescent="0.25">
      <c r="A186" s="165">
        <v>17</v>
      </c>
      <c r="B186" s="165"/>
      <c r="C186" s="61" t="s">
        <v>254</v>
      </c>
      <c r="D186" s="62">
        <f>(20.21)*10.764</f>
        <v>217.54043999999999</v>
      </c>
      <c r="E186" s="62">
        <f>(6.74)*10.764</f>
        <v>72.549359999999993</v>
      </c>
      <c r="F186" s="90">
        <v>620</v>
      </c>
      <c r="G186" s="165" t="str">
        <f>A185</f>
        <v>Ground Floor For Commercial, Entrance Lobby &amp; Parking</v>
      </c>
      <c r="H186" s="165"/>
      <c r="I186" s="35"/>
      <c r="L186" s="197"/>
      <c r="M186" s="197"/>
      <c r="N186" s="35"/>
    </row>
    <row r="187" spans="1:14" s="56" customFormat="1" ht="15.75" customHeight="1" x14ac:dyDescent="0.25">
      <c r="A187" s="165">
        <f t="shared" ref="A187:A193" si="9">A186+1</f>
        <v>18</v>
      </c>
      <c r="B187" s="165"/>
      <c r="C187" s="61" t="s">
        <v>254</v>
      </c>
      <c r="D187" s="62">
        <f>(19.84)*10.764</f>
        <v>213.55775999999997</v>
      </c>
      <c r="E187" s="62">
        <f>(6.61)*10.764</f>
        <v>71.150040000000004</v>
      </c>
      <c r="F187" s="90">
        <v>610</v>
      </c>
      <c r="G187" s="165"/>
      <c r="H187" s="165"/>
      <c r="I187" s="35"/>
      <c r="L187" s="197"/>
      <c r="M187" s="197"/>
      <c r="N187" s="35"/>
    </row>
    <row r="188" spans="1:14" s="56" customFormat="1" ht="15.75" customHeight="1" x14ac:dyDescent="0.25">
      <c r="A188" s="165">
        <f t="shared" si="9"/>
        <v>19</v>
      </c>
      <c r="B188" s="165"/>
      <c r="C188" s="61" t="s">
        <v>254</v>
      </c>
      <c r="D188" s="62">
        <f>(17.95)*10.764</f>
        <v>193.21379999999999</v>
      </c>
      <c r="E188" s="62">
        <f>(5.98)*10.764</f>
        <v>64.368719999999996</v>
      </c>
      <c r="F188" s="90">
        <v>555</v>
      </c>
      <c r="G188" s="165"/>
      <c r="H188" s="165"/>
      <c r="I188" s="35">
        <f>6.3*2.85</f>
        <v>17.954999999999998</v>
      </c>
      <c r="L188" s="197"/>
      <c r="M188" s="197"/>
      <c r="N188" s="35"/>
    </row>
    <row r="189" spans="1:14" s="56" customFormat="1" ht="15.75" customHeight="1" x14ac:dyDescent="0.25">
      <c r="A189" s="165">
        <f t="shared" si="9"/>
        <v>20</v>
      </c>
      <c r="B189" s="165"/>
      <c r="C189" s="61" t="s">
        <v>254</v>
      </c>
      <c r="D189" s="62">
        <f>(26.55)*10.764</f>
        <v>285.7842</v>
      </c>
      <c r="E189" s="62">
        <f>(8.85)*10.764</f>
        <v>95.261399999999995</v>
      </c>
      <c r="F189" s="90">
        <v>805</v>
      </c>
      <c r="G189" s="165"/>
      <c r="H189" s="165"/>
      <c r="I189" s="35"/>
      <c r="L189" s="197"/>
      <c r="M189" s="197"/>
      <c r="N189" s="35"/>
    </row>
    <row r="190" spans="1:14" s="56" customFormat="1" ht="15.75" customHeight="1" x14ac:dyDescent="0.25">
      <c r="A190" s="165">
        <f t="shared" si="9"/>
        <v>21</v>
      </c>
      <c r="B190" s="165"/>
      <c r="C190" s="61" t="s">
        <v>254</v>
      </c>
      <c r="D190" s="62">
        <f>(26.55)*10.764</f>
        <v>285.7842</v>
      </c>
      <c r="E190" s="62">
        <f>(8.85)*10.764</f>
        <v>95.261399999999995</v>
      </c>
      <c r="F190" s="90">
        <v>805</v>
      </c>
      <c r="G190" s="165"/>
      <c r="H190" s="165"/>
      <c r="I190" s="35"/>
      <c r="L190" s="197"/>
      <c r="M190" s="197"/>
      <c r="N190" s="35"/>
    </row>
    <row r="191" spans="1:14" s="56" customFormat="1" ht="15.75" customHeight="1" x14ac:dyDescent="0.25">
      <c r="A191" s="165">
        <f t="shared" si="9"/>
        <v>22</v>
      </c>
      <c r="B191" s="165"/>
      <c r="C191" s="61" t="s">
        <v>254</v>
      </c>
      <c r="D191" s="62">
        <f>(26.55)*10.764</f>
        <v>285.7842</v>
      </c>
      <c r="E191" s="62">
        <f>(8.85)*10.764</f>
        <v>95.261399999999995</v>
      </c>
      <c r="F191" s="90">
        <v>805</v>
      </c>
      <c r="G191" s="165"/>
      <c r="H191" s="165"/>
      <c r="I191" s="35"/>
      <c r="L191" s="197"/>
      <c r="M191" s="197"/>
      <c r="N191" s="35"/>
    </row>
    <row r="192" spans="1:14" s="56" customFormat="1" ht="15.75" customHeight="1" x14ac:dyDescent="0.25">
      <c r="A192" s="165">
        <f t="shared" si="9"/>
        <v>23</v>
      </c>
      <c r="B192" s="165"/>
      <c r="C192" s="61" t="s">
        <v>254</v>
      </c>
      <c r="D192" s="62">
        <f>(26.55)*10.764</f>
        <v>285.7842</v>
      </c>
      <c r="E192" s="62">
        <f>(8.85)*10.764</f>
        <v>95.261399999999995</v>
      </c>
      <c r="F192" s="90">
        <v>805</v>
      </c>
      <c r="G192" s="165"/>
      <c r="H192" s="165"/>
      <c r="I192" s="35"/>
      <c r="L192" s="197"/>
      <c r="M192" s="197"/>
      <c r="N192" s="35"/>
    </row>
    <row r="193" spans="1:14" s="56" customFormat="1" ht="15.75" customHeight="1" x14ac:dyDescent="0.25">
      <c r="A193" s="165">
        <f t="shared" si="9"/>
        <v>24</v>
      </c>
      <c r="B193" s="165"/>
      <c r="C193" s="61" t="s">
        <v>254</v>
      </c>
      <c r="D193" s="62">
        <f>(12.42)*10.764</f>
        <v>133.68887999999998</v>
      </c>
      <c r="E193" s="62">
        <f>(4.14)*10.764</f>
        <v>44.562959999999997</v>
      </c>
      <c r="F193" s="90">
        <v>400</v>
      </c>
      <c r="G193" s="165"/>
      <c r="H193" s="165"/>
      <c r="I193" s="35">
        <f>4.14*3</f>
        <v>12.419999999999998</v>
      </c>
      <c r="L193" s="197"/>
      <c r="M193" s="197"/>
      <c r="N193" s="35"/>
    </row>
    <row r="194" spans="1:14" s="56" customFormat="1" ht="15.75" customHeight="1" x14ac:dyDescent="0.25">
      <c r="A194" s="161" t="s">
        <v>292</v>
      </c>
      <c r="B194" s="161"/>
      <c r="C194" s="161"/>
      <c r="D194" s="161"/>
      <c r="E194" s="161"/>
      <c r="F194" s="161"/>
      <c r="G194" s="161"/>
      <c r="H194" s="161"/>
      <c r="J194" s="35"/>
    </row>
    <row r="195" spans="1:14" s="56" customFormat="1" ht="15.75" customHeight="1" x14ac:dyDescent="0.25">
      <c r="A195" s="165">
        <v>109</v>
      </c>
      <c r="B195" s="165"/>
      <c r="C195" s="61" t="s">
        <v>255</v>
      </c>
      <c r="D195" s="62">
        <f>(41.16)*10.764</f>
        <v>443.04623999999995</v>
      </c>
      <c r="E195" s="62">
        <v>0</v>
      </c>
      <c r="F195" s="90">
        <v>960</v>
      </c>
      <c r="G195" s="165" t="str">
        <f>A194</f>
        <v>1st Floor For Part Commercial</v>
      </c>
      <c r="H195" s="165"/>
      <c r="I195" s="35"/>
      <c r="L195" s="197"/>
      <c r="M195" s="197"/>
      <c r="N195" s="35"/>
    </row>
    <row r="196" spans="1:14" s="56" customFormat="1" ht="15.75" customHeight="1" x14ac:dyDescent="0.25">
      <c r="A196" s="165">
        <f>A195+1</f>
        <v>110</v>
      </c>
      <c r="B196" s="165"/>
      <c r="C196" s="61" t="s">
        <v>255</v>
      </c>
      <c r="D196" s="62">
        <f>(40.95)*10.764</f>
        <v>440.78579999999999</v>
      </c>
      <c r="E196" s="62">
        <v>0</v>
      </c>
      <c r="F196" s="90">
        <v>965</v>
      </c>
      <c r="G196" s="165"/>
      <c r="H196" s="165"/>
      <c r="I196" s="35"/>
      <c r="L196" s="197"/>
      <c r="M196" s="197"/>
      <c r="N196" s="35"/>
    </row>
    <row r="197" spans="1:14" s="56" customFormat="1" ht="15.75" customHeight="1" x14ac:dyDescent="0.25">
      <c r="A197" s="165">
        <f t="shared" ref="A197:A198" si="10">A196+1</f>
        <v>111</v>
      </c>
      <c r="B197" s="165"/>
      <c r="C197" s="61" t="s">
        <v>255</v>
      </c>
      <c r="D197" s="62">
        <f>(45.2)*10.764</f>
        <v>486.53280000000001</v>
      </c>
      <c r="E197" s="62">
        <v>0</v>
      </c>
      <c r="F197" s="90">
        <v>1055</v>
      </c>
      <c r="G197" s="165"/>
      <c r="H197" s="165"/>
      <c r="I197" s="35"/>
      <c r="L197" s="197"/>
      <c r="M197" s="197"/>
      <c r="N197" s="35"/>
    </row>
    <row r="198" spans="1:14" s="56" customFormat="1" ht="15.75" customHeight="1" x14ac:dyDescent="0.25">
      <c r="A198" s="165">
        <f t="shared" si="10"/>
        <v>112</v>
      </c>
      <c r="B198" s="165"/>
      <c r="C198" s="61" t="s">
        <v>255</v>
      </c>
      <c r="D198" s="62">
        <f>22.05*10.764</f>
        <v>237.34619999999998</v>
      </c>
      <c r="E198" s="62">
        <v>0</v>
      </c>
      <c r="F198" s="90">
        <v>520</v>
      </c>
      <c r="G198" s="165"/>
      <c r="H198" s="165"/>
      <c r="I198" s="35"/>
      <c r="L198" s="197"/>
      <c r="M198" s="197"/>
      <c r="N198" s="35"/>
    </row>
    <row r="199" spans="1:14" s="56" customFormat="1" ht="15.75" customHeight="1" x14ac:dyDescent="0.25">
      <c r="A199" s="162" t="s">
        <v>293</v>
      </c>
      <c r="B199" s="163"/>
      <c r="C199" s="163"/>
      <c r="D199" s="163"/>
      <c r="E199" s="163"/>
      <c r="F199" s="163"/>
      <c r="G199" s="163"/>
      <c r="H199" s="164"/>
      <c r="J199" s="35"/>
    </row>
    <row r="200" spans="1:14" s="56" customFormat="1" ht="15.75" customHeight="1" x14ac:dyDescent="0.25">
      <c r="A200" s="158">
        <v>209</v>
      </c>
      <c r="B200" s="159"/>
      <c r="C200" s="61" t="s">
        <v>255</v>
      </c>
      <c r="D200" s="62">
        <f>(41.16)*10.764</f>
        <v>443.04623999999995</v>
      </c>
      <c r="E200" s="62">
        <v>0</v>
      </c>
      <c r="F200" s="54">
        <v>960</v>
      </c>
      <c r="G200" s="209" t="str">
        <f>A199</f>
        <v>2nd Floor For Part Commercial</v>
      </c>
      <c r="H200" s="210"/>
      <c r="I200" s="35"/>
      <c r="L200" s="197"/>
      <c r="M200" s="197"/>
      <c r="N200" s="35"/>
    </row>
    <row r="201" spans="1:14" s="56" customFormat="1" ht="15.75" customHeight="1" x14ac:dyDescent="0.25">
      <c r="A201" s="158">
        <f>A200+1</f>
        <v>210</v>
      </c>
      <c r="B201" s="159"/>
      <c r="C201" s="61" t="s">
        <v>255</v>
      </c>
      <c r="D201" s="62">
        <f>(40.95)*10.764</f>
        <v>440.78579999999999</v>
      </c>
      <c r="E201" s="62">
        <v>0</v>
      </c>
      <c r="F201" s="54">
        <v>965</v>
      </c>
      <c r="G201" s="211"/>
      <c r="H201" s="212"/>
      <c r="I201" s="35"/>
      <c r="L201" s="197"/>
      <c r="M201" s="197"/>
      <c r="N201" s="35"/>
    </row>
    <row r="202" spans="1:14" s="56" customFormat="1" ht="15.75" customHeight="1" x14ac:dyDescent="0.25">
      <c r="A202" s="158">
        <f t="shared" ref="A202:A203" si="11">A201+1</f>
        <v>211</v>
      </c>
      <c r="B202" s="159"/>
      <c r="C202" s="61" t="s">
        <v>255</v>
      </c>
      <c r="D202" s="62">
        <f>(45.2)*10.764</f>
        <v>486.53280000000001</v>
      </c>
      <c r="E202" s="62">
        <v>0</v>
      </c>
      <c r="F202" s="54">
        <v>1055</v>
      </c>
      <c r="G202" s="211"/>
      <c r="H202" s="212"/>
      <c r="I202" s="35"/>
      <c r="L202" s="197"/>
      <c r="M202" s="197"/>
      <c r="N202" s="35"/>
    </row>
    <row r="203" spans="1:14" s="56" customFormat="1" ht="15.75" customHeight="1" x14ac:dyDescent="0.25">
      <c r="A203" s="158">
        <f t="shared" si="11"/>
        <v>212</v>
      </c>
      <c r="B203" s="159"/>
      <c r="C203" s="61" t="s">
        <v>255</v>
      </c>
      <c r="D203" s="62">
        <v>237.34619999999998</v>
      </c>
      <c r="E203" s="62">
        <v>0</v>
      </c>
      <c r="F203" s="54">
        <v>520</v>
      </c>
      <c r="G203" s="222"/>
      <c r="H203" s="223"/>
      <c r="I203" s="35"/>
      <c r="L203" s="197"/>
      <c r="M203" s="197"/>
      <c r="N203" s="35"/>
    </row>
    <row r="204" spans="1:14" s="36" customFormat="1" x14ac:dyDescent="0.25">
      <c r="A204" s="158"/>
      <c r="B204" s="225"/>
      <c r="C204" s="225"/>
      <c r="D204" s="225"/>
      <c r="E204" s="225"/>
      <c r="F204" s="225"/>
      <c r="G204" s="225"/>
      <c r="H204" s="159"/>
      <c r="I204" s="35"/>
      <c r="N204" s="35"/>
    </row>
    <row r="205" spans="1:14" ht="47.25" customHeight="1" x14ac:dyDescent="0.25">
      <c r="A205" s="59" t="s">
        <v>266</v>
      </c>
      <c r="B205" s="58" t="s">
        <v>171</v>
      </c>
      <c r="C205" s="58" t="s">
        <v>57</v>
      </c>
      <c r="D205" s="58" t="s">
        <v>58</v>
      </c>
      <c r="E205" s="58" t="s">
        <v>59</v>
      </c>
      <c r="F205" s="55" t="s">
        <v>283</v>
      </c>
      <c r="G205" s="198" t="s">
        <v>60</v>
      </c>
      <c r="H205" s="199"/>
      <c r="I205" s="35"/>
    </row>
    <row r="206" spans="1:14" s="56" customFormat="1" x14ac:dyDescent="0.25">
      <c r="A206" s="162" t="s">
        <v>258</v>
      </c>
      <c r="B206" s="163"/>
      <c r="C206" s="163"/>
      <c r="D206" s="163"/>
      <c r="E206" s="163"/>
      <c r="F206" s="163"/>
      <c r="G206" s="163"/>
      <c r="H206" s="164"/>
      <c r="J206" s="35"/>
    </row>
    <row r="207" spans="1:14" s="56" customFormat="1" x14ac:dyDescent="0.25">
      <c r="A207" s="162" t="s">
        <v>252</v>
      </c>
      <c r="B207" s="163"/>
      <c r="C207" s="163"/>
      <c r="D207" s="163"/>
      <c r="E207" s="163"/>
      <c r="F207" s="163"/>
      <c r="G207" s="163"/>
      <c r="H207" s="164"/>
      <c r="J207" s="35"/>
    </row>
    <row r="208" spans="1:14" s="36" customFormat="1" x14ac:dyDescent="0.25">
      <c r="A208" s="162" t="s">
        <v>294</v>
      </c>
      <c r="B208" s="163"/>
      <c r="C208" s="163"/>
      <c r="D208" s="163"/>
      <c r="E208" s="163"/>
      <c r="F208" s="163"/>
      <c r="G208" s="163"/>
      <c r="H208" s="164"/>
      <c r="J208" s="35"/>
    </row>
    <row r="209" spans="1:14" s="36" customFormat="1" ht="15.75" customHeight="1" x14ac:dyDescent="0.25">
      <c r="A209" s="158">
        <v>101</v>
      </c>
      <c r="B209" s="159"/>
      <c r="C209" s="61" t="s">
        <v>259</v>
      </c>
      <c r="D209" s="62">
        <f>(26.44+6.89)*10.764</f>
        <v>358.76411999999993</v>
      </c>
      <c r="E209" s="54">
        <v>0</v>
      </c>
      <c r="F209" s="78">
        <f>555</f>
        <v>555</v>
      </c>
      <c r="G209" s="209" t="str">
        <f>A208</f>
        <v>1st Floor For Part Residential</v>
      </c>
      <c r="H209" s="210"/>
      <c r="I209" s="35">
        <f>(26.44+6.89)</f>
        <v>33.33</v>
      </c>
      <c r="J209" s="36">
        <f>2.75*4.2+2.13*2.25+2.75*2.25+1.2*1.65+1.2*0.9+1.2*0.45</f>
        <v>26.130000000000003</v>
      </c>
      <c r="K209" s="36">
        <f>2.75+2.13+2.75</f>
        <v>7.63</v>
      </c>
      <c r="L209" s="68">
        <f>J209+K209</f>
        <v>33.760000000000005</v>
      </c>
      <c r="M209" s="78">
        <f>555</f>
        <v>555</v>
      </c>
      <c r="N209" s="77">
        <f>M209/D209</f>
        <v>1.5469774402189385</v>
      </c>
    </row>
    <row r="210" spans="1:14" s="36" customFormat="1" ht="15.75" customHeight="1" x14ac:dyDescent="0.25">
      <c r="A210" s="158">
        <f t="shared" ref="A210:A215" si="12">A209+1</f>
        <v>102</v>
      </c>
      <c r="B210" s="159"/>
      <c r="C210" s="61" t="s">
        <v>259</v>
      </c>
      <c r="D210" s="62">
        <f>(26.44+6.89)*10.764</f>
        <v>358.76411999999993</v>
      </c>
      <c r="E210" s="54">
        <v>0</v>
      </c>
      <c r="F210" s="78">
        <v>555</v>
      </c>
      <c r="G210" s="211"/>
      <c r="H210" s="212"/>
      <c r="I210" s="35"/>
      <c r="L210" s="68"/>
      <c r="M210" s="78">
        <v>555</v>
      </c>
      <c r="N210" s="77">
        <f t="shared" ref="N210:N215" si="13">M210/D210</f>
        <v>1.5469774402189385</v>
      </c>
    </row>
    <row r="211" spans="1:14" s="36" customFormat="1" ht="15.75" customHeight="1" x14ac:dyDescent="0.25">
      <c r="A211" s="158">
        <f t="shared" si="12"/>
        <v>103</v>
      </c>
      <c r="B211" s="159"/>
      <c r="C211" s="61" t="s">
        <v>259</v>
      </c>
      <c r="D211" s="62">
        <f>(28.54+4.56)*10.764</f>
        <v>356.28839999999997</v>
      </c>
      <c r="E211" s="54">
        <v>0</v>
      </c>
      <c r="F211" s="78">
        <v>545</v>
      </c>
      <c r="G211" s="211"/>
      <c r="H211" s="212"/>
      <c r="I211" s="35"/>
      <c r="L211" s="68"/>
      <c r="M211" s="78">
        <v>545</v>
      </c>
      <c r="N211" s="77">
        <f t="shared" si="13"/>
        <v>1.5296596801916651</v>
      </c>
    </row>
    <row r="212" spans="1:14" s="36" customFormat="1" ht="15.75" customHeight="1" x14ac:dyDescent="0.25">
      <c r="A212" s="158">
        <f t="shared" si="12"/>
        <v>104</v>
      </c>
      <c r="B212" s="159"/>
      <c r="C212" s="61" t="s">
        <v>259</v>
      </c>
      <c r="D212" s="62">
        <f>(28.88+4.15)*10.764</f>
        <v>355.53492</v>
      </c>
      <c r="E212" s="54">
        <v>0</v>
      </c>
      <c r="F212" s="78">
        <v>545</v>
      </c>
      <c r="G212" s="211"/>
      <c r="H212" s="212"/>
      <c r="I212" s="69">
        <f>11.55+4.79+6.19+1.98+1.08+0.3*1.2+1.3*2</f>
        <v>28.550000000000004</v>
      </c>
      <c r="J212" s="36">
        <f>2.13+2.75</f>
        <v>4.88</v>
      </c>
      <c r="L212" s="68"/>
      <c r="M212" s="78">
        <v>545</v>
      </c>
      <c r="N212" s="77">
        <f t="shared" si="13"/>
        <v>1.5329014657688196</v>
      </c>
    </row>
    <row r="213" spans="1:14" s="56" customFormat="1" ht="15.75" customHeight="1" x14ac:dyDescent="0.25">
      <c r="A213" s="158">
        <f t="shared" si="12"/>
        <v>105</v>
      </c>
      <c r="B213" s="159"/>
      <c r="C213" s="61" t="s">
        <v>260</v>
      </c>
      <c r="D213" s="62">
        <f>(38.86+2.75)*10.764</f>
        <v>447.89003999999994</v>
      </c>
      <c r="E213" s="54">
        <v>0</v>
      </c>
      <c r="F213" s="78">
        <v>710</v>
      </c>
      <c r="G213" s="211"/>
      <c r="H213" s="212"/>
      <c r="I213" s="70">
        <f>11.55+4.25+7.42+7.98+2.16+2.16+3*0.9</f>
        <v>38.22</v>
      </c>
      <c r="J213" s="56">
        <v>2.75</v>
      </c>
      <c r="L213" s="68"/>
      <c r="M213" s="78">
        <v>710</v>
      </c>
      <c r="N213" s="77">
        <f t="shared" si="13"/>
        <v>1.5852105128303369</v>
      </c>
    </row>
    <row r="214" spans="1:14" s="56" customFormat="1" ht="15.75" customHeight="1" x14ac:dyDescent="0.25">
      <c r="A214" s="158">
        <f t="shared" si="12"/>
        <v>106</v>
      </c>
      <c r="B214" s="159"/>
      <c r="C214" s="61" t="s">
        <v>259</v>
      </c>
      <c r="D214" s="62">
        <f>(26.44+6.89)*10.764</f>
        <v>358.76411999999993</v>
      </c>
      <c r="E214" s="54">
        <v>0</v>
      </c>
      <c r="F214" s="78">
        <v>555</v>
      </c>
      <c r="G214" s="211"/>
      <c r="H214" s="212"/>
      <c r="I214" s="71"/>
      <c r="L214" s="68"/>
      <c r="M214" s="78">
        <v>555</v>
      </c>
      <c r="N214" s="77">
        <f t="shared" si="13"/>
        <v>1.5469774402189385</v>
      </c>
    </row>
    <row r="215" spans="1:14" s="56" customFormat="1" ht="15.75" customHeight="1" x14ac:dyDescent="0.25">
      <c r="A215" s="158">
        <f t="shared" si="12"/>
        <v>107</v>
      </c>
      <c r="B215" s="159"/>
      <c r="C215" s="61" t="s">
        <v>259</v>
      </c>
      <c r="D215" s="62">
        <f>(26.44+6.89)*10.764</f>
        <v>358.76411999999993</v>
      </c>
      <c r="E215" s="54">
        <v>0</v>
      </c>
      <c r="F215" s="78">
        <v>555</v>
      </c>
      <c r="G215" s="222"/>
      <c r="H215" s="223"/>
      <c r="I215" s="70">
        <f>11.55+4.79+6.19+1.98+1.08+1.2*0.3</f>
        <v>25.950000000000003</v>
      </c>
      <c r="J215" s="56">
        <f>2.75+2.13+2.75</f>
        <v>7.63</v>
      </c>
      <c r="L215" s="68"/>
      <c r="M215" s="78">
        <v>555</v>
      </c>
      <c r="N215" s="77">
        <f t="shared" si="13"/>
        <v>1.5469774402189385</v>
      </c>
    </row>
    <row r="216" spans="1:14" s="56" customFormat="1" x14ac:dyDescent="0.25">
      <c r="A216" s="162" t="s">
        <v>295</v>
      </c>
      <c r="B216" s="163"/>
      <c r="C216" s="163"/>
      <c r="D216" s="163"/>
      <c r="E216" s="163"/>
      <c r="F216" s="163"/>
      <c r="G216" s="163"/>
      <c r="H216" s="164"/>
      <c r="J216" s="35"/>
      <c r="L216" s="60"/>
      <c r="M216" s="60"/>
    </row>
    <row r="217" spans="1:14" s="56" customFormat="1" ht="15.75" customHeight="1" x14ac:dyDescent="0.25">
      <c r="A217" s="158">
        <v>201</v>
      </c>
      <c r="B217" s="159"/>
      <c r="C217" s="61" t="s">
        <v>259</v>
      </c>
      <c r="D217" s="62">
        <f>(26.44+6.89)*10.764</f>
        <v>358.76411999999993</v>
      </c>
      <c r="E217" s="54">
        <v>0</v>
      </c>
      <c r="F217" s="54">
        <v>555</v>
      </c>
      <c r="G217" s="209" t="str">
        <f>A216</f>
        <v>2nd Floor For Part Residential</v>
      </c>
      <c r="H217" s="210"/>
      <c r="I217" s="35"/>
      <c r="K217" s="56">
        <f>F217/D217</f>
        <v>1.5469774402189385</v>
      </c>
      <c r="L217" s="68">
        <f>3200*F217</f>
        <v>1776000</v>
      </c>
      <c r="M217" s="68">
        <f>L217+200000</f>
        <v>1976000</v>
      </c>
      <c r="N217" s="35"/>
    </row>
    <row r="218" spans="1:14" s="56" customFormat="1" ht="15.75" customHeight="1" x14ac:dyDescent="0.25">
      <c r="A218" s="158">
        <f t="shared" ref="A218:A223" si="14">A217+1</f>
        <v>202</v>
      </c>
      <c r="B218" s="159"/>
      <c r="C218" s="61" t="s">
        <v>259</v>
      </c>
      <c r="D218" s="62">
        <f>(26.44+6.89)*10.764</f>
        <v>358.76411999999993</v>
      </c>
      <c r="E218" s="54">
        <v>0</v>
      </c>
      <c r="F218" s="54">
        <v>555</v>
      </c>
      <c r="G218" s="211"/>
      <c r="H218" s="212"/>
      <c r="I218" s="35"/>
      <c r="K218" s="83">
        <f t="shared" ref="K218:K223" si="15">F218/D218</f>
        <v>1.5469774402189385</v>
      </c>
      <c r="L218" s="68">
        <f t="shared" ref="L218:L223" si="16">3200*F218</f>
        <v>1776000</v>
      </c>
      <c r="M218" s="68">
        <f t="shared" ref="M218:M223" si="17">L218+200000</f>
        <v>1976000</v>
      </c>
      <c r="N218" s="35"/>
    </row>
    <row r="219" spans="1:14" s="56" customFormat="1" ht="15.75" customHeight="1" x14ac:dyDescent="0.25">
      <c r="A219" s="158">
        <f t="shared" si="14"/>
        <v>203</v>
      </c>
      <c r="B219" s="159"/>
      <c r="C219" s="61" t="s">
        <v>259</v>
      </c>
      <c r="D219" s="62">
        <f>(28.54+4.56)*10.764</f>
        <v>356.28839999999997</v>
      </c>
      <c r="E219" s="54">
        <v>0</v>
      </c>
      <c r="F219" s="54">
        <v>560</v>
      </c>
      <c r="G219" s="211"/>
      <c r="H219" s="212"/>
      <c r="I219" s="35"/>
      <c r="K219" s="83">
        <f t="shared" si="15"/>
        <v>1.5717604053345549</v>
      </c>
      <c r="L219" s="68">
        <f t="shared" si="16"/>
        <v>1792000</v>
      </c>
      <c r="M219" s="68">
        <f>L219+210000</f>
        <v>2002000</v>
      </c>
      <c r="N219" s="35"/>
    </row>
    <row r="220" spans="1:14" s="56" customFormat="1" ht="15.75" customHeight="1" x14ac:dyDescent="0.25">
      <c r="A220" s="158">
        <f t="shared" si="14"/>
        <v>204</v>
      </c>
      <c r="B220" s="159"/>
      <c r="C220" s="61" t="s">
        <v>259</v>
      </c>
      <c r="D220" s="62">
        <f>(28.88+4.15)*10.764</f>
        <v>355.53492</v>
      </c>
      <c r="E220" s="54">
        <v>0</v>
      </c>
      <c r="F220" s="54">
        <v>560</v>
      </c>
      <c r="G220" s="211"/>
      <c r="H220" s="212"/>
      <c r="I220" s="35"/>
      <c r="K220" s="83">
        <f t="shared" si="15"/>
        <v>1.5750914143679613</v>
      </c>
      <c r="L220" s="68">
        <f t="shared" si="16"/>
        <v>1792000</v>
      </c>
      <c r="M220" s="68">
        <f t="shared" si="17"/>
        <v>1992000</v>
      </c>
      <c r="N220" s="35"/>
    </row>
    <row r="221" spans="1:14" s="56" customFormat="1" ht="15.75" customHeight="1" x14ac:dyDescent="0.25">
      <c r="A221" s="158">
        <f t="shared" si="14"/>
        <v>205</v>
      </c>
      <c r="B221" s="159"/>
      <c r="C221" s="61" t="s">
        <v>260</v>
      </c>
      <c r="D221" s="62">
        <f>(38.86+2.75)*10.764</f>
        <v>447.89003999999994</v>
      </c>
      <c r="E221" s="54">
        <v>0</v>
      </c>
      <c r="F221" s="54">
        <v>710</v>
      </c>
      <c r="G221" s="211"/>
      <c r="H221" s="212"/>
      <c r="I221" s="35"/>
      <c r="K221" s="83">
        <f t="shared" si="15"/>
        <v>1.5852105128303369</v>
      </c>
      <c r="L221" s="68">
        <f t="shared" si="16"/>
        <v>2272000</v>
      </c>
      <c r="M221" s="68">
        <f t="shared" si="17"/>
        <v>2472000</v>
      </c>
      <c r="N221" s="35"/>
    </row>
    <row r="222" spans="1:14" s="56" customFormat="1" ht="15.75" customHeight="1" x14ac:dyDescent="0.25">
      <c r="A222" s="158">
        <f t="shared" si="14"/>
        <v>206</v>
      </c>
      <c r="B222" s="159"/>
      <c r="C222" s="61" t="s">
        <v>259</v>
      </c>
      <c r="D222" s="62">
        <f>(26.44+6.89)*10.764</f>
        <v>358.76411999999993</v>
      </c>
      <c r="E222" s="54">
        <v>0</v>
      </c>
      <c r="F222" s="54">
        <v>555</v>
      </c>
      <c r="G222" s="211"/>
      <c r="H222" s="212"/>
      <c r="I222" s="35"/>
      <c r="K222" s="83">
        <f t="shared" si="15"/>
        <v>1.5469774402189385</v>
      </c>
      <c r="L222" s="68">
        <f t="shared" si="16"/>
        <v>1776000</v>
      </c>
      <c r="M222" s="68">
        <f t="shared" si="17"/>
        <v>1976000</v>
      </c>
      <c r="N222" s="35"/>
    </row>
    <row r="223" spans="1:14" s="56" customFormat="1" ht="15.75" customHeight="1" x14ac:dyDescent="0.25">
      <c r="A223" s="158">
        <f t="shared" si="14"/>
        <v>207</v>
      </c>
      <c r="B223" s="159"/>
      <c r="C223" s="61" t="s">
        <v>259</v>
      </c>
      <c r="D223" s="62">
        <f>(26.44+6.89)*10.764</f>
        <v>358.76411999999993</v>
      </c>
      <c r="E223" s="54">
        <v>0</v>
      </c>
      <c r="F223" s="54">
        <v>555</v>
      </c>
      <c r="G223" s="222"/>
      <c r="H223" s="223"/>
      <c r="I223" s="35"/>
      <c r="K223" s="83">
        <f t="shared" si="15"/>
        <v>1.5469774402189385</v>
      </c>
      <c r="L223" s="68">
        <f t="shared" si="16"/>
        <v>1776000</v>
      </c>
      <c r="M223" s="68">
        <f t="shared" si="17"/>
        <v>1976000</v>
      </c>
      <c r="N223" s="35"/>
    </row>
    <row r="224" spans="1:14" s="56" customFormat="1" x14ac:dyDescent="0.25">
      <c r="A224" s="162" t="s">
        <v>263</v>
      </c>
      <c r="B224" s="163"/>
      <c r="C224" s="163"/>
      <c r="D224" s="163"/>
      <c r="E224" s="163"/>
      <c r="F224" s="163"/>
      <c r="G224" s="163"/>
      <c r="H224" s="164"/>
      <c r="J224" s="35"/>
    </row>
    <row r="225" spans="1:14" s="56" customFormat="1" ht="15.75" customHeight="1" x14ac:dyDescent="0.25">
      <c r="A225" s="158">
        <v>301</v>
      </c>
      <c r="B225" s="159"/>
      <c r="C225" s="61" t="s">
        <v>260</v>
      </c>
      <c r="D225" s="62">
        <f>(38.86)*10.764</f>
        <v>418.28903999999994</v>
      </c>
      <c r="E225" s="63">
        <f>(4*2.75+2.1*3+3.1*2.7)*10.764</f>
        <v>276.31187999999997</v>
      </c>
      <c r="F225" s="54">
        <v>940</v>
      </c>
      <c r="G225" s="209" t="str">
        <f>A224</f>
        <v>3rd Floor</v>
      </c>
      <c r="H225" s="210"/>
      <c r="I225" s="35">
        <f>11.55+4.25+7.42+7.98+2.16+2.16+0.9*3+2.8*0.45</f>
        <v>39.479999999999997</v>
      </c>
      <c r="K225" s="56">
        <f>F225/D225</f>
        <v>2.2472498920841915</v>
      </c>
      <c r="L225" s="197"/>
      <c r="M225" s="197"/>
      <c r="N225" s="35"/>
    </row>
    <row r="226" spans="1:14" s="56" customFormat="1" ht="15.75" customHeight="1" x14ac:dyDescent="0.25">
      <c r="A226" s="158">
        <f t="shared" ref="A226:A232" si="18">A225+1</f>
        <v>302</v>
      </c>
      <c r="B226" s="159"/>
      <c r="C226" s="61" t="s">
        <v>259</v>
      </c>
      <c r="D226" s="62">
        <f>(26.44+6.89)*10.764</f>
        <v>358.76411999999993</v>
      </c>
      <c r="E226" s="54">
        <v>0</v>
      </c>
      <c r="F226" s="54">
        <v>555</v>
      </c>
      <c r="G226" s="211"/>
      <c r="H226" s="212"/>
      <c r="I226" s="35">
        <f>11.55+4.79+6.19+1.98+1.08+1.2*0.3</f>
        <v>25.950000000000003</v>
      </c>
      <c r="J226" s="72">
        <f>2.75*1+2.13*1+2.75*1</f>
        <v>7.63</v>
      </c>
      <c r="K226" s="83">
        <f t="shared" ref="K226:K289" si="19">F226/D226</f>
        <v>1.5469774402189385</v>
      </c>
      <c r="L226" s="197"/>
      <c r="M226" s="197"/>
      <c r="N226" s="35"/>
    </row>
    <row r="227" spans="1:14" s="56" customFormat="1" ht="15.75" customHeight="1" x14ac:dyDescent="0.25">
      <c r="A227" s="158">
        <f t="shared" si="18"/>
        <v>303</v>
      </c>
      <c r="B227" s="159"/>
      <c r="C227" s="61" t="s">
        <v>259</v>
      </c>
      <c r="D227" s="62">
        <f>(26.44+6.89)*10.764</f>
        <v>358.76411999999993</v>
      </c>
      <c r="E227" s="54">
        <v>0</v>
      </c>
      <c r="F227" s="54">
        <v>555</v>
      </c>
      <c r="G227" s="211"/>
      <c r="H227" s="212"/>
      <c r="I227" s="35">
        <f>11.55+4.79+6.19+1.98+1.08+1.2*0.3</f>
        <v>25.950000000000003</v>
      </c>
      <c r="J227" s="72">
        <f>2.75*1+2.13*1+2.75*1</f>
        <v>7.63</v>
      </c>
      <c r="K227" s="83">
        <f t="shared" si="19"/>
        <v>1.5469774402189385</v>
      </c>
      <c r="L227" s="197"/>
      <c r="M227" s="197"/>
      <c r="N227" s="35"/>
    </row>
    <row r="228" spans="1:14" s="56" customFormat="1" ht="15.75" customHeight="1" x14ac:dyDescent="0.25">
      <c r="A228" s="158">
        <f t="shared" si="18"/>
        <v>304</v>
      </c>
      <c r="B228" s="159"/>
      <c r="C228" s="61" t="s">
        <v>259</v>
      </c>
      <c r="D228" s="62">
        <f>(26.66+6.89)*10.764</f>
        <v>361.13219999999995</v>
      </c>
      <c r="E228" s="54">
        <v>0</v>
      </c>
      <c r="F228" s="54">
        <v>560</v>
      </c>
      <c r="G228" s="211"/>
      <c r="H228" s="212"/>
      <c r="I228" s="35">
        <f>11.55+4.43+5.72+2.54+1.93</f>
        <v>26.169999999999998</v>
      </c>
      <c r="J228" s="72">
        <f>2.75*1+2.13*1+2.75*1</f>
        <v>7.63</v>
      </c>
      <c r="K228" s="83">
        <f t="shared" si="19"/>
        <v>1.5506786711348366</v>
      </c>
      <c r="L228" s="197">
        <f>1935360/F228</f>
        <v>3456</v>
      </c>
      <c r="M228" s="197"/>
      <c r="N228" s="35"/>
    </row>
    <row r="229" spans="1:14" s="56" customFormat="1" ht="15.75" customHeight="1" x14ac:dyDescent="0.25">
      <c r="A229" s="158">
        <f t="shared" si="18"/>
        <v>305</v>
      </c>
      <c r="B229" s="159"/>
      <c r="C229" s="61" t="s">
        <v>259</v>
      </c>
      <c r="D229" s="62">
        <f>(28.88+6.89)*10.764</f>
        <v>385.02827999999994</v>
      </c>
      <c r="E229" s="54">
        <v>0</v>
      </c>
      <c r="F229" s="54">
        <v>595</v>
      </c>
      <c r="G229" s="211"/>
      <c r="H229" s="212"/>
      <c r="I229" s="35">
        <f>11.55+4.79+6.19+1.98+1.08+0.3*1.2+1.3*2</f>
        <v>28.550000000000004</v>
      </c>
      <c r="J229" s="73">
        <f>2.75*1+2.13*1+2.75*1</f>
        <v>7.63</v>
      </c>
      <c r="K229" s="83">
        <f t="shared" si="19"/>
        <v>1.5453410331313848</v>
      </c>
      <c r="L229" s="197"/>
      <c r="M229" s="197"/>
      <c r="N229" s="35"/>
    </row>
    <row r="230" spans="1:14" s="56" customFormat="1" ht="15.75" customHeight="1" x14ac:dyDescent="0.25">
      <c r="A230" s="158">
        <f t="shared" si="18"/>
        <v>306</v>
      </c>
      <c r="B230" s="159"/>
      <c r="C230" s="61" t="s">
        <v>260</v>
      </c>
      <c r="D230" s="62">
        <f>(38.86+2.75)*10.764</f>
        <v>447.89003999999994</v>
      </c>
      <c r="E230" s="54">
        <v>0</v>
      </c>
      <c r="F230" s="54">
        <v>710</v>
      </c>
      <c r="G230" s="211"/>
      <c r="H230" s="212"/>
      <c r="I230" s="35">
        <f>11.55+4.25+7.42+7.98+2.16+2.16+3*0.9</f>
        <v>38.22</v>
      </c>
      <c r="J230" s="72">
        <f>2.75*1</f>
        <v>2.75</v>
      </c>
      <c r="K230" s="83">
        <f t="shared" si="19"/>
        <v>1.5852105128303369</v>
      </c>
      <c r="L230" s="68">
        <f>2453760/F230</f>
        <v>3456</v>
      </c>
      <c r="M230" s="68"/>
      <c r="N230" s="35"/>
    </row>
    <row r="231" spans="1:14" s="56" customFormat="1" ht="15.75" customHeight="1" x14ac:dyDescent="0.25">
      <c r="A231" s="158">
        <f t="shared" si="18"/>
        <v>307</v>
      </c>
      <c r="B231" s="159"/>
      <c r="C231" s="61" t="s">
        <v>259</v>
      </c>
      <c r="D231" s="62">
        <f>(26.44+6.89)*10.764</f>
        <v>358.76411999999993</v>
      </c>
      <c r="E231" s="54">
        <v>0</v>
      </c>
      <c r="F231" s="54">
        <v>555</v>
      </c>
      <c r="G231" s="211"/>
      <c r="H231" s="212"/>
      <c r="I231" s="35"/>
      <c r="J231" s="72">
        <f>2.75*1+2.13*1+2.75*1</f>
        <v>7.63</v>
      </c>
      <c r="K231" s="83">
        <f t="shared" si="19"/>
        <v>1.5469774402189385</v>
      </c>
      <c r="L231" s="197"/>
      <c r="M231" s="197"/>
      <c r="N231" s="35"/>
    </row>
    <row r="232" spans="1:14" s="56" customFormat="1" ht="15.75" customHeight="1" x14ac:dyDescent="0.25">
      <c r="A232" s="158">
        <f t="shared" si="18"/>
        <v>308</v>
      </c>
      <c r="B232" s="159"/>
      <c r="C232" s="61" t="s">
        <v>259</v>
      </c>
      <c r="D232" s="62">
        <f>(26.44+6.89)*10.764</f>
        <v>358.76411999999993</v>
      </c>
      <c r="E232" s="54">
        <v>0</v>
      </c>
      <c r="F232" s="54">
        <v>555</v>
      </c>
      <c r="G232" s="222"/>
      <c r="H232" s="223"/>
      <c r="I232" s="35"/>
      <c r="J232" s="72">
        <f>2.75*1+2.13*1+2.75*1</f>
        <v>7.63</v>
      </c>
      <c r="K232" s="83">
        <f t="shared" si="19"/>
        <v>1.5469774402189385</v>
      </c>
      <c r="L232" s="197"/>
      <c r="M232" s="197"/>
      <c r="N232" s="35"/>
    </row>
    <row r="233" spans="1:14" s="56" customFormat="1" x14ac:dyDescent="0.25">
      <c r="A233" s="161" t="s">
        <v>264</v>
      </c>
      <c r="B233" s="161"/>
      <c r="C233" s="161"/>
      <c r="D233" s="161"/>
      <c r="E233" s="161"/>
      <c r="F233" s="161"/>
      <c r="G233" s="161"/>
      <c r="H233" s="161"/>
      <c r="J233" s="35"/>
      <c r="K233" s="83" t="e">
        <f t="shared" si="19"/>
        <v>#DIV/0!</v>
      </c>
    </row>
    <row r="234" spans="1:14" s="56" customFormat="1" ht="15.75" customHeight="1" x14ac:dyDescent="0.25">
      <c r="A234" s="165" t="s">
        <v>272</v>
      </c>
      <c r="B234" s="165"/>
      <c r="C234" s="61" t="s">
        <v>260</v>
      </c>
      <c r="D234" s="62">
        <f>(38.86)*10.764</f>
        <v>418.28903999999994</v>
      </c>
      <c r="E234" s="63">
        <v>0</v>
      </c>
      <c r="F234" s="90">
        <v>710</v>
      </c>
      <c r="G234" s="165" t="str">
        <f>A233</f>
        <v>4th to 7th Floor</v>
      </c>
      <c r="H234" s="165"/>
      <c r="I234" s="74">
        <f>11.55+4.25+7.42+7.98+2.16+2.16+0.9*3</f>
        <v>38.22</v>
      </c>
      <c r="K234" s="83">
        <f t="shared" si="19"/>
        <v>1.697390875935932</v>
      </c>
      <c r="L234" s="197"/>
      <c r="M234" s="197"/>
      <c r="N234" s="35"/>
    </row>
    <row r="235" spans="1:14" s="56" customFormat="1" ht="15.75" customHeight="1" x14ac:dyDescent="0.25">
      <c r="A235" s="165" t="s">
        <v>273</v>
      </c>
      <c r="B235" s="165"/>
      <c r="C235" s="61" t="s">
        <v>259</v>
      </c>
      <c r="D235" s="62">
        <f>(26.44+6.89)*10.764</f>
        <v>358.76411999999993</v>
      </c>
      <c r="E235" s="90">
        <v>0</v>
      </c>
      <c r="F235" s="90">
        <v>555</v>
      </c>
      <c r="G235" s="165"/>
      <c r="H235" s="165"/>
      <c r="I235" s="74">
        <f>11.55+4.79+6.19+1.98+1.08+1.2*0.3</f>
        <v>25.950000000000003</v>
      </c>
      <c r="K235" s="83">
        <f t="shared" si="19"/>
        <v>1.5469774402189385</v>
      </c>
      <c r="L235" s="197"/>
      <c r="M235" s="197"/>
      <c r="N235" s="35"/>
    </row>
    <row r="236" spans="1:14" s="56" customFormat="1" ht="15.75" customHeight="1" x14ac:dyDescent="0.25">
      <c r="A236" s="165" t="s">
        <v>274</v>
      </c>
      <c r="B236" s="165"/>
      <c r="C236" s="61" t="s">
        <v>259</v>
      </c>
      <c r="D236" s="62">
        <f>(26.44+6.89)*10.764</f>
        <v>358.76411999999993</v>
      </c>
      <c r="E236" s="90">
        <v>0</v>
      </c>
      <c r="F236" s="90">
        <v>555</v>
      </c>
      <c r="G236" s="165"/>
      <c r="H236" s="165"/>
      <c r="I236" s="35"/>
      <c r="K236" s="83">
        <f t="shared" si="19"/>
        <v>1.5469774402189385</v>
      </c>
      <c r="L236" s="197"/>
      <c r="M236" s="197"/>
      <c r="N236" s="35"/>
    </row>
    <row r="237" spans="1:14" s="56" customFormat="1" ht="15.75" customHeight="1" x14ac:dyDescent="0.25">
      <c r="A237" s="165" t="s">
        <v>275</v>
      </c>
      <c r="B237" s="165"/>
      <c r="C237" s="61" t="s">
        <v>259</v>
      </c>
      <c r="D237" s="62">
        <f>(26.66+6.89)*10.764</f>
        <v>361.13219999999995</v>
      </c>
      <c r="E237" s="90">
        <v>0</v>
      </c>
      <c r="F237" s="90">
        <v>560</v>
      </c>
      <c r="G237" s="165"/>
      <c r="H237" s="165"/>
      <c r="I237" s="35"/>
      <c r="K237" s="83">
        <f t="shared" si="19"/>
        <v>1.5506786711348366</v>
      </c>
      <c r="L237" s="197"/>
      <c r="M237" s="197"/>
      <c r="N237" s="35"/>
    </row>
    <row r="238" spans="1:14" s="56" customFormat="1" ht="15.75" customHeight="1" x14ac:dyDescent="0.25">
      <c r="A238" s="165" t="s">
        <v>276</v>
      </c>
      <c r="B238" s="165"/>
      <c r="C238" s="61" t="s">
        <v>259</v>
      </c>
      <c r="D238" s="62">
        <f>(28.88+6.89)*10.764</f>
        <v>385.02827999999994</v>
      </c>
      <c r="E238" s="90">
        <v>0</v>
      </c>
      <c r="F238" s="90">
        <v>595</v>
      </c>
      <c r="G238" s="165"/>
      <c r="H238" s="165"/>
      <c r="I238" s="35"/>
      <c r="K238" s="83">
        <f t="shared" si="19"/>
        <v>1.5453410331313848</v>
      </c>
      <c r="L238" s="197"/>
      <c r="M238" s="197"/>
      <c r="N238" s="35"/>
    </row>
    <row r="239" spans="1:14" s="56" customFormat="1" ht="15.75" customHeight="1" x14ac:dyDescent="0.25">
      <c r="A239" s="165" t="s">
        <v>277</v>
      </c>
      <c r="B239" s="165"/>
      <c r="C239" s="61" t="s">
        <v>260</v>
      </c>
      <c r="D239" s="62">
        <f>(38.86+2.75)*10.764</f>
        <v>447.89003999999994</v>
      </c>
      <c r="E239" s="90">
        <v>0</v>
      </c>
      <c r="F239" s="90">
        <v>710</v>
      </c>
      <c r="G239" s="165"/>
      <c r="H239" s="165"/>
      <c r="I239" s="35"/>
      <c r="K239" s="83">
        <f t="shared" si="19"/>
        <v>1.5852105128303369</v>
      </c>
      <c r="L239" s="197"/>
      <c r="M239" s="197"/>
      <c r="N239" s="35"/>
    </row>
    <row r="240" spans="1:14" s="56" customFormat="1" ht="15.75" customHeight="1" x14ac:dyDescent="0.25">
      <c r="A240" s="165" t="s">
        <v>278</v>
      </c>
      <c r="B240" s="165"/>
      <c r="C240" s="61" t="s">
        <v>259</v>
      </c>
      <c r="D240" s="62">
        <f>(26.44+6.89)*10.764</f>
        <v>358.76411999999993</v>
      </c>
      <c r="E240" s="90">
        <v>0</v>
      </c>
      <c r="F240" s="90">
        <v>555</v>
      </c>
      <c r="G240" s="165"/>
      <c r="H240" s="165"/>
      <c r="I240" s="35"/>
      <c r="K240" s="83">
        <f t="shared" si="19"/>
        <v>1.5469774402189385</v>
      </c>
      <c r="L240" s="197"/>
      <c r="M240" s="197"/>
      <c r="N240" s="35"/>
    </row>
    <row r="241" spans="1:14" s="56" customFormat="1" ht="15.75" customHeight="1" x14ac:dyDescent="0.25">
      <c r="A241" s="165" t="s">
        <v>279</v>
      </c>
      <c r="B241" s="165"/>
      <c r="C241" s="61" t="s">
        <v>259</v>
      </c>
      <c r="D241" s="62">
        <f>(26.44+6.89)*10.764</f>
        <v>358.76411999999993</v>
      </c>
      <c r="E241" s="90">
        <v>0</v>
      </c>
      <c r="F241" s="90">
        <v>555</v>
      </c>
      <c r="G241" s="165"/>
      <c r="H241" s="165"/>
      <c r="I241" s="35"/>
      <c r="K241" s="83">
        <f t="shared" si="19"/>
        <v>1.5469774402189385</v>
      </c>
      <c r="L241" s="197"/>
      <c r="M241" s="197"/>
      <c r="N241" s="35"/>
    </row>
    <row r="242" spans="1:14" s="56" customFormat="1" x14ac:dyDescent="0.25">
      <c r="A242" s="161" t="s">
        <v>261</v>
      </c>
      <c r="B242" s="161"/>
      <c r="C242" s="161"/>
      <c r="D242" s="161"/>
      <c r="E242" s="161"/>
      <c r="F242" s="161"/>
      <c r="G242" s="161"/>
      <c r="H242" s="161"/>
      <c r="I242" s="35"/>
      <c r="K242" s="83" t="e">
        <f t="shared" si="19"/>
        <v>#DIV/0!</v>
      </c>
      <c r="L242" s="197"/>
      <c r="M242" s="197"/>
    </row>
    <row r="243" spans="1:14" s="56" customFormat="1" x14ac:dyDescent="0.25">
      <c r="A243" s="161" t="s">
        <v>294</v>
      </c>
      <c r="B243" s="161"/>
      <c r="C243" s="161"/>
      <c r="D243" s="161"/>
      <c r="E243" s="161"/>
      <c r="F243" s="161"/>
      <c r="G243" s="161"/>
      <c r="H243" s="161"/>
      <c r="I243" s="35"/>
      <c r="K243" s="83" t="e">
        <f t="shared" si="19"/>
        <v>#DIV/0!</v>
      </c>
      <c r="L243" s="197"/>
      <c r="M243" s="197"/>
    </row>
    <row r="244" spans="1:14" s="36" customFormat="1" ht="15.75" customHeight="1" x14ac:dyDescent="0.25">
      <c r="A244" s="158">
        <v>101</v>
      </c>
      <c r="B244" s="159"/>
      <c r="C244" s="61" t="s">
        <v>259</v>
      </c>
      <c r="D244" s="62">
        <f>(26.66+6.89)*10.764</f>
        <v>361.13219999999995</v>
      </c>
      <c r="E244" s="54">
        <v>0</v>
      </c>
      <c r="F244" s="54">
        <v>555</v>
      </c>
      <c r="G244" s="209" t="str">
        <f>A243</f>
        <v>1st Floor For Part Residential</v>
      </c>
      <c r="H244" s="210"/>
      <c r="I244" s="70">
        <f>11.55+4.79+1.8+1.08+0.9*1.1</f>
        <v>20.209999999999997</v>
      </c>
      <c r="J244" s="75">
        <f>2.75</f>
        <v>2.75</v>
      </c>
      <c r="K244" s="83">
        <f t="shared" si="19"/>
        <v>1.5368333258568472</v>
      </c>
      <c r="N244" s="35"/>
    </row>
    <row r="245" spans="1:14" s="36" customFormat="1" ht="15.75" customHeight="1" x14ac:dyDescent="0.25">
      <c r="A245" s="158">
        <f>A244+1</f>
        <v>102</v>
      </c>
      <c r="B245" s="159"/>
      <c r="C245" s="61" t="s">
        <v>262</v>
      </c>
      <c r="D245" s="62">
        <f>(20.66+2.75)*10.764</f>
        <v>251.98523999999998</v>
      </c>
      <c r="E245" s="54">
        <v>0</v>
      </c>
      <c r="F245" s="54">
        <v>390</v>
      </c>
      <c r="G245" s="211"/>
      <c r="H245" s="212"/>
      <c r="I245" s="35"/>
      <c r="K245" s="83">
        <f t="shared" si="19"/>
        <v>1.5477096991871431</v>
      </c>
      <c r="N245" s="35"/>
    </row>
    <row r="246" spans="1:14" s="36" customFormat="1" ht="15.75" customHeight="1" x14ac:dyDescent="0.25">
      <c r="A246" s="158">
        <f>A245+1</f>
        <v>103</v>
      </c>
      <c r="B246" s="159"/>
      <c r="C246" s="61" t="s">
        <v>262</v>
      </c>
      <c r="D246" s="62">
        <f>(20.66+2.75)*10.764</f>
        <v>251.98523999999998</v>
      </c>
      <c r="E246" s="54">
        <v>0</v>
      </c>
      <c r="F246" s="54">
        <v>390</v>
      </c>
      <c r="G246" s="211"/>
      <c r="H246" s="212"/>
      <c r="I246" s="35"/>
      <c r="K246" s="83">
        <f t="shared" si="19"/>
        <v>1.5477096991871431</v>
      </c>
      <c r="N246" s="35"/>
    </row>
    <row r="247" spans="1:14" s="36" customFormat="1" ht="15.75" customHeight="1" x14ac:dyDescent="0.25">
      <c r="A247" s="158">
        <f>A246+1</f>
        <v>104</v>
      </c>
      <c r="B247" s="159"/>
      <c r="C247" s="61" t="s">
        <v>259</v>
      </c>
      <c r="D247" s="62">
        <f>(26.66+6.89)*10.764</f>
        <v>361.13219999999995</v>
      </c>
      <c r="E247" s="54">
        <v>0</v>
      </c>
      <c r="F247" s="54">
        <v>555</v>
      </c>
      <c r="G247" s="222"/>
      <c r="H247" s="223"/>
      <c r="I247" s="35"/>
      <c r="K247" s="83">
        <f t="shared" si="19"/>
        <v>1.5368333258568472</v>
      </c>
      <c r="N247" s="35"/>
    </row>
    <row r="248" spans="1:14" s="56" customFormat="1" x14ac:dyDescent="0.25">
      <c r="A248" s="161" t="s">
        <v>295</v>
      </c>
      <c r="B248" s="161"/>
      <c r="C248" s="161"/>
      <c r="D248" s="161"/>
      <c r="E248" s="161"/>
      <c r="F248" s="161"/>
      <c r="G248" s="161"/>
      <c r="H248" s="161"/>
      <c r="I248" s="35"/>
      <c r="K248" s="83" t="e">
        <f t="shared" si="19"/>
        <v>#DIV/0!</v>
      </c>
      <c r="L248" s="197"/>
      <c r="M248" s="197"/>
    </row>
    <row r="249" spans="1:14" s="56" customFormat="1" ht="15.75" customHeight="1" x14ac:dyDescent="0.25">
      <c r="A249" s="158">
        <v>201</v>
      </c>
      <c r="B249" s="159"/>
      <c r="C249" s="61" t="s">
        <v>259</v>
      </c>
      <c r="D249" s="62">
        <f>(26.66+6.89)*10.764</f>
        <v>361.13219999999995</v>
      </c>
      <c r="E249" s="54">
        <v>0</v>
      </c>
      <c r="F249" s="54">
        <v>560</v>
      </c>
      <c r="G249" s="209" t="str">
        <f>A248</f>
        <v>2nd Floor For Part Residential</v>
      </c>
      <c r="H249" s="210"/>
      <c r="I249" s="35"/>
      <c r="K249" s="83">
        <f t="shared" si="19"/>
        <v>1.5506786711348366</v>
      </c>
      <c r="N249" s="35"/>
    </row>
    <row r="250" spans="1:14" s="56" customFormat="1" ht="15.75" customHeight="1" x14ac:dyDescent="0.25">
      <c r="A250" s="158">
        <f>A249+1</f>
        <v>202</v>
      </c>
      <c r="B250" s="159"/>
      <c r="C250" s="61" t="s">
        <v>262</v>
      </c>
      <c r="D250" s="62">
        <f>(20.66+2.75)*10.764</f>
        <v>251.98523999999998</v>
      </c>
      <c r="E250" s="54">
        <v>0</v>
      </c>
      <c r="F250" s="54">
        <v>390</v>
      </c>
      <c r="G250" s="211"/>
      <c r="H250" s="212"/>
      <c r="I250" s="35"/>
      <c r="K250" s="83">
        <f t="shared" si="19"/>
        <v>1.5477096991871431</v>
      </c>
      <c r="N250" s="35"/>
    </row>
    <row r="251" spans="1:14" s="56" customFormat="1" ht="15.75" customHeight="1" x14ac:dyDescent="0.25">
      <c r="A251" s="158">
        <f>A250+1</f>
        <v>203</v>
      </c>
      <c r="B251" s="159"/>
      <c r="C251" s="61" t="s">
        <v>262</v>
      </c>
      <c r="D251" s="62">
        <f>(20.66+2.75)*10.764</f>
        <v>251.98523999999998</v>
      </c>
      <c r="E251" s="54">
        <v>0</v>
      </c>
      <c r="F251" s="54">
        <v>390</v>
      </c>
      <c r="G251" s="211"/>
      <c r="H251" s="212"/>
      <c r="I251" s="35"/>
      <c r="K251" s="83">
        <f t="shared" si="19"/>
        <v>1.5477096991871431</v>
      </c>
      <c r="N251" s="35"/>
    </row>
    <row r="252" spans="1:14" s="56" customFormat="1" ht="15.75" customHeight="1" x14ac:dyDescent="0.25">
      <c r="A252" s="158">
        <f>A251+1</f>
        <v>204</v>
      </c>
      <c r="B252" s="159"/>
      <c r="C252" s="61" t="s">
        <v>259</v>
      </c>
      <c r="D252" s="62">
        <f>(26.66+6.89)*10.764</f>
        <v>361.13219999999995</v>
      </c>
      <c r="E252" s="54">
        <v>0</v>
      </c>
      <c r="F252" s="54">
        <v>560</v>
      </c>
      <c r="G252" s="222"/>
      <c r="H252" s="223"/>
      <c r="I252" s="35"/>
      <c r="K252" s="83">
        <f t="shared" si="19"/>
        <v>1.5506786711348366</v>
      </c>
      <c r="N252" s="35"/>
    </row>
    <row r="253" spans="1:14" s="56" customFormat="1" x14ac:dyDescent="0.25">
      <c r="A253" s="161" t="s">
        <v>263</v>
      </c>
      <c r="B253" s="161"/>
      <c r="C253" s="161"/>
      <c r="D253" s="161"/>
      <c r="E253" s="161"/>
      <c r="F253" s="161"/>
      <c r="G253" s="161"/>
      <c r="H253" s="161"/>
      <c r="I253" s="35"/>
      <c r="K253" s="83" t="e">
        <f t="shared" si="19"/>
        <v>#DIV/0!</v>
      </c>
      <c r="L253" s="197"/>
      <c r="M253" s="197"/>
    </row>
    <row r="254" spans="1:14" s="56" customFormat="1" ht="15.75" customHeight="1" x14ac:dyDescent="0.25">
      <c r="A254" s="158">
        <v>301</v>
      </c>
      <c r="B254" s="159"/>
      <c r="C254" s="61" t="s">
        <v>259</v>
      </c>
      <c r="D254" s="62">
        <f>(26.66+6.89)*10.764</f>
        <v>361.13219999999995</v>
      </c>
      <c r="E254" s="54">
        <v>0</v>
      </c>
      <c r="F254" s="54">
        <v>555</v>
      </c>
      <c r="G254" s="209" t="str">
        <f>A253</f>
        <v>3rd Floor</v>
      </c>
      <c r="H254" s="210"/>
      <c r="I254" s="35"/>
      <c r="K254" s="83">
        <f t="shared" si="19"/>
        <v>1.5368333258568472</v>
      </c>
      <c r="N254" s="35"/>
    </row>
    <row r="255" spans="1:14" s="56" customFormat="1" ht="15.75" customHeight="1" x14ac:dyDescent="0.25">
      <c r="A255" s="158">
        <f>A254+1</f>
        <v>302</v>
      </c>
      <c r="B255" s="159"/>
      <c r="C255" s="61" t="s">
        <v>262</v>
      </c>
      <c r="D255" s="62">
        <f>(20.66+2.75)*10.764</f>
        <v>251.98523999999998</v>
      </c>
      <c r="E255" s="54">
        <v>0</v>
      </c>
      <c r="F255" s="54">
        <v>390</v>
      </c>
      <c r="G255" s="211"/>
      <c r="H255" s="212"/>
      <c r="I255" s="35"/>
      <c r="K255" s="83">
        <f t="shared" si="19"/>
        <v>1.5477096991871431</v>
      </c>
      <c r="N255" s="35"/>
    </row>
    <row r="256" spans="1:14" s="56" customFormat="1" ht="15.75" customHeight="1" x14ac:dyDescent="0.25">
      <c r="A256" s="158">
        <f>A255+1</f>
        <v>303</v>
      </c>
      <c r="B256" s="159"/>
      <c r="C256" s="61" t="s">
        <v>259</v>
      </c>
      <c r="D256" s="62">
        <f>(26.44+4.14)*10.764</f>
        <v>329.16311999999999</v>
      </c>
      <c r="E256" s="66">
        <f>(3.3*5.2+4.3*2.75)*10.764</f>
        <v>311.99453999999997</v>
      </c>
      <c r="F256" s="54">
        <v>810</v>
      </c>
      <c r="G256" s="211"/>
      <c r="H256" s="212"/>
      <c r="I256" s="35"/>
      <c r="K256" s="83">
        <f t="shared" si="19"/>
        <v>2.4607860078613912</v>
      </c>
      <c r="L256" s="56">
        <f>(F256-E256/4)/D256</f>
        <v>2.2238255762067145</v>
      </c>
      <c r="N256" s="35"/>
    </row>
    <row r="257" spans="1:14" s="56" customFormat="1" ht="15.75" customHeight="1" x14ac:dyDescent="0.25">
      <c r="A257" s="158">
        <f>A256+1</f>
        <v>304</v>
      </c>
      <c r="B257" s="159"/>
      <c r="C257" s="61" t="s">
        <v>259</v>
      </c>
      <c r="D257" s="62">
        <f>(26.44+4.14)*10.764</f>
        <v>329.16311999999999</v>
      </c>
      <c r="E257" s="66">
        <f>(3.3*5.2+4.3*2.75)*10.764</f>
        <v>311.99453999999997</v>
      </c>
      <c r="F257" s="54">
        <v>810</v>
      </c>
      <c r="G257" s="211"/>
      <c r="H257" s="212"/>
      <c r="I257" s="35"/>
      <c r="K257" s="83">
        <f t="shared" si="19"/>
        <v>2.4607860078613912</v>
      </c>
      <c r="N257" s="35"/>
    </row>
    <row r="258" spans="1:14" s="56" customFormat="1" ht="15.75" customHeight="1" x14ac:dyDescent="0.25">
      <c r="A258" s="158">
        <f t="shared" ref="A258:A262" si="20">A257+1</f>
        <v>305</v>
      </c>
      <c r="B258" s="159"/>
      <c r="C258" s="61" t="s">
        <v>259</v>
      </c>
      <c r="D258" s="62">
        <f>(26.44+4.14)*10.764</f>
        <v>329.16311999999999</v>
      </c>
      <c r="E258" s="66">
        <f>(3.3*5.2+4.3*2.75)*10.764</f>
        <v>311.99453999999997</v>
      </c>
      <c r="F258" s="54">
        <v>810</v>
      </c>
      <c r="G258" s="211"/>
      <c r="H258" s="212"/>
      <c r="I258" s="70">
        <f>11.55+4.79+6.19+1.98+1.08+0.3*1.2</f>
        <v>25.950000000000003</v>
      </c>
      <c r="J258" s="70">
        <f t="shared" ref="J258" si="21">2.13*1+2.75*1</f>
        <v>4.88</v>
      </c>
      <c r="K258" s="83">
        <f t="shared" si="19"/>
        <v>2.4607860078613912</v>
      </c>
      <c r="N258" s="35"/>
    </row>
    <row r="259" spans="1:14" s="56" customFormat="1" ht="15.75" customHeight="1" x14ac:dyDescent="0.25">
      <c r="A259" s="158">
        <f t="shared" si="20"/>
        <v>306</v>
      </c>
      <c r="B259" s="159"/>
      <c r="C259" s="61" t="s">
        <v>259</v>
      </c>
      <c r="D259" s="62">
        <f>(26.44+4.14)*10.764</f>
        <v>329.16311999999999</v>
      </c>
      <c r="E259" s="66">
        <f>(3.3*5.2+4.3*2.75)*10.764</f>
        <v>311.99453999999997</v>
      </c>
      <c r="F259" s="54">
        <v>810</v>
      </c>
      <c r="G259" s="211"/>
      <c r="H259" s="212"/>
      <c r="I259" s="35"/>
      <c r="K259" s="83">
        <f t="shared" si="19"/>
        <v>2.4607860078613912</v>
      </c>
      <c r="N259" s="35"/>
    </row>
    <row r="260" spans="1:14" s="56" customFormat="1" ht="15.75" customHeight="1" x14ac:dyDescent="0.25">
      <c r="A260" s="158">
        <f t="shared" si="20"/>
        <v>307</v>
      </c>
      <c r="B260" s="159"/>
      <c r="C260" s="61" t="s">
        <v>259</v>
      </c>
      <c r="D260" s="62">
        <f>(26.44+4.14)*10.764</f>
        <v>329.16311999999999</v>
      </c>
      <c r="E260" s="66">
        <f>(3.3*5.2+4.3*2.75)*10.764</f>
        <v>311.99453999999997</v>
      </c>
      <c r="F260" s="54">
        <v>810</v>
      </c>
      <c r="G260" s="211"/>
      <c r="H260" s="212"/>
      <c r="I260" s="35"/>
      <c r="K260" s="83">
        <f t="shared" si="19"/>
        <v>2.4607860078613912</v>
      </c>
      <c r="N260" s="35"/>
    </row>
    <row r="261" spans="1:14" s="56" customFormat="1" ht="15.75" customHeight="1" x14ac:dyDescent="0.25">
      <c r="A261" s="158">
        <f t="shared" si="20"/>
        <v>308</v>
      </c>
      <c r="B261" s="159"/>
      <c r="C261" s="61" t="s">
        <v>262</v>
      </c>
      <c r="D261" s="62">
        <f>(20.66+2.75)*10.764</f>
        <v>251.98523999999998</v>
      </c>
      <c r="E261" s="54">
        <v>0</v>
      </c>
      <c r="F261" s="54">
        <v>390</v>
      </c>
      <c r="G261" s="211"/>
      <c r="H261" s="212"/>
      <c r="I261" s="35"/>
      <c r="K261" s="83">
        <f t="shared" si="19"/>
        <v>1.5477096991871431</v>
      </c>
      <c r="N261" s="35"/>
    </row>
    <row r="262" spans="1:14" s="56" customFormat="1" ht="15.75" customHeight="1" x14ac:dyDescent="0.25">
      <c r="A262" s="158">
        <f t="shared" si="20"/>
        <v>309</v>
      </c>
      <c r="B262" s="159"/>
      <c r="C262" s="61" t="s">
        <v>259</v>
      </c>
      <c r="D262" s="62">
        <f>(26.66+6.89)*10.764</f>
        <v>361.13219999999995</v>
      </c>
      <c r="E262" s="54">
        <v>0</v>
      </c>
      <c r="F262" s="54">
        <v>560</v>
      </c>
      <c r="G262" s="211"/>
      <c r="H262" s="212"/>
      <c r="I262" s="35"/>
      <c r="K262" s="83">
        <f t="shared" si="19"/>
        <v>1.5506786711348366</v>
      </c>
      <c r="N262" s="35"/>
    </row>
    <row r="263" spans="1:14" s="56" customFormat="1" x14ac:dyDescent="0.25">
      <c r="A263" s="161" t="s">
        <v>264</v>
      </c>
      <c r="B263" s="161"/>
      <c r="C263" s="161"/>
      <c r="D263" s="161"/>
      <c r="E263" s="161"/>
      <c r="F263" s="161"/>
      <c r="G263" s="161"/>
      <c r="H263" s="161"/>
      <c r="I263" s="35"/>
      <c r="K263" s="83" t="e">
        <f t="shared" si="19"/>
        <v>#DIV/0!</v>
      </c>
      <c r="L263" s="197"/>
      <c r="M263" s="197"/>
    </row>
    <row r="264" spans="1:14" s="56" customFormat="1" ht="15.75" customHeight="1" x14ac:dyDescent="0.25">
      <c r="A264" s="158" t="s">
        <v>272</v>
      </c>
      <c r="B264" s="159"/>
      <c r="C264" s="61" t="s">
        <v>259</v>
      </c>
      <c r="D264" s="62">
        <f>(26.66+6.89)*10.764</f>
        <v>361.13219999999995</v>
      </c>
      <c r="E264" s="54">
        <v>0</v>
      </c>
      <c r="F264" s="54">
        <v>555</v>
      </c>
      <c r="G264" s="209" t="str">
        <f>A263</f>
        <v>4th to 7th Floor</v>
      </c>
      <c r="H264" s="210"/>
      <c r="I264" s="35"/>
      <c r="J264" s="56">
        <f>F264/D264</f>
        <v>1.5368333258568472</v>
      </c>
      <c r="K264" s="83">
        <f t="shared" si="19"/>
        <v>1.5368333258568472</v>
      </c>
      <c r="N264" s="35"/>
    </row>
    <row r="265" spans="1:14" s="56" customFormat="1" ht="15.75" customHeight="1" x14ac:dyDescent="0.25">
      <c r="A265" s="158" t="s">
        <v>273</v>
      </c>
      <c r="B265" s="159"/>
      <c r="C265" s="61" t="s">
        <v>262</v>
      </c>
      <c r="D265" s="62">
        <f>(20.66+2.75)*10.764</f>
        <v>251.98523999999998</v>
      </c>
      <c r="E265" s="54">
        <v>0</v>
      </c>
      <c r="F265" s="54">
        <v>390</v>
      </c>
      <c r="G265" s="211"/>
      <c r="H265" s="212"/>
      <c r="I265" s="35"/>
      <c r="J265" s="60">
        <f t="shared" ref="J265:J272" si="22">F265/D265</f>
        <v>1.5477096991871431</v>
      </c>
      <c r="K265" s="83">
        <f t="shared" si="19"/>
        <v>1.5477096991871431</v>
      </c>
      <c r="N265" s="35"/>
    </row>
    <row r="266" spans="1:14" s="56" customFormat="1" ht="15.75" customHeight="1" x14ac:dyDescent="0.25">
      <c r="A266" s="158" t="s">
        <v>274</v>
      </c>
      <c r="B266" s="159"/>
      <c r="C266" s="61" t="s">
        <v>259</v>
      </c>
      <c r="D266" s="62">
        <f>(26.44+6.89)*10.764</f>
        <v>358.76411999999993</v>
      </c>
      <c r="E266" s="54">
        <v>0</v>
      </c>
      <c r="F266" s="54">
        <v>555</v>
      </c>
      <c r="G266" s="211"/>
      <c r="H266" s="212"/>
      <c r="I266" s="35"/>
      <c r="J266" s="60">
        <f t="shared" si="22"/>
        <v>1.5469774402189385</v>
      </c>
      <c r="K266" s="83">
        <f t="shared" si="19"/>
        <v>1.5469774402189385</v>
      </c>
      <c r="N266" s="35"/>
    </row>
    <row r="267" spans="1:14" s="56" customFormat="1" ht="15.75" customHeight="1" x14ac:dyDescent="0.25">
      <c r="A267" s="158" t="s">
        <v>275</v>
      </c>
      <c r="B267" s="159"/>
      <c r="C267" s="61" t="s">
        <v>259</v>
      </c>
      <c r="D267" s="62">
        <f t="shared" ref="D267:D270" si="23">(26.44+6.89)*10.764</f>
        <v>358.76411999999993</v>
      </c>
      <c r="E267" s="54">
        <v>0</v>
      </c>
      <c r="F267" s="54">
        <v>555</v>
      </c>
      <c r="G267" s="211"/>
      <c r="H267" s="212"/>
      <c r="I267" s="35"/>
      <c r="J267" s="60">
        <f t="shared" si="22"/>
        <v>1.5469774402189385</v>
      </c>
      <c r="K267" s="83">
        <f t="shared" si="19"/>
        <v>1.5469774402189385</v>
      </c>
      <c r="N267" s="35"/>
    </row>
    <row r="268" spans="1:14" s="56" customFormat="1" ht="15.75" customHeight="1" x14ac:dyDescent="0.25">
      <c r="A268" s="158" t="s">
        <v>276</v>
      </c>
      <c r="B268" s="159"/>
      <c r="C268" s="61" t="s">
        <v>259</v>
      </c>
      <c r="D268" s="62">
        <f t="shared" si="23"/>
        <v>358.76411999999993</v>
      </c>
      <c r="E268" s="54">
        <v>0</v>
      </c>
      <c r="F268" s="54">
        <v>555</v>
      </c>
      <c r="G268" s="211"/>
      <c r="H268" s="212"/>
      <c r="I268" s="35"/>
      <c r="J268" s="60">
        <f t="shared" si="22"/>
        <v>1.5469774402189385</v>
      </c>
      <c r="K268" s="83">
        <f t="shared" si="19"/>
        <v>1.5469774402189385</v>
      </c>
      <c r="N268" s="35"/>
    </row>
    <row r="269" spans="1:14" s="56" customFormat="1" ht="15.75" customHeight="1" x14ac:dyDescent="0.25">
      <c r="A269" s="158" t="s">
        <v>277</v>
      </c>
      <c r="B269" s="159"/>
      <c r="C269" s="61" t="s">
        <v>259</v>
      </c>
      <c r="D269" s="62">
        <f t="shared" si="23"/>
        <v>358.76411999999993</v>
      </c>
      <c r="E269" s="54">
        <v>0</v>
      </c>
      <c r="F269" s="54">
        <v>555</v>
      </c>
      <c r="G269" s="211"/>
      <c r="H269" s="212"/>
      <c r="I269" s="35"/>
      <c r="J269" s="60">
        <f t="shared" si="22"/>
        <v>1.5469774402189385</v>
      </c>
      <c r="K269" s="83">
        <f t="shared" si="19"/>
        <v>1.5469774402189385</v>
      </c>
      <c r="N269" s="35"/>
    </row>
    <row r="270" spans="1:14" s="56" customFormat="1" ht="15.75" customHeight="1" x14ac:dyDescent="0.25">
      <c r="A270" s="158" t="s">
        <v>278</v>
      </c>
      <c r="B270" s="159"/>
      <c r="C270" s="61" t="s">
        <v>259</v>
      </c>
      <c r="D270" s="62">
        <f t="shared" si="23"/>
        <v>358.76411999999993</v>
      </c>
      <c r="E270" s="54">
        <v>0</v>
      </c>
      <c r="F270" s="54">
        <v>555</v>
      </c>
      <c r="G270" s="211"/>
      <c r="H270" s="212"/>
      <c r="I270" s="35"/>
      <c r="J270" s="60">
        <f t="shared" si="22"/>
        <v>1.5469774402189385</v>
      </c>
      <c r="K270" s="83">
        <f t="shared" si="19"/>
        <v>1.5469774402189385</v>
      </c>
      <c r="N270" s="35"/>
    </row>
    <row r="271" spans="1:14" s="56" customFormat="1" ht="15.75" customHeight="1" x14ac:dyDescent="0.25">
      <c r="A271" s="158" t="s">
        <v>279</v>
      </c>
      <c r="B271" s="159"/>
      <c r="C271" s="61" t="s">
        <v>262</v>
      </c>
      <c r="D271" s="62">
        <f>(20.66+2.75)*10.764</f>
        <v>251.98523999999998</v>
      </c>
      <c r="E271" s="54">
        <v>0</v>
      </c>
      <c r="F271" s="54">
        <v>390</v>
      </c>
      <c r="G271" s="211"/>
      <c r="H271" s="212"/>
      <c r="I271" s="35"/>
      <c r="J271" s="60">
        <f t="shared" si="22"/>
        <v>1.5477096991871431</v>
      </c>
      <c r="K271" s="83">
        <f t="shared" si="19"/>
        <v>1.5477096991871431</v>
      </c>
      <c r="N271" s="35"/>
    </row>
    <row r="272" spans="1:14" s="56" customFormat="1" ht="15.75" customHeight="1" x14ac:dyDescent="0.25">
      <c r="A272" s="158" t="s">
        <v>280</v>
      </c>
      <c r="B272" s="159"/>
      <c r="C272" s="61" t="s">
        <v>259</v>
      </c>
      <c r="D272" s="62">
        <f>(26.66+6.89)*10.764</f>
        <v>361.13219999999995</v>
      </c>
      <c r="E272" s="54">
        <v>0</v>
      </c>
      <c r="F272" s="54">
        <v>560</v>
      </c>
      <c r="G272" s="211"/>
      <c r="H272" s="212"/>
      <c r="I272" s="35"/>
      <c r="J272" s="60">
        <f t="shared" si="22"/>
        <v>1.5506786711348366</v>
      </c>
      <c r="K272" s="83">
        <f t="shared" si="19"/>
        <v>1.5506786711348366</v>
      </c>
      <c r="N272" s="35"/>
    </row>
    <row r="273" spans="1:14" s="56" customFormat="1" x14ac:dyDescent="0.25">
      <c r="A273" s="161" t="s">
        <v>257</v>
      </c>
      <c r="B273" s="161"/>
      <c r="C273" s="161"/>
      <c r="D273" s="161"/>
      <c r="E273" s="161"/>
      <c r="F273" s="161"/>
      <c r="G273" s="161"/>
      <c r="H273" s="161"/>
      <c r="I273" s="35"/>
      <c r="K273" s="83" t="e">
        <f t="shared" si="19"/>
        <v>#DIV/0!</v>
      </c>
      <c r="L273" s="197"/>
      <c r="M273" s="197"/>
    </row>
    <row r="274" spans="1:14" s="56" customFormat="1" x14ac:dyDescent="0.25">
      <c r="A274" s="161" t="s">
        <v>294</v>
      </c>
      <c r="B274" s="161"/>
      <c r="C274" s="161"/>
      <c r="D274" s="161"/>
      <c r="E274" s="161"/>
      <c r="F274" s="161"/>
      <c r="G274" s="161"/>
      <c r="H274" s="161"/>
      <c r="I274" s="35"/>
      <c r="K274" s="83" t="e">
        <f t="shared" si="19"/>
        <v>#DIV/0!</v>
      </c>
      <c r="L274" s="197"/>
      <c r="M274" s="197"/>
    </row>
    <row r="275" spans="1:14" s="56" customFormat="1" ht="15.75" customHeight="1" x14ac:dyDescent="0.25">
      <c r="A275" s="165">
        <v>101</v>
      </c>
      <c r="B275" s="165"/>
      <c r="C275" s="61" t="s">
        <v>259</v>
      </c>
      <c r="D275" s="62">
        <f>(26.44+6.89)*10.764</f>
        <v>358.76411999999993</v>
      </c>
      <c r="E275" s="90">
        <v>0</v>
      </c>
      <c r="F275" s="90">
        <v>555</v>
      </c>
      <c r="G275" s="165" t="str">
        <f>A274</f>
        <v>1st Floor For Part Residential</v>
      </c>
      <c r="H275" s="165"/>
      <c r="I275" s="35"/>
      <c r="K275" s="83">
        <f t="shared" si="19"/>
        <v>1.5469774402189385</v>
      </c>
      <c r="N275" s="35"/>
    </row>
    <row r="276" spans="1:14" s="56" customFormat="1" ht="15.75" customHeight="1" x14ac:dyDescent="0.25">
      <c r="A276" s="165">
        <f t="shared" ref="A276:A281" si="24">A275+1</f>
        <v>102</v>
      </c>
      <c r="B276" s="165"/>
      <c r="C276" s="61" t="s">
        <v>259</v>
      </c>
      <c r="D276" s="62">
        <f>(26.44+6.89)*10.764</f>
        <v>358.76411999999993</v>
      </c>
      <c r="E276" s="90">
        <v>0</v>
      </c>
      <c r="F276" s="90">
        <v>555</v>
      </c>
      <c r="G276" s="165"/>
      <c r="H276" s="165"/>
      <c r="I276" s="35"/>
      <c r="K276" s="83">
        <f t="shared" si="19"/>
        <v>1.5469774402189385</v>
      </c>
      <c r="N276" s="35"/>
    </row>
    <row r="277" spans="1:14" s="56" customFormat="1" ht="15.75" customHeight="1" x14ac:dyDescent="0.25">
      <c r="A277" s="165">
        <f t="shared" si="24"/>
        <v>103</v>
      </c>
      <c r="B277" s="165"/>
      <c r="C277" s="61" t="s">
        <v>260</v>
      </c>
      <c r="D277" s="62">
        <f>(38.86+2.75)*10.764</f>
        <v>447.89003999999994</v>
      </c>
      <c r="E277" s="90">
        <v>0</v>
      </c>
      <c r="F277" s="90">
        <v>710</v>
      </c>
      <c r="G277" s="165"/>
      <c r="H277" s="165"/>
      <c r="I277" s="76">
        <f>2.85*2.8</f>
        <v>7.9799999999999995</v>
      </c>
      <c r="J277" s="71"/>
      <c r="K277" s="83">
        <f t="shared" si="19"/>
        <v>1.5852105128303369</v>
      </c>
      <c r="N277" s="35"/>
    </row>
    <row r="278" spans="1:14" s="56" customFormat="1" ht="15.75" customHeight="1" x14ac:dyDescent="0.25">
      <c r="A278" s="165">
        <f t="shared" si="24"/>
        <v>104</v>
      </c>
      <c r="B278" s="165"/>
      <c r="C278" s="61" t="s">
        <v>259</v>
      </c>
      <c r="D278" s="62">
        <f>(28.88+6.89)*10.764</f>
        <v>385.02827999999994</v>
      </c>
      <c r="E278" s="90">
        <v>0</v>
      </c>
      <c r="F278" s="90">
        <v>595</v>
      </c>
      <c r="G278" s="165"/>
      <c r="H278" s="165"/>
      <c r="I278" s="70">
        <f>11.55+4.79+6.19+1.08+1.98+1.2*0.3+1.3*2</f>
        <v>28.55</v>
      </c>
      <c r="J278" s="70">
        <f>2.75*1+2.13*1+2.75*1</f>
        <v>7.63</v>
      </c>
      <c r="K278" s="83">
        <f t="shared" si="19"/>
        <v>1.5453410331313848</v>
      </c>
      <c r="N278" s="35"/>
    </row>
    <row r="279" spans="1:14" s="56" customFormat="1" ht="15.75" customHeight="1" x14ac:dyDescent="0.25">
      <c r="A279" s="165">
        <f t="shared" si="24"/>
        <v>105</v>
      </c>
      <c r="B279" s="165"/>
      <c r="C279" s="61" t="s">
        <v>259</v>
      </c>
      <c r="D279" s="62">
        <f>(26.66+6.89)*10.764</f>
        <v>361.13219999999995</v>
      </c>
      <c r="E279" s="90">
        <v>0</v>
      </c>
      <c r="F279" s="90">
        <v>555</v>
      </c>
      <c r="G279" s="165"/>
      <c r="H279" s="165"/>
      <c r="I279" s="35"/>
      <c r="K279" s="83">
        <f t="shared" si="19"/>
        <v>1.5368333258568472</v>
      </c>
      <c r="N279" s="35"/>
    </row>
    <row r="280" spans="1:14" s="56" customFormat="1" ht="15.75" customHeight="1" x14ac:dyDescent="0.25">
      <c r="A280" s="165">
        <f t="shared" si="24"/>
        <v>106</v>
      </c>
      <c r="B280" s="165"/>
      <c r="C280" s="61" t="s">
        <v>259</v>
      </c>
      <c r="D280" s="62">
        <f>(26.44+6.89)*10.764</f>
        <v>358.76411999999993</v>
      </c>
      <c r="E280" s="90">
        <v>0</v>
      </c>
      <c r="F280" s="90">
        <v>555</v>
      </c>
      <c r="G280" s="165"/>
      <c r="H280" s="165"/>
      <c r="I280" s="35"/>
      <c r="K280" s="83">
        <f t="shared" si="19"/>
        <v>1.5469774402189385</v>
      </c>
      <c r="N280" s="35"/>
    </row>
    <row r="281" spans="1:14" s="56" customFormat="1" ht="15.75" customHeight="1" x14ac:dyDescent="0.25">
      <c r="A281" s="165">
        <f t="shared" si="24"/>
        <v>107</v>
      </c>
      <c r="B281" s="165"/>
      <c r="C281" s="61" t="s">
        <v>259</v>
      </c>
      <c r="D281" s="62">
        <f>(26.44+6.89)*10.764</f>
        <v>358.76411999999993</v>
      </c>
      <c r="E281" s="90">
        <v>0</v>
      </c>
      <c r="F281" s="90">
        <v>555</v>
      </c>
      <c r="G281" s="165"/>
      <c r="H281" s="165"/>
      <c r="I281" s="35"/>
      <c r="K281" s="83">
        <f t="shared" si="19"/>
        <v>1.5469774402189385</v>
      </c>
      <c r="N281" s="35"/>
    </row>
    <row r="282" spans="1:14" s="56" customFormat="1" x14ac:dyDescent="0.25">
      <c r="A282" s="161" t="s">
        <v>295</v>
      </c>
      <c r="B282" s="161"/>
      <c r="C282" s="161"/>
      <c r="D282" s="161"/>
      <c r="E282" s="161"/>
      <c r="F282" s="161"/>
      <c r="G282" s="161"/>
      <c r="H282" s="161"/>
      <c r="I282" s="35"/>
      <c r="K282" s="83" t="e">
        <f t="shared" si="19"/>
        <v>#DIV/0!</v>
      </c>
      <c r="L282" s="197"/>
      <c r="M282" s="197"/>
    </row>
    <row r="283" spans="1:14" s="56" customFormat="1" ht="15.75" customHeight="1" x14ac:dyDescent="0.25">
      <c r="A283" s="158">
        <v>201</v>
      </c>
      <c r="B283" s="159"/>
      <c r="C283" s="61" t="s">
        <v>259</v>
      </c>
      <c r="D283" s="62">
        <f>(26.44+6.89)*10.764</f>
        <v>358.76411999999993</v>
      </c>
      <c r="E283" s="54">
        <v>0</v>
      </c>
      <c r="F283" s="54">
        <v>555</v>
      </c>
      <c r="G283" s="209" t="str">
        <f>A282</f>
        <v>2nd Floor For Part Residential</v>
      </c>
      <c r="H283" s="210"/>
      <c r="I283" s="35"/>
      <c r="J283" s="60">
        <f t="shared" ref="J283:J289" si="25">F283/D283</f>
        <v>1.5469774402189385</v>
      </c>
      <c r="K283" s="83">
        <f t="shared" si="19"/>
        <v>1.5469774402189385</v>
      </c>
      <c r="N283" s="35"/>
    </row>
    <row r="284" spans="1:14" s="56" customFormat="1" ht="15.75" customHeight="1" x14ac:dyDescent="0.25">
      <c r="A284" s="158">
        <f t="shared" ref="A284:A289" si="26">A283+1</f>
        <v>202</v>
      </c>
      <c r="B284" s="159"/>
      <c r="C284" s="61" t="s">
        <v>259</v>
      </c>
      <c r="D284" s="62">
        <f>(26.44+6.89)*10.764</f>
        <v>358.76411999999993</v>
      </c>
      <c r="E284" s="54">
        <v>0</v>
      </c>
      <c r="F284" s="54">
        <v>555</v>
      </c>
      <c r="G284" s="211"/>
      <c r="H284" s="212"/>
      <c r="I284" s="35"/>
      <c r="J284" s="60">
        <f t="shared" si="25"/>
        <v>1.5469774402189385</v>
      </c>
      <c r="K284" s="83">
        <f t="shared" si="19"/>
        <v>1.5469774402189385</v>
      </c>
      <c r="N284" s="35"/>
    </row>
    <row r="285" spans="1:14" s="56" customFormat="1" ht="15.75" customHeight="1" x14ac:dyDescent="0.25">
      <c r="A285" s="158">
        <f t="shared" si="26"/>
        <v>203</v>
      </c>
      <c r="B285" s="159"/>
      <c r="C285" s="61" t="s">
        <v>260</v>
      </c>
      <c r="D285" s="62">
        <f>(38.86+2.75)*10.764</f>
        <v>447.89003999999994</v>
      </c>
      <c r="E285" s="54">
        <v>0</v>
      </c>
      <c r="F285" s="54">
        <v>710</v>
      </c>
      <c r="G285" s="211"/>
      <c r="H285" s="212"/>
      <c r="I285" s="35"/>
      <c r="J285" s="60">
        <f t="shared" si="25"/>
        <v>1.5852105128303369</v>
      </c>
      <c r="K285" s="83">
        <f t="shared" si="19"/>
        <v>1.5852105128303369</v>
      </c>
      <c r="N285" s="35"/>
    </row>
    <row r="286" spans="1:14" s="56" customFormat="1" ht="15.75" customHeight="1" x14ac:dyDescent="0.25">
      <c r="A286" s="158">
        <f t="shared" si="26"/>
        <v>204</v>
      </c>
      <c r="B286" s="159"/>
      <c r="C286" s="61" t="s">
        <v>259</v>
      </c>
      <c r="D286" s="62">
        <f>(28.88+6.89)*10.764</f>
        <v>385.02827999999994</v>
      </c>
      <c r="E286" s="54">
        <v>0</v>
      </c>
      <c r="F286" s="54">
        <v>595</v>
      </c>
      <c r="G286" s="211"/>
      <c r="H286" s="212"/>
      <c r="I286" s="35"/>
      <c r="J286" s="60">
        <f t="shared" si="25"/>
        <v>1.5453410331313848</v>
      </c>
      <c r="K286" s="83">
        <f t="shared" si="19"/>
        <v>1.5453410331313848</v>
      </c>
      <c r="N286" s="35"/>
    </row>
    <row r="287" spans="1:14" s="56" customFormat="1" ht="15.75" customHeight="1" x14ac:dyDescent="0.25">
      <c r="A287" s="158">
        <f t="shared" si="26"/>
        <v>205</v>
      </c>
      <c r="B287" s="159"/>
      <c r="C287" s="61" t="s">
        <v>259</v>
      </c>
      <c r="D287" s="62">
        <f>(26.66+6.89)*10.764</f>
        <v>361.13219999999995</v>
      </c>
      <c r="E287" s="54">
        <v>0</v>
      </c>
      <c r="F287" s="54">
        <v>560</v>
      </c>
      <c r="G287" s="211"/>
      <c r="H287" s="212"/>
      <c r="I287" s="35"/>
      <c r="J287" s="60">
        <f t="shared" si="25"/>
        <v>1.5506786711348366</v>
      </c>
      <c r="K287" s="83">
        <f t="shared" si="19"/>
        <v>1.5506786711348366</v>
      </c>
      <c r="N287" s="35"/>
    </row>
    <row r="288" spans="1:14" s="56" customFormat="1" ht="15.75" customHeight="1" x14ac:dyDescent="0.25">
      <c r="A288" s="158">
        <f t="shared" si="26"/>
        <v>206</v>
      </c>
      <c r="B288" s="159"/>
      <c r="C288" s="61" t="s">
        <v>259</v>
      </c>
      <c r="D288" s="62">
        <f>(26.44+6.89)*10.764</f>
        <v>358.76411999999993</v>
      </c>
      <c r="E288" s="54">
        <v>0</v>
      </c>
      <c r="F288" s="54">
        <v>555</v>
      </c>
      <c r="G288" s="211"/>
      <c r="H288" s="212"/>
      <c r="I288" s="35"/>
      <c r="J288" s="60">
        <f t="shared" si="25"/>
        <v>1.5469774402189385</v>
      </c>
      <c r="K288" s="83">
        <f t="shared" si="19"/>
        <v>1.5469774402189385</v>
      </c>
      <c r="N288" s="35"/>
    </row>
    <row r="289" spans="1:14" s="56" customFormat="1" ht="15.75" customHeight="1" x14ac:dyDescent="0.25">
      <c r="A289" s="158">
        <f t="shared" si="26"/>
        <v>207</v>
      </c>
      <c r="B289" s="159"/>
      <c r="C289" s="61" t="s">
        <v>259</v>
      </c>
      <c r="D289" s="62">
        <f>(26.44+6.89)*10.764</f>
        <v>358.76411999999993</v>
      </c>
      <c r="E289" s="54">
        <v>0</v>
      </c>
      <c r="F289" s="54">
        <v>555</v>
      </c>
      <c r="G289" s="222"/>
      <c r="H289" s="223"/>
      <c r="I289" s="35"/>
      <c r="J289" s="60">
        <f t="shared" si="25"/>
        <v>1.5469774402189385</v>
      </c>
      <c r="K289" s="83">
        <f t="shared" si="19"/>
        <v>1.5469774402189385</v>
      </c>
      <c r="N289" s="35"/>
    </row>
    <row r="290" spans="1:14" s="56" customFormat="1" x14ac:dyDescent="0.25">
      <c r="A290" s="161" t="s">
        <v>263</v>
      </c>
      <c r="B290" s="161"/>
      <c r="C290" s="161"/>
      <c r="D290" s="161"/>
      <c r="E290" s="161"/>
      <c r="F290" s="161"/>
      <c r="G290" s="161"/>
      <c r="H290" s="161"/>
      <c r="I290" s="35"/>
      <c r="K290" s="83" t="e">
        <f t="shared" ref="K290:K307" si="27">F290/D290</f>
        <v>#DIV/0!</v>
      </c>
      <c r="L290" s="197"/>
      <c r="M290" s="197"/>
    </row>
    <row r="291" spans="1:14" s="56" customFormat="1" ht="15.75" customHeight="1" x14ac:dyDescent="0.25">
      <c r="A291" s="158">
        <v>301</v>
      </c>
      <c r="B291" s="159"/>
      <c r="C291" s="61" t="s">
        <v>259</v>
      </c>
      <c r="D291" s="62">
        <f>(26.44+6.89)*10.764</f>
        <v>358.76411999999993</v>
      </c>
      <c r="E291" s="54">
        <v>0</v>
      </c>
      <c r="F291" s="54">
        <v>555</v>
      </c>
      <c r="G291" s="209" t="str">
        <f>A290</f>
        <v>3rd Floor</v>
      </c>
      <c r="H291" s="210"/>
      <c r="I291" s="35"/>
      <c r="J291" s="60">
        <f t="shared" ref="J291:J298" si="28">F291/D291</f>
        <v>1.5469774402189385</v>
      </c>
      <c r="K291" s="83">
        <f t="shared" si="27"/>
        <v>1.5469774402189385</v>
      </c>
      <c r="N291" s="35"/>
    </row>
    <row r="292" spans="1:14" s="56" customFormat="1" ht="15.75" customHeight="1" x14ac:dyDescent="0.25">
      <c r="A292" s="158">
        <f t="shared" ref="A292:A298" si="29">A291+1</f>
        <v>302</v>
      </c>
      <c r="B292" s="159"/>
      <c r="C292" s="61" t="s">
        <v>259</v>
      </c>
      <c r="D292" s="62">
        <f>(26.44+6.89)*10.764</f>
        <v>358.76411999999993</v>
      </c>
      <c r="E292" s="54">
        <v>0</v>
      </c>
      <c r="F292" s="54">
        <v>555</v>
      </c>
      <c r="G292" s="211"/>
      <c r="H292" s="212"/>
      <c r="I292" s="35"/>
      <c r="J292" s="60">
        <f t="shared" si="28"/>
        <v>1.5469774402189385</v>
      </c>
      <c r="K292" s="83">
        <f t="shared" si="27"/>
        <v>1.5469774402189385</v>
      </c>
      <c r="N292" s="35"/>
    </row>
    <row r="293" spans="1:14" s="56" customFormat="1" ht="15.75" customHeight="1" x14ac:dyDescent="0.25">
      <c r="A293" s="158">
        <f t="shared" si="29"/>
        <v>303</v>
      </c>
      <c r="B293" s="159"/>
      <c r="C293" s="61" t="s">
        <v>260</v>
      </c>
      <c r="D293" s="62">
        <f>(38.86+2.75)*10.764</f>
        <v>447.89003999999994</v>
      </c>
      <c r="E293" s="54">
        <v>0</v>
      </c>
      <c r="F293" s="54">
        <v>710</v>
      </c>
      <c r="G293" s="211"/>
      <c r="H293" s="212"/>
      <c r="I293" s="35"/>
      <c r="J293" s="60">
        <f t="shared" si="28"/>
        <v>1.5852105128303369</v>
      </c>
      <c r="K293" s="83">
        <f t="shared" si="27"/>
        <v>1.5852105128303369</v>
      </c>
      <c r="N293" s="35"/>
    </row>
    <row r="294" spans="1:14" s="56" customFormat="1" ht="15.75" customHeight="1" x14ac:dyDescent="0.25">
      <c r="A294" s="158">
        <f t="shared" si="29"/>
        <v>304</v>
      </c>
      <c r="B294" s="159"/>
      <c r="C294" s="61" t="s">
        <v>259</v>
      </c>
      <c r="D294" s="62">
        <f>(28.88+6.89)*10.764</f>
        <v>385.02827999999994</v>
      </c>
      <c r="E294" s="54">
        <v>0</v>
      </c>
      <c r="F294" s="54">
        <v>595</v>
      </c>
      <c r="G294" s="211"/>
      <c r="H294" s="212"/>
      <c r="I294" s="35"/>
      <c r="J294" s="60">
        <f t="shared" si="28"/>
        <v>1.5453410331313848</v>
      </c>
      <c r="K294" s="83">
        <f t="shared" si="27"/>
        <v>1.5453410331313848</v>
      </c>
      <c r="N294" s="35"/>
    </row>
    <row r="295" spans="1:14" s="56" customFormat="1" ht="15.75" customHeight="1" x14ac:dyDescent="0.25">
      <c r="A295" s="158">
        <f t="shared" si="29"/>
        <v>305</v>
      </c>
      <c r="B295" s="159"/>
      <c r="C295" s="61" t="s">
        <v>259</v>
      </c>
      <c r="D295" s="62">
        <f>(26.66+6.89)*10.764</f>
        <v>361.13219999999995</v>
      </c>
      <c r="E295" s="54">
        <v>0</v>
      </c>
      <c r="F295" s="54">
        <v>555</v>
      </c>
      <c r="G295" s="211"/>
      <c r="H295" s="212"/>
      <c r="I295" s="35"/>
      <c r="J295" s="60">
        <f t="shared" si="28"/>
        <v>1.5368333258568472</v>
      </c>
      <c r="K295" s="83">
        <f t="shared" si="27"/>
        <v>1.5368333258568472</v>
      </c>
      <c r="N295" s="35"/>
    </row>
    <row r="296" spans="1:14" s="56" customFormat="1" ht="15.75" customHeight="1" x14ac:dyDescent="0.25">
      <c r="A296" s="158">
        <f t="shared" si="29"/>
        <v>306</v>
      </c>
      <c r="B296" s="159"/>
      <c r="C296" s="61" t="s">
        <v>259</v>
      </c>
      <c r="D296" s="62">
        <f>(26.44+6.89)*10.764</f>
        <v>358.76411999999993</v>
      </c>
      <c r="E296" s="54">
        <v>0</v>
      </c>
      <c r="F296" s="54">
        <v>555</v>
      </c>
      <c r="G296" s="211"/>
      <c r="H296" s="212"/>
      <c r="I296" s="35"/>
      <c r="J296" s="60">
        <f t="shared" si="28"/>
        <v>1.5469774402189385</v>
      </c>
      <c r="K296" s="83">
        <f t="shared" si="27"/>
        <v>1.5469774402189385</v>
      </c>
      <c r="N296" s="35"/>
    </row>
    <row r="297" spans="1:14" s="56" customFormat="1" ht="15.75" customHeight="1" x14ac:dyDescent="0.25">
      <c r="A297" s="158">
        <f t="shared" si="29"/>
        <v>307</v>
      </c>
      <c r="B297" s="159"/>
      <c r="C297" s="61" t="s">
        <v>259</v>
      </c>
      <c r="D297" s="62">
        <f>(26.44+6.89)*10.764</f>
        <v>358.76411999999993</v>
      </c>
      <c r="E297" s="54">
        <v>0</v>
      </c>
      <c r="F297" s="54">
        <v>555</v>
      </c>
      <c r="G297" s="211"/>
      <c r="H297" s="212"/>
      <c r="I297" s="35"/>
      <c r="J297" s="60">
        <f t="shared" si="28"/>
        <v>1.5469774402189385</v>
      </c>
      <c r="K297" s="83">
        <f t="shared" si="27"/>
        <v>1.5469774402189385</v>
      </c>
      <c r="N297" s="35"/>
    </row>
    <row r="298" spans="1:14" s="56" customFormat="1" ht="15.75" customHeight="1" x14ac:dyDescent="0.25">
      <c r="A298" s="158">
        <f t="shared" si="29"/>
        <v>308</v>
      </c>
      <c r="B298" s="159"/>
      <c r="C298" s="61" t="s">
        <v>259</v>
      </c>
      <c r="D298" s="62">
        <f>(38.86)*10.764</f>
        <v>418.28903999999994</v>
      </c>
      <c r="E298" s="54">
        <f>(4*2.75+2.1*3+3.1*2.7)*10.764</f>
        <v>276.31187999999997</v>
      </c>
      <c r="F298" s="54">
        <v>940</v>
      </c>
      <c r="G298" s="222"/>
      <c r="H298" s="223"/>
      <c r="I298" s="35"/>
      <c r="J298" s="60">
        <f t="shared" si="28"/>
        <v>2.2472498920841915</v>
      </c>
      <c r="K298" s="83">
        <f t="shared" si="27"/>
        <v>2.2472498920841915</v>
      </c>
      <c r="N298" s="35"/>
    </row>
    <row r="299" spans="1:14" s="56" customFormat="1" x14ac:dyDescent="0.25">
      <c r="A299" s="161" t="s">
        <v>264</v>
      </c>
      <c r="B299" s="161"/>
      <c r="C299" s="161"/>
      <c r="D299" s="161"/>
      <c r="E299" s="161"/>
      <c r="F299" s="161"/>
      <c r="G299" s="161"/>
      <c r="H299" s="161"/>
      <c r="I299" s="35"/>
      <c r="K299" s="83" t="e">
        <f t="shared" si="27"/>
        <v>#DIV/0!</v>
      </c>
      <c r="L299" s="197"/>
      <c r="M299" s="197"/>
    </row>
    <row r="300" spans="1:14" s="56" customFormat="1" ht="15.75" customHeight="1" x14ac:dyDescent="0.25">
      <c r="A300" s="158" t="s">
        <v>272</v>
      </c>
      <c r="B300" s="159"/>
      <c r="C300" s="61" t="s">
        <v>259</v>
      </c>
      <c r="D300" s="62">
        <f>(26.44+6.89)*10.764</f>
        <v>358.76411999999993</v>
      </c>
      <c r="E300" s="54">
        <v>0</v>
      </c>
      <c r="F300" s="54">
        <v>555</v>
      </c>
      <c r="G300" s="209" t="str">
        <f>A299</f>
        <v>4th to 7th Floor</v>
      </c>
      <c r="H300" s="210"/>
      <c r="I300" s="35"/>
      <c r="J300" s="56">
        <f>F300/D300</f>
        <v>1.5469774402189385</v>
      </c>
      <c r="K300" s="83">
        <f t="shared" si="27"/>
        <v>1.5469774402189385</v>
      </c>
      <c r="N300" s="35"/>
    </row>
    <row r="301" spans="1:14" s="56" customFormat="1" ht="15.75" customHeight="1" x14ac:dyDescent="0.25">
      <c r="A301" s="158" t="s">
        <v>273</v>
      </c>
      <c r="B301" s="159"/>
      <c r="C301" s="61" t="s">
        <v>259</v>
      </c>
      <c r="D301" s="62">
        <f>(26.44+6.89)*10.764</f>
        <v>358.76411999999993</v>
      </c>
      <c r="E301" s="54">
        <v>0</v>
      </c>
      <c r="F301" s="54">
        <v>555</v>
      </c>
      <c r="G301" s="211"/>
      <c r="H301" s="212"/>
      <c r="I301" s="35"/>
      <c r="J301" s="60">
        <f t="shared" ref="J301:J307" si="30">F301/D301</f>
        <v>1.5469774402189385</v>
      </c>
      <c r="K301" s="83">
        <f t="shared" si="27"/>
        <v>1.5469774402189385</v>
      </c>
      <c r="N301" s="35"/>
    </row>
    <row r="302" spans="1:14" s="56" customFormat="1" ht="15.75" customHeight="1" x14ac:dyDescent="0.25">
      <c r="A302" s="158" t="s">
        <v>274</v>
      </c>
      <c r="B302" s="159"/>
      <c r="C302" s="61" t="s">
        <v>260</v>
      </c>
      <c r="D302" s="62">
        <f>(38.86+2.75)*10.764</f>
        <v>447.89003999999994</v>
      </c>
      <c r="E302" s="54">
        <v>0</v>
      </c>
      <c r="F302" s="54">
        <v>710</v>
      </c>
      <c r="G302" s="211"/>
      <c r="H302" s="212"/>
      <c r="I302" s="35"/>
      <c r="J302" s="60">
        <f t="shared" si="30"/>
        <v>1.5852105128303369</v>
      </c>
      <c r="K302" s="83">
        <f t="shared" si="27"/>
        <v>1.5852105128303369</v>
      </c>
      <c r="N302" s="35"/>
    </row>
    <row r="303" spans="1:14" s="56" customFormat="1" ht="15.75" customHeight="1" x14ac:dyDescent="0.25">
      <c r="A303" s="158" t="s">
        <v>275</v>
      </c>
      <c r="B303" s="159"/>
      <c r="C303" s="61" t="s">
        <v>259</v>
      </c>
      <c r="D303" s="62">
        <f>(28.88+6.89)*10.764</f>
        <v>385.02827999999994</v>
      </c>
      <c r="E303" s="54">
        <v>0</v>
      </c>
      <c r="F303" s="54">
        <v>595</v>
      </c>
      <c r="G303" s="211"/>
      <c r="H303" s="212"/>
      <c r="I303" s="35"/>
      <c r="J303" s="60">
        <f t="shared" si="30"/>
        <v>1.5453410331313848</v>
      </c>
      <c r="K303" s="83">
        <f t="shared" si="27"/>
        <v>1.5453410331313848</v>
      </c>
      <c r="N303" s="35"/>
    </row>
    <row r="304" spans="1:14" s="56" customFormat="1" ht="15.75" customHeight="1" x14ac:dyDescent="0.25">
      <c r="A304" s="158" t="s">
        <v>276</v>
      </c>
      <c r="B304" s="159"/>
      <c r="C304" s="61" t="s">
        <v>259</v>
      </c>
      <c r="D304" s="62">
        <f>(26.66+6.89)*10.764</f>
        <v>361.13219999999995</v>
      </c>
      <c r="E304" s="54">
        <v>0</v>
      </c>
      <c r="F304" s="54">
        <v>555</v>
      </c>
      <c r="G304" s="211"/>
      <c r="H304" s="212"/>
      <c r="I304" s="35"/>
      <c r="J304" s="60">
        <f t="shared" si="30"/>
        <v>1.5368333258568472</v>
      </c>
      <c r="K304" s="83">
        <f t="shared" si="27"/>
        <v>1.5368333258568472</v>
      </c>
      <c r="N304" s="35"/>
    </row>
    <row r="305" spans="1:14" s="56" customFormat="1" ht="15.75" customHeight="1" x14ac:dyDescent="0.25">
      <c r="A305" s="158" t="s">
        <v>277</v>
      </c>
      <c r="B305" s="159"/>
      <c r="C305" s="61" t="s">
        <v>259</v>
      </c>
      <c r="D305" s="62">
        <f>(26.44+6.89)*10.764</f>
        <v>358.76411999999993</v>
      </c>
      <c r="E305" s="54">
        <v>0</v>
      </c>
      <c r="F305" s="54">
        <v>555</v>
      </c>
      <c r="G305" s="211"/>
      <c r="H305" s="212"/>
      <c r="I305" s="35"/>
      <c r="J305" s="60">
        <f t="shared" si="30"/>
        <v>1.5469774402189385</v>
      </c>
      <c r="K305" s="83">
        <f t="shared" si="27"/>
        <v>1.5469774402189385</v>
      </c>
      <c r="N305" s="35"/>
    </row>
    <row r="306" spans="1:14" s="56" customFormat="1" ht="15.75" customHeight="1" x14ac:dyDescent="0.25">
      <c r="A306" s="158" t="s">
        <v>278</v>
      </c>
      <c r="B306" s="159"/>
      <c r="C306" s="61" t="s">
        <v>259</v>
      </c>
      <c r="D306" s="62">
        <f>(26.44+6.89)*10.764</f>
        <v>358.76411999999993</v>
      </c>
      <c r="E306" s="54">
        <v>0</v>
      </c>
      <c r="F306" s="54">
        <v>555</v>
      </c>
      <c r="G306" s="211"/>
      <c r="H306" s="212"/>
      <c r="I306" s="35"/>
      <c r="J306" s="60">
        <f t="shared" si="30"/>
        <v>1.5469774402189385</v>
      </c>
      <c r="K306" s="83">
        <f t="shared" si="27"/>
        <v>1.5469774402189385</v>
      </c>
      <c r="N306" s="35"/>
    </row>
    <row r="307" spans="1:14" s="56" customFormat="1" ht="15.75" customHeight="1" x14ac:dyDescent="0.25">
      <c r="A307" s="158" t="s">
        <v>279</v>
      </c>
      <c r="B307" s="159"/>
      <c r="C307" s="61" t="s">
        <v>259</v>
      </c>
      <c r="D307" s="62">
        <f>(38.86+2.75)*10.764</f>
        <v>447.89003999999994</v>
      </c>
      <c r="E307" s="54">
        <v>0</v>
      </c>
      <c r="F307" s="54">
        <v>710</v>
      </c>
      <c r="G307" s="222"/>
      <c r="H307" s="223"/>
      <c r="I307" s="35"/>
      <c r="J307" s="60">
        <f t="shared" si="30"/>
        <v>1.5852105128303369</v>
      </c>
      <c r="K307" s="83">
        <f t="shared" si="27"/>
        <v>1.5852105128303369</v>
      </c>
      <c r="N307" s="35"/>
    </row>
    <row r="308" spans="1:14" s="34" customFormat="1" x14ac:dyDescent="0.25">
      <c r="A308" s="208" t="s">
        <v>68</v>
      </c>
      <c r="B308" s="208"/>
      <c r="C308" s="208"/>
      <c r="D308" s="208"/>
      <c r="E308" s="208"/>
      <c r="F308" s="208"/>
      <c r="G308" s="208"/>
      <c r="H308" s="208"/>
    </row>
    <row r="309" spans="1:14" s="34" customFormat="1" x14ac:dyDescent="0.25">
      <c r="A309" s="44" t="s">
        <v>148</v>
      </c>
      <c r="B309" s="155" t="s">
        <v>303</v>
      </c>
      <c r="C309" s="156"/>
      <c r="D309" s="156"/>
      <c r="E309" s="156"/>
      <c r="F309" s="156"/>
      <c r="G309" s="156"/>
      <c r="H309" s="157"/>
    </row>
    <row r="310" spans="1:14" s="34" customFormat="1" x14ac:dyDescent="0.25">
      <c r="A310" s="44" t="s">
        <v>148</v>
      </c>
      <c r="B310" s="155" t="str">
        <f>(IF(F205="Saleable area Loading :","We have considered Saleable area of Flats as per our Calculation.","We considered Saleable area of Flat as per Builder area Sheet."))</f>
        <v>We considered Saleable area of Flat as per Builder area Sheet.</v>
      </c>
      <c r="C310" s="156"/>
      <c r="D310" s="156"/>
      <c r="E310" s="156"/>
      <c r="F310" s="156"/>
      <c r="G310" s="156"/>
      <c r="H310" s="157"/>
    </row>
    <row r="311" spans="1:14" s="34" customFormat="1" x14ac:dyDescent="0.25">
      <c r="A311" s="44" t="s">
        <v>148</v>
      </c>
      <c r="B311" s="155" t="str">
        <f>(IF(F142="Saleable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311" s="156"/>
      <c r="D311" s="156"/>
      <c r="E311" s="156"/>
      <c r="F311" s="156"/>
      <c r="G311" s="156"/>
      <c r="H311" s="157"/>
    </row>
    <row r="312" spans="1:14" s="34" customFormat="1" x14ac:dyDescent="0.25">
      <c r="A312" s="44" t="s">
        <v>148</v>
      </c>
      <c r="B312" s="152" t="s">
        <v>119</v>
      </c>
      <c r="C312" s="153"/>
      <c r="D312" s="153"/>
      <c r="E312" s="153"/>
      <c r="F312" s="153"/>
      <c r="G312" s="153"/>
      <c r="H312" s="154"/>
    </row>
    <row r="313" spans="1:14" s="34" customFormat="1" x14ac:dyDescent="0.25">
      <c r="A313" s="44" t="s">
        <v>148</v>
      </c>
      <c r="B313" s="155" t="s">
        <v>271</v>
      </c>
      <c r="C313" s="156"/>
      <c r="D313" s="156"/>
      <c r="E313" s="156"/>
      <c r="F313" s="156"/>
      <c r="G313" s="156"/>
      <c r="H313" s="157"/>
    </row>
    <row r="314" spans="1:14" s="34" customFormat="1" x14ac:dyDescent="0.25">
      <c r="A314" s="44" t="s">
        <v>148</v>
      </c>
      <c r="B314" s="152" t="s">
        <v>147</v>
      </c>
      <c r="C314" s="153"/>
      <c r="D314" s="153"/>
      <c r="E314" s="153"/>
      <c r="F314" s="153"/>
      <c r="G314" s="153"/>
      <c r="H314" s="154"/>
    </row>
    <row r="315" spans="1:14" s="34" customFormat="1" x14ac:dyDescent="0.25">
      <c r="A315" s="44" t="s">
        <v>148</v>
      </c>
      <c r="B315" s="152" t="s">
        <v>120</v>
      </c>
      <c r="C315" s="153"/>
      <c r="D315" s="153"/>
      <c r="E315" s="153"/>
      <c r="F315" s="153"/>
      <c r="G315" s="153"/>
      <c r="H315" s="154"/>
    </row>
    <row r="316" spans="1:14" s="34" customFormat="1" ht="34.5" customHeight="1" x14ac:dyDescent="0.25">
      <c r="A316" s="44" t="s">
        <v>148</v>
      </c>
      <c r="B316" s="152" t="s">
        <v>149</v>
      </c>
      <c r="C316" s="153"/>
      <c r="D316" s="153"/>
      <c r="E316" s="153"/>
      <c r="F316" s="153"/>
      <c r="G316" s="153"/>
      <c r="H316" s="154"/>
    </row>
    <row r="317" spans="1:14" s="34" customFormat="1" x14ac:dyDescent="0.25">
      <c r="A317" s="44" t="s">
        <v>148</v>
      </c>
      <c r="B317" s="152" t="s">
        <v>121</v>
      </c>
      <c r="C317" s="153"/>
      <c r="D317" s="153"/>
      <c r="E317" s="153"/>
      <c r="F317" s="153"/>
      <c r="G317" s="153"/>
      <c r="H317" s="154"/>
    </row>
    <row r="318" spans="1:14" x14ac:dyDescent="0.25">
      <c r="A318" s="138" t="s">
        <v>61</v>
      </c>
      <c r="B318" s="138"/>
      <c r="C318" s="138"/>
      <c r="D318" s="138"/>
      <c r="E318" s="138"/>
      <c r="F318" s="138"/>
      <c r="G318" s="138"/>
      <c r="H318" s="138"/>
    </row>
    <row r="319" spans="1:14" x14ac:dyDescent="0.25">
      <c r="A319" s="101" t="s">
        <v>62</v>
      </c>
      <c r="B319" s="101"/>
      <c r="C319" s="101"/>
      <c r="D319" s="101"/>
      <c r="E319" s="101"/>
      <c r="F319" s="101"/>
      <c r="G319" s="101"/>
      <c r="H319" s="101"/>
    </row>
    <row r="320" spans="1:14" ht="15.75" customHeight="1" x14ac:dyDescent="0.25">
      <c r="A320" s="170" t="s">
        <v>63</v>
      </c>
      <c r="B320" s="170"/>
      <c r="C320" s="170"/>
      <c r="D320" s="170"/>
      <c r="E320" s="170"/>
      <c r="F320" s="170"/>
      <c r="G320" s="170"/>
      <c r="H320" s="170"/>
    </row>
    <row r="321" spans="1:8" x14ac:dyDescent="0.25">
      <c r="A321" s="101" t="s">
        <v>64</v>
      </c>
      <c r="B321" s="101"/>
      <c r="C321" s="101"/>
      <c r="D321" s="101"/>
      <c r="E321" s="101"/>
      <c r="F321" s="101"/>
      <c r="G321" s="101"/>
      <c r="H321" s="101"/>
    </row>
    <row r="322" spans="1:8" x14ac:dyDescent="0.25">
      <c r="A322" s="101" t="s">
        <v>65</v>
      </c>
      <c r="B322" s="101"/>
      <c r="C322" s="101"/>
      <c r="D322" s="101"/>
      <c r="E322" s="101"/>
      <c r="F322" s="101"/>
      <c r="G322" s="101"/>
      <c r="H322" s="101"/>
    </row>
    <row r="323" spans="1:8" x14ac:dyDescent="0.25">
      <c r="A323" s="101" t="s">
        <v>122</v>
      </c>
      <c r="B323" s="101"/>
      <c r="C323" s="101"/>
      <c r="D323" s="101"/>
      <c r="E323" s="101"/>
      <c r="F323" s="101"/>
      <c r="G323" s="101"/>
      <c r="H323" s="101"/>
    </row>
    <row r="324" spans="1:8" ht="33.950000000000003" customHeight="1" x14ac:dyDescent="0.25">
      <c r="A324" s="95" t="s">
        <v>123</v>
      </c>
      <c r="B324" s="95"/>
      <c r="C324" s="95"/>
      <c r="D324" s="95"/>
      <c r="E324" s="95"/>
      <c r="F324" s="95"/>
      <c r="G324" s="95"/>
      <c r="H324" s="95"/>
    </row>
    <row r="325" spans="1:8" x14ac:dyDescent="0.25">
      <c r="A325" s="167" t="s">
        <v>76</v>
      </c>
      <c r="B325" s="167"/>
      <c r="C325" s="167" t="s">
        <v>301</v>
      </c>
      <c r="D325" s="167"/>
      <c r="E325" s="167" t="s">
        <v>105</v>
      </c>
      <c r="F325" s="167"/>
      <c r="G325" s="167" t="s">
        <v>302</v>
      </c>
      <c r="H325" s="167"/>
    </row>
    <row r="326" spans="1:8" x14ac:dyDescent="0.25">
      <c r="A326" s="166" t="s">
        <v>78</v>
      </c>
      <c r="B326" s="166"/>
      <c r="C326" s="166"/>
      <c r="D326" s="166"/>
      <c r="E326" s="166"/>
      <c r="F326" s="166"/>
      <c r="G326" s="166"/>
      <c r="H326" s="166"/>
    </row>
    <row r="327" spans="1:8" x14ac:dyDescent="0.25">
      <c r="A327" s="166"/>
      <c r="B327" s="166"/>
      <c r="C327" s="166"/>
      <c r="D327" s="166"/>
      <c r="E327" s="166"/>
      <c r="F327" s="166"/>
      <c r="G327" s="166"/>
      <c r="H327" s="166"/>
    </row>
    <row r="328" spans="1:8" x14ac:dyDescent="0.25">
      <c r="A328" s="166"/>
      <c r="B328" s="166"/>
      <c r="C328" s="166"/>
      <c r="D328" s="166"/>
      <c r="E328" s="166"/>
      <c r="F328" s="166"/>
      <c r="G328" s="166"/>
      <c r="H328" s="166"/>
    </row>
    <row r="329" spans="1:8" x14ac:dyDescent="0.25">
      <c r="A329" s="166"/>
      <c r="B329" s="166"/>
      <c r="C329" s="166"/>
      <c r="D329" s="166"/>
      <c r="E329" s="166"/>
      <c r="F329" s="166"/>
      <c r="G329" s="166"/>
      <c r="H329" s="166"/>
    </row>
    <row r="330" spans="1:8" x14ac:dyDescent="0.25">
      <c r="A330" s="37" t="s">
        <v>66</v>
      </c>
      <c r="B330" s="38"/>
      <c r="C330" s="38"/>
      <c r="D330" s="37" t="str">
        <f>E8</f>
        <v>Florence Landmark Phase 1</v>
      </c>
      <c r="F330" s="38"/>
      <c r="G330" s="38"/>
      <c r="H330" s="38"/>
    </row>
    <row r="331" spans="1:8" x14ac:dyDescent="0.25">
      <c r="A331" s="38"/>
      <c r="B331" s="38"/>
      <c r="C331" s="38"/>
      <c r="D331" s="38"/>
      <c r="E331" s="38"/>
      <c r="F331" s="38"/>
      <c r="G331" s="38"/>
      <c r="H331" s="38"/>
    </row>
    <row r="332" spans="1:8" x14ac:dyDescent="0.25">
      <c r="A332" s="38"/>
      <c r="B332" s="38"/>
      <c r="C332" s="38"/>
      <c r="D332" s="38"/>
      <c r="E332" s="38"/>
      <c r="F332" s="38"/>
      <c r="G332" s="38"/>
      <c r="H332" s="38"/>
    </row>
    <row r="333" spans="1:8" ht="15" customHeight="1" x14ac:dyDescent="0.25"/>
    <row r="353" spans="9:9" x14ac:dyDescent="0.25">
      <c r="I353"/>
    </row>
    <row r="373" spans="1:1" x14ac:dyDescent="0.25">
      <c r="A373" s="40" t="s">
        <v>159</v>
      </c>
    </row>
    <row r="416" spans="1:1" x14ac:dyDescent="0.25">
      <c r="A416" s="40" t="s">
        <v>67</v>
      </c>
    </row>
  </sheetData>
  <mergeCells count="566"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9:B89"/>
    <mergeCell ref="A90:B90"/>
    <mergeCell ref="A91:B91"/>
    <mergeCell ref="A92:B92"/>
    <mergeCell ref="A93:B93"/>
    <mergeCell ref="A94:B94"/>
    <mergeCell ref="C94:H94"/>
    <mergeCell ref="A96:B96"/>
    <mergeCell ref="C96:H96"/>
    <mergeCell ref="A291:B291"/>
    <mergeCell ref="A297:B297"/>
    <mergeCell ref="A298:B298"/>
    <mergeCell ref="G291:H298"/>
    <mergeCell ref="A299:H299"/>
    <mergeCell ref="L299:M299"/>
    <mergeCell ref="A300:B300"/>
    <mergeCell ref="G300:H307"/>
    <mergeCell ref="A301:B301"/>
    <mergeCell ref="A302:B302"/>
    <mergeCell ref="A303:B303"/>
    <mergeCell ref="A304:B304"/>
    <mergeCell ref="A305:B305"/>
    <mergeCell ref="A306:B306"/>
    <mergeCell ref="A307:B307"/>
    <mergeCell ref="A267:B267"/>
    <mergeCell ref="A268:B268"/>
    <mergeCell ref="A269:B269"/>
    <mergeCell ref="A270:B270"/>
    <mergeCell ref="A271:B271"/>
    <mergeCell ref="A272:B272"/>
    <mergeCell ref="A290:H290"/>
    <mergeCell ref="L290:M290"/>
    <mergeCell ref="A273:H273"/>
    <mergeCell ref="L273:M273"/>
    <mergeCell ref="A274:H274"/>
    <mergeCell ref="L274:M274"/>
    <mergeCell ref="A275:B275"/>
    <mergeCell ref="A276:B276"/>
    <mergeCell ref="A277:B277"/>
    <mergeCell ref="A278:B278"/>
    <mergeCell ref="A279:B279"/>
    <mergeCell ref="A281:B281"/>
    <mergeCell ref="G275:H281"/>
    <mergeCell ref="A282:H282"/>
    <mergeCell ref="L282:M282"/>
    <mergeCell ref="G283:H289"/>
    <mergeCell ref="A285:B285"/>
    <mergeCell ref="A242:H242"/>
    <mergeCell ref="L242:M242"/>
    <mergeCell ref="A243:H243"/>
    <mergeCell ref="L243:M243"/>
    <mergeCell ref="G244:H247"/>
    <mergeCell ref="A248:H248"/>
    <mergeCell ref="L248:M248"/>
    <mergeCell ref="L263:M263"/>
    <mergeCell ref="A249:B249"/>
    <mergeCell ref="G249:H252"/>
    <mergeCell ref="A250:B250"/>
    <mergeCell ref="A251:B251"/>
    <mergeCell ref="A252:B252"/>
    <mergeCell ref="A253:H253"/>
    <mergeCell ref="L253:M253"/>
    <mergeCell ref="A254:B254"/>
    <mergeCell ref="A255:B255"/>
    <mergeCell ref="A256:B256"/>
    <mergeCell ref="A257:B257"/>
    <mergeCell ref="A237:B237"/>
    <mergeCell ref="L237:M237"/>
    <mergeCell ref="A238:B238"/>
    <mergeCell ref="L238:M238"/>
    <mergeCell ref="A239:B239"/>
    <mergeCell ref="L239:M239"/>
    <mergeCell ref="L240:M240"/>
    <mergeCell ref="A241:B241"/>
    <mergeCell ref="L241:M241"/>
    <mergeCell ref="A234:B234"/>
    <mergeCell ref="L234:M234"/>
    <mergeCell ref="G225:H232"/>
    <mergeCell ref="L229:M229"/>
    <mergeCell ref="A230:B230"/>
    <mergeCell ref="A231:B231"/>
    <mergeCell ref="L231:M231"/>
    <mergeCell ref="L235:M235"/>
    <mergeCell ref="A236:B236"/>
    <mergeCell ref="L236:M236"/>
    <mergeCell ref="L225:M225"/>
    <mergeCell ref="A226:B226"/>
    <mergeCell ref="A208:H208"/>
    <mergeCell ref="L226:M226"/>
    <mergeCell ref="A227:B227"/>
    <mergeCell ref="L227:M227"/>
    <mergeCell ref="A228:B228"/>
    <mergeCell ref="L228:M228"/>
    <mergeCell ref="A232:B232"/>
    <mergeCell ref="L232:M232"/>
    <mergeCell ref="A233:H233"/>
    <mergeCell ref="A217:B217"/>
    <mergeCell ref="G217:H223"/>
    <mergeCell ref="A218:B218"/>
    <mergeCell ref="A219:B219"/>
    <mergeCell ref="A220:B220"/>
    <mergeCell ref="A221:B221"/>
    <mergeCell ref="A222:B222"/>
    <mergeCell ref="A223:B223"/>
    <mergeCell ref="A213:B213"/>
    <mergeCell ref="A214:B214"/>
    <mergeCell ref="A215:B215"/>
    <mergeCell ref="G209:H215"/>
    <mergeCell ref="A211:B211"/>
    <mergeCell ref="A224:H224"/>
    <mergeCell ref="A225:B225"/>
    <mergeCell ref="A199:H199"/>
    <mergeCell ref="A200:B200"/>
    <mergeCell ref="G200:H203"/>
    <mergeCell ref="A197:B197"/>
    <mergeCell ref="L197:M197"/>
    <mergeCell ref="A198:B198"/>
    <mergeCell ref="L198:M198"/>
    <mergeCell ref="G195:H198"/>
    <mergeCell ref="G205:H205"/>
    <mergeCell ref="A204:H204"/>
    <mergeCell ref="L200:M200"/>
    <mergeCell ref="A201:B201"/>
    <mergeCell ref="L201:M201"/>
    <mergeCell ref="A202:B202"/>
    <mergeCell ref="L202:M202"/>
    <mergeCell ref="A203:B203"/>
    <mergeCell ref="L203:M203"/>
    <mergeCell ref="A196:B196"/>
    <mergeCell ref="L196:M196"/>
    <mergeCell ref="A206:H206"/>
    <mergeCell ref="A207:H207"/>
    <mergeCell ref="A216:H216"/>
    <mergeCell ref="A153:H153"/>
    <mergeCell ref="A154:B154"/>
    <mergeCell ref="G154:H155"/>
    <mergeCell ref="L154:M154"/>
    <mergeCell ref="A155:B155"/>
    <mergeCell ref="L155:M155"/>
    <mergeCell ref="A177:H177"/>
    <mergeCell ref="A178:B178"/>
    <mergeCell ref="G178:H183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83:B183"/>
    <mergeCell ref="L183:M183"/>
    <mergeCell ref="A172:B172"/>
    <mergeCell ref="L172:M172"/>
    <mergeCell ref="A173:B173"/>
    <mergeCell ref="L158:M158"/>
    <mergeCell ref="A193:B193"/>
    <mergeCell ref="L193:M193"/>
    <mergeCell ref="G186:H193"/>
    <mergeCell ref="A194:H194"/>
    <mergeCell ref="A195:B195"/>
    <mergeCell ref="L195:M195"/>
    <mergeCell ref="A187:B187"/>
    <mergeCell ref="L187:M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A186:B186"/>
    <mergeCell ref="L186:M186"/>
    <mergeCell ref="A192:B192"/>
    <mergeCell ref="L192:M192"/>
    <mergeCell ref="A175:B175"/>
    <mergeCell ref="L175:M175"/>
    <mergeCell ref="A176:B176"/>
    <mergeCell ref="L176:M176"/>
    <mergeCell ref="G171:H176"/>
    <mergeCell ref="A184:H184"/>
    <mergeCell ref="A185:H185"/>
    <mergeCell ref="L162:M162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L171:M171"/>
    <mergeCell ref="A174:B174"/>
    <mergeCell ref="L174:M174"/>
    <mergeCell ref="A167:B167"/>
    <mergeCell ref="L167:M167"/>
    <mergeCell ref="A168:B168"/>
    <mergeCell ref="L173:M173"/>
    <mergeCell ref="L168:M168"/>
    <mergeCell ref="A169:B169"/>
    <mergeCell ref="L169:M169"/>
    <mergeCell ref="L159:M159"/>
    <mergeCell ref="A160:B160"/>
    <mergeCell ref="L160:M160"/>
    <mergeCell ref="A161:B161"/>
    <mergeCell ref="L161:M161"/>
    <mergeCell ref="C52:H52"/>
    <mergeCell ref="A144:H144"/>
    <mergeCell ref="A143:H143"/>
    <mergeCell ref="G146:H149"/>
    <mergeCell ref="A150:H150"/>
    <mergeCell ref="A151:B151"/>
    <mergeCell ref="L151:M151"/>
    <mergeCell ref="A152:B152"/>
    <mergeCell ref="L152:M152"/>
    <mergeCell ref="G151:H152"/>
    <mergeCell ref="C126:D126"/>
    <mergeCell ref="E126:F126"/>
    <mergeCell ref="G126:H126"/>
    <mergeCell ref="C127:D127"/>
    <mergeCell ref="E127:F127"/>
    <mergeCell ref="G127:H127"/>
    <mergeCell ref="G158:H169"/>
    <mergeCell ref="A138:B138"/>
    <mergeCell ref="E138:F138"/>
    <mergeCell ref="A39:B39"/>
    <mergeCell ref="C39:H39"/>
    <mergeCell ref="A119:E119"/>
    <mergeCell ref="G138:H138"/>
    <mergeCell ref="C125:D125"/>
    <mergeCell ref="E125:F125"/>
    <mergeCell ref="A127:B127"/>
    <mergeCell ref="C136:D136"/>
    <mergeCell ref="E136:F136"/>
    <mergeCell ref="G136:H136"/>
    <mergeCell ref="C124:D124"/>
    <mergeCell ref="E124:F124"/>
    <mergeCell ref="D64:H64"/>
    <mergeCell ref="G69:H69"/>
    <mergeCell ref="F113:H113"/>
    <mergeCell ref="G125:H125"/>
    <mergeCell ref="E131:F131"/>
    <mergeCell ref="D65:H65"/>
    <mergeCell ref="A132:B132"/>
    <mergeCell ref="E137:F137"/>
    <mergeCell ref="G137:H137"/>
    <mergeCell ref="A80:B80"/>
    <mergeCell ref="A134:B134"/>
    <mergeCell ref="A158:B158"/>
    <mergeCell ref="A135:A137"/>
    <mergeCell ref="A308:H308"/>
    <mergeCell ref="A289:B289"/>
    <mergeCell ref="A212:B212"/>
    <mergeCell ref="A287:B287"/>
    <mergeCell ref="A288:B288"/>
    <mergeCell ref="A247:B247"/>
    <mergeCell ref="A246:B246"/>
    <mergeCell ref="A283:B283"/>
    <mergeCell ref="A280:B280"/>
    <mergeCell ref="G234:H241"/>
    <mergeCell ref="A229:B229"/>
    <mergeCell ref="A235:B235"/>
    <mergeCell ref="A240:B240"/>
    <mergeCell ref="A258:B258"/>
    <mergeCell ref="A259:B259"/>
    <mergeCell ref="A260:B260"/>
    <mergeCell ref="A261:B261"/>
    <mergeCell ref="A262:B262"/>
    <mergeCell ref="G254:H262"/>
    <mergeCell ref="A263:H263"/>
    <mergeCell ref="A264:B264"/>
    <mergeCell ref="G264:H272"/>
    <mergeCell ref="A265:B265"/>
    <mergeCell ref="A266:B266"/>
    <mergeCell ref="A110:E110"/>
    <mergeCell ref="A112:E112"/>
    <mergeCell ref="A111:E111"/>
    <mergeCell ref="A108:E108"/>
    <mergeCell ref="G131:H131"/>
    <mergeCell ref="C132:D132"/>
    <mergeCell ref="E132:F132"/>
    <mergeCell ref="G132:H132"/>
    <mergeCell ref="F112:H112"/>
    <mergeCell ref="F109:H109"/>
    <mergeCell ref="G124:H124"/>
    <mergeCell ref="F116:H116"/>
    <mergeCell ref="C123:D123"/>
    <mergeCell ref="C129:D129"/>
    <mergeCell ref="E129:F129"/>
    <mergeCell ref="A146:B146"/>
    <mergeCell ref="A114:E114"/>
    <mergeCell ref="F114:H114"/>
    <mergeCell ref="A115:E115"/>
    <mergeCell ref="A117:E117"/>
    <mergeCell ref="F111:H111"/>
    <mergeCell ref="A116:E116"/>
    <mergeCell ref="L149:M149"/>
    <mergeCell ref="L148:M148"/>
    <mergeCell ref="L147:M147"/>
    <mergeCell ref="L146:M146"/>
    <mergeCell ref="A77:B77"/>
    <mergeCell ref="C135:D135"/>
    <mergeCell ref="E135:F135"/>
    <mergeCell ref="G135:H135"/>
    <mergeCell ref="F115:H115"/>
    <mergeCell ref="A109:E109"/>
    <mergeCell ref="A145:H145"/>
    <mergeCell ref="G142:H142"/>
    <mergeCell ref="E70:F79"/>
    <mergeCell ref="G70:H79"/>
    <mergeCell ref="A78:B78"/>
    <mergeCell ref="A79:B79"/>
    <mergeCell ref="A76:B76"/>
    <mergeCell ref="A72:B72"/>
    <mergeCell ref="A74:B74"/>
    <mergeCell ref="A71:B71"/>
    <mergeCell ref="A73:B73"/>
    <mergeCell ref="A70:B70"/>
    <mergeCell ref="F108:H108"/>
    <mergeCell ref="F110:H110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A48:B48"/>
    <mergeCell ref="C48:H48"/>
    <mergeCell ref="A58:C58"/>
    <mergeCell ref="D58:H5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319:H319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C50:E50"/>
    <mergeCell ref="F33:H33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B313:H313"/>
    <mergeCell ref="A326:H329"/>
    <mergeCell ref="A325:B325"/>
    <mergeCell ref="E325:F325"/>
    <mergeCell ref="C325:D325"/>
    <mergeCell ref="G325:H325"/>
    <mergeCell ref="A122:H122"/>
    <mergeCell ref="A120:E120"/>
    <mergeCell ref="F120:H120"/>
    <mergeCell ref="A121:E121"/>
    <mergeCell ref="F121:H121"/>
    <mergeCell ref="A321:H321"/>
    <mergeCell ref="A133:H133"/>
    <mergeCell ref="A324:H324"/>
    <mergeCell ref="A322:H322"/>
    <mergeCell ref="A318:H318"/>
    <mergeCell ref="G134:H134"/>
    <mergeCell ref="A284:B284"/>
    <mergeCell ref="A286:B286"/>
    <mergeCell ref="A209:B209"/>
    <mergeCell ref="A149:B149"/>
    <mergeCell ref="A148:B148"/>
    <mergeCell ref="A323:H323"/>
    <mergeCell ref="A320:H320"/>
    <mergeCell ref="B317:H317"/>
    <mergeCell ref="B315:H315"/>
    <mergeCell ref="B311:H311"/>
    <mergeCell ref="A294:B294"/>
    <mergeCell ref="A292:B292"/>
    <mergeCell ref="A293:B293"/>
    <mergeCell ref="A296:B296"/>
    <mergeCell ref="A295:B295"/>
    <mergeCell ref="A140:H140"/>
    <mergeCell ref="B309:H309"/>
    <mergeCell ref="B310:H310"/>
    <mergeCell ref="A245:B245"/>
    <mergeCell ref="A244:B244"/>
    <mergeCell ref="A156:H156"/>
    <mergeCell ref="A157:H157"/>
    <mergeCell ref="A210:B210"/>
    <mergeCell ref="B316:H316"/>
    <mergeCell ref="B314:H314"/>
    <mergeCell ref="A159:B159"/>
    <mergeCell ref="A170:H170"/>
    <mergeCell ref="A171:B171"/>
    <mergeCell ref="A162:B162"/>
    <mergeCell ref="A147:B147"/>
    <mergeCell ref="B312:H312"/>
    <mergeCell ref="A53:B53"/>
    <mergeCell ref="C53:E53"/>
    <mergeCell ref="D55:H55"/>
    <mergeCell ref="F118:H118"/>
    <mergeCell ref="E123:F123"/>
    <mergeCell ref="A123:B123"/>
    <mergeCell ref="C134:D134"/>
    <mergeCell ref="D63:H63"/>
    <mergeCell ref="A64:C64"/>
    <mergeCell ref="A61:C61"/>
    <mergeCell ref="A54:H54"/>
    <mergeCell ref="A55:C55"/>
    <mergeCell ref="E69:F69"/>
    <mergeCell ref="A62:C62"/>
    <mergeCell ref="A124:A126"/>
    <mergeCell ref="A129:A131"/>
    <mergeCell ref="A128:H128"/>
    <mergeCell ref="G129:H129"/>
    <mergeCell ref="C130:D130"/>
    <mergeCell ref="E130:F130"/>
    <mergeCell ref="G130:H130"/>
    <mergeCell ref="C131:D131"/>
    <mergeCell ref="A113:E113"/>
    <mergeCell ref="C80:H80"/>
    <mergeCell ref="A139:B139"/>
    <mergeCell ref="C139:D139"/>
    <mergeCell ref="E139:F139"/>
    <mergeCell ref="G139:H139"/>
    <mergeCell ref="C138:D138"/>
    <mergeCell ref="C137:D137"/>
    <mergeCell ref="A63:C63"/>
    <mergeCell ref="A69:B69"/>
    <mergeCell ref="A68:B68"/>
    <mergeCell ref="A66:B66"/>
    <mergeCell ref="C66:H66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E134:F134"/>
    <mergeCell ref="A42:D42"/>
    <mergeCell ref="A75:B75"/>
    <mergeCell ref="D62:H62"/>
    <mergeCell ref="A65:C65"/>
    <mergeCell ref="I14:P14"/>
    <mergeCell ref="F119:H119"/>
    <mergeCell ref="F117:H117"/>
    <mergeCell ref="A141:H141"/>
    <mergeCell ref="G123:H123"/>
    <mergeCell ref="A118:E118"/>
    <mergeCell ref="F34:H34"/>
    <mergeCell ref="E42:H42"/>
    <mergeCell ref="A49:B49"/>
    <mergeCell ref="C49:E49"/>
    <mergeCell ref="G49:H49"/>
    <mergeCell ref="G51:H51"/>
    <mergeCell ref="A50:B50"/>
    <mergeCell ref="A56:C56"/>
    <mergeCell ref="D56:H56"/>
    <mergeCell ref="A51:B51"/>
    <mergeCell ref="A52:B52"/>
    <mergeCell ref="C51:E51"/>
    <mergeCell ref="D61:H61"/>
    <mergeCell ref="C68:H68"/>
  </mergeCells>
  <dataValidations count="12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42">
      <formula1>"Attached Loft area,Attached Terrace area,Attached Mezzanine area"</formula1>
    </dataValidation>
    <dataValidation type="list" allowBlank="1" showInputMessage="1" showErrorMessage="1" sqref="G325:H325">
      <formula1>"Shruti Tathare,Kunal Kadam,Pranita Mhatre,Shruti Fule,Pooja Kawale,Mansee Mohite,Anjali Kamble, Hitakshi Mhatre, Sachin Sawant"</formula1>
    </dataValidation>
    <dataValidation type="list" allowBlank="1" showInputMessage="1" showErrorMessage="1" sqref="F108:H108">
      <formula1>"On Saleable Area,On Builtup Area,On Carpet Area,On Plot Area"</formula1>
    </dataValidation>
    <dataValidation type="list" allowBlank="1" showInputMessage="1" showErrorMessage="1" sqref="F120:H120">
      <formula1>"100000,150000,200000,250000,300000,350000,400000,500000,600000,700000,800000,900000,1000000,1200000,1400000,1500000"</formula1>
    </dataValidation>
    <dataValidation type="list" allowBlank="1" showInputMessage="1" showErrorMessage="1" sqref="F142 F205">
      <formula1>"Saleable area Loading :,Builder Saleable area"</formula1>
    </dataValidation>
    <dataValidation type="list" allowBlank="1" showInputMessage="1" showErrorMessage="1" sqref="B142">
      <formula1>"Shop No. (Sale Plan),Sale / Rehab,Sale / Mhada"</formula1>
    </dataValidation>
    <dataValidation type="list" allowBlank="1" showInputMessage="1" showErrorMessage="1" sqref="B205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329" max="16383" man="1"/>
    <brk id="372" max="16383" man="1"/>
    <brk id="41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12" sqref="K12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7" t="s">
        <v>106</v>
      </c>
      <c r="C3" s="227"/>
      <c r="D3" s="227"/>
      <c r="E3" s="227"/>
      <c r="F3" s="227"/>
      <c r="G3" s="227"/>
      <c r="H3" s="227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2"/>
      <c r="C4" s="52" t="s">
        <v>12</v>
      </c>
      <c r="D4" s="53" t="s">
        <v>172</v>
      </c>
      <c r="E4" s="53" t="s">
        <v>182</v>
      </c>
      <c r="F4" s="53" t="s">
        <v>166</v>
      </c>
      <c r="G4" s="53" t="s">
        <v>187</v>
      </c>
      <c r="H4" s="53" t="s">
        <v>205</v>
      </c>
      <c r="J4" t="s">
        <v>187</v>
      </c>
      <c r="K4" t="s">
        <v>203</v>
      </c>
    </row>
    <row r="5" spans="2:11" x14ac:dyDescent="0.25">
      <c r="B5" s="52"/>
      <c r="C5" s="52"/>
      <c r="D5" s="53" t="s">
        <v>173</v>
      </c>
      <c r="E5" s="53" t="s">
        <v>180</v>
      </c>
      <c r="F5" s="53" t="s">
        <v>202</v>
      </c>
      <c r="G5" s="53" t="s">
        <v>188</v>
      </c>
      <c r="H5" s="53" t="s">
        <v>206</v>
      </c>
    </row>
    <row r="6" spans="2:11" x14ac:dyDescent="0.25">
      <c r="B6" s="52"/>
      <c r="C6" s="52"/>
      <c r="D6" s="53" t="s">
        <v>174</v>
      </c>
      <c r="E6" s="53" t="s">
        <v>181</v>
      </c>
      <c r="F6" s="53" t="s">
        <v>203</v>
      </c>
      <c r="G6" s="53" t="s">
        <v>189</v>
      </c>
      <c r="H6" s="53" t="s">
        <v>219</v>
      </c>
    </row>
    <row r="7" spans="2:11" x14ac:dyDescent="0.25">
      <c r="B7" s="52"/>
      <c r="C7" s="52"/>
      <c r="D7" s="53" t="s">
        <v>175</v>
      </c>
      <c r="E7" s="53" t="s">
        <v>183</v>
      </c>
      <c r="F7" s="53" t="s">
        <v>204</v>
      </c>
      <c r="G7" s="53" t="s">
        <v>190</v>
      </c>
      <c r="H7" s="53" t="s">
        <v>207</v>
      </c>
    </row>
    <row r="8" spans="2:11" x14ac:dyDescent="0.25">
      <c r="B8" s="52"/>
      <c r="C8" s="52"/>
      <c r="D8" s="53" t="s">
        <v>176</v>
      </c>
      <c r="E8" s="53" t="s">
        <v>184</v>
      </c>
      <c r="F8" s="53"/>
      <c r="G8" s="53" t="s">
        <v>191</v>
      </c>
      <c r="H8" s="53" t="s">
        <v>208</v>
      </c>
    </row>
    <row r="9" spans="2:11" x14ac:dyDescent="0.25">
      <c r="B9" s="52"/>
      <c r="C9" s="52"/>
      <c r="D9" s="53" t="s">
        <v>177</v>
      </c>
      <c r="E9" s="53" t="s">
        <v>182</v>
      </c>
      <c r="F9" s="53"/>
      <c r="G9" s="53" t="s">
        <v>192</v>
      </c>
      <c r="H9" s="53" t="s">
        <v>209</v>
      </c>
    </row>
    <row r="10" spans="2:11" x14ac:dyDescent="0.25">
      <c r="B10" s="52"/>
      <c r="C10" s="52"/>
      <c r="D10" s="53" t="s">
        <v>178</v>
      </c>
      <c r="E10" s="53" t="s">
        <v>185</v>
      </c>
      <c r="F10" s="53"/>
      <c r="G10" s="53" t="s">
        <v>193</v>
      </c>
      <c r="H10" s="53" t="s">
        <v>210</v>
      </c>
    </row>
    <row r="11" spans="2:11" x14ac:dyDescent="0.25">
      <c r="B11" s="52"/>
      <c r="C11" s="52"/>
      <c r="D11" s="53" t="s">
        <v>179</v>
      </c>
      <c r="E11" s="53" t="s">
        <v>186</v>
      </c>
      <c r="F11" s="53"/>
      <c r="G11" s="53" t="s">
        <v>194</v>
      </c>
      <c r="H11" s="53" t="s">
        <v>211</v>
      </c>
    </row>
    <row r="12" spans="2:11" x14ac:dyDescent="0.25">
      <c r="B12" s="52"/>
      <c r="C12" s="52"/>
      <c r="D12" s="53"/>
      <c r="E12" s="53"/>
      <c r="F12" s="53"/>
      <c r="G12" s="53" t="s">
        <v>195</v>
      </c>
      <c r="H12" s="53" t="s">
        <v>212</v>
      </c>
    </row>
    <row r="13" spans="2:11" x14ac:dyDescent="0.25">
      <c r="B13" s="52"/>
      <c r="C13" s="52"/>
      <c r="D13" s="53"/>
      <c r="E13" s="53"/>
      <c r="F13" s="53"/>
      <c r="G13" s="53" t="s">
        <v>196</v>
      </c>
      <c r="H13" s="53" t="s">
        <v>213</v>
      </c>
    </row>
    <row r="14" spans="2:11" x14ac:dyDescent="0.25">
      <c r="B14" s="52"/>
      <c r="C14" s="52"/>
      <c r="D14" s="53"/>
      <c r="E14" s="53"/>
      <c r="F14" s="53"/>
      <c r="G14" s="53" t="s">
        <v>197</v>
      </c>
      <c r="H14" s="53" t="s">
        <v>214</v>
      </c>
    </row>
    <row r="15" spans="2:11" x14ac:dyDescent="0.25">
      <c r="B15" s="52"/>
      <c r="C15" s="52"/>
      <c r="D15" s="53"/>
      <c r="E15" s="53"/>
      <c r="F15" s="53"/>
      <c r="G15" s="53" t="s">
        <v>198</v>
      </c>
      <c r="H15" s="53" t="s">
        <v>215</v>
      </c>
    </row>
    <row r="16" spans="2:11" x14ac:dyDescent="0.25">
      <c r="B16" s="52"/>
      <c r="C16" s="52"/>
      <c r="D16" s="53"/>
      <c r="E16" s="53"/>
      <c r="F16" s="53"/>
      <c r="G16" s="53" t="s">
        <v>199</v>
      </c>
      <c r="H16" s="53" t="s">
        <v>216</v>
      </c>
    </row>
    <row r="17" spans="2:8" x14ac:dyDescent="0.25">
      <c r="B17" s="52"/>
      <c r="C17" s="52"/>
      <c r="D17" s="53"/>
      <c r="E17" s="53"/>
      <c r="F17" s="53"/>
      <c r="G17" s="53" t="s">
        <v>200</v>
      </c>
      <c r="H17" s="53" t="s">
        <v>217</v>
      </c>
    </row>
    <row r="18" spans="2:8" x14ac:dyDescent="0.25">
      <c r="B18" s="52"/>
      <c r="C18" s="52"/>
      <c r="D18" s="53"/>
      <c r="E18" s="53"/>
      <c r="F18" s="53"/>
      <c r="G18" s="53" t="s">
        <v>201</v>
      </c>
      <c r="H18" s="53" t="s">
        <v>218</v>
      </c>
    </row>
    <row r="24" spans="2:8" x14ac:dyDescent="0.25">
      <c r="C24" t="s">
        <v>164</v>
      </c>
    </row>
    <row r="25" spans="2:8" x14ac:dyDescent="0.25">
      <c r="C25" t="s">
        <v>220</v>
      </c>
    </row>
    <row r="26" spans="2:8" x14ac:dyDescent="0.25">
      <c r="C26" t="s">
        <v>221</v>
      </c>
    </row>
    <row r="27" spans="2:8" x14ac:dyDescent="0.25">
      <c r="C27" t="s">
        <v>222</v>
      </c>
    </row>
    <row r="28" spans="2:8" x14ac:dyDescent="0.25">
      <c r="C28" t="s">
        <v>223</v>
      </c>
    </row>
    <row r="29" spans="2:8" x14ac:dyDescent="0.25">
      <c r="C29" t="s">
        <v>224</v>
      </c>
    </row>
    <row r="30" spans="2:8" x14ac:dyDescent="0.25">
      <c r="C30" t="s">
        <v>164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2025-09-15T11:07:35Z</cp:lastPrinted>
  <dcterms:created xsi:type="dcterms:W3CDTF">2019-07-16T09:29:46Z</dcterms:created>
  <dcterms:modified xsi:type="dcterms:W3CDTF">2025-09-15T11:09:02Z</dcterms:modified>
</cp:coreProperties>
</file>