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200" windowHeight="664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Report!$A$1:$H$652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" i="1" l="1"/>
  <c r="F11" i="5" l="1"/>
  <c r="G11" i="5" s="1"/>
  <c r="F10" i="5"/>
  <c r="G10" i="5" s="1"/>
  <c r="F9" i="5"/>
  <c r="G9" i="5" s="1"/>
  <c r="G8" i="5"/>
  <c r="F8" i="5"/>
  <c r="F7" i="5"/>
  <c r="G7" i="5" s="1"/>
  <c r="F6" i="5"/>
  <c r="G6" i="5" s="1"/>
  <c r="F5" i="5"/>
  <c r="G5" i="5" s="1"/>
  <c r="G12" i="5" s="1"/>
  <c r="D531" i="1"/>
  <c r="B505" i="1"/>
  <c r="B504" i="1"/>
  <c r="F501" i="1"/>
  <c r="D501" i="1"/>
  <c r="D500" i="1"/>
  <c r="F500" i="1" s="1"/>
  <c r="F499" i="1"/>
  <c r="D499" i="1"/>
  <c r="G498" i="1"/>
  <c r="F498" i="1"/>
  <c r="D498" i="1"/>
  <c r="D496" i="1"/>
  <c r="F496" i="1" s="1"/>
  <c r="D495" i="1"/>
  <c r="F495" i="1" s="1"/>
  <c r="F494" i="1"/>
  <c r="D494" i="1"/>
  <c r="G493" i="1"/>
  <c r="F493" i="1"/>
  <c r="D493" i="1"/>
  <c r="D491" i="1"/>
  <c r="F491" i="1" s="1"/>
  <c r="F490" i="1"/>
  <c r="D490" i="1"/>
  <c r="D489" i="1"/>
  <c r="F489" i="1" s="1"/>
  <c r="G488" i="1"/>
  <c r="D488" i="1"/>
  <c r="F488" i="1" s="1"/>
  <c r="D486" i="1"/>
  <c r="F486" i="1" s="1"/>
  <c r="F485" i="1"/>
  <c r="D485" i="1"/>
  <c r="F484" i="1"/>
  <c r="D484" i="1"/>
  <c r="G483" i="1"/>
  <c r="D483" i="1"/>
  <c r="F483" i="1" s="1"/>
  <c r="F481" i="1"/>
  <c r="D481" i="1"/>
  <c r="D479" i="1"/>
  <c r="F479" i="1" s="1"/>
  <c r="G478" i="1"/>
  <c r="F478" i="1"/>
  <c r="D478" i="1"/>
  <c r="D476" i="1"/>
  <c r="F476" i="1" s="1"/>
  <c r="F474" i="1"/>
  <c r="D474" i="1"/>
  <c r="G473" i="1"/>
  <c r="D473" i="1"/>
  <c r="F473" i="1" s="1"/>
  <c r="D471" i="1"/>
  <c r="F471" i="1" s="1"/>
  <c r="F470" i="1"/>
  <c r="D470" i="1"/>
  <c r="D469" i="1"/>
  <c r="F469" i="1" s="1"/>
  <c r="G468" i="1"/>
  <c r="F468" i="1"/>
  <c r="D468" i="1"/>
  <c r="D466" i="1"/>
  <c r="F466" i="1" s="1"/>
  <c r="F465" i="1"/>
  <c r="E465" i="1"/>
  <c r="D465" i="1"/>
  <c r="D464" i="1"/>
  <c r="F464" i="1" s="1"/>
  <c r="G463" i="1"/>
  <c r="D463" i="1"/>
  <c r="F463" i="1" s="1"/>
  <c r="F461" i="1"/>
  <c r="D461" i="1"/>
  <c r="F460" i="1"/>
  <c r="D460" i="1"/>
  <c r="G459" i="1"/>
  <c r="F459" i="1"/>
  <c r="D459" i="1"/>
  <c r="F456" i="1"/>
  <c r="D456" i="1"/>
  <c r="D455" i="1"/>
  <c r="F455" i="1" s="1"/>
  <c r="D454" i="1"/>
  <c r="F454" i="1" s="1"/>
  <c r="G453" i="1"/>
  <c r="D453" i="1"/>
  <c r="L310" i="1" s="1"/>
  <c r="F451" i="1"/>
  <c r="D451" i="1"/>
  <c r="F450" i="1"/>
  <c r="D450" i="1"/>
  <c r="F449" i="1"/>
  <c r="D449" i="1"/>
  <c r="G448" i="1"/>
  <c r="F448" i="1"/>
  <c r="D448" i="1"/>
  <c r="D446" i="1"/>
  <c r="F446" i="1" s="1"/>
  <c r="D445" i="1"/>
  <c r="F445" i="1" s="1"/>
  <c r="F444" i="1"/>
  <c r="D444" i="1"/>
  <c r="G443" i="1"/>
  <c r="F443" i="1"/>
  <c r="D443" i="1"/>
  <c r="F441" i="1"/>
  <c r="D441" i="1"/>
  <c r="F440" i="1"/>
  <c r="D440" i="1"/>
  <c r="D439" i="1"/>
  <c r="E150" i="1" s="1"/>
  <c r="G438" i="1"/>
  <c r="D438" i="1"/>
  <c r="F438" i="1" s="1"/>
  <c r="D436" i="1"/>
  <c r="F436" i="1" s="1"/>
  <c r="F435" i="1"/>
  <c r="D435" i="1"/>
  <c r="G433" i="1"/>
  <c r="F433" i="1"/>
  <c r="D433" i="1"/>
  <c r="F431" i="1"/>
  <c r="D431" i="1"/>
  <c r="F430" i="1"/>
  <c r="D430" i="1"/>
  <c r="G428" i="1"/>
  <c r="F428" i="1"/>
  <c r="D428" i="1"/>
  <c r="D426" i="1"/>
  <c r="F426" i="1" s="1"/>
  <c r="D425" i="1"/>
  <c r="F425" i="1" s="1"/>
  <c r="F424" i="1"/>
  <c r="D424" i="1"/>
  <c r="G423" i="1"/>
  <c r="F423" i="1"/>
  <c r="D423" i="1"/>
  <c r="F421" i="1"/>
  <c r="D421" i="1"/>
  <c r="F420" i="1"/>
  <c r="E420" i="1"/>
  <c r="D420" i="1"/>
  <c r="F419" i="1"/>
  <c r="E419" i="1"/>
  <c r="D419" i="1"/>
  <c r="G418" i="1"/>
  <c r="D418" i="1"/>
  <c r="F418" i="1" s="1"/>
  <c r="F416" i="1"/>
  <c r="D416" i="1"/>
  <c r="G415" i="1"/>
  <c r="F415" i="1"/>
  <c r="D415" i="1"/>
  <c r="F411" i="1"/>
  <c r="D411" i="1"/>
  <c r="F410" i="1"/>
  <c r="D410" i="1"/>
  <c r="D409" i="1"/>
  <c r="F409" i="1" s="1"/>
  <c r="G408" i="1"/>
  <c r="D408" i="1"/>
  <c r="F408" i="1" s="1"/>
  <c r="D406" i="1"/>
  <c r="F406" i="1" s="1"/>
  <c r="F405" i="1"/>
  <c r="D405" i="1"/>
  <c r="F404" i="1"/>
  <c r="D404" i="1"/>
  <c r="G403" i="1"/>
  <c r="F403" i="1"/>
  <c r="D403" i="1"/>
  <c r="F401" i="1"/>
  <c r="D401" i="1"/>
  <c r="D400" i="1"/>
  <c r="F400" i="1" s="1"/>
  <c r="F399" i="1"/>
  <c r="D399" i="1"/>
  <c r="G398" i="1"/>
  <c r="D398" i="1"/>
  <c r="F398" i="1" s="1"/>
  <c r="F396" i="1"/>
  <c r="D396" i="1"/>
  <c r="F395" i="1"/>
  <c r="D395" i="1"/>
  <c r="D394" i="1"/>
  <c r="F394" i="1" s="1"/>
  <c r="G393" i="1"/>
  <c r="F393" i="1"/>
  <c r="D393" i="1"/>
  <c r="D391" i="1"/>
  <c r="F391" i="1" s="1"/>
  <c r="F389" i="1"/>
  <c r="D389" i="1"/>
  <c r="G388" i="1"/>
  <c r="D388" i="1"/>
  <c r="F388" i="1" s="1"/>
  <c r="F386" i="1"/>
  <c r="D386" i="1"/>
  <c r="F384" i="1"/>
  <c r="D384" i="1"/>
  <c r="G383" i="1"/>
  <c r="F383" i="1"/>
  <c r="D383" i="1"/>
  <c r="F381" i="1"/>
  <c r="D381" i="1"/>
  <c r="D380" i="1"/>
  <c r="F380" i="1" s="1"/>
  <c r="F379" i="1"/>
  <c r="D379" i="1"/>
  <c r="G378" i="1"/>
  <c r="D378" i="1"/>
  <c r="F378" i="1" s="1"/>
  <c r="F376" i="1"/>
  <c r="D376" i="1"/>
  <c r="F375" i="1"/>
  <c r="E375" i="1"/>
  <c r="D375" i="1"/>
  <c r="E374" i="1"/>
  <c r="D374" i="1"/>
  <c r="F374" i="1" s="1"/>
  <c r="G373" i="1"/>
  <c r="D373" i="1"/>
  <c r="F373" i="1" s="1"/>
  <c r="F371" i="1"/>
  <c r="D371" i="1"/>
  <c r="G370" i="1"/>
  <c r="D370" i="1"/>
  <c r="F370" i="1" s="1"/>
  <c r="G158" i="1" s="1"/>
  <c r="F367" i="1"/>
  <c r="D367" i="1"/>
  <c r="F366" i="1"/>
  <c r="D366" i="1"/>
  <c r="D365" i="1"/>
  <c r="F365" i="1" s="1"/>
  <c r="G364" i="1"/>
  <c r="F364" i="1"/>
  <c r="D364" i="1"/>
  <c r="D362" i="1"/>
  <c r="F362" i="1" s="1"/>
  <c r="D361" i="1"/>
  <c r="F361" i="1" s="1"/>
  <c r="F360" i="1"/>
  <c r="D360" i="1"/>
  <c r="L359" i="1"/>
  <c r="G359" i="1"/>
  <c r="F359" i="1"/>
  <c r="D359" i="1"/>
  <c r="L358" i="1"/>
  <c r="L357" i="1"/>
  <c r="L360" i="1" s="1"/>
  <c r="L361" i="1" s="1"/>
  <c r="F357" i="1"/>
  <c r="D357" i="1"/>
  <c r="L356" i="1"/>
  <c r="D356" i="1"/>
  <c r="J356" i="1" s="1"/>
  <c r="J357" i="1" s="1"/>
  <c r="F355" i="1"/>
  <c r="D355" i="1"/>
  <c r="G354" i="1"/>
  <c r="F354" i="1"/>
  <c r="D354" i="1"/>
  <c r="F352" i="1"/>
  <c r="D352" i="1"/>
  <c r="D351" i="1"/>
  <c r="F351" i="1" s="1"/>
  <c r="F350" i="1"/>
  <c r="D350" i="1"/>
  <c r="G349" i="1"/>
  <c r="D349" i="1"/>
  <c r="F349" i="1" s="1"/>
  <c r="F347" i="1"/>
  <c r="D347" i="1"/>
  <c r="F346" i="1"/>
  <c r="D346" i="1"/>
  <c r="G344" i="1"/>
  <c r="F344" i="1"/>
  <c r="D344" i="1"/>
  <c r="F342" i="1"/>
  <c r="D342" i="1"/>
  <c r="D341" i="1"/>
  <c r="C148" i="1" s="1"/>
  <c r="G339" i="1"/>
  <c r="D339" i="1"/>
  <c r="F339" i="1" s="1"/>
  <c r="D337" i="1"/>
  <c r="F337" i="1" s="1"/>
  <c r="F336" i="1"/>
  <c r="D336" i="1"/>
  <c r="F335" i="1"/>
  <c r="D335" i="1"/>
  <c r="G334" i="1"/>
  <c r="F334" i="1"/>
  <c r="D334" i="1"/>
  <c r="F332" i="1"/>
  <c r="D332" i="1"/>
  <c r="E331" i="1"/>
  <c r="D331" i="1"/>
  <c r="F331" i="1" s="1"/>
  <c r="E330" i="1"/>
  <c r="F330" i="1" s="1"/>
  <c r="D330" i="1"/>
  <c r="G329" i="1"/>
  <c r="F329" i="1"/>
  <c r="D329" i="1"/>
  <c r="F327" i="1"/>
  <c r="D327" i="1"/>
  <c r="D326" i="1"/>
  <c r="F326" i="1" s="1"/>
  <c r="G157" i="1" s="1"/>
  <c r="G325" i="1"/>
  <c r="F325" i="1"/>
  <c r="D325" i="1"/>
  <c r="D321" i="1"/>
  <c r="F321" i="1" s="1"/>
  <c r="A321" i="1"/>
  <c r="D320" i="1"/>
  <c r="F320" i="1" s="1"/>
  <c r="A320" i="1"/>
  <c r="F319" i="1"/>
  <c r="D319" i="1"/>
  <c r="A319" i="1"/>
  <c r="F318" i="1"/>
  <c r="D318" i="1"/>
  <c r="G317" i="1"/>
  <c r="F317" i="1"/>
  <c r="D317" i="1"/>
  <c r="F315" i="1"/>
  <c r="D315" i="1"/>
  <c r="F314" i="1"/>
  <c r="D314" i="1"/>
  <c r="D313" i="1"/>
  <c r="F313" i="1" s="1"/>
  <c r="A313" i="1"/>
  <c r="A314" i="1" s="1"/>
  <c r="A315" i="1" s="1"/>
  <c r="F311" i="1"/>
  <c r="D311" i="1"/>
  <c r="G310" i="1"/>
  <c r="D310" i="1"/>
  <c r="F310" i="1" s="1"/>
  <c r="L309" i="1"/>
  <c r="D308" i="1"/>
  <c r="F308" i="1" s="1"/>
  <c r="A308" i="1"/>
  <c r="L307" i="1"/>
  <c r="D307" i="1"/>
  <c r="F307" i="1" s="1"/>
  <c r="A307" i="1"/>
  <c r="L306" i="1"/>
  <c r="L311" i="1" s="1"/>
  <c r="L313" i="1" s="1"/>
  <c r="J306" i="1"/>
  <c r="J307" i="1" s="1"/>
  <c r="D306" i="1"/>
  <c r="F306" i="1" s="1"/>
  <c r="A306" i="1"/>
  <c r="N305" i="1"/>
  <c r="N306" i="1" s="1"/>
  <c r="F305" i="1"/>
  <c r="D305" i="1"/>
  <c r="G304" i="1"/>
  <c r="F304" i="1"/>
  <c r="D304" i="1"/>
  <c r="F302" i="1"/>
  <c r="D302" i="1"/>
  <c r="F301" i="1"/>
  <c r="D301" i="1"/>
  <c r="A301" i="1"/>
  <c r="A302" i="1" s="1"/>
  <c r="F300" i="1"/>
  <c r="D300" i="1"/>
  <c r="A300" i="1"/>
  <c r="D299" i="1"/>
  <c r="F299" i="1" s="1"/>
  <c r="G298" i="1"/>
  <c r="D298" i="1"/>
  <c r="E147" i="1" s="1"/>
  <c r="F296" i="1"/>
  <c r="D296" i="1"/>
  <c r="A294" i="1"/>
  <c r="A295" i="1" s="1"/>
  <c r="A296" i="1" s="1"/>
  <c r="F293" i="1"/>
  <c r="D293" i="1"/>
  <c r="G292" i="1"/>
  <c r="F292" i="1"/>
  <c r="D292" i="1"/>
  <c r="F290" i="1"/>
  <c r="D290" i="1"/>
  <c r="A290" i="1"/>
  <c r="A289" i="1"/>
  <c r="A288" i="1"/>
  <c r="F287" i="1"/>
  <c r="D287" i="1"/>
  <c r="G286" i="1"/>
  <c r="F286" i="1"/>
  <c r="D286" i="1"/>
  <c r="F284" i="1"/>
  <c r="D284" i="1"/>
  <c r="F283" i="1"/>
  <c r="D283" i="1"/>
  <c r="F282" i="1"/>
  <c r="D282" i="1"/>
  <c r="A282" i="1"/>
  <c r="A283" i="1" s="1"/>
  <c r="A284" i="1" s="1"/>
  <c r="F281" i="1"/>
  <c r="D281" i="1"/>
  <c r="G280" i="1"/>
  <c r="F280" i="1"/>
  <c r="D280" i="1"/>
  <c r="F278" i="1"/>
  <c r="D278" i="1"/>
  <c r="F277" i="1"/>
  <c r="D277" i="1"/>
  <c r="A277" i="1"/>
  <c r="A278" i="1" s="1"/>
  <c r="F276" i="1"/>
  <c r="D276" i="1"/>
  <c r="A276" i="1"/>
  <c r="D275" i="1"/>
  <c r="F275" i="1" s="1"/>
  <c r="G274" i="1"/>
  <c r="D274" i="1"/>
  <c r="E156" i="1" s="1"/>
  <c r="F272" i="1"/>
  <c r="D272" i="1"/>
  <c r="F271" i="1"/>
  <c r="D271" i="1"/>
  <c r="F270" i="1"/>
  <c r="D270" i="1"/>
  <c r="G269" i="1"/>
  <c r="F269" i="1"/>
  <c r="D269" i="1"/>
  <c r="D266" i="1"/>
  <c r="F266" i="1" s="1"/>
  <c r="D265" i="1"/>
  <c r="F265" i="1" s="1"/>
  <c r="F264" i="1"/>
  <c r="D264" i="1"/>
  <c r="F263" i="1"/>
  <c r="D263" i="1"/>
  <c r="G262" i="1"/>
  <c r="F262" i="1"/>
  <c r="D262" i="1"/>
  <c r="F260" i="1"/>
  <c r="D260" i="1"/>
  <c r="D259" i="1"/>
  <c r="F259" i="1" s="1"/>
  <c r="D257" i="1"/>
  <c r="F257" i="1" s="1"/>
  <c r="F256" i="1"/>
  <c r="D256" i="1"/>
  <c r="G255" i="1"/>
  <c r="F255" i="1"/>
  <c r="D255" i="1"/>
  <c r="L254" i="1"/>
  <c r="D253" i="1"/>
  <c r="F253" i="1" s="1"/>
  <c r="L252" i="1"/>
  <c r="F252" i="1"/>
  <c r="D252" i="1"/>
  <c r="N251" i="1"/>
  <c r="L251" i="1"/>
  <c r="F251" i="1"/>
  <c r="D251" i="1"/>
  <c r="J251" i="1" s="1"/>
  <c r="J252" i="1" s="1"/>
  <c r="N250" i="1"/>
  <c r="F250" i="1"/>
  <c r="D250" i="1"/>
  <c r="G249" i="1"/>
  <c r="F249" i="1"/>
  <c r="D249" i="1"/>
  <c r="F247" i="1"/>
  <c r="D247" i="1"/>
  <c r="D246" i="1"/>
  <c r="F246" i="1" s="1"/>
  <c r="D245" i="1"/>
  <c r="F245" i="1" s="1"/>
  <c r="F244" i="1"/>
  <c r="D244" i="1"/>
  <c r="G243" i="1"/>
  <c r="F243" i="1"/>
  <c r="D243" i="1"/>
  <c r="F241" i="1"/>
  <c r="D241" i="1"/>
  <c r="F240" i="1"/>
  <c r="D240" i="1"/>
  <c r="D238" i="1"/>
  <c r="F238" i="1" s="1"/>
  <c r="G237" i="1"/>
  <c r="D237" i="1"/>
  <c r="C146" i="1" s="1"/>
  <c r="D235" i="1"/>
  <c r="F235" i="1" s="1"/>
  <c r="F234" i="1"/>
  <c r="D234" i="1"/>
  <c r="F232" i="1"/>
  <c r="D232" i="1"/>
  <c r="G231" i="1"/>
  <c r="F231" i="1"/>
  <c r="D231" i="1"/>
  <c r="F229" i="1"/>
  <c r="D229" i="1"/>
  <c r="D228" i="1"/>
  <c r="F228" i="1" s="1"/>
  <c r="F227" i="1"/>
  <c r="D227" i="1"/>
  <c r="F226" i="1"/>
  <c r="D226" i="1"/>
  <c r="G225" i="1"/>
  <c r="D225" i="1"/>
  <c r="F225" i="1" s="1"/>
  <c r="F223" i="1"/>
  <c r="D223" i="1"/>
  <c r="F222" i="1"/>
  <c r="D222" i="1"/>
  <c r="D221" i="1"/>
  <c r="F221" i="1" s="1"/>
  <c r="A221" i="1"/>
  <c r="A222" i="1" s="1"/>
  <c r="A223" i="1" s="1"/>
  <c r="F220" i="1"/>
  <c r="D220" i="1"/>
  <c r="G219" i="1"/>
  <c r="D219" i="1"/>
  <c r="F219" i="1" s="1"/>
  <c r="D217" i="1"/>
  <c r="F217" i="1" s="1"/>
  <c r="F216" i="1"/>
  <c r="D216" i="1"/>
  <c r="G215" i="1"/>
  <c r="F215" i="1"/>
  <c r="G155" i="1" s="1"/>
  <c r="D215" i="1"/>
  <c r="F208" i="1"/>
  <c r="D208" i="1"/>
  <c r="D207" i="1"/>
  <c r="F207" i="1" s="1"/>
  <c r="D206" i="1"/>
  <c r="N355" i="1" s="1"/>
  <c r="N356" i="1" s="1"/>
  <c r="G205" i="1"/>
  <c r="D205" i="1"/>
  <c r="F205" i="1" s="1"/>
  <c r="F201" i="1"/>
  <c r="D201" i="1"/>
  <c r="D200" i="1"/>
  <c r="F200" i="1" s="1"/>
  <c r="D199" i="1"/>
  <c r="F199" i="1" s="1"/>
  <c r="D198" i="1"/>
  <c r="F198" i="1" s="1"/>
  <c r="D197" i="1"/>
  <c r="F197" i="1" s="1"/>
  <c r="D196" i="1"/>
  <c r="F196" i="1" s="1"/>
  <c r="F195" i="1"/>
  <c r="D195" i="1"/>
  <c r="F194" i="1"/>
  <c r="D194" i="1"/>
  <c r="F193" i="1"/>
  <c r="D193" i="1"/>
  <c r="F192" i="1"/>
  <c r="D192" i="1"/>
  <c r="F191" i="1"/>
  <c r="D191" i="1"/>
  <c r="D190" i="1"/>
  <c r="F190" i="1" s="1"/>
  <c r="D189" i="1"/>
  <c r="F189" i="1" s="1"/>
  <c r="D188" i="1"/>
  <c r="F188" i="1" s="1"/>
  <c r="F187" i="1"/>
  <c r="D187" i="1"/>
  <c r="F186" i="1"/>
  <c r="D186" i="1"/>
  <c r="F185" i="1"/>
  <c r="D185" i="1"/>
  <c r="F184" i="1"/>
  <c r="D184" i="1"/>
  <c r="A184" i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F183" i="1"/>
  <c r="D183" i="1"/>
  <c r="M355" i="1" s="1"/>
  <c r="M356" i="1" s="1"/>
  <c r="A183" i="1"/>
  <c r="D182" i="1"/>
  <c r="F182" i="1" s="1"/>
  <c r="A182" i="1"/>
  <c r="D181" i="1"/>
  <c r="F181" i="1" s="1"/>
  <c r="F180" i="1"/>
  <c r="D180" i="1"/>
  <c r="D179" i="1"/>
  <c r="F179" i="1" s="1"/>
  <c r="D178" i="1"/>
  <c r="F178" i="1" s="1"/>
  <c r="D177" i="1"/>
  <c r="F177" i="1" s="1"/>
  <c r="F176" i="1"/>
  <c r="D176" i="1"/>
  <c r="F175" i="1"/>
  <c r="D175" i="1"/>
  <c r="F174" i="1"/>
  <c r="D174" i="1"/>
  <c r="F173" i="1"/>
  <c r="D173" i="1"/>
  <c r="A173" i="1"/>
  <c r="A174" i="1" s="1"/>
  <c r="A175" i="1" s="1"/>
  <c r="A176" i="1" s="1"/>
  <c r="A177" i="1" s="1"/>
  <c r="A178" i="1" s="1"/>
  <c r="A179" i="1" s="1"/>
  <c r="A180" i="1" s="1"/>
  <c r="F172" i="1"/>
  <c r="D172" i="1"/>
  <c r="A172" i="1"/>
  <c r="D171" i="1"/>
  <c r="F171" i="1" s="1"/>
  <c r="A171" i="1"/>
  <c r="G170" i="1"/>
  <c r="F170" i="1"/>
  <c r="D170" i="1"/>
  <c r="G160" i="1"/>
  <c r="E160" i="1"/>
  <c r="C160" i="1"/>
  <c r="G159" i="1"/>
  <c r="E159" i="1"/>
  <c r="C159" i="1"/>
  <c r="E158" i="1"/>
  <c r="C158" i="1"/>
  <c r="E157" i="1"/>
  <c r="C157" i="1"/>
  <c r="I156" i="1"/>
  <c r="I155" i="1"/>
  <c r="E155" i="1"/>
  <c r="E161" i="1" s="1"/>
  <c r="C155" i="1"/>
  <c r="E151" i="1"/>
  <c r="I147" i="1"/>
  <c r="I146" i="1"/>
  <c r="E143" i="1"/>
  <c r="C143" i="1"/>
  <c r="C140" i="1"/>
  <c r="F137" i="1"/>
  <c r="J126" i="1"/>
  <c r="J125" i="1"/>
  <c r="J124" i="1"/>
  <c r="J123" i="1"/>
  <c r="J112" i="1"/>
  <c r="J111" i="1"/>
  <c r="J110" i="1"/>
  <c r="J109" i="1"/>
  <c r="J98" i="1"/>
  <c r="J97" i="1"/>
  <c r="J96" i="1"/>
  <c r="J95" i="1"/>
  <c r="C86" i="1"/>
  <c r="J83" i="1"/>
  <c r="J82" i="1"/>
  <c r="J81" i="1"/>
  <c r="J80" i="1"/>
  <c r="J61" i="1"/>
  <c r="D58" i="1"/>
  <c r="G48" i="1"/>
  <c r="C48" i="1"/>
  <c r="E41" i="1"/>
  <c r="E42" i="1" s="1"/>
  <c r="E28" i="1"/>
  <c r="E25" i="1"/>
  <c r="E23" i="1"/>
  <c r="E7" i="1"/>
  <c r="E3" i="1"/>
  <c r="D65" i="1" s="1"/>
  <c r="H102" i="1"/>
  <c r="H116" i="1"/>
  <c r="H72" i="1"/>
  <c r="H87" i="1"/>
  <c r="G151" i="1" l="1"/>
  <c r="C161" i="1"/>
  <c r="G140" i="1"/>
  <c r="G146" i="1"/>
  <c r="E146" i="1"/>
  <c r="E152" i="1" s="1"/>
  <c r="E162" i="1" s="1"/>
  <c r="E148" i="1"/>
  <c r="C151" i="1"/>
  <c r="E140" i="1"/>
  <c r="C149" i="1"/>
  <c r="C156" i="1"/>
  <c r="F237" i="1"/>
  <c r="L255" i="1"/>
  <c r="L256" i="1" s="1"/>
  <c r="L257" i="1" s="1"/>
  <c r="F274" i="1"/>
  <c r="G156" i="1" s="1"/>
  <c r="G161" i="1" s="1"/>
  <c r="F298" i="1"/>
  <c r="G147" i="1" s="1"/>
  <c r="F341" i="1"/>
  <c r="G148" i="1" s="1"/>
  <c r="F439" i="1"/>
  <c r="F453" i="1"/>
  <c r="G150" i="1" s="1"/>
  <c r="C147" i="1"/>
  <c r="C152" i="1" s="1"/>
  <c r="E149" i="1"/>
  <c r="F206" i="1"/>
  <c r="G143" i="1" s="1"/>
  <c r="C150" i="1"/>
  <c r="F356" i="1"/>
  <c r="J93" i="1"/>
  <c r="J94" i="1" s="1"/>
  <c r="J99" i="1" s="1"/>
  <c r="J100" i="1" s="1"/>
  <c r="J90" i="1"/>
  <c r="D97" i="1"/>
  <c r="D93" i="1"/>
  <c r="D98" i="1"/>
  <c r="D94" i="1"/>
  <c r="J92" i="1"/>
  <c r="D100" i="1"/>
  <c r="D96" i="1"/>
  <c r="D92" i="1"/>
  <c r="D91" i="1"/>
  <c r="J91" i="1"/>
  <c r="J86" i="1"/>
  <c r="J88" i="1" s="1"/>
  <c r="D99" i="1"/>
  <c r="D95" i="1"/>
  <c r="G91" i="1"/>
  <c r="G89" i="1" s="1"/>
  <c r="E91" i="1"/>
  <c r="C89" i="1" s="1"/>
  <c r="J78" i="1"/>
  <c r="J79" i="1" s="1"/>
  <c r="J84" i="1" s="1"/>
  <c r="J85" i="1" s="1"/>
  <c r="C77" i="1" s="1"/>
  <c r="D82" i="1"/>
  <c r="D78" i="1"/>
  <c r="J71" i="1"/>
  <c r="J73" i="1" s="1"/>
  <c r="J77" i="1"/>
  <c r="C76" i="1" s="1"/>
  <c r="D76" i="1" s="1"/>
  <c r="D83" i="1"/>
  <c r="J75" i="1"/>
  <c r="D85" i="1"/>
  <c r="D81" i="1"/>
  <c r="D79" i="1"/>
  <c r="D84" i="1"/>
  <c r="D80" i="1"/>
  <c r="J76" i="1"/>
  <c r="D126" i="1"/>
  <c r="D122" i="1"/>
  <c r="J121" i="1"/>
  <c r="J122" i="1" s="1"/>
  <c r="J127" i="1" s="1"/>
  <c r="J128" i="1" s="1"/>
  <c r="C120" i="1" s="1"/>
  <c r="D119" i="1"/>
  <c r="J115" i="1"/>
  <c r="J117" i="1" s="1"/>
  <c r="D125" i="1"/>
  <c r="D121" i="1"/>
  <c r="J118" i="1"/>
  <c r="J120" i="1"/>
  <c r="D128" i="1"/>
  <c r="D124" i="1"/>
  <c r="D127" i="1"/>
  <c r="D123" i="1"/>
  <c r="J119" i="1"/>
  <c r="J107" i="1"/>
  <c r="J108" i="1" s="1"/>
  <c r="J113" i="1" s="1"/>
  <c r="J114" i="1" s="1"/>
  <c r="C106" i="1" s="1"/>
  <c r="D105" i="1"/>
  <c r="J101" i="1"/>
  <c r="J103" i="1" s="1"/>
  <c r="D111" i="1"/>
  <c r="D107" i="1"/>
  <c r="J104" i="1"/>
  <c r="J106" i="1"/>
  <c r="D108" i="1"/>
  <c r="D114" i="1"/>
  <c r="D110" i="1"/>
  <c r="D112" i="1"/>
  <c r="D113" i="1"/>
  <c r="D109" i="1"/>
  <c r="J105" i="1"/>
  <c r="G149" i="1" l="1"/>
  <c r="G152" i="1" s="1"/>
  <c r="G162" i="1" s="1"/>
  <c r="C162" i="1"/>
  <c r="E105" i="1"/>
  <c r="J102" i="1"/>
  <c r="D106" i="1"/>
  <c r="I102" i="1" s="1"/>
  <c r="I103" i="1" s="1"/>
  <c r="G105" i="1"/>
  <c r="E76" i="1"/>
  <c r="C74" i="1" s="1"/>
  <c r="D77" i="1"/>
  <c r="I72" i="1" s="1"/>
  <c r="E119" i="1"/>
  <c r="J116" i="1"/>
  <c r="D120" i="1"/>
  <c r="I116" i="1" s="1"/>
  <c r="I117" i="1" s="1"/>
  <c r="G119" i="1"/>
  <c r="M250" i="1"/>
  <c r="M251" i="1" s="1"/>
  <c r="M305" i="1"/>
  <c r="M306" i="1" s="1"/>
  <c r="J87" i="1"/>
  <c r="I87" i="1"/>
  <c r="I88" i="1" s="1"/>
  <c r="J72" i="1"/>
  <c r="G76" i="1"/>
  <c r="G74" i="1" s="1"/>
  <c r="D69" i="1" l="1"/>
  <c r="F70" i="1" s="1"/>
  <c r="I73" i="1"/>
  <c r="I71" i="1"/>
  <c r="C73" i="1" s="1"/>
  <c r="I115" i="1"/>
  <c r="C117" i="1" s="1"/>
  <c r="I86" i="1"/>
  <c r="C88" i="1" s="1"/>
  <c r="I101" i="1"/>
  <c r="C103" i="1" s="1"/>
  <c r="D70" i="1" l="1"/>
</calcChain>
</file>

<file path=xl/sharedStrings.xml><?xml version="1.0" encoding="utf-8"?>
<sst xmlns="http://schemas.openxmlformats.org/spreadsheetml/2006/main" count="998" uniqueCount="284">
  <si>
    <t xml:space="preserve">Office No. 1031, Wing J, Akshar Business Park, Plot No. 03 Sector 25, Near APMC Market, 
Vashi, Navi Mumbai, Maharashtra 400703 TEL: 022-46090378/79/80                                                                                                     Email : vsjcapf@gmail.com. Web site : www.vsjadon.com
</t>
  </si>
  <si>
    <t xml:space="preserve">Valuation Report </t>
  </si>
  <si>
    <t>Date:</t>
  </si>
  <si>
    <t>CPC Name:</t>
  </si>
  <si>
    <t>Axis Sanpada</t>
  </si>
  <si>
    <t>Date Of Property Visit</t>
  </si>
  <si>
    <t>Name of the builder group</t>
  </si>
  <si>
    <t>Vl Savli Developers LLP</t>
  </si>
  <si>
    <t>Name of the builder company</t>
  </si>
  <si>
    <t>Name of the Project</t>
  </si>
  <si>
    <t>Eastern Groves Phase 1A, 1B &amp; 2</t>
  </si>
  <si>
    <t>Contact Details ( Name &amp; Contact No.)</t>
  </si>
  <si>
    <t>Site Person - Contact Details ( Name &amp; Contact No.)</t>
  </si>
  <si>
    <t>Name / No of the Building</t>
  </si>
  <si>
    <t>Eastern Groves Phase 1A = (Wing E &amp; F)
Eastern Groves Phase 1B = (Wing C &amp; D)
Eastern Groves Phase 2 =  (Wing A &amp; B)</t>
  </si>
  <si>
    <t>Docouments Provided</t>
  </si>
  <si>
    <t>Approved Plans, CC</t>
  </si>
  <si>
    <t>RERA No &amp; RERA Name</t>
  </si>
  <si>
    <t>P51800028005 =  Eastern Groves Phase 1A
P51800028289  = Eastern Groves Phase 1B
P51800051916  = Eastern Groves Phase 2</t>
  </si>
  <si>
    <t xml:space="preserve">Project location details       </t>
  </si>
  <si>
    <t>Proposed Redevelopment of Existing Building No 156, 161, 162 &amp; 163 On Plot Bearing C.T.S No. 356 (Pt) At Kannamwar Nagar, Vikroli (East), Mumbai - 400083</t>
  </si>
  <si>
    <t>C.T.S No</t>
  </si>
  <si>
    <t>356 (Pt)</t>
  </si>
  <si>
    <t>Road</t>
  </si>
  <si>
    <t>Internal Road</t>
  </si>
  <si>
    <t>Locality/Village</t>
  </si>
  <si>
    <t>Kannamwar Nagar</t>
  </si>
  <si>
    <t>City</t>
  </si>
  <si>
    <t>Vikroli (East)</t>
  </si>
  <si>
    <t>District</t>
  </si>
  <si>
    <t>Mumbai</t>
  </si>
  <si>
    <t>Taluka</t>
  </si>
  <si>
    <t>Kurla</t>
  </si>
  <si>
    <t>Pin Code</t>
  </si>
  <si>
    <t>Nearby Landmark</t>
  </si>
  <si>
    <t>Sambhaji Maidan Vikhroli</t>
  </si>
  <si>
    <t xml:space="preserve">Distance from city centre: </t>
  </si>
  <si>
    <t>1.7 KM from Vikroli Railway Station</t>
  </si>
  <si>
    <t>Accessibility to the Project from the City: (Proximity to civic amenities like school, hospital, market, etc.)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</si>
  <si>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</si>
  <si>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</si>
  <si>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</si>
  <si>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</si>
  <si>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</si>
  <si>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</si>
  <si>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</si>
  <si>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</si>
  <si>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</si>
  <si>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Type of Structure</t>
  </si>
  <si>
    <t>RCC Frame Structure</t>
  </si>
  <si>
    <t xml:space="preserve">Approved usage of the Property:                                                                                                                                             </t>
  </si>
  <si>
    <t>Restrictive Covenants in regard to Land Use</t>
  </si>
  <si>
    <t>No</t>
  </si>
  <si>
    <t>Boundries</t>
  </si>
  <si>
    <t>As per deed</t>
  </si>
  <si>
    <t>At site</t>
  </si>
  <si>
    <t>East</t>
  </si>
  <si>
    <t>NA</t>
  </si>
  <si>
    <t>Yeshwant Rao Open University Library</t>
  </si>
  <si>
    <t>West</t>
  </si>
  <si>
    <t>Sambhaji Maidan Circle</t>
  </si>
  <si>
    <t>North</t>
  </si>
  <si>
    <t>South</t>
  </si>
  <si>
    <t>Buildings</t>
  </si>
  <si>
    <t>Does the boundaries at site match, as mentioned in the Docoumentation: NA</t>
  </si>
  <si>
    <t>Latitude &amp; Longitude</t>
  </si>
  <si>
    <t>19.1160554,72.9364555</t>
  </si>
  <si>
    <t>Location Link</t>
  </si>
  <si>
    <t>https://goo.gl/maps/ZkjR6jkqffECAFj38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</si>
  <si>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</si>
  <si>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</si>
  <si>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</si>
  <si>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</si>
  <si>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</si>
  <si>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(Sq.Mt)</t>
  </si>
  <si>
    <t>Total number of Buildings</t>
  </si>
  <si>
    <t>06 Wings</t>
  </si>
  <si>
    <t xml:space="preserve">Approval Detail : Plan approval </t>
  </si>
  <si>
    <t>Name of Municipal Corporation/Authority</t>
  </si>
  <si>
    <t>Maharashtra Housing and Area Development Authority.</t>
  </si>
  <si>
    <t xml:space="preserve">Layout Approval No     </t>
  </si>
  <si>
    <t>Mhada9/539/2022</t>
  </si>
  <si>
    <t>Dated</t>
  </si>
  <si>
    <t xml:space="preserve">Approved Floor plan No.  </t>
  </si>
  <si>
    <t xml:space="preserve">Commencement-CC No
Valid Up to: </t>
  </si>
  <si>
    <t>MH/EE/(B.P.)/GM/MHADA-9/539/2022</t>
  </si>
  <si>
    <t xml:space="preserve">This FCC is further extended for building comprising of wing C for (pt) for shops + (pt) for stilt+ (pt) for entrance lobby (ht. 3.40m) + (pt) for meter room + 1st to 23rd upper floors for residential users having ht. 69.94m + LMR and OHT.
Wing D for (pt) for shops + (pt) for stilt + (pt) for entrance lobby (ht. 3.40m) + (pt) for meter room + 1st to 23rd upper floors for residential users having ht. 69.94m + LMR and OHT.
Wing E for (pt) for shops + (pt) for stilt + (pt) for1 entrance lobby (ht. 3.40m) + (pt) for meter room + 1st to 23rd upper floors for residential users having ht. 69.94m + LMR and OHT.
Wing F for (pt) for shops + (pt) for stilt, (pt) for entrance lobby (ht. 3.40m) + (pt) for meter room + 1st to 23rd upper floors for residential users having ht. 69.94m + LMR and OHT.
Full Plinth CC for Wing A and B as per phase programme for Phase-II at pg. 805 as per approved plans dtd. 07.04.2022 u/no. MH/EE/(BP)/GM/MHADA-9/539/2022 . </t>
  </si>
  <si>
    <t>MH/EE/(B.P.)/GM/MHADA-9/539/2023</t>
  </si>
  <si>
    <t xml:space="preserve"> 05/09/2023</t>
  </si>
  <si>
    <t>This Further CC is granted for Wing A, comprising of (pt) for Stilt parking + (pt) for shops + (pt) for Entrance Lobby (ht. 3.27 M) + (pt) for meter room + (pt) for substation + 1st to top of 18th upper floor for Residential user having ht. 55.54 Μι. &amp; Wing B, comprising of (pt) for shops + (pt) for stilt + (pt) Entrance Lobby (ht. 3.27 M)+ for Pump Room+ (pt) for meter room 1st to top of 18th upper floor for Residential user having ht. 55.54 Mt. as per last approved plan dt.11.07.2023</t>
  </si>
  <si>
    <t>MH/EE/(B.P.)/GM/MHADA-9/539/2024</t>
  </si>
  <si>
    <t xml:space="preserve">28/06/2024
</t>
  </si>
  <si>
    <t xml:space="preserve">This full CC is granted for Wing A comprising of (pt) for shops + (pt) for Stilt + (pt) for Entrance lobby (ht.3.40m) + (pt) for meter room + 1st to 23rd upper floors for residential users having ht. 69.94m+LMR+ OHT and for Wing B comprising of (pt) for shops + (pt) for Stilt+ (pt) for Entrance lobby (ht.3.40m)+ (pt) for meter room 1st to 23rd upper floors for residential users having ht. 69.94m + LMR + OHT. as per last approved plan dt. 11.07.2023. </t>
  </si>
  <si>
    <t xml:space="preserve">O. Certificate No.: </t>
  </si>
  <si>
    <t>Building wise Construction details</t>
  </si>
  <si>
    <t>Approved area of building (Sq.Mt)</t>
  </si>
  <si>
    <t>Approved no of units</t>
  </si>
  <si>
    <t>Sale Flats - 552, Shops - 32, Offices - 4, Mhada Flats - 23</t>
  </si>
  <si>
    <t>Approved no of Floors</t>
  </si>
  <si>
    <t>Phase 1A (Wing E &amp; F) = Gr/St + 1st to 23rd Floor
Phase 1B (Wing C &amp; D)= Gr/St + 1st to 23rd Floor
Phase 2 (Wing A &amp; B)= Gr/St + 1st to 23rd Floor</t>
  </si>
  <si>
    <t>Proposed no of Floors</t>
  </si>
  <si>
    <t>Phase 1A (Wing E &amp; F) = Gr/St + 1st to 23rd Floor</t>
  </si>
  <si>
    <t>Phase 1B (Wing C &amp; D)= Gr/St + 1st to 23rd Floor</t>
  </si>
  <si>
    <t>Phase 2 (Wing A &amp; B)= Gr/St + 1st to 23rd Floor</t>
  </si>
  <si>
    <t>Expected Completion</t>
  </si>
  <si>
    <t>As per RERA -  30/06/2027</t>
  </si>
  <si>
    <t>Projected life of the structure</t>
  </si>
  <si>
    <t xml:space="preserve">Quality of construction: </t>
  </si>
  <si>
    <r>
      <rPr>
        <sz val="12"/>
        <rFont val="Times New Roman"/>
        <family val="1"/>
      </rP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</si>
  <si>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 xml:space="preserve">1.Vitrified tiles flooring 2. Granite Kitchen Platform  3. Decorative Enternace  etc. 
</t>
  </si>
  <si>
    <t xml:space="preserve">Violations Observed if any : </t>
  </si>
  <si>
    <t xml:space="preserve">Material laying at Site: </t>
  </si>
  <si>
    <t xml:space="preserve">Wheather the construction is as per approved Building plan : </t>
  </si>
  <si>
    <t>Construction details:</t>
  </si>
  <si>
    <t>Basement</t>
  </si>
  <si>
    <t>Ground</t>
  </si>
  <si>
    <t>Podium</t>
  </si>
  <si>
    <t>Floors</t>
  </si>
  <si>
    <t xml:space="preserve">Stage of construction: </t>
  </si>
  <si>
    <t>Type of Work</t>
  </si>
  <si>
    <t>Slab/Floor</t>
  </si>
  <si>
    <t>Complition %</t>
  </si>
  <si>
    <t>Progress %</t>
  </si>
  <si>
    <t>Disbursement %</t>
  </si>
  <si>
    <t>Piling Work in process</t>
  </si>
  <si>
    <t>Excavation</t>
  </si>
  <si>
    <t>Excavation in process</t>
  </si>
  <si>
    <t>Plinth</t>
  </si>
  <si>
    <t>Excavation Completed</t>
  </si>
  <si>
    <t>RCC (Including podiums)</t>
  </si>
  <si>
    <t>Footing in Process</t>
  </si>
  <si>
    <t>Brickwork</t>
  </si>
  <si>
    <t>Brickwork &amp; Internal Plaster</t>
  </si>
  <si>
    <t>Footing Completed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</si>
  <si>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</si>
  <si>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</si>
  <si>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</si>
  <si>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</si>
  <si>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</si>
  <si>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</si>
  <si>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</si>
  <si>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</si>
  <si>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</si>
  <si>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</si>
  <si>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</si>
  <si>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</si>
  <si>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</si>
  <si>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>Phase 2 (Wing B)= Gr/St + 1st to 23rd Floor</t>
  </si>
  <si>
    <t xml:space="preserve">Recommended Rates of the Property : </t>
  </si>
  <si>
    <t>On Saleable Area</t>
  </si>
  <si>
    <t>Recommended rate of the Flat Per Sq. Ft.</t>
  </si>
  <si>
    <t>13000 to 13400</t>
  </si>
  <si>
    <t xml:space="preserve">Smith </t>
  </si>
  <si>
    <t>igr</t>
  </si>
  <si>
    <t>Recommended rate of the Shop Per Sq. Ft.</t>
  </si>
  <si>
    <t>shop rate 23000 to 2800
&amp; other charges add</t>
  </si>
  <si>
    <t>cost sheet &amp; IGR</t>
  </si>
  <si>
    <t>sejal &amp; sachin sir</t>
  </si>
  <si>
    <t>Recommended rate of the Office Per Sq. Ft.</t>
  </si>
  <si>
    <t>Shop Rate 32500 Sanjay Cost sheet</t>
  </si>
  <si>
    <t>Legal Charges</t>
  </si>
  <si>
    <t>Corpus Fund with existing members to be paid to society</t>
  </si>
  <si>
    <t>Advance Maintenance Charges For 1Year</t>
  </si>
  <si>
    <t xml:space="preserve">Recommended rate of Parking </t>
  </si>
  <si>
    <t>Distressed valuation of the Property</t>
  </si>
  <si>
    <t>Commercial Area Details for Shops</t>
  </si>
  <si>
    <t>Building &amp; Wing</t>
  </si>
  <si>
    <t>No. of Units</t>
  </si>
  <si>
    <t>Total Carpet Area</t>
  </si>
  <si>
    <t>Total Saleable Area</t>
  </si>
  <si>
    <t>Phase 1A &amp; 1B 
&amp; Phase 2
(Wing A to F)</t>
  </si>
  <si>
    <t>Commercial Area Details for Offices</t>
  </si>
  <si>
    <t>Phase 1A &amp; 1B
 &amp; Phase 2
(Wing A to F)</t>
  </si>
  <si>
    <t>Residential Area Details : Sale</t>
  </si>
  <si>
    <t>Phase 2 (Wing A)</t>
  </si>
  <si>
    <t>Phase 2 (Wing B)</t>
  </si>
  <si>
    <t>Phase 1B (Wing C)</t>
  </si>
  <si>
    <t>Phase 1B  (Wing D)</t>
  </si>
  <si>
    <t>Phase 1A (Wing E)</t>
  </si>
  <si>
    <t>Phase 1A  (Wing F)</t>
  </si>
  <si>
    <t>Total</t>
  </si>
  <si>
    <t>Residential Area Details : Mhada</t>
  </si>
  <si>
    <t>Grand Total</t>
  </si>
  <si>
    <t>Building details Floor Wise</t>
  </si>
  <si>
    <t xml:space="preserve">Details of Flats in Building   </t>
  </si>
  <si>
    <r>
      <rPr>
        <b/>
        <sz val="12"/>
        <rFont val="Times New Roman"/>
        <family val="1"/>
      </rPr>
      <t xml:space="preserve">Shop No.
</t>
    </r>
    <r>
      <rPr>
        <b/>
        <sz val="11"/>
        <rFont val="Times New Roman"/>
        <family val="1"/>
      </rPr>
      <t>(Approved Plan)</t>
    </r>
  </si>
  <si>
    <t>Shop No.
(Sale Plan)</t>
  </si>
  <si>
    <t>Description</t>
  </si>
  <si>
    <t>Gross Carpet area</t>
  </si>
  <si>
    <t>Attached Loft area</t>
  </si>
  <si>
    <t>Saleable area Loading :</t>
  </si>
  <si>
    <t>Floor</t>
  </si>
  <si>
    <t>Phase 1B, Phase 1A &amp; Phase 2</t>
  </si>
  <si>
    <t>Wing A to F</t>
  </si>
  <si>
    <t>Ground Floor for Commercial</t>
  </si>
  <si>
    <t>Shop</t>
  </si>
  <si>
    <t>1st Floor for Commercial</t>
  </si>
  <si>
    <t>Office</t>
  </si>
  <si>
    <r>
      <rPr>
        <b/>
        <sz val="12"/>
        <rFont val="Times New Roman"/>
        <family val="1"/>
      </rPr>
      <t xml:space="preserve">Flat No.
</t>
    </r>
    <r>
      <rPr>
        <b/>
        <sz val="11"/>
        <rFont val="Times New Roman"/>
        <family val="1"/>
      </rPr>
      <t>(Approved Plan)</t>
    </r>
  </si>
  <si>
    <t>Sale/ MHADA</t>
  </si>
  <si>
    <t>Attached Terrace area</t>
  </si>
  <si>
    <t>Phase 2</t>
  </si>
  <si>
    <t>Wing A</t>
  </si>
  <si>
    <t>1st Floor for Residential</t>
  </si>
  <si>
    <t>MHADA</t>
  </si>
  <si>
    <t>2BHK</t>
  </si>
  <si>
    <t>1BHK</t>
  </si>
  <si>
    <t>2nd Floor</t>
  </si>
  <si>
    <t>Sale</t>
  </si>
  <si>
    <t>3rd to 7th, 9th to 14th Floor</t>
  </si>
  <si>
    <t>8th Floor (Part Refuge Floor)</t>
  </si>
  <si>
    <t>Refuge Floor</t>
  </si>
  <si>
    <t>15th Floor (Part Refuge Floor)</t>
  </si>
  <si>
    <t>16th to 18th Floor</t>
  </si>
  <si>
    <t>19th, 20th &amp; 21st Floor</t>
  </si>
  <si>
    <t>1B</t>
  </si>
  <si>
    <t>1A</t>
  </si>
  <si>
    <t>Makan</t>
  </si>
  <si>
    <t>Housing</t>
  </si>
  <si>
    <t>22nd Floor (Part Refuge Area)</t>
  </si>
  <si>
    <t>-</t>
  </si>
  <si>
    <t>Refuge Area</t>
  </si>
  <si>
    <t>23rd Floor</t>
  </si>
  <si>
    <t>Wing B</t>
  </si>
  <si>
    <t>1RK</t>
  </si>
  <si>
    <t>3BHK</t>
  </si>
  <si>
    <t>Phase 1B</t>
  </si>
  <si>
    <t>Wing C</t>
  </si>
  <si>
    <t>Part Refuge Area</t>
  </si>
  <si>
    <t>Wing D</t>
  </si>
  <si>
    <t>Mhada</t>
  </si>
  <si>
    <t>Phase 1A</t>
  </si>
  <si>
    <t>Wing E</t>
  </si>
  <si>
    <t>1.5 BHK</t>
  </si>
  <si>
    <t>MP Room</t>
  </si>
  <si>
    <t>Wing F</t>
  </si>
  <si>
    <t>22nd Floor</t>
  </si>
  <si>
    <t xml:space="preserve">Remarks:  </t>
  </si>
  <si>
    <t>*</t>
  </si>
  <si>
    <t>We considered Carpet area as per Approved Plan.</t>
  </si>
  <si>
    <t xml:space="preserve">We considered Gross carpet area = Net carpet </t>
  </si>
  <si>
    <t>We have considered proposed No. of Floor for Stage Calculation.</t>
  </si>
  <si>
    <t>We have considered rate by verifying it from market inquire.</t>
  </si>
  <si>
    <t>Recommended rate should be considered as all inclusive rate if other charges are not mentioned. (Excluding GST &amp; other government Taxes)</t>
  </si>
  <si>
    <t>Car parking is subjected to authentic documentation.</t>
  </si>
  <si>
    <t>Please provide revised approved CC.</t>
  </si>
  <si>
    <t>On Site, we meet Mr. Pooja Mule (9356497447).</t>
  </si>
  <si>
    <t xml:space="preserve">We have updated revised approved floor plan &amp; C.C for A &amp; B Wing (on 21/09/2023).
</t>
  </si>
  <si>
    <t xml:space="preserve">Recommended Rates/Other Charges of the Property (shop) have been revised on 18/11/2024.
</t>
  </si>
  <si>
    <t>We have updated revised approved CC for Wing A &amp; B on 14/02/2025.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</si>
  <si>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</si>
  <si>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</si>
  <si>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</si>
  <si>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</si>
  <si>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</si>
  <si>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</si>
  <si>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</si>
  <si>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>Inspected By :</t>
  </si>
  <si>
    <t>Nainesh Tambe</t>
  </si>
  <si>
    <t>Report By :</t>
  </si>
  <si>
    <t>Authorized Signatory
Name &amp; Seal of the agency</t>
  </si>
  <si>
    <t xml:space="preserve">PHOTOGRAPHS OF PROPERTY : 
</t>
  </si>
  <si>
    <t>Layout Plan:</t>
  </si>
  <si>
    <t>Google Map :</t>
  </si>
  <si>
    <t>Market Research Data</t>
  </si>
  <si>
    <t>Source</t>
  </si>
  <si>
    <t>Distance from proposed property</t>
  </si>
  <si>
    <t>Flat</t>
  </si>
  <si>
    <t>Net Carpet</t>
  </si>
  <si>
    <t>Saleable Area</t>
  </si>
  <si>
    <t>Rate on Saleable</t>
  </si>
  <si>
    <t>Market Value</t>
  </si>
  <si>
    <t>Magic Brick</t>
  </si>
  <si>
    <t>99 Acres</t>
  </si>
  <si>
    <t>Average</t>
  </si>
  <si>
    <t xml:space="preserve">Valuation Adopted </t>
  </si>
  <si>
    <t xml:space="preserve">Part O. Certificate No.: </t>
  </si>
  <si>
    <t>MH/EE/(BP()/GM/MHADA-9/539/2025/OCC/1/New
Approved upto : Phase 1A (Wing E &amp; F) = Gr/St + 1st to 23rd Floor
Phase 1B (Wing C &amp; D)= Gr/St + 1st to 23rd Floor</t>
  </si>
  <si>
    <t xml:space="preserve">NA
Approved upto : </t>
  </si>
  <si>
    <t>We have updated Part OC on 22/05/2025.</t>
  </si>
  <si>
    <t>Mr. Nitin site engineer 7666574735</t>
  </si>
  <si>
    <t>Shruti Tathare</t>
  </si>
  <si>
    <t>Phase 1A &amp; 1B = All work completed. OC Received.
Phase 2 = Finishing work is in process at the time of visit.</t>
  </si>
  <si>
    <t>Please provide revised approved plans dtd. 11/07/2023.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</si>
</sst>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 * #,##0_ ;_ * \-#,##0_ ;_ * &quot;-&quot;??_ ;_ @_ "/>
  </numFmts>
  <fonts count="17">
    <font>
      <sz val="11"/>
      <color rgb="FF000000"/>
      <name val="Calibri"/>
      <charset val="134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name val="Times New Roman"/>
      <family val="1"/>
    </font>
    <font>
      <sz val="12"/>
      <name val="Times New Roman"/>
      <family val="1"/>
    </font>
    <font>
      <b/>
      <sz val="11.5"/>
      <name val="Times New Roman"/>
      <family val="1"/>
    </font>
    <font>
      <b/>
      <sz val="12"/>
      <name val="Times New Roman"/>
      <family val="1"/>
    </font>
    <font>
      <u/>
      <sz val="11"/>
      <color theme="10"/>
      <name val="Calibri"/>
      <family val="2"/>
    </font>
    <font>
      <sz val="10"/>
      <name val="Times New Roman"/>
      <family val="1"/>
    </font>
    <font>
      <sz val="11"/>
      <name val="Calibri"/>
      <family val="2"/>
    </font>
    <font>
      <b/>
      <sz val="1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15" fillId="0" borderId="0"/>
    <xf numFmtId="0" fontId="2" fillId="0" borderId="0"/>
  </cellStyleXfs>
  <cellXfs count="176">
    <xf numFmtId="0" fontId="0" fillId="0" borderId="0" xfId="0"/>
    <xf numFmtId="0" fontId="1" fillId="0" borderId="0" xfId="6"/>
    <xf numFmtId="0" fontId="2" fillId="0" borderId="0" xfId="10"/>
    <xf numFmtId="0" fontId="3" fillId="0" borderId="1" xfId="10" applyFont="1" applyBorder="1" applyAlignment="1">
      <alignment horizontal="center" vertical="top" wrapText="1"/>
    </xf>
    <xf numFmtId="0" fontId="2" fillId="0" borderId="1" xfId="10" applyBorder="1" applyAlignment="1">
      <alignment horizontal="center" vertical="center"/>
    </xf>
    <xf numFmtId="0" fontId="2" fillId="0" borderId="1" xfId="10" applyBorder="1" applyAlignment="1">
      <alignment horizontal="left" vertical="center"/>
    </xf>
    <xf numFmtId="1" fontId="2" fillId="0" borderId="1" xfId="10" applyNumberFormat="1" applyBorder="1" applyAlignment="1">
      <alignment horizontal="center" vertical="center"/>
    </xf>
    <xf numFmtId="165" fontId="2" fillId="0" borderId="1" xfId="4" applyNumberFormat="1" applyFont="1" applyBorder="1" applyAlignment="1">
      <alignment horizontal="right" vertical="center"/>
    </xf>
    <xf numFmtId="0" fontId="2" fillId="0" borderId="1" xfId="10" applyBorder="1" applyAlignment="1">
      <alignment horizontal="left" vertical="center" wrapText="1"/>
    </xf>
    <xf numFmtId="0" fontId="3" fillId="0" borderId="1" xfId="10" applyFont="1" applyBorder="1" applyAlignment="1">
      <alignment horizontal="center" vertical="center"/>
    </xf>
    <xf numFmtId="1" fontId="4" fillId="0" borderId="1" xfId="10" applyNumberFormat="1" applyFont="1" applyBorder="1" applyAlignment="1">
      <alignment horizontal="center" vertical="center"/>
    </xf>
    <xf numFmtId="0" fontId="1" fillId="0" borderId="1" xfId="6" applyBorder="1" applyAlignment="1">
      <alignment horizontal="center" vertical="center"/>
    </xf>
    <xf numFmtId="0" fontId="5" fillId="0" borderId="0" xfId="6" applyFont="1"/>
    <xf numFmtId="0" fontId="6" fillId="0" borderId="0" xfId="8" applyFont="1"/>
    <xf numFmtId="0" fontId="7" fillId="0" borderId="0" xfId="5" applyFont="1"/>
    <xf numFmtId="0" fontId="7" fillId="0" borderId="0" xfId="0" applyFont="1" applyAlignment="1">
      <alignment horizontal="center" vertical="center"/>
    </xf>
    <xf numFmtId="0" fontId="7" fillId="0" borderId="0" xfId="8" applyFont="1" applyAlignment="1">
      <alignment horizontal="center" vertical="center"/>
    </xf>
    <xf numFmtId="0" fontId="7" fillId="0" borderId="0" xfId="8" applyFont="1" applyProtection="1">
      <protection locked="0"/>
    </xf>
    <xf numFmtId="0" fontId="7" fillId="0" borderId="0" xfId="8" applyFont="1"/>
    <xf numFmtId="0" fontId="7" fillId="0" borderId="1" xfId="8" applyFont="1" applyBorder="1" applyAlignment="1" applyProtection="1">
      <alignment horizontal="center" vertical="top"/>
      <protection locked="0"/>
    </xf>
    <xf numFmtId="0" fontId="7" fillId="0" borderId="1" xfId="8" applyFont="1" applyBorder="1" applyAlignment="1" applyProtection="1">
      <alignment vertical="top" wrapText="1"/>
      <protection locked="0"/>
    </xf>
    <xf numFmtId="0" fontId="9" fillId="0" borderId="1" xfId="8" applyFont="1" applyBorder="1" applyAlignment="1" applyProtection="1">
      <alignment vertical="top"/>
      <protection locked="0"/>
    </xf>
    <xf numFmtId="1" fontId="7" fillId="0" borderId="0" xfId="8" applyNumberFormat="1" applyFont="1"/>
    <xf numFmtId="14" fontId="7" fillId="0" borderId="0" xfId="8" applyNumberFormat="1" applyFont="1"/>
    <xf numFmtId="0" fontId="7" fillId="0" borderId="20" xfId="8" applyFont="1" applyBorder="1" applyAlignment="1" applyProtection="1">
      <alignment horizontal="center" vertical="top"/>
      <protection locked="0"/>
    </xf>
    <xf numFmtId="0" fontId="7" fillId="0" borderId="21" xfId="8" applyFont="1" applyBorder="1" applyAlignment="1" applyProtection="1">
      <alignment horizontal="center" vertical="top"/>
      <protection locked="0"/>
    </xf>
    <xf numFmtId="0" fontId="7" fillId="0" borderId="1" xfId="8" applyFont="1" applyBorder="1" applyAlignment="1" applyProtection="1">
      <alignment horizontal="center" vertical="top" wrapText="1"/>
      <protection locked="0"/>
    </xf>
    <xf numFmtId="9" fontId="7" fillId="0" borderId="1" xfId="2" applyFont="1" applyFill="1" applyBorder="1" applyAlignment="1" applyProtection="1">
      <alignment horizontal="center" vertical="top" wrapText="1"/>
      <protection locked="0"/>
    </xf>
    <xf numFmtId="1" fontId="7" fillId="0" borderId="1" xfId="8" applyNumberFormat="1" applyFont="1" applyBorder="1" applyAlignment="1" applyProtection="1">
      <alignment horizontal="center" vertical="top" wrapText="1"/>
      <protection locked="0"/>
    </xf>
    <xf numFmtId="0" fontId="7" fillId="0" borderId="25" xfId="8" applyFont="1" applyBorder="1" applyAlignment="1" applyProtection="1">
      <alignment horizontal="center" vertical="top" wrapText="1"/>
      <protection locked="0"/>
    </xf>
    <xf numFmtId="9" fontId="7" fillId="0" borderId="25" xfId="2" applyFont="1" applyFill="1" applyBorder="1" applyAlignment="1" applyProtection="1">
      <alignment horizontal="center" vertical="top" wrapText="1"/>
      <protection locked="0"/>
    </xf>
    <xf numFmtId="0" fontId="7" fillId="0" borderId="0" xfId="8" applyFont="1" applyProtection="1">
      <protection hidden="1"/>
    </xf>
    <xf numFmtId="0" fontId="11" fillId="0" borderId="0" xfId="8" applyFont="1"/>
    <xf numFmtId="0" fontId="12" fillId="0" borderId="29" xfId="0" applyFont="1" applyBorder="1"/>
    <xf numFmtId="0" fontId="12" fillId="0" borderId="30" xfId="0" applyFont="1" applyBorder="1"/>
    <xf numFmtId="0" fontId="12" fillId="0" borderId="1" xfId="0" applyFont="1" applyBorder="1"/>
    <xf numFmtId="0" fontId="12" fillId="0" borderId="21" xfId="0" applyFont="1" applyBorder="1"/>
    <xf numFmtId="0" fontId="6" fillId="0" borderId="0" xfId="0" applyFont="1" applyProtection="1">
      <protection hidden="1"/>
    </xf>
    <xf numFmtId="0" fontId="7" fillId="0" borderId="23" xfId="8" applyFont="1" applyBorder="1"/>
    <xf numFmtId="0" fontId="6" fillId="0" borderId="23" xfId="0" applyFont="1" applyBorder="1" applyProtection="1">
      <protection hidden="1"/>
    </xf>
    <xf numFmtId="1" fontId="12" fillId="0" borderId="23" xfId="0" applyNumberFormat="1" applyFont="1" applyBorder="1"/>
    <xf numFmtId="1" fontId="12" fillId="0" borderId="23" xfId="0" applyNumberFormat="1" applyFont="1" applyBorder="1" applyAlignment="1">
      <alignment horizontal="right"/>
    </xf>
    <xf numFmtId="0" fontId="6" fillId="0" borderId="31" xfId="0" applyFont="1" applyBorder="1" applyProtection="1">
      <protection hidden="1"/>
    </xf>
    <xf numFmtId="1" fontId="12" fillId="0" borderId="28" xfId="0" applyNumberFormat="1" applyFont="1" applyBorder="1"/>
    <xf numFmtId="0" fontId="7" fillId="2" borderId="0" xfId="8" applyFont="1" applyFill="1"/>
    <xf numFmtId="14" fontId="7" fillId="2" borderId="0" xfId="8" applyNumberFormat="1" applyFont="1" applyFill="1"/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9" fillId="0" borderId="10" xfId="8" applyNumberFormat="1" applyFont="1" applyBorder="1" applyAlignment="1" applyProtection="1">
      <alignment horizontal="center" vertical="top" wrapText="1"/>
      <protection locked="0"/>
    </xf>
    <xf numFmtId="9" fontId="9" fillId="0" borderId="14" xfId="2" applyFont="1" applyFill="1" applyBorder="1" applyAlignment="1" applyProtection="1">
      <alignment horizontal="center" vertical="top" wrapText="1"/>
      <protection locked="0"/>
    </xf>
    <xf numFmtId="1" fontId="7" fillId="0" borderId="1" xfId="8" applyNumberFormat="1" applyFont="1" applyBorder="1" applyAlignment="1" applyProtection="1">
      <alignment horizontal="center" vertical="center" wrapText="1"/>
      <protection locked="0"/>
    </xf>
    <xf numFmtId="1" fontId="7" fillId="0" borderId="0" xfId="8" applyNumberFormat="1" applyFont="1" applyAlignment="1">
      <alignment horizontal="center" vertical="center"/>
    </xf>
    <xf numFmtId="1" fontId="14" fillId="0" borderId="1" xfId="8" applyNumberFormat="1" applyFont="1" applyBorder="1" applyAlignment="1" applyProtection="1">
      <alignment horizontal="center" vertical="center" wrapText="1"/>
      <protection locked="0"/>
    </xf>
    <xf numFmtId="1" fontId="7" fillId="2" borderId="0" xfId="8" applyNumberFormat="1" applyFont="1" applyFill="1" applyAlignment="1">
      <alignment horizontal="center" vertical="center"/>
    </xf>
    <xf numFmtId="0" fontId="7" fillId="2" borderId="0" xfId="8" applyFont="1" applyFill="1" applyAlignment="1">
      <alignment horizontal="center" vertical="center"/>
    </xf>
    <xf numFmtId="0" fontId="9" fillId="0" borderId="0" xfId="8" applyFont="1" applyAlignment="1" applyProtection="1">
      <alignment vertical="top"/>
      <protection locked="0"/>
    </xf>
    <xf numFmtId="0" fontId="9" fillId="0" borderId="0" xfId="8" applyFont="1" applyAlignment="1" applyProtection="1">
      <alignment vertical="top" wrapText="1"/>
      <protection locked="0"/>
    </xf>
    <xf numFmtId="0" fontId="9" fillId="0" borderId="0" xfId="8" applyFont="1" applyProtection="1">
      <protection locked="0"/>
    </xf>
    <xf numFmtId="0" fontId="9" fillId="0" borderId="20" xfId="8" applyFont="1" applyBorder="1" applyAlignment="1" applyProtection="1">
      <alignment horizontal="center" vertical="center"/>
      <protection locked="0"/>
    </xf>
    <xf numFmtId="0" fontId="9" fillId="0" borderId="1" xfId="8" applyFont="1" applyBorder="1" applyAlignment="1" applyProtection="1">
      <alignment horizontal="center" vertical="center"/>
      <protection locked="0"/>
    </xf>
    <xf numFmtId="9" fontId="9" fillId="0" borderId="2" xfId="8" applyNumberFormat="1" applyFont="1" applyBorder="1" applyAlignment="1" applyProtection="1">
      <alignment horizontal="center" vertical="center" wrapText="1"/>
      <protection locked="0"/>
    </xf>
    <xf numFmtId="0" fontId="9" fillId="0" borderId="4" xfId="8" applyFont="1" applyBorder="1" applyAlignment="1" applyProtection="1">
      <alignment horizontal="center" vertical="center" wrapText="1"/>
      <protection locked="0"/>
    </xf>
    <xf numFmtId="0" fontId="9" fillId="0" borderId="2" xfId="8" applyFont="1" applyBorder="1" applyAlignment="1" applyProtection="1">
      <alignment horizontal="center" vertical="center" wrapText="1"/>
      <protection locked="0"/>
    </xf>
    <xf numFmtId="0" fontId="9" fillId="0" borderId="32" xfId="8" applyFont="1" applyBorder="1" applyAlignment="1" applyProtection="1">
      <alignment horizontal="center" vertical="center" wrapText="1"/>
      <protection locked="0"/>
    </xf>
    <xf numFmtId="0" fontId="9" fillId="0" borderId="1" xfId="8" applyFont="1" applyBorder="1" applyAlignment="1" applyProtection="1">
      <alignment horizontal="center" vertical="top" wrapText="1"/>
      <protection locked="0"/>
    </xf>
    <xf numFmtId="0" fontId="9" fillId="0" borderId="2" xfId="8" applyFont="1" applyBorder="1" applyAlignment="1" applyProtection="1">
      <alignment horizontal="left" vertical="top" wrapText="1"/>
      <protection locked="0"/>
    </xf>
    <xf numFmtId="0" fontId="9" fillId="0" borderId="4" xfId="8" applyFont="1" applyBorder="1" applyAlignment="1" applyProtection="1">
      <alignment horizontal="left" vertical="top" wrapText="1"/>
      <protection locked="0"/>
    </xf>
    <xf numFmtId="0" fontId="9" fillId="0" borderId="3" xfId="8" applyFont="1" applyBorder="1" applyAlignment="1" applyProtection="1">
      <alignment horizontal="left" vertical="top" wrapText="1"/>
      <protection locked="0"/>
    </xf>
    <xf numFmtId="14" fontId="9" fillId="0" borderId="2" xfId="8" applyNumberFormat="1" applyFont="1" applyBorder="1" applyAlignment="1" applyProtection="1">
      <alignment horizontal="left" vertical="top"/>
      <protection locked="0"/>
    </xf>
    <xf numFmtId="0" fontId="9" fillId="0" borderId="4" xfId="8" applyFont="1" applyBorder="1" applyAlignment="1" applyProtection="1">
      <alignment horizontal="left" vertical="top"/>
      <protection locked="0"/>
    </xf>
    <xf numFmtId="1" fontId="9" fillId="0" borderId="2" xfId="0" applyNumberFormat="1" applyFont="1" applyBorder="1" applyAlignment="1" applyProtection="1">
      <alignment vertical="top" wrapText="1"/>
      <protection locked="0"/>
    </xf>
    <xf numFmtId="1" fontId="9" fillId="0" borderId="3" xfId="0" applyNumberFormat="1" applyFont="1" applyBorder="1" applyAlignment="1" applyProtection="1">
      <alignment vertical="top" wrapText="1"/>
      <protection locked="0"/>
    </xf>
    <xf numFmtId="1" fontId="9" fillId="0" borderId="4" xfId="0" applyNumberFormat="1" applyFont="1" applyBorder="1" applyAlignment="1" applyProtection="1">
      <alignment vertical="top" wrapText="1"/>
      <protection locked="0"/>
    </xf>
    <xf numFmtId="0" fontId="7" fillId="0" borderId="1" xfId="8" applyFont="1" applyBorder="1" applyAlignment="1" applyProtection="1">
      <alignment horizontal="left" vertical="top" wrapText="1"/>
      <protection locked="0"/>
    </xf>
    <xf numFmtId="0" fontId="7" fillId="0" borderId="1" xfId="8" applyFont="1" applyBorder="1" applyAlignment="1" applyProtection="1">
      <alignment horizontal="left" vertical="top"/>
      <protection locked="0"/>
    </xf>
    <xf numFmtId="9" fontId="7" fillId="0" borderId="5" xfId="2" applyFont="1" applyFill="1" applyBorder="1" applyAlignment="1" applyProtection="1">
      <alignment horizontal="center" vertical="center" wrapText="1"/>
      <protection locked="0"/>
    </xf>
    <xf numFmtId="9" fontId="7" fillId="0" borderId="6" xfId="2" applyFont="1" applyFill="1" applyBorder="1" applyAlignment="1" applyProtection="1">
      <alignment horizontal="center" vertical="center" wrapText="1"/>
      <protection locked="0"/>
    </xf>
    <xf numFmtId="9" fontId="7" fillId="0" borderId="11" xfId="2" applyFont="1" applyFill="1" applyBorder="1" applyAlignment="1" applyProtection="1">
      <alignment horizontal="center" vertical="center" wrapText="1"/>
      <protection locked="0"/>
    </xf>
    <xf numFmtId="9" fontId="7" fillId="0" borderId="12" xfId="2" applyFont="1" applyFill="1" applyBorder="1" applyAlignment="1" applyProtection="1">
      <alignment horizontal="center" vertical="center" wrapText="1"/>
      <protection locked="0"/>
    </xf>
    <xf numFmtId="9" fontId="7" fillId="0" borderId="26" xfId="2" applyFont="1" applyFill="1" applyBorder="1" applyAlignment="1" applyProtection="1">
      <alignment horizontal="center" vertical="center" wrapText="1"/>
      <protection locked="0"/>
    </xf>
    <xf numFmtId="9" fontId="7" fillId="0" borderId="27" xfId="2" applyFont="1" applyFill="1" applyBorder="1" applyAlignment="1" applyProtection="1">
      <alignment horizontal="center" vertical="center" wrapText="1"/>
      <protection locked="0"/>
    </xf>
    <xf numFmtId="9" fontId="7" fillId="0" borderId="22" xfId="2" applyFont="1" applyFill="1" applyBorder="1" applyAlignment="1" applyProtection="1">
      <alignment horizontal="center" vertical="center" wrapText="1"/>
      <protection locked="0"/>
    </xf>
    <xf numFmtId="9" fontId="7" fillId="0" borderId="23" xfId="2" applyFont="1" applyFill="1" applyBorder="1" applyAlignment="1" applyProtection="1">
      <alignment horizontal="center" vertical="center" wrapText="1"/>
      <protection locked="0"/>
    </xf>
    <xf numFmtId="9" fontId="7" fillId="0" borderId="28" xfId="2" applyFont="1" applyFill="1" applyBorder="1" applyAlignment="1" applyProtection="1">
      <alignment horizontal="center" vertical="center" wrapText="1"/>
      <protection locked="0"/>
    </xf>
    <xf numFmtId="1" fontId="7" fillId="0" borderId="5" xfId="8" applyNumberFormat="1" applyFont="1" applyBorder="1" applyAlignment="1" applyProtection="1">
      <alignment horizontal="center" vertical="center" wrapText="1"/>
      <protection locked="0"/>
    </xf>
    <xf numFmtId="1" fontId="7" fillId="0" borderId="6" xfId="8" applyNumberFormat="1" applyFont="1" applyBorder="1" applyAlignment="1" applyProtection="1">
      <alignment horizontal="center" vertical="center" wrapText="1"/>
      <protection locked="0"/>
    </xf>
    <xf numFmtId="1" fontId="7" fillId="0" borderId="11" xfId="8" applyNumberFormat="1" applyFont="1" applyBorder="1" applyAlignment="1" applyProtection="1">
      <alignment horizontal="center" vertical="center" wrapText="1"/>
      <protection locked="0"/>
    </xf>
    <xf numFmtId="1" fontId="7" fillId="0" borderId="12" xfId="8" applyNumberFormat="1" applyFont="1" applyBorder="1" applyAlignment="1" applyProtection="1">
      <alignment horizontal="center" vertical="center" wrapText="1"/>
      <protection locked="0"/>
    </xf>
    <xf numFmtId="1" fontId="7" fillId="0" borderId="7" xfId="8" applyNumberFormat="1" applyFont="1" applyBorder="1" applyAlignment="1" applyProtection="1">
      <alignment horizontal="center" vertical="center" wrapText="1"/>
      <protection locked="0"/>
    </xf>
    <xf numFmtId="1" fontId="7" fillId="0" borderId="8" xfId="8" applyNumberFormat="1" applyFont="1" applyBorder="1" applyAlignment="1" applyProtection="1">
      <alignment horizontal="center" vertical="center" wrapText="1"/>
      <protection locked="0"/>
    </xf>
    <xf numFmtId="1" fontId="9" fillId="0" borderId="5" xfId="8" applyNumberFormat="1" applyFont="1" applyBorder="1" applyAlignment="1" applyProtection="1">
      <alignment horizontal="center" vertical="top" wrapText="1"/>
      <protection locked="0"/>
    </xf>
    <xf numFmtId="1" fontId="9" fillId="0" borderId="6" xfId="8" applyNumberFormat="1" applyFont="1" applyBorder="1" applyAlignment="1" applyProtection="1">
      <alignment horizontal="center" vertical="top" wrapText="1"/>
      <protection locked="0"/>
    </xf>
    <xf numFmtId="1" fontId="9" fillId="0" borderId="7" xfId="8" applyNumberFormat="1" applyFont="1" applyBorder="1" applyAlignment="1" applyProtection="1">
      <alignment horizontal="center" vertical="top" wrapText="1"/>
      <protection locked="0"/>
    </xf>
    <xf numFmtId="1" fontId="9" fillId="0" borderId="8" xfId="8" applyNumberFormat="1" applyFont="1" applyBorder="1" applyAlignment="1" applyProtection="1">
      <alignment horizontal="center" vertical="top" wrapText="1"/>
      <protection locked="0"/>
    </xf>
    <xf numFmtId="1" fontId="7" fillId="0" borderId="1" xfId="8" applyNumberFormat="1" applyFont="1" applyBorder="1" applyAlignment="1" applyProtection="1">
      <alignment horizontal="center" vertical="center" wrapText="1"/>
      <protection locked="0"/>
    </xf>
    <xf numFmtId="0" fontId="7" fillId="0" borderId="5" xfId="8" applyFont="1" applyBorder="1" applyAlignment="1" applyProtection="1">
      <alignment horizontal="left" vertical="top" wrapText="1"/>
      <protection locked="0"/>
    </xf>
    <xf numFmtId="0" fontId="7" fillId="0" borderId="6" xfId="8" applyFont="1" applyBorder="1" applyAlignment="1" applyProtection="1">
      <alignment horizontal="left" vertical="top" wrapText="1"/>
      <protection locked="0"/>
    </xf>
    <xf numFmtId="0" fontId="7" fillId="0" borderId="7" xfId="8" applyFont="1" applyBorder="1" applyAlignment="1" applyProtection="1">
      <alignment horizontal="left" vertical="top" wrapText="1"/>
      <protection locked="0"/>
    </xf>
    <xf numFmtId="0" fontId="7" fillId="0" borderId="8" xfId="8" applyFont="1" applyBorder="1" applyAlignment="1" applyProtection="1">
      <alignment horizontal="left" vertical="top" wrapText="1"/>
      <protection locked="0"/>
    </xf>
    <xf numFmtId="0" fontId="7" fillId="0" borderId="9" xfId="8" applyFont="1" applyBorder="1" applyAlignment="1" applyProtection="1">
      <alignment horizontal="left" vertical="top" wrapText="1"/>
      <protection locked="0"/>
    </xf>
    <xf numFmtId="0" fontId="7" fillId="0" borderId="11" xfId="8" applyFont="1" applyBorder="1" applyAlignment="1" applyProtection="1">
      <alignment horizontal="left" vertical="top" wrapText="1"/>
      <protection locked="0"/>
    </xf>
    <xf numFmtId="0" fontId="7" fillId="0" borderId="0" xfId="8" applyFont="1" applyAlignment="1" applyProtection="1">
      <alignment horizontal="left" vertical="top" wrapText="1"/>
      <protection locked="0"/>
    </xf>
    <xf numFmtId="0" fontId="7" fillId="0" borderId="12" xfId="8" applyFont="1" applyBorder="1" applyAlignment="1" applyProtection="1">
      <alignment horizontal="left" vertical="top" wrapText="1"/>
      <protection locked="0"/>
    </xf>
    <xf numFmtId="0" fontId="7" fillId="0" borderId="13" xfId="8" applyFont="1" applyBorder="1" applyAlignment="1" applyProtection="1">
      <alignment horizontal="left" vertical="top" wrapText="1"/>
      <protection locked="0"/>
    </xf>
    <xf numFmtId="1" fontId="9" fillId="0" borderId="2" xfId="8" applyNumberFormat="1" applyFont="1" applyBorder="1" applyAlignment="1" applyProtection="1">
      <alignment horizontal="center" vertical="center" wrapText="1"/>
      <protection locked="0"/>
    </xf>
    <xf numFmtId="1" fontId="9" fillId="0" borderId="3" xfId="8" applyNumberFormat="1" applyFont="1" applyBorder="1" applyAlignment="1" applyProtection="1">
      <alignment horizontal="center" vertical="center" wrapText="1"/>
      <protection locked="0"/>
    </xf>
    <xf numFmtId="1" fontId="9" fillId="0" borderId="4" xfId="8" applyNumberFormat="1" applyFont="1" applyBorder="1" applyAlignment="1" applyProtection="1">
      <alignment horizontal="center" vertical="center" wrapText="1"/>
      <protection locked="0"/>
    </xf>
    <xf numFmtId="1" fontId="9" fillId="0" borderId="1" xfId="8" applyNumberFormat="1" applyFont="1" applyBorder="1" applyAlignment="1" applyProtection="1">
      <alignment horizontal="center" vertical="center" wrapText="1"/>
      <protection locked="0"/>
    </xf>
    <xf numFmtId="0" fontId="9" fillId="0" borderId="1" xfId="8" applyFont="1" applyBorder="1" applyAlignment="1" applyProtection="1">
      <alignment horizontal="center" vertical="top"/>
      <protection locked="0"/>
    </xf>
    <xf numFmtId="1" fontId="7" fillId="0" borderId="2" xfId="8" applyNumberFormat="1" applyFont="1" applyBorder="1" applyAlignment="1" applyProtection="1">
      <alignment horizontal="center" vertical="center" wrapText="1"/>
      <protection locked="0"/>
    </xf>
    <xf numFmtId="1" fontId="7" fillId="0" borderId="4" xfId="8" applyNumberFormat="1" applyFont="1" applyBorder="1" applyAlignment="1" applyProtection="1">
      <alignment horizontal="center" vertical="center" wrapText="1"/>
      <protection locked="0"/>
    </xf>
    <xf numFmtId="0" fontId="6" fillId="0" borderId="1" xfId="8" applyFont="1" applyBorder="1" applyAlignment="1" applyProtection="1">
      <alignment horizontal="center" vertical="top" wrapText="1"/>
      <protection locked="0"/>
    </xf>
    <xf numFmtId="1" fontId="9" fillId="0" borderId="10" xfId="8" applyNumberFormat="1" applyFont="1" applyBorder="1" applyAlignment="1" applyProtection="1">
      <alignment horizontal="center" vertical="top" wrapText="1"/>
      <protection locked="0"/>
    </xf>
    <xf numFmtId="1" fontId="9" fillId="0" borderId="14" xfId="8" applyNumberFormat="1" applyFont="1" applyBorder="1" applyAlignment="1" applyProtection="1">
      <alignment horizontal="center" vertical="top" wrapText="1"/>
      <protection locked="0"/>
    </xf>
    <xf numFmtId="1" fontId="13" fillId="0" borderId="10" xfId="8" applyNumberFormat="1" applyFont="1" applyBorder="1" applyAlignment="1" applyProtection="1">
      <alignment horizontal="center" vertical="top" wrapText="1"/>
      <protection locked="0"/>
    </xf>
    <xf numFmtId="1" fontId="13" fillId="0" borderId="14" xfId="8" applyNumberFormat="1" applyFont="1" applyBorder="1" applyAlignment="1" applyProtection="1">
      <alignment horizontal="center" vertical="top" wrapText="1"/>
      <protection locked="0"/>
    </xf>
    <xf numFmtId="0" fontId="9" fillId="0" borderId="1" xfId="8" applyFont="1" applyBorder="1" applyAlignment="1" applyProtection="1">
      <alignment vertical="top"/>
      <protection locked="0"/>
    </xf>
    <xf numFmtId="0" fontId="7" fillId="0" borderId="1" xfId="8" applyFont="1" applyBorder="1" applyAlignment="1" applyProtection="1">
      <alignment vertical="top"/>
      <protection locked="0"/>
    </xf>
    <xf numFmtId="1" fontId="9" fillId="0" borderId="1" xfId="0" applyNumberFormat="1" applyFont="1" applyBorder="1" applyAlignment="1" applyProtection="1">
      <alignment horizontal="left" vertical="top" wrapText="1"/>
      <protection locked="0"/>
    </xf>
    <xf numFmtId="1" fontId="7" fillId="0" borderId="3" xfId="8" applyNumberFormat="1" applyFont="1" applyBorder="1" applyAlignment="1" applyProtection="1">
      <alignment horizontal="center" vertical="center" wrapText="1"/>
      <protection locked="0"/>
    </xf>
    <xf numFmtId="0" fontId="7" fillId="0" borderId="0" xfId="8" applyFont="1" applyAlignment="1">
      <alignment horizontal="center" vertical="center"/>
    </xf>
    <xf numFmtId="1" fontId="7" fillId="0" borderId="9" xfId="8" applyNumberFormat="1" applyFont="1" applyBorder="1" applyAlignment="1" applyProtection="1">
      <alignment horizontal="center" vertical="center" wrapText="1"/>
      <protection locked="0"/>
    </xf>
    <xf numFmtId="1" fontId="7" fillId="0" borderId="13" xfId="8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1" fontId="7" fillId="0" borderId="2" xfId="0" applyNumberFormat="1" applyFont="1" applyBorder="1" applyAlignment="1" applyProtection="1">
      <alignment horizontal="center" vertical="top" wrapText="1"/>
      <protection locked="0"/>
    </xf>
    <xf numFmtId="1" fontId="7" fillId="0" borderId="4" xfId="0" applyNumberFormat="1" applyFont="1" applyBorder="1" applyAlignment="1" applyProtection="1">
      <alignment horizontal="center" vertical="top" wrapText="1"/>
      <protection locked="0"/>
    </xf>
    <xf numFmtId="1" fontId="7" fillId="0" borderId="2" xfId="0" applyNumberFormat="1" applyFont="1" applyBorder="1" applyAlignment="1" applyProtection="1">
      <alignment horizontal="center" vertical="center"/>
      <protection locked="0"/>
    </xf>
    <xf numFmtId="1" fontId="7" fillId="0" borderId="4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7" fontId="7" fillId="0" borderId="1" xfId="1" applyNumberFormat="1" applyFont="1" applyFill="1" applyBorder="1" applyAlignment="1" applyProtection="1">
      <alignment horizontal="left" vertical="top"/>
      <protection locked="0"/>
    </xf>
    <xf numFmtId="0" fontId="9" fillId="0" borderId="1" xfId="8" applyFont="1" applyBorder="1" applyAlignment="1" applyProtection="1">
      <alignment horizontal="left" vertical="top"/>
      <protection locked="0"/>
    </xf>
    <xf numFmtId="0" fontId="9" fillId="0" borderId="14" xfId="8" applyFont="1" applyBorder="1" applyAlignment="1" applyProtection="1">
      <alignment horizontal="left" vertical="top"/>
      <protection locked="0"/>
    </xf>
    <xf numFmtId="0" fontId="9" fillId="0" borderId="14" xfId="8" applyFont="1" applyBorder="1" applyAlignment="1" applyProtection="1">
      <alignment horizontal="center" vertical="top"/>
      <protection locked="0"/>
    </xf>
    <xf numFmtId="167" fontId="9" fillId="0" borderId="1" xfId="1" applyNumberFormat="1" applyFont="1" applyFill="1" applyBorder="1" applyAlignment="1" applyProtection="1">
      <alignment horizontal="left" vertical="top"/>
      <protection locked="0"/>
    </xf>
    <xf numFmtId="0" fontId="7" fillId="0" borderId="20" xfId="8" applyFont="1" applyBorder="1" applyAlignment="1" applyProtection="1">
      <alignment horizontal="center" vertical="top" wrapText="1"/>
      <protection locked="0"/>
    </xf>
    <xf numFmtId="0" fontId="7" fillId="0" borderId="1" xfId="8" applyFont="1" applyBorder="1" applyAlignment="1" applyProtection="1">
      <alignment horizontal="center" vertical="top" wrapText="1"/>
      <protection locked="0"/>
    </xf>
    <xf numFmtId="0" fontId="7" fillId="0" borderId="24" xfId="8" applyFont="1" applyBorder="1" applyAlignment="1" applyProtection="1">
      <alignment horizontal="center" vertical="top" wrapText="1"/>
      <protection locked="0"/>
    </xf>
    <xf numFmtId="0" fontId="7" fillId="0" borderId="25" xfId="8" applyFont="1" applyBorder="1" applyAlignment="1" applyProtection="1">
      <alignment horizontal="center" vertical="top" wrapText="1"/>
      <protection locked="0"/>
    </xf>
    <xf numFmtId="0" fontId="9" fillId="0" borderId="15" xfId="8" applyFont="1" applyBorder="1" applyAlignment="1" applyProtection="1">
      <alignment horizontal="left" vertical="top" wrapText="1"/>
      <protection locked="0"/>
    </xf>
    <xf numFmtId="0" fontId="9" fillId="0" borderId="16" xfId="8" applyFont="1" applyBorder="1" applyAlignment="1" applyProtection="1">
      <alignment horizontal="left" vertical="top" wrapText="1"/>
      <protection locked="0"/>
    </xf>
    <xf numFmtId="0" fontId="9" fillId="0" borderId="17" xfId="8" applyFont="1" applyBorder="1" applyAlignment="1" applyProtection="1">
      <alignment horizontal="left" vertical="top" wrapText="1"/>
      <protection locked="0"/>
    </xf>
    <xf numFmtId="0" fontId="9" fillId="0" borderId="18" xfId="8" applyFont="1" applyBorder="1" applyAlignment="1" applyProtection="1">
      <alignment horizontal="left" vertical="top" wrapText="1"/>
      <protection locked="0"/>
    </xf>
    <xf numFmtId="0" fontId="9" fillId="0" borderId="19" xfId="8" applyFont="1" applyBorder="1" applyAlignment="1" applyProtection="1">
      <alignment horizontal="left" vertical="top" wrapText="1"/>
      <protection locked="0"/>
    </xf>
    <xf numFmtId="0" fontId="9" fillId="0" borderId="20" xfId="8" applyFont="1" applyBorder="1" applyAlignment="1" applyProtection="1">
      <alignment horizontal="left" vertical="top"/>
      <protection locked="0"/>
    </xf>
    <xf numFmtId="0" fontId="9" fillId="0" borderId="1" xfId="8" applyFont="1" applyBorder="1" applyAlignment="1" applyProtection="1">
      <alignment horizontal="left" vertical="top" wrapText="1"/>
      <protection locked="0"/>
    </xf>
    <xf numFmtId="0" fontId="9" fillId="0" borderId="21" xfId="8" applyFont="1" applyBorder="1" applyAlignment="1" applyProtection="1">
      <alignment horizontal="left" vertical="top" wrapText="1"/>
      <protection locked="0"/>
    </xf>
    <xf numFmtId="0" fontId="7" fillId="0" borderId="21" xfId="8" applyFont="1" applyBorder="1" applyAlignment="1" applyProtection="1">
      <alignment horizontal="center" vertical="top" wrapText="1"/>
      <protection locked="0"/>
    </xf>
    <xf numFmtId="0" fontId="7" fillId="0" borderId="10" xfId="8" applyFont="1" applyBorder="1" applyAlignment="1" applyProtection="1">
      <alignment horizontal="left" vertical="top"/>
      <protection locked="0"/>
    </xf>
    <xf numFmtId="0" fontId="7" fillId="0" borderId="10" xfId="8" applyFont="1" applyBorder="1" applyAlignment="1" applyProtection="1">
      <alignment horizontal="left" vertical="top" wrapText="1"/>
      <protection locked="0"/>
    </xf>
    <xf numFmtId="0" fontId="7" fillId="0" borderId="14" xfId="8" applyFont="1" applyBorder="1" applyAlignment="1" applyProtection="1">
      <alignment horizontal="left" vertical="top" wrapText="1"/>
      <protection locked="0"/>
    </xf>
    <xf numFmtId="1" fontId="7" fillId="0" borderId="1" xfId="8" applyNumberFormat="1" applyFont="1" applyBorder="1" applyAlignment="1" applyProtection="1">
      <alignment horizontal="left" vertical="top" wrapText="1"/>
      <protection locked="0"/>
    </xf>
    <xf numFmtId="0" fontId="7" fillId="0" borderId="2" xfId="8" applyFont="1" applyBorder="1" applyAlignment="1" applyProtection="1">
      <alignment horizontal="left" vertical="top" wrapText="1"/>
      <protection locked="0"/>
    </xf>
    <xf numFmtId="0" fontId="7" fillId="0" borderId="3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/>
      <protection locked="0"/>
    </xf>
    <xf numFmtId="14" fontId="7" fillId="0" borderId="2" xfId="8" applyNumberFormat="1" applyFont="1" applyBorder="1" applyAlignment="1" applyProtection="1">
      <alignment horizontal="left" vertical="top" wrapText="1"/>
      <protection locked="0"/>
    </xf>
    <xf numFmtId="0" fontId="9" fillId="0" borderId="2" xfId="8" applyFont="1" applyBorder="1" applyAlignment="1" applyProtection="1">
      <alignment horizontal="left" vertical="top"/>
      <protection locked="0"/>
    </xf>
    <xf numFmtId="0" fontId="9" fillId="0" borderId="3" xfId="8" applyFont="1" applyBorder="1" applyAlignment="1" applyProtection="1">
      <alignment horizontal="left" vertical="top"/>
      <protection locked="0"/>
    </xf>
    <xf numFmtId="2" fontId="7" fillId="0" borderId="1" xfId="8" applyNumberFormat="1" applyFont="1" applyBorder="1" applyAlignment="1" applyProtection="1">
      <alignment horizontal="left" vertical="top" wrapText="1"/>
      <protection locked="0"/>
    </xf>
    <xf numFmtId="166" fontId="7" fillId="0" borderId="1" xfId="8" applyNumberFormat="1" applyFont="1" applyBorder="1" applyAlignment="1" applyProtection="1">
      <alignment horizontal="left" vertical="top"/>
      <protection locked="0"/>
    </xf>
    <xf numFmtId="2" fontId="7" fillId="0" borderId="1" xfId="8" applyNumberFormat="1" applyFont="1" applyBorder="1" applyAlignment="1" applyProtection="1">
      <alignment horizontal="left" vertical="top"/>
      <protection locked="0"/>
    </xf>
    <xf numFmtId="0" fontId="7" fillId="0" borderId="1" xfId="8" applyFont="1" applyBorder="1" applyAlignment="1" applyProtection="1">
      <alignment horizontal="center"/>
      <protection locked="0"/>
    </xf>
    <xf numFmtId="0" fontId="7" fillId="0" borderId="1" xfId="8" applyFont="1" applyBorder="1" applyAlignment="1" applyProtection="1">
      <alignment horizontal="center" vertical="top"/>
      <protection locked="0"/>
    </xf>
    <xf numFmtId="0" fontId="9" fillId="0" borderId="1" xfId="8" applyFont="1" applyBorder="1" applyAlignment="1" applyProtection="1">
      <alignment horizontal="left"/>
      <protection locked="0"/>
    </xf>
    <xf numFmtId="0" fontId="10" fillId="0" borderId="1" xfId="3" applyBorder="1" applyAlignment="1" applyProtection="1">
      <alignment horizontal="left"/>
      <protection locked="0"/>
    </xf>
    <xf numFmtId="0" fontId="7" fillId="0" borderId="1" xfId="8" applyFont="1" applyBorder="1" applyAlignment="1" applyProtection="1">
      <alignment horizontal="left"/>
      <protection locked="0"/>
    </xf>
    <xf numFmtId="0" fontId="9" fillId="0" borderId="1" xfId="8" applyFont="1" applyBorder="1" applyAlignment="1" applyProtection="1">
      <alignment horizontal="center"/>
      <protection locked="0"/>
    </xf>
    <xf numFmtId="0" fontId="8" fillId="0" borderId="1" xfId="8" applyFont="1" applyBorder="1" applyAlignment="1" applyProtection="1">
      <alignment horizontal="center" vertical="top" wrapText="1"/>
      <protection locked="0"/>
    </xf>
    <xf numFmtId="14" fontId="7" fillId="0" borderId="1" xfId="8" applyNumberFormat="1" applyFont="1" applyBorder="1" applyAlignment="1" applyProtection="1">
      <alignment horizontal="left" vertical="top"/>
      <protection locked="0"/>
    </xf>
    <xf numFmtId="0" fontId="3" fillId="0" borderId="1" xfId="10" applyFont="1" applyBorder="1" applyAlignment="1">
      <alignment horizontal="left"/>
    </xf>
  </cellXfs>
  <cellStyles count="11">
    <cellStyle name="Comma" xfId="1" builtinId="3"/>
    <cellStyle name="Comma 2" xfId="4"/>
    <cellStyle name="Excel Built-in Normal" xfId="5"/>
    <cellStyle name="Excel Built-in Normal 2" xfId="6"/>
    <cellStyle name="Hyperlink" xfId="3" builtinId="8"/>
    <cellStyle name="Normal" xfId="0" builtinId="0"/>
    <cellStyle name="Normal 2" xfId="7"/>
    <cellStyle name="Normal 3" xfId="8"/>
    <cellStyle name="Normal 3 3" xfId="9"/>
    <cellStyle name="Normal 4" xfId="1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530038</xdr:colOff>
      <xdr:row>631</xdr:row>
      <xdr:rowOff>2991</xdr:rowOff>
    </xdr:from>
    <xdr:to>
      <xdr:col>7</xdr:col>
      <xdr:colOff>299125</xdr:colOff>
      <xdr:row>649</xdr:row>
      <xdr:rowOff>2539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9590" y="135313420"/>
          <a:ext cx="5427345" cy="36004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534590</xdr:colOff>
      <xdr:row>612</xdr:row>
      <xdr:rowOff>7844</xdr:rowOff>
    </xdr:from>
    <xdr:to>
      <xdr:col>7</xdr:col>
      <xdr:colOff>299125</xdr:colOff>
      <xdr:row>630</xdr:row>
      <xdr:rowOff>7394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4035" y="131518025"/>
          <a:ext cx="5422900" cy="359981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42823</xdr:colOff>
      <xdr:row>587</xdr:row>
      <xdr:rowOff>91780</xdr:rowOff>
    </xdr:from>
    <xdr:to>
      <xdr:col>5</xdr:col>
      <xdr:colOff>633376</xdr:colOff>
      <xdr:row>602</xdr:row>
      <xdr:rowOff>67689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56" t="36813" r="12743" b="26520"/>
        <a:stretch>
          <a:fillRect/>
        </a:stretch>
      </xdr:blipFill>
      <xdr:spPr>
        <a:xfrm rot="16200000">
          <a:off x="1687830" y="126518035"/>
          <a:ext cx="2976245" cy="31432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286164</xdr:colOff>
      <xdr:row>574</xdr:row>
      <xdr:rowOff>193267</xdr:rowOff>
    </xdr:from>
    <xdr:to>
      <xdr:col>7</xdr:col>
      <xdr:colOff>201955</xdr:colOff>
      <xdr:row>586</xdr:row>
      <xdr:rowOff>142912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87" t="12108" r="30153" b="6912"/>
        <a:stretch>
          <a:fillRect/>
        </a:stretch>
      </xdr:blipFill>
      <xdr:spPr>
        <a:xfrm rot="16200000">
          <a:off x="1902460" y="122495310"/>
          <a:ext cx="2340610" cy="557339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123825</xdr:colOff>
      <xdr:row>531</xdr:row>
      <xdr:rowOff>133350</xdr:rowOff>
    </xdr:from>
    <xdr:to>
      <xdr:col>7</xdr:col>
      <xdr:colOff>543622</xdr:colOff>
      <xdr:row>569</xdr:row>
      <xdr:rowOff>64500</xdr:rowOff>
    </xdr:to>
    <xdr:grpSp>
      <xdr:nvGrpSpPr>
        <xdr:cNvPr id="7" name="Group 6"/>
        <xdr:cNvGrpSpPr/>
      </xdr:nvGrpSpPr>
      <xdr:grpSpPr>
        <a:xfrm>
          <a:off x="123825" y="112414050"/>
          <a:ext cx="6077647" cy="7522575"/>
          <a:chOff x="123825" y="112623600"/>
          <a:chExt cx="6077647" cy="7522575"/>
        </a:xfrm>
      </xdr:grpSpPr>
      <xdr:grpSp>
        <xdr:nvGrpSpPr>
          <xdr:cNvPr id="5" name="Group 4"/>
          <xdr:cNvGrpSpPr/>
        </xdr:nvGrpSpPr>
        <xdr:grpSpPr>
          <a:xfrm>
            <a:off x="142875" y="112623600"/>
            <a:ext cx="6058597" cy="7522575"/>
            <a:chOff x="142875" y="112623600"/>
            <a:chExt cx="6058597" cy="7522575"/>
          </a:xfrm>
        </xdr:grpSpPr>
        <xdr:pic>
          <xdr:nvPicPr>
            <xdr:cNvPr id="15" name="Picture 14" descr="https://vsjcllp.vsjadon.com/upload/insp-246589-152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076700" y="117976650"/>
              <a:ext cx="1624519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4" name="Picture 23" descr="https://vsjcllp.vsjadon.com/upload/insp-246589-843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202565" y="115328699"/>
              <a:ext cx="1927029" cy="256222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5" name="Picture 24" descr="https://vsjcllp.vsjadon.com/upload/insp-246589-84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2875" y="112642650"/>
              <a:ext cx="1962847" cy="260985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6" name="Picture 25" descr="https://vsjcllp.vsjadon.com/upload/insp-246589-847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83265" y="115328699"/>
              <a:ext cx="1927029" cy="256222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7" name="Picture 26" descr="https://vsjcllp.vsjadon.com/upload/insp-246589-849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81025" y="117986175"/>
              <a:ext cx="1624519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8" name="Picture 27" descr="https://vsjcllp.vsjadon.com/upload/insp-246589-85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238625" y="112623600"/>
              <a:ext cx="1962847" cy="260985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9" name="Picture 28" descr="https://vsjcllp.vsjadon.com/upload/insp-246589-860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212340" y="115328699"/>
              <a:ext cx="1927029" cy="256222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0" name="Picture 29" descr="https://vsjcllp.vsjadon.com/upload/insp-246589-880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190750" y="112633125"/>
              <a:ext cx="1962847" cy="260985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" name="Picture 30" descr="https://vsjcllp.vsjadon.com/upload/insp-246589-883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333625" y="117976650"/>
              <a:ext cx="1624519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6" name="TextBox 5"/>
          <xdr:cNvSpPr txBox="1"/>
        </xdr:nvSpPr>
        <xdr:spPr>
          <a:xfrm>
            <a:off x="123825" y="112633125"/>
            <a:ext cx="676275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1"/>
              <a:t>Wing A</a:t>
            </a:r>
          </a:p>
        </xdr:txBody>
      </xdr:sp>
      <xdr:sp macro="" textlink="">
        <xdr:nvSpPr>
          <xdr:cNvPr id="36" name="TextBox 35"/>
          <xdr:cNvSpPr txBox="1"/>
        </xdr:nvSpPr>
        <xdr:spPr>
          <a:xfrm>
            <a:off x="1419225" y="112623600"/>
            <a:ext cx="676275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1"/>
              <a:t>Wing B</a:t>
            </a:r>
          </a:p>
        </xdr:txBody>
      </xdr:sp>
      <xdr:sp macro="" textlink="">
        <xdr:nvSpPr>
          <xdr:cNvPr id="37" name="TextBox 36"/>
          <xdr:cNvSpPr txBox="1"/>
        </xdr:nvSpPr>
        <xdr:spPr>
          <a:xfrm>
            <a:off x="5353050" y="115357275"/>
            <a:ext cx="676275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1"/>
              <a:t>Wing F</a:t>
            </a:r>
          </a:p>
        </xdr:txBody>
      </xdr:sp>
      <xdr:sp macro="" textlink="">
        <xdr:nvSpPr>
          <xdr:cNvPr id="38" name="TextBox 37"/>
          <xdr:cNvSpPr txBox="1"/>
        </xdr:nvSpPr>
        <xdr:spPr>
          <a:xfrm>
            <a:off x="1304925" y="115328700"/>
            <a:ext cx="676275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1"/>
              <a:t>Wing D</a:t>
            </a:r>
          </a:p>
        </xdr:txBody>
      </xdr:sp>
      <xdr:sp macro="" textlink="">
        <xdr:nvSpPr>
          <xdr:cNvPr id="39" name="TextBox 38"/>
          <xdr:cNvSpPr txBox="1"/>
        </xdr:nvSpPr>
        <xdr:spPr>
          <a:xfrm>
            <a:off x="4829175" y="112642650"/>
            <a:ext cx="676275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1"/>
              <a:t>Wing E</a:t>
            </a:r>
          </a:p>
        </xdr:txBody>
      </xdr:sp>
      <xdr:sp macro="" textlink="">
        <xdr:nvSpPr>
          <xdr:cNvPr id="40" name="TextBox 39"/>
          <xdr:cNvSpPr txBox="1"/>
        </xdr:nvSpPr>
        <xdr:spPr>
          <a:xfrm>
            <a:off x="4533900" y="113071275"/>
            <a:ext cx="676275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1"/>
              <a:t>Wing D</a:t>
            </a:r>
          </a:p>
        </xdr:txBody>
      </xdr:sp>
      <xdr:sp macro="" textlink="">
        <xdr:nvSpPr>
          <xdr:cNvPr id="41" name="TextBox 40"/>
          <xdr:cNvSpPr txBox="1"/>
        </xdr:nvSpPr>
        <xdr:spPr>
          <a:xfrm>
            <a:off x="4419600" y="113490375"/>
            <a:ext cx="676275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1"/>
              <a:t>Wing C</a:t>
            </a:r>
          </a:p>
        </xdr:txBody>
      </xdr:sp>
      <xdr:sp macro="" textlink="">
        <xdr:nvSpPr>
          <xdr:cNvPr id="42" name="TextBox 41"/>
          <xdr:cNvSpPr txBox="1"/>
        </xdr:nvSpPr>
        <xdr:spPr>
          <a:xfrm>
            <a:off x="3086100" y="112652175"/>
            <a:ext cx="676275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1"/>
              <a:t>Wing B</a:t>
            </a:r>
          </a:p>
        </xdr:txBody>
      </xdr:sp>
      <xdr:sp macro="" textlink="">
        <xdr:nvSpPr>
          <xdr:cNvPr id="43" name="TextBox 42"/>
          <xdr:cNvSpPr txBox="1"/>
        </xdr:nvSpPr>
        <xdr:spPr>
          <a:xfrm>
            <a:off x="285750" y="115585875"/>
            <a:ext cx="676275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1"/>
              <a:t>Wing C</a:t>
            </a:r>
          </a:p>
        </xdr:txBody>
      </xdr:sp>
      <xdr:sp macro="" textlink="">
        <xdr:nvSpPr>
          <xdr:cNvPr id="44" name="TextBox 43"/>
          <xdr:cNvSpPr txBox="1"/>
        </xdr:nvSpPr>
        <xdr:spPr>
          <a:xfrm>
            <a:off x="4238625" y="115376325"/>
            <a:ext cx="676275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1"/>
              <a:t>Wing E</a:t>
            </a:r>
          </a:p>
        </xdr:txBody>
      </xdr:sp>
      <xdr:sp macro="" textlink="">
        <xdr:nvSpPr>
          <xdr:cNvPr id="45" name="TextBox 44"/>
          <xdr:cNvSpPr txBox="1"/>
        </xdr:nvSpPr>
        <xdr:spPr>
          <a:xfrm>
            <a:off x="3381375" y="115376325"/>
            <a:ext cx="676275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1"/>
              <a:t>Wing F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491530</xdr:colOff>
      <xdr:row>18</xdr:row>
      <xdr:rowOff>171000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 l="-355" t="9445" r="29546" b="24373"/>
        <a:stretch>
          <a:fillRect/>
        </a:stretch>
      </xdr:blipFill>
      <xdr:spPr>
        <a:xfrm>
          <a:off x="0" y="0"/>
          <a:ext cx="7092315" cy="3599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ZkjR6jkqffECAFj38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611"/>
  <sheetViews>
    <sheetView tabSelected="1" view="pageBreakPreview" topLeftCell="A129" zoomScaleNormal="100" zoomScaleSheetLayoutView="100" workbookViewId="0">
      <selection activeCell="I144" sqref="I144"/>
    </sheetView>
  </sheetViews>
  <sheetFormatPr defaultColWidth="9.140625" defaultRowHeight="15.75"/>
  <cols>
    <col min="1" max="1" width="11.42578125" style="17" customWidth="1"/>
    <col min="2" max="2" width="12" style="17" customWidth="1"/>
    <col min="3" max="3" width="12.5703125" style="17" customWidth="1"/>
    <col min="4" max="4" width="14.140625" style="17" customWidth="1"/>
    <col min="5" max="7" width="11.5703125" style="17" customWidth="1"/>
    <col min="8" max="8" width="9.140625" style="17" customWidth="1"/>
    <col min="9" max="9" width="17.42578125" style="18" customWidth="1"/>
    <col min="10" max="10" width="11.42578125" style="18" customWidth="1"/>
    <col min="11" max="11" width="17.5703125" style="18" customWidth="1"/>
    <col min="12" max="12" width="10.5703125" style="18" customWidth="1"/>
    <col min="13" max="13" width="11.85546875" style="18" customWidth="1"/>
    <col min="14" max="14" width="12.5703125" style="18" customWidth="1"/>
    <col min="15" max="15" width="9.85546875" style="18" customWidth="1"/>
    <col min="16" max="16" width="11.5703125" style="18" customWidth="1"/>
    <col min="17" max="247" width="9.140625" style="18"/>
    <col min="248" max="248" width="8.5703125" style="18" customWidth="1"/>
    <col min="249" max="249" width="9.85546875" style="18" customWidth="1"/>
    <col min="250" max="250" width="14.42578125" style="18" customWidth="1"/>
    <col min="251" max="251" width="7.42578125" style="18" customWidth="1"/>
    <col min="252" max="252" width="5.5703125" style="18" customWidth="1"/>
    <col min="253" max="253" width="9" style="18" customWidth="1"/>
    <col min="254" max="255" width="9.85546875" style="18" customWidth="1"/>
    <col min="256" max="256" width="11.140625" style="18" customWidth="1"/>
    <col min="257" max="257" width="2.85546875" style="18" customWidth="1"/>
    <col min="258" max="258" width="3.5703125" style="18" customWidth="1"/>
    <col min="259" max="503" width="9.140625" style="18"/>
    <col min="504" max="504" width="8.5703125" style="18" customWidth="1"/>
    <col min="505" max="505" width="9.85546875" style="18" customWidth="1"/>
    <col min="506" max="506" width="14.42578125" style="18" customWidth="1"/>
    <col min="507" max="507" width="7.42578125" style="18" customWidth="1"/>
    <col min="508" max="508" width="5.5703125" style="18" customWidth="1"/>
    <col min="509" max="509" width="9" style="18" customWidth="1"/>
    <col min="510" max="511" width="9.85546875" style="18" customWidth="1"/>
    <col min="512" max="512" width="11.140625" style="18" customWidth="1"/>
    <col min="513" max="513" width="2.85546875" style="18" customWidth="1"/>
    <col min="514" max="514" width="3.5703125" style="18" customWidth="1"/>
    <col min="515" max="759" width="9.140625" style="18"/>
    <col min="760" max="760" width="8.5703125" style="18" customWidth="1"/>
    <col min="761" max="761" width="9.85546875" style="18" customWidth="1"/>
    <col min="762" max="762" width="14.42578125" style="18" customWidth="1"/>
    <col min="763" max="763" width="7.42578125" style="18" customWidth="1"/>
    <col min="764" max="764" width="5.5703125" style="18" customWidth="1"/>
    <col min="765" max="765" width="9" style="18" customWidth="1"/>
    <col min="766" max="767" width="9.85546875" style="18" customWidth="1"/>
    <col min="768" max="768" width="11.140625" style="18" customWidth="1"/>
    <col min="769" max="769" width="2.85546875" style="18" customWidth="1"/>
    <col min="770" max="770" width="3.5703125" style="18" customWidth="1"/>
    <col min="771" max="1015" width="9.140625" style="18"/>
    <col min="1016" max="1016" width="8.5703125" style="18" customWidth="1"/>
    <col min="1017" max="1017" width="9.85546875" style="18" customWidth="1"/>
    <col min="1018" max="1018" width="14.42578125" style="18" customWidth="1"/>
    <col min="1019" max="1019" width="7.42578125" style="18" customWidth="1"/>
    <col min="1020" max="1020" width="5.5703125" style="18" customWidth="1"/>
    <col min="1021" max="1021" width="9" style="18" customWidth="1"/>
    <col min="1022" max="1023" width="9.85546875" style="18" customWidth="1"/>
    <col min="1024" max="1024" width="11.140625" style="18" customWidth="1"/>
    <col min="1025" max="1025" width="2.85546875" style="18" customWidth="1"/>
    <col min="1026" max="1026" width="3.5703125" style="18" customWidth="1"/>
    <col min="1027" max="1271" width="9.140625" style="18"/>
    <col min="1272" max="1272" width="8.5703125" style="18" customWidth="1"/>
    <col min="1273" max="1273" width="9.85546875" style="18" customWidth="1"/>
    <col min="1274" max="1274" width="14.42578125" style="18" customWidth="1"/>
    <col min="1275" max="1275" width="7.42578125" style="18" customWidth="1"/>
    <col min="1276" max="1276" width="5.5703125" style="18" customWidth="1"/>
    <col min="1277" max="1277" width="9" style="18" customWidth="1"/>
    <col min="1278" max="1279" width="9.85546875" style="18" customWidth="1"/>
    <col min="1280" max="1280" width="11.140625" style="18" customWidth="1"/>
    <col min="1281" max="1281" width="2.85546875" style="18" customWidth="1"/>
    <col min="1282" max="1282" width="3.5703125" style="18" customWidth="1"/>
    <col min="1283" max="1527" width="9.140625" style="18"/>
    <col min="1528" max="1528" width="8.5703125" style="18" customWidth="1"/>
    <col min="1529" max="1529" width="9.85546875" style="18" customWidth="1"/>
    <col min="1530" max="1530" width="14.42578125" style="18" customWidth="1"/>
    <col min="1531" max="1531" width="7.42578125" style="18" customWidth="1"/>
    <col min="1532" max="1532" width="5.5703125" style="18" customWidth="1"/>
    <col min="1533" max="1533" width="9" style="18" customWidth="1"/>
    <col min="1534" max="1535" width="9.85546875" style="18" customWidth="1"/>
    <col min="1536" max="1536" width="11.140625" style="18" customWidth="1"/>
    <col min="1537" max="1537" width="2.85546875" style="18" customWidth="1"/>
    <col min="1538" max="1538" width="3.5703125" style="18" customWidth="1"/>
    <col min="1539" max="1783" width="9.140625" style="18"/>
    <col min="1784" max="1784" width="8.5703125" style="18" customWidth="1"/>
    <col min="1785" max="1785" width="9.85546875" style="18" customWidth="1"/>
    <col min="1786" max="1786" width="14.42578125" style="18" customWidth="1"/>
    <col min="1787" max="1787" width="7.42578125" style="18" customWidth="1"/>
    <col min="1788" max="1788" width="5.5703125" style="18" customWidth="1"/>
    <col min="1789" max="1789" width="9" style="18" customWidth="1"/>
    <col min="1790" max="1791" width="9.85546875" style="18" customWidth="1"/>
    <col min="1792" max="1792" width="11.140625" style="18" customWidth="1"/>
    <col min="1793" max="1793" width="2.85546875" style="18" customWidth="1"/>
    <col min="1794" max="1794" width="3.5703125" style="18" customWidth="1"/>
    <col min="1795" max="2039" width="9.140625" style="18"/>
    <col min="2040" max="2040" width="8.5703125" style="18" customWidth="1"/>
    <col min="2041" max="2041" width="9.85546875" style="18" customWidth="1"/>
    <col min="2042" max="2042" width="14.42578125" style="18" customWidth="1"/>
    <col min="2043" max="2043" width="7.42578125" style="18" customWidth="1"/>
    <col min="2044" max="2044" width="5.5703125" style="18" customWidth="1"/>
    <col min="2045" max="2045" width="9" style="18" customWidth="1"/>
    <col min="2046" max="2047" width="9.85546875" style="18" customWidth="1"/>
    <col min="2048" max="2048" width="11.140625" style="18" customWidth="1"/>
    <col min="2049" max="2049" width="2.85546875" style="18" customWidth="1"/>
    <col min="2050" max="2050" width="3.5703125" style="18" customWidth="1"/>
    <col min="2051" max="2295" width="9.140625" style="18"/>
    <col min="2296" max="2296" width="8.5703125" style="18" customWidth="1"/>
    <col min="2297" max="2297" width="9.85546875" style="18" customWidth="1"/>
    <col min="2298" max="2298" width="14.42578125" style="18" customWidth="1"/>
    <col min="2299" max="2299" width="7.42578125" style="18" customWidth="1"/>
    <col min="2300" max="2300" width="5.5703125" style="18" customWidth="1"/>
    <col min="2301" max="2301" width="9" style="18" customWidth="1"/>
    <col min="2302" max="2303" width="9.85546875" style="18" customWidth="1"/>
    <col min="2304" max="2304" width="11.140625" style="18" customWidth="1"/>
    <col min="2305" max="2305" width="2.85546875" style="18" customWidth="1"/>
    <col min="2306" max="2306" width="3.5703125" style="18" customWidth="1"/>
    <col min="2307" max="2551" width="9.140625" style="18"/>
    <col min="2552" max="2552" width="8.5703125" style="18" customWidth="1"/>
    <col min="2553" max="2553" width="9.85546875" style="18" customWidth="1"/>
    <col min="2554" max="2554" width="14.42578125" style="18" customWidth="1"/>
    <col min="2555" max="2555" width="7.42578125" style="18" customWidth="1"/>
    <col min="2556" max="2556" width="5.5703125" style="18" customWidth="1"/>
    <col min="2557" max="2557" width="9" style="18" customWidth="1"/>
    <col min="2558" max="2559" width="9.85546875" style="18" customWidth="1"/>
    <col min="2560" max="2560" width="11.140625" style="18" customWidth="1"/>
    <col min="2561" max="2561" width="2.85546875" style="18" customWidth="1"/>
    <col min="2562" max="2562" width="3.5703125" style="18" customWidth="1"/>
    <col min="2563" max="2807" width="9.140625" style="18"/>
    <col min="2808" max="2808" width="8.5703125" style="18" customWidth="1"/>
    <col min="2809" max="2809" width="9.85546875" style="18" customWidth="1"/>
    <col min="2810" max="2810" width="14.42578125" style="18" customWidth="1"/>
    <col min="2811" max="2811" width="7.42578125" style="18" customWidth="1"/>
    <col min="2812" max="2812" width="5.5703125" style="18" customWidth="1"/>
    <col min="2813" max="2813" width="9" style="18" customWidth="1"/>
    <col min="2814" max="2815" width="9.85546875" style="18" customWidth="1"/>
    <col min="2816" max="2816" width="11.140625" style="18" customWidth="1"/>
    <col min="2817" max="2817" width="2.85546875" style="18" customWidth="1"/>
    <col min="2818" max="2818" width="3.5703125" style="18" customWidth="1"/>
    <col min="2819" max="3063" width="9.140625" style="18"/>
    <col min="3064" max="3064" width="8.5703125" style="18" customWidth="1"/>
    <col min="3065" max="3065" width="9.85546875" style="18" customWidth="1"/>
    <col min="3066" max="3066" width="14.42578125" style="18" customWidth="1"/>
    <col min="3067" max="3067" width="7.42578125" style="18" customWidth="1"/>
    <col min="3068" max="3068" width="5.5703125" style="18" customWidth="1"/>
    <col min="3069" max="3069" width="9" style="18" customWidth="1"/>
    <col min="3070" max="3071" width="9.85546875" style="18" customWidth="1"/>
    <col min="3072" max="3072" width="11.140625" style="18" customWidth="1"/>
    <col min="3073" max="3073" width="2.85546875" style="18" customWidth="1"/>
    <col min="3074" max="3074" width="3.5703125" style="18" customWidth="1"/>
    <col min="3075" max="3319" width="9.140625" style="18"/>
    <col min="3320" max="3320" width="8.5703125" style="18" customWidth="1"/>
    <col min="3321" max="3321" width="9.85546875" style="18" customWidth="1"/>
    <col min="3322" max="3322" width="14.42578125" style="18" customWidth="1"/>
    <col min="3323" max="3323" width="7.42578125" style="18" customWidth="1"/>
    <col min="3324" max="3324" width="5.5703125" style="18" customWidth="1"/>
    <col min="3325" max="3325" width="9" style="18" customWidth="1"/>
    <col min="3326" max="3327" width="9.85546875" style="18" customWidth="1"/>
    <col min="3328" max="3328" width="11.140625" style="18" customWidth="1"/>
    <col min="3329" max="3329" width="2.85546875" style="18" customWidth="1"/>
    <col min="3330" max="3330" width="3.5703125" style="18" customWidth="1"/>
    <col min="3331" max="3575" width="9.140625" style="18"/>
    <col min="3576" max="3576" width="8.5703125" style="18" customWidth="1"/>
    <col min="3577" max="3577" width="9.85546875" style="18" customWidth="1"/>
    <col min="3578" max="3578" width="14.42578125" style="18" customWidth="1"/>
    <col min="3579" max="3579" width="7.42578125" style="18" customWidth="1"/>
    <col min="3580" max="3580" width="5.5703125" style="18" customWidth="1"/>
    <col min="3581" max="3581" width="9" style="18" customWidth="1"/>
    <col min="3582" max="3583" width="9.85546875" style="18" customWidth="1"/>
    <col min="3584" max="3584" width="11.140625" style="18" customWidth="1"/>
    <col min="3585" max="3585" width="2.85546875" style="18" customWidth="1"/>
    <col min="3586" max="3586" width="3.5703125" style="18" customWidth="1"/>
    <col min="3587" max="3831" width="9.140625" style="18"/>
    <col min="3832" max="3832" width="8.5703125" style="18" customWidth="1"/>
    <col min="3833" max="3833" width="9.85546875" style="18" customWidth="1"/>
    <col min="3834" max="3834" width="14.42578125" style="18" customWidth="1"/>
    <col min="3835" max="3835" width="7.42578125" style="18" customWidth="1"/>
    <col min="3836" max="3836" width="5.5703125" style="18" customWidth="1"/>
    <col min="3837" max="3837" width="9" style="18" customWidth="1"/>
    <col min="3838" max="3839" width="9.85546875" style="18" customWidth="1"/>
    <col min="3840" max="3840" width="11.140625" style="18" customWidth="1"/>
    <col min="3841" max="3841" width="2.85546875" style="18" customWidth="1"/>
    <col min="3842" max="3842" width="3.5703125" style="18" customWidth="1"/>
    <col min="3843" max="4087" width="9.140625" style="18"/>
    <col min="4088" max="4088" width="8.5703125" style="18" customWidth="1"/>
    <col min="4089" max="4089" width="9.85546875" style="18" customWidth="1"/>
    <col min="4090" max="4090" width="14.42578125" style="18" customWidth="1"/>
    <col min="4091" max="4091" width="7.42578125" style="18" customWidth="1"/>
    <col min="4092" max="4092" width="5.5703125" style="18" customWidth="1"/>
    <col min="4093" max="4093" width="9" style="18" customWidth="1"/>
    <col min="4094" max="4095" width="9.85546875" style="18" customWidth="1"/>
    <col min="4096" max="4096" width="11.140625" style="18" customWidth="1"/>
    <col min="4097" max="4097" width="2.85546875" style="18" customWidth="1"/>
    <col min="4098" max="4098" width="3.5703125" style="18" customWidth="1"/>
    <col min="4099" max="4343" width="9.140625" style="18"/>
    <col min="4344" max="4344" width="8.5703125" style="18" customWidth="1"/>
    <col min="4345" max="4345" width="9.85546875" style="18" customWidth="1"/>
    <col min="4346" max="4346" width="14.42578125" style="18" customWidth="1"/>
    <col min="4347" max="4347" width="7.42578125" style="18" customWidth="1"/>
    <col min="4348" max="4348" width="5.5703125" style="18" customWidth="1"/>
    <col min="4349" max="4349" width="9" style="18" customWidth="1"/>
    <col min="4350" max="4351" width="9.85546875" style="18" customWidth="1"/>
    <col min="4352" max="4352" width="11.140625" style="18" customWidth="1"/>
    <col min="4353" max="4353" width="2.85546875" style="18" customWidth="1"/>
    <col min="4354" max="4354" width="3.5703125" style="18" customWidth="1"/>
    <col min="4355" max="4599" width="9.140625" style="18"/>
    <col min="4600" max="4600" width="8.5703125" style="18" customWidth="1"/>
    <col min="4601" max="4601" width="9.85546875" style="18" customWidth="1"/>
    <col min="4602" max="4602" width="14.42578125" style="18" customWidth="1"/>
    <col min="4603" max="4603" width="7.42578125" style="18" customWidth="1"/>
    <col min="4604" max="4604" width="5.5703125" style="18" customWidth="1"/>
    <col min="4605" max="4605" width="9" style="18" customWidth="1"/>
    <col min="4606" max="4607" width="9.85546875" style="18" customWidth="1"/>
    <col min="4608" max="4608" width="11.140625" style="18" customWidth="1"/>
    <col min="4609" max="4609" width="2.85546875" style="18" customWidth="1"/>
    <col min="4610" max="4610" width="3.5703125" style="18" customWidth="1"/>
    <col min="4611" max="4855" width="9.140625" style="18"/>
    <col min="4856" max="4856" width="8.5703125" style="18" customWidth="1"/>
    <col min="4857" max="4857" width="9.85546875" style="18" customWidth="1"/>
    <col min="4858" max="4858" width="14.42578125" style="18" customWidth="1"/>
    <col min="4859" max="4859" width="7.42578125" style="18" customWidth="1"/>
    <col min="4860" max="4860" width="5.5703125" style="18" customWidth="1"/>
    <col min="4861" max="4861" width="9" style="18" customWidth="1"/>
    <col min="4862" max="4863" width="9.85546875" style="18" customWidth="1"/>
    <col min="4864" max="4864" width="11.140625" style="18" customWidth="1"/>
    <col min="4865" max="4865" width="2.85546875" style="18" customWidth="1"/>
    <col min="4866" max="4866" width="3.5703125" style="18" customWidth="1"/>
    <col min="4867" max="5111" width="9.140625" style="18"/>
    <col min="5112" max="5112" width="8.5703125" style="18" customWidth="1"/>
    <col min="5113" max="5113" width="9.85546875" style="18" customWidth="1"/>
    <col min="5114" max="5114" width="14.42578125" style="18" customWidth="1"/>
    <col min="5115" max="5115" width="7.42578125" style="18" customWidth="1"/>
    <col min="5116" max="5116" width="5.5703125" style="18" customWidth="1"/>
    <col min="5117" max="5117" width="9" style="18" customWidth="1"/>
    <col min="5118" max="5119" width="9.85546875" style="18" customWidth="1"/>
    <col min="5120" max="5120" width="11.140625" style="18" customWidth="1"/>
    <col min="5121" max="5121" width="2.85546875" style="18" customWidth="1"/>
    <col min="5122" max="5122" width="3.5703125" style="18" customWidth="1"/>
    <col min="5123" max="5367" width="9.140625" style="18"/>
    <col min="5368" max="5368" width="8.5703125" style="18" customWidth="1"/>
    <col min="5369" max="5369" width="9.85546875" style="18" customWidth="1"/>
    <col min="5370" max="5370" width="14.42578125" style="18" customWidth="1"/>
    <col min="5371" max="5371" width="7.42578125" style="18" customWidth="1"/>
    <col min="5372" max="5372" width="5.5703125" style="18" customWidth="1"/>
    <col min="5373" max="5373" width="9" style="18" customWidth="1"/>
    <col min="5374" max="5375" width="9.85546875" style="18" customWidth="1"/>
    <col min="5376" max="5376" width="11.140625" style="18" customWidth="1"/>
    <col min="5377" max="5377" width="2.85546875" style="18" customWidth="1"/>
    <col min="5378" max="5378" width="3.5703125" style="18" customWidth="1"/>
    <col min="5379" max="5623" width="9.140625" style="18"/>
    <col min="5624" max="5624" width="8.5703125" style="18" customWidth="1"/>
    <col min="5625" max="5625" width="9.85546875" style="18" customWidth="1"/>
    <col min="5626" max="5626" width="14.42578125" style="18" customWidth="1"/>
    <col min="5627" max="5627" width="7.42578125" style="18" customWidth="1"/>
    <col min="5628" max="5628" width="5.5703125" style="18" customWidth="1"/>
    <col min="5629" max="5629" width="9" style="18" customWidth="1"/>
    <col min="5630" max="5631" width="9.85546875" style="18" customWidth="1"/>
    <col min="5632" max="5632" width="11.140625" style="18" customWidth="1"/>
    <col min="5633" max="5633" width="2.85546875" style="18" customWidth="1"/>
    <col min="5634" max="5634" width="3.5703125" style="18" customWidth="1"/>
    <col min="5635" max="5879" width="9.140625" style="18"/>
    <col min="5880" max="5880" width="8.5703125" style="18" customWidth="1"/>
    <col min="5881" max="5881" width="9.85546875" style="18" customWidth="1"/>
    <col min="5882" max="5882" width="14.42578125" style="18" customWidth="1"/>
    <col min="5883" max="5883" width="7.42578125" style="18" customWidth="1"/>
    <col min="5884" max="5884" width="5.5703125" style="18" customWidth="1"/>
    <col min="5885" max="5885" width="9" style="18" customWidth="1"/>
    <col min="5886" max="5887" width="9.85546875" style="18" customWidth="1"/>
    <col min="5888" max="5888" width="11.140625" style="18" customWidth="1"/>
    <col min="5889" max="5889" width="2.85546875" style="18" customWidth="1"/>
    <col min="5890" max="5890" width="3.5703125" style="18" customWidth="1"/>
    <col min="5891" max="6135" width="9.140625" style="18"/>
    <col min="6136" max="6136" width="8.5703125" style="18" customWidth="1"/>
    <col min="6137" max="6137" width="9.85546875" style="18" customWidth="1"/>
    <col min="6138" max="6138" width="14.42578125" style="18" customWidth="1"/>
    <col min="6139" max="6139" width="7.42578125" style="18" customWidth="1"/>
    <col min="6140" max="6140" width="5.5703125" style="18" customWidth="1"/>
    <col min="6141" max="6141" width="9" style="18" customWidth="1"/>
    <col min="6142" max="6143" width="9.85546875" style="18" customWidth="1"/>
    <col min="6144" max="6144" width="11.140625" style="18" customWidth="1"/>
    <col min="6145" max="6145" width="2.85546875" style="18" customWidth="1"/>
    <col min="6146" max="6146" width="3.5703125" style="18" customWidth="1"/>
    <col min="6147" max="6391" width="9.140625" style="18"/>
    <col min="6392" max="6392" width="8.5703125" style="18" customWidth="1"/>
    <col min="6393" max="6393" width="9.85546875" style="18" customWidth="1"/>
    <col min="6394" max="6394" width="14.42578125" style="18" customWidth="1"/>
    <col min="6395" max="6395" width="7.42578125" style="18" customWidth="1"/>
    <col min="6396" max="6396" width="5.5703125" style="18" customWidth="1"/>
    <col min="6397" max="6397" width="9" style="18" customWidth="1"/>
    <col min="6398" max="6399" width="9.85546875" style="18" customWidth="1"/>
    <col min="6400" max="6400" width="11.140625" style="18" customWidth="1"/>
    <col min="6401" max="6401" width="2.85546875" style="18" customWidth="1"/>
    <col min="6402" max="6402" width="3.5703125" style="18" customWidth="1"/>
    <col min="6403" max="6647" width="9.140625" style="18"/>
    <col min="6648" max="6648" width="8.5703125" style="18" customWidth="1"/>
    <col min="6649" max="6649" width="9.85546875" style="18" customWidth="1"/>
    <col min="6650" max="6650" width="14.42578125" style="18" customWidth="1"/>
    <col min="6651" max="6651" width="7.42578125" style="18" customWidth="1"/>
    <col min="6652" max="6652" width="5.5703125" style="18" customWidth="1"/>
    <col min="6653" max="6653" width="9" style="18" customWidth="1"/>
    <col min="6654" max="6655" width="9.85546875" style="18" customWidth="1"/>
    <col min="6656" max="6656" width="11.140625" style="18" customWidth="1"/>
    <col min="6657" max="6657" width="2.85546875" style="18" customWidth="1"/>
    <col min="6658" max="6658" width="3.5703125" style="18" customWidth="1"/>
    <col min="6659" max="6903" width="9.140625" style="18"/>
    <col min="6904" max="6904" width="8.5703125" style="18" customWidth="1"/>
    <col min="6905" max="6905" width="9.85546875" style="18" customWidth="1"/>
    <col min="6906" max="6906" width="14.42578125" style="18" customWidth="1"/>
    <col min="6907" max="6907" width="7.42578125" style="18" customWidth="1"/>
    <col min="6908" max="6908" width="5.5703125" style="18" customWidth="1"/>
    <col min="6909" max="6909" width="9" style="18" customWidth="1"/>
    <col min="6910" max="6911" width="9.85546875" style="18" customWidth="1"/>
    <col min="6912" max="6912" width="11.140625" style="18" customWidth="1"/>
    <col min="6913" max="6913" width="2.85546875" style="18" customWidth="1"/>
    <col min="6914" max="6914" width="3.5703125" style="18" customWidth="1"/>
    <col min="6915" max="7159" width="9.140625" style="18"/>
    <col min="7160" max="7160" width="8.5703125" style="18" customWidth="1"/>
    <col min="7161" max="7161" width="9.85546875" style="18" customWidth="1"/>
    <col min="7162" max="7162" width="14.42578125" style="18" customWidth="1"/>
    <col min="7163" max="7163" width="7.42578125" style="18" customWidth="1"/>
    <col min="7164" max="7164" width="5.5703125" style="18" customWidth="1"/>
    <col min="7165" max="7165" width="9" style="18" customWidth="1"/>
    <col min="7166" max="7167" width="9.85546875" style="18" customWidth="1"/>
    <col min="7168" max="7168" width="11.140625" style="18" customWidth="1"/>
    <col min="7169" max="7169" width="2.85546875" style="18" customWidth="1"/>
    <col min="7170" max="7170" width="3.5703125" style="18" customWidth="1"/>
    <col min="7171" max="7415" width="9.140625" style="18"/>
    <col min="7416" max="7416" width="8.5703125" style="18" customWidth="1"/>
    <col min="7417" max="7417" width="9.85546875" style="18" customWidth="1"/>
    <col min="7418" max="7418" width="14.42578125" style="18" customWidth="1"/>
    <col min="7419" max="7419" width="7.42578125" style="18" customWidth="1"/>
    <col min="7420" max="7420" width="5.5703125" style="18" customWidth="1"/>
    <col min="7421" max="7421" width="9" style="18" customWidth="1"/>
    <col min="7422" max="7423" width="9.85546875" style="18" customWidth="1"/>
    <col min="7424" max="7424" width="11.140625" style="18" customWidth="1"/>
    <col min="7425" max="7425" width="2.85546875" style="18" customWidth="1"/>
    <col min="7426" max="7426" width="3.5703125" style="18" customWidth="1"/>
    <col min="7427" max="7671" width="9.140625" style="18"/>
    <col min="7672" max="7672" width="8.5703125" style="18" customWidth="1"/>
    <col min="7673" max="7673" width="9.85546875" style="18" customWidth="1"/>
    <col min="7674" max="7674" width="14.42578125" style="18" customWidth="1"/>
    <col min="7675" max="7675" width="7.42578125" style="18" customWidth="1"/>
    <col min="7676" max="7676" width="5.5703125" style="18" customWidth="1"/>
    <col min="7677" max="7677" width="9" style="18" customWidth="1"/>
    <col min="7678" max="7679" width="9.85546875" style="18" customWidth="1"/>
    <col min="7680" max="7680" width="11.140625" style="18" customWidth="1"/>
    <col min="7681" max="7681" width="2.85546875" style="18" customWidth="1"/>
    <col min="7682" max="7682" width="3.5703125" style="18" customWidth="1"/>
    <col min="7683" max="7927" width="9.140625" style="18"/>
    <col min="7928" max="7928" width="8.5703125" style="18" customWidth="1"/>
    <col min="7929" max="7929" width="9.85546875" style="18" customWidth="1"/>
    <col min="7930" max="7930" width="14.42578125" style="18" customWidth="1"/>
    <col min="7931" max="7931" width="7.42578125" style="18" customWidth="1"/>
    <col min="7932" max="7932" width="5.5703125" style="18" customWidth="1"/>
    <col min="7933" max="7933" width="9" style="18" customWidth="1"/>
    <col min="7934" max="7935" width="9.85546875" style="18" customWidth="1"/>
    <col min="7936" max="7936" width="11.140625" style="18" customWidth="1"/>
    <col min="7937" max="7937" width="2.85546875" style="18" customWidth="1"/>
    <col min="7938" max="7938" width="3.5703125" style="18" customWidth="1"/>
    <col min="7939" max="8183" width="9.140625" style="18"/>
    <col min="8184" max="8184" width="8.5703125" style="18" customWidth="1"/>
    <col min="8185" max="8185" width="9.85546875" style="18" customWidth="1"/>
    <col min="8186" max="8186" width="14.42578125" style="18" customWidth="1"/>
    <col min="8187" max="8187" width="7.42578125" style="18" customWidth="1"/>
    <col min="8188" max="8188" width="5.5703125" style="18" customWidth="1"/>
    <col min="8189" max="8189" width="9" style="18" customWidth="1"/>
    <col min="8190" max="8191" width="9.85546875" style="18" customWidth="1"/>
    <col min="8192" max="8192" width="11.140625" style="18" customWidth="1"/>
    <col min="8193" max="8193" width="2.85546875" style="18" customWidth="1"/>
    <col min="8194" max="8194" width="3.5703125" style="18" customWidth="1"/>
    <col min="8195" max="8439" width="9.140625" style="18"/>
    <col min="8440" max="8440" width="8.5703125" style="18" customWidth="1"/>
    <col min="8441" max="8441" width="9.85546875" style="18" customWidth="1"/>
    <col min="8442" max="8442" width="14.42578125" style="18" customWidth="1"/>
    <col min="8443" max="8443" width="7.42578125" style="18" customWidth="1"/>
    <col min="8444" max="8444" width="5.5703125" style="18" customWidth="1"/>
    <col min="8445" max="8445" width="9" style="18" customWidth="1"/>
    <col min="8446" max="8447" width="9.85546875" style="18" customWidth="1"/>
    <col min="8448" max="8448" width="11.140625" style="18" customWidth="1"/>
    <col min="8449" max="8449" width="2.85546875" style="18" customWidth="1"/>
    <col min="8450" max="8450" width="3.5703125" style="18" customWidth="1"/>
    <col min="8451" max="8695" width="9.140625" style="18"/>
    <col min="8696" max="8696" width="8.5703125" style="18" customWidth="1"/>
    <col min="8697" max="8697" width="9.85546875" style="18" customWidth="1"/>
    <col min="8698" max="8698" width="14.42578125" style="18" customWidth="1"/>
    <col min="8699" max="8699" width="7.42578125" style="18" customWidth="1"/>
    <col min="8700" max="8700" width="5.5703125" style="18" customWidth="1"/>
    <col min="8701" max="8701" width="9" style="18" customWidth="1"/>
    <col min="8702" max="8703" width="9.85546875" style="18" customWidth="1"/>
    <col min="8704" max="8704" width="11.140625" style="18" customWidth="1"/>
    <col min="8705" max="8705" width="2.85546875" style="18" customWidth="1"/>
    <col min="8706" max="8706" width="3.5703125" style="18" customWidth="1"/>
    <col min="8707" max="8951" width="9.140625" style="18"/>
    <col min="8952" max="8952" width="8.5703125" style="18" customWidth="1"/>
    <col min="8953" max="8953" width="9.85546875" style="18" customWidth="1"/>
    <col min="8954" max="8954" width="14.42578125" style="18" customWidth="1"/>
    <col min="8955" max="8955" width="7.42578125" style="18" customWidth="1"/>
    <col min="8956" max="8956" width="5.5703125" style="18" customWidth="1"/>
    <col min="8957" max="8957" width="9" style="18" customWidth="1"/>
    <col min="8958" max="8959" width="9.85546875" style="18" customWidth="1"/>
    <col min="8960" max="8960" width="11.140625" style="18" customWidth="1"/>
    <col min="8961" max="8961" width="2.85546875" style="18" customWidth="1"/>
    <col min="8962" max="8962" width="3.5703125" style="18" customWidth="1"/>
    <col min="8963" max="9207" width="9.140625" style="18"/>
    <col min="9208" max="9208" width="8.5703125" style="18" customWidth="1"/>
    <col min="9209" max="9209" width="9.85546875" style="18" customWidth="1"/>
    <col min="9210" max="9210" width="14.42578125" style="18" customWidth="1"/>
    <col min="9211" max="9211" width="7.42578125" style="18" customWidth="1"/>
    <col min="9212" max="9212" width="5.5703125" style="18" customWidth="1"/>
    <col min="9213" max="9213" width="9" style="18" customWidth="1"/>
    <col min="9214" max="9215" width="9.85546875" style="18" customWidth="1"/>
    <col min="9216" max="9216" width="11.140625" style="18" customWidth="1"/>
    <col min="9217" max="9217" width="2.85546875" style="18" customWidth="1"/>
    <col min="9218" max="9218" width="3.5703125" style="18" customWidth="1"/>
    <col min="9219" max="9463" width="9.140625" style="18"/>
    <col min="9464" max="9464" width="8.5703125" style="18" customWidth="1"/>
    <col min="9465" max="9465" width="9.85546875" style="18" customWidth="1"/>
    <col min="9466" max="9466" width="14.42578125" style="18" customWidth="1"/>
    <col min="9467" max="9467" width="7.42578125" style="18" customWidth="1"/>
    <col min="9468" max="9468" width="5.5703125" style="18" customWidth="1"/>
    <col min="9469" max="9469" width="9" style="18" customWidth="1"/>
    <col min="9470" max="9471" width="9.85546875" style="18" customWidth="1"/>
    <col min="9472" max="9472" width="11.140625" style="18" customWidth="1"/>
    <col min="9473" max="9473" width="2.85546875" style="18" customWidth="1"/>
    <col min="9474" max="9474" width="3.5703125" style="18" customWidth="1"/>
    <col min="9475" max="9719" width="9.140625" style="18"/>
    <col min="9720" max="9720" width="8.5703125" style="18" customWidth="1"/>
    <col min="9721" max="9721" width="9.85546875" style="18" customWidth="1"/>
    <col min="9722" max="9722" width="14.42578125" style="18" customWidth="1"/>
    <col min="9723" max="9723" width="7.42578125" style="18" customWidth="1"/>
    <col min="9724" max="9724" width="5.5703125" style="18" customWidth="1"/>
    <col min="9725" max="9725" width="9" style="18" customWidth="1"/>
    <col min="9726" max="9727" width="9.85546875" style="18" customWidth="1"/>
    <col min="9728" max="9728" width="11.140625" style="18" customWidth="1"/>
    <col min="9729" max="9729" width="2.85546875" style="18" customWidth="1"/>
    <col min="9730" max="9730" width="3.5703125" style="18" customWidth="1"/>
    <col min="9731" max="9975" width="9.140625" style="18"/>
    <col min="9976" max="9976" width="8.5703125" style="18" customWidth="1"/>
    <col min="9977" max="9977" width="9.85546875" style="18" customWidth="1"/>
    <col min="9978" max="9978" width="14.42578125" style="18" customWidth="1"/>
    <col min="9979" max="9979" width="7.42578125" style="18" customWidth="1"/>
    <col min="9980" max="9980" width="5.5703125" style="18" customWidth="1"/>
    <col min="9981" max="9981" width="9" style="18" customWidth="1"/>
    <col min="9982" max="9983" width="9.85546875" style="18" customWidth="1"/>
    <col min="9984" max="9984" width="11.140625" style="18" customWidth="1"/>
    <col min="9985" max="9985" width="2.85546875" style="18" customWidth="1"/>
    <col min="9986" max="9986" width="3.5703125" style="18" customWidth="1"/>
    <col min="9987" max="10231" width="9.140625" style="18"/>
    <col min="10232" max="10232" width="8.5703125" style="18" customWidth="1"/>
    <col min="10233" max="10233" width="9.85546875" style="18" customWidth="1"/>
    <col min="10234" max="10234" width="14.42578125" style="18" customWidth="1"/>
    <col min="10235" max="10235" width="7.42578125" style="18" customWidth="1"/>
    <col min="10236" max="10236" width="5.5703125" style="18" customWidth="1"/>
    <col min="10237" max="10237" width="9" style="18" customWidth="1"/>
    <col min="10238" max="10239" width="9.85546875" style="18" customWidth="1"/>
    <col min="10240" max="10240" width="11.140625" style="18" customWidth="1"/>
    <col min="10241" max="10241" width="2.85546875" style="18" customWidth="1"/>
    <col min="10242" max="10242" width="3.5703125" style="18" customWidth="1"/>
    <col min="10243" max="10487" width="9.140625" style="18"/>
    <col min="10488" max="10488" width="8.5703125" style="18" customWidth="1"/>
    <col min="10489" max="10489" width="9.85546875" style="18" customWidth="1"/>
    <col min="10490" max="10490" width="14.42578125" style="18" customWidth="1"/>
    <col min="10491" max="10491" width="7.42578125" style="18" customWidth="1"/>
    <col min="10492" max="10492" width="5.5703125" style="18" customWidth="1"/>
    <col min="10493" max="10493" width="9" style="18" customWidth="1"/>
    <col min="10494" max="10495" width="9.85546875" style="18" customWidth="1"/>
    <col min="10496" max="10496" width="11.140625" style="18" customWidth="1"/>
    <col min="10497" max="10497" width="2.85546875" style="18" customWidth="1"/>
    <col min="10498" max="10498" width="3.5703125" style="18" customWidth="1"/>
    <col min="10499" max="10743" width="9.140625" style="18"/>
    <col min="10744" max="10744" width="8.5703125" style="18" customWidth="1"/>
    <col min="10745" max="10745" width="9.85546875" style="18" customWidth="1"/>
    <col min="10746" max="10746" width="14.42578125" style="18" customWidth="1"/>
    <col min="10747" max="10747" width="7.42578125" style="18" customWidth="1"/>
    <col min="10748" max="10748" width="5.5703125" style="18" customWidth="1"/>
    <col min="10749" max="10749" width="9" style="18" customWidth="1"/>
    <col min="10750" max="10751" width="9.85546875" style="18" customWidth="1"/>
    <col min="10752" max="10752" width="11.140625" style="18" customWidth="1"/>
    <col min="10753" max="10753" width="2.85546875" style="18" customWidth="1"/>
    <col min="10754" max="10754" width="3.5703125" style="18" customWidth="1"/>
    <col min="10755" max="10999" width="9.140625" style="18"/>
    <col min="11000" max="11000" width="8.5703125" style="18" customWidth="1"/>
    <col min="11001" max="11001" width="9.85546875" style="18" customWidth="1"/>
    <col min="11002" max="11002" width="14.42578125" style="18" customWidth="1"/>
    <col min="11003" max="11003" width="7.42578125" style="18" customWidth="1"/>
    <col min="11004" max="11004" width="5.5703125" style="18" customWidth="1"/>
    <col min="11005" max="11005" width="9" style="18" customWidth="1"/>
    <col min="11006" max="11007" width="9.85546875" style="18" customWidth="1"/>
    <col min="11008" max="11008" width="11.140625" style="18" customWidth="1"/>
    <col min="11009" max="11009" width="2.85546875" style="18" customWidth="1"/>
    <col min="11010" max="11010" width="3.5703125" style="18" customWidth="1"/>
    <col min="11011" max="11255" width="9.140625" style="18"/>
    <col min="11256" max="11256" width="8.5703125" style="18" customWidth="1"/>
    <col min="11257" max="11257" width="9.85546875" style="18" customWidth="1"/>
    <col min="11258" max="11258" width="14.42578125" style="18" customWidth="1"/>
    <col min="11259" max="11259" width="7.42578125" style="18" customWidth="1"/>
    <col min="11260" max="11260" width="5.5703125" style="18" customWidth="1"/>
    <col min="11261" max="11261" width="9" style="18" customWidth="1"/>
    <col min="11262" max="11263" width="9.85546875" style="18" customWidth="1"/>
    <col min="11264" max="11264" width="11.140625" style="18" customWidth="1"/>
    <col min="11265" max="11265" width="2.85546875" style="18" customWidth="1"/>
    <col min="11266" max="11266" width="3.5703125" style="18" customWidth="1"/>
    <col min="11267" max="11511" width="9.140625" style="18"/>
    <col min="11512" max="11512" width="8.5703125" style="18" customWidth="1"/>
    <col min="11513" max="11513" width="9.85546875" style="18" customWidth="1"/>
    <col min="11514" max="11514" width="14.42578125" style="18" customWidth="1"/>
    <col min="11515" max="11515" width="7.42578125" style="18" customWidth="1"/>
    <col min="11516" max="11516" width="5.5703125" style="18" customWidth="1"/>
    <col min="11517" max="11517" width="9" style="18" customWidth="1"/>
    <col min="11518" max="11519" width="9.85546875" style="18" customWidth="1"/>
    <col min="11520" max="11520" width="11.140625" style="18" customWidth="1"/>
    <col min="11521" max="11521" width="2.85546875" style="18" customWidth="1"/>
    <col min="11522" max="11522" width="3.5703125" style="18" customWidth="1"/>
    <col min="11523" max="11767" width="9.140625" style="18"/>
    <col min="11768" max="11768" width="8.5703125" style="18" customWidth="1"/>
    <col min="11769" max="11769" width="9.85546875" style="18" customWidth="1"/>
    <col min="11770" max="11770" width="14.42578125" style="18" customWidth="1"/>
    <col min="11771" max="11771" width="7.42578125" style="18" customWidth="1"/>
    <col min="11772" max="11772" width="5.5703125" style="18" customWidth="1"/>
    <col min="11773" max="11773" width="9" style="18" customWidth="1"/>
    <col min="11774" max="11775" width="9.85546875" style="18" customWidth="1"/>
    <col min="11776" max="11776" width="11.140625" style="18" customWidth="1"/>
    <col min="11777" max="11777" width="2.85546875" style="18" customWidth="1"/>
    <col min="11778" max="11778" width="3.5703125" style="18" customWidth="1"/>
    <col min="11779" max="12023" width="9.140625" style="18"/>
    <col min="12024" max="12024" width="8.5703125" style="18" customWidth="1"/>
    <col min="12025" max="12025" width="9.85546875" style="18" customWidth="1"/>
    <col min="12026" max="12026" width="14.42578125" style="18" customWidth="1"/>
    <col min="12027" max="12027" width="7.42578125" style="18" customWidth="1"/>
    <col min="12028" max="12028" width="5.5703125" style="18" customWidth="1"/>
    <col min="12029" max="12029" width="9" style="18" customWidth="1"/>
    <col min="12030" max="12031" width="9.85546875" style="18" customWidth="1"/>
    <col min="12032" max="12032" width="11.140625" style="18" customWidth="1"/>
    <col min="12033" max="12033" width="2.85546875" style="18" customWidth="1"/>
    <col min="12034" max="12034" width="3.5703125" style="18" customWidth="1"/>
    <col min="12035" max="12279" width="9.140625" style="18"/>
    <col min="12280" max="12280" width="8.5703125" style="18" customWidth="1"/>
    <col min="12281" max="12281" width="9.85546875" style="18" customWidth="1"/>
    <col min="12282" max="12282" width="14.42578125" style="18" customWidth="1"/>
    <col min="12283" max="12283" width="7.42578125" style="18" customWidth="1"/>
    <col min="12284" max="12284" width="5.5703125" style="18" customWidth="1"/>
    <col min="12285" max="12285" width="9" style="18" customWidth="1"/>
    <col min="12286" max="12287" width="9.85546875" style="18" customWidth="1"/>
    <col min="12288" max="12288" width="11.140625" style="18" customWidth="1"/>
    <col min="12289" max="12289" width="2.85546875" style="18" customWidth="1"/>
    <col min="12290" max="12290" width="3.5703125" style="18" customWidth="1"/>
    <col min="12291" max="12535" width="9.140625" style="18"/>
    <col min="12536" max="12536" width="8.5703125" style="18" customWidth="1"/>
    <col min="12537" max="12537" width="9.85546875" style="18" customWidth="1"/>
    <col min="12538" max="12538" width="14.42578125" style="18" customWidth="1"/>
    <col min="12539" max="12539" width="7.42578125" style="18" customWidth="1"/>
    <col min="12540" max="12540" width="5.5703125" style="18" customWidth="1"/>
    <col min="12541" max="12541" width="9" style="18" customWidth="1"/>
    <col min="12542" max="12543" width="9.85546875" style="18" customWidth="1"/>
    <col min="12544" max="12544" width="11.140625" style="18" customWidth="1"/>
    <col min="12545" max="12545" width="2.85546875" style="18" customWidth="1"/>
    <col min="12546" max="12546" width="3.5703125" style="18" customWidth="1"/>
    <col min="12547" max="12791" width="9.140625" style="18"/>
    <col min="12792" max="12792" width="8.5703125" style="18" customWidth="1"/>
    <col min="12793" max="12793" width="9.85546875" style="18" customWidth="1"/>
    <col min="12794" max="12794" width="14.42578125" style="18" customWidth="1"/>
    <col min="12795" max="12795" width="7.42578125" style="18" customWidth="1"/>
    <col min="12796" max="12796" width="5.5703125" style="18" customWidth="1"/>
    <col min="12797" max="12797" width="9" style="18" customWidth="1"/>
    <col min="12798" max="12799" width="9.85546875" style="18" customWidth="1"/>
    <col min="12800" max="12800" width="11.140625" style="18" customWidth="1"/>
    <col min="12801" max="12801" width="2.85546875" style="18" customWidth="1"/>
    <col min="12802" max="12802" width="3.5703125" style="18" customWidth="1"/>
    <col min="12803" max="13047" width="9.140625" style="18"/>
    <col min="13048" max="13048" width="8.5703125" style="18" customWidth="1"/>
    <col min="13049" max="13049" width="9.85546875" style="18" customWidth="1"/>
    <col min="13050" max="13050" width="14.42578125" style="18" customWidth="1"/>
    <col min="13051" max="13051" width="7.42578125" style="18" customWidth="1"/>
    <col min="13052" max="13052" width="5.5703125" style="18" customWidth="1"/>
    <col min="13053" max="13053" width="9" style="18" customWidth="1"/>
    <col min="13054" max="13055" width="9.85546875" style="18" customWidth="1"/>
    <col min="13056" max="13056" width="11.140625" style="18" customWidth="1"/>
    <col min="13057" max="13057" width="2.85546875" style="18" customWidth="1"/>
    <col min="13058" max="13058" width="3.5703125" style="18" customWidth="1"/>
    <col min="13059" max="13303" width="9.140625" style="18"/>
    <col min="13304" max="13304" width="8.5703125" style="18" customWidth="1"/>
    <col min="13305" max="13305" width="9.85546875" style="18" customWidth="1"/>
    <col min="13306" max="13306" width="14.42578125" style="18" customWidth="1"/>
    <col min="13307" max="13307" width="7.42578125" style="18" customWidth="1"/>
    <col min="13308" max="13308" width="5.5703125" style="18" customWidth="1"/>
    <col min="13309" max="13309" width="9" style="18" customWidth="1"/>
    <col min="13310" max="13311" width="9.85546875" style="18" customWidth="1"/>
    <col min="13312" max="13312" width="11.140625" style="18" customWidth="1"/>
    <col min="13313" max="13313" width="2.85546875" style="18" customWidth="1"/>
    <col min="13314" max="13314" width="3.5703125" style="18" customWidth="1"/>
    <col min="13315" max="13559" width="9.140625" style="18"/>
    <col min="13560" max="13560" width="8.5703125" style="18" customWidth="1"/>
    <col min="13561" max="13561" width="9.85546875" style="18" customWidth="1"/>
    <col min="13562" max="13562" width="14.42578125" style="18" customWidth="1"/>
    <col min="13563" max="13563" width="7.42578125" style="18" customWidth="1"/>
    <col min="13564" max="13564" width="5.5703125" style="18" customWidth="1"/>
    <col min="13565" max="13565" width="9" style="18" customWidth="1"/>
    <col min="13566" max="13567" width="9.85546875" style="18" customWidth="1"/>
    <col min="13568" max="13568" width="11.140625" style="18" customWidth="1"/>
    <col min="13569" max="13569" width="2.85546875" style="18" customWidth="1"/>
    <col min="13570" max="13570" width="3.5703125" style="18" customWidth="1"/>
    <col min="13571" max="13815" width="9.140625" style="18"/>
    <col min="13816" max="13816" width="8.5703125" style="18" customWidth="1"/>
    <col min="13817" max="13817" width="9.85546875" style="18" customWidth="1"/>
    <col min="13818" max="13818" width="14.42578125" style="18" customWidth="1"/>
    <col min="13819" max="13819" width="7.42578125" style="18" customWidth="1"/>
    <col min="13820" max="13820" width="5.5703125" style="18" customWidth="1"/>
    <col min="13821" max="13821" width="9" style="18" customWidth="1"/>
    <col min="13822" max="13823" width="9.85546875" style="18" customWidth="1"/>
    <col min="13824" max="13824" width="11.140625" style="18" customWidth="1"/>
    <col min="13825" max="13825" width="2.85546875" style="18" customWidth="1"/>
    <col min="13826" max="13826" width="3.5703125" style="18" customWidth="1"/>
    <col min="13827" max="14071" width="9.140625" style="18"/>
    <col min="14072" max="14072" width="8.5703125" style="18" customWidth="1"/>
    <col min="14073" max="14073" width="9.85546875" style="18" customWidth="1"/>
    <col min="14074" max="14074" width="14.42578125" style="18" customWidth="1"/>
    <col min="14075" max="14075" width="7.42578125" style="18" customWidth="1"/>
    <col min="14076" max="14076" width="5.5703125" style="18" customWidth="1"/>
    <col min="14077" max="14077" width="9" style="18" customWidth="1"/>
    <col min="14078" max="14079" width="9.85546875" style="18" customWidth="1"/>
    <col min="14080" max="14080" width="11.140625" style="18" customWidth="1"/>
    <col min="14081" max="14081" width="2.85546875" style="18" customWidth="1"/>
    <col min="14082" max="14082" width="3.5703125" style="18" customWidth="1"/>
    <col min="14083" max="14327" width="9.140625" style="18"/>
    <col min="14328" max="14328" width="8.5703125" style="18" customWidth="1"/>
    <col min="14329" max="14329" width="9.85546875" style="18" customWidth="1"/>
    <col min="14330" max="14330" width="14.42578125" style="18" customWidth="1"/>
    <col min="14331" max="14331" width="7.42578125" style="18" customWidth="1"/>
    <col min="14332" max="14332" width="5.5703125" style="18" customWidth="1"/>
    <col min="14333" max="14333" width="9" style="18" customWidth="1"/>
    <col min="14334" max="14335" width="9.85546875" style="18" customWidth="1"/>
    <col min="14336" max="14336" width="11.140625" style="18" customWidth="1"/>
    <col min="14337" max="14337" width="2.85546875" style="18" customWidth="1"/>
    <col min="14338" max="14338" width="3.5703125" style="18" customWidth="1"/>
    <col min="14339" max="14583" width="9.140625" style="18"/>
    <col min="14584" max="14584" width="8.5703125" style="18" customWidth="1"/>
    <col min="14585" max="14585" width="9.85546875" style="18" customWidth="1"/>
    <col min="14586" max="14586" width="14.42578125" style="18" customWidth="1"/>
    <col min="14587" max="14587" width="7.42578125" style="18" customWidth="1"/>
    <col min="14588" max="14588" width="5.5703125" style="18" customWidth="1"/>
    <col min="14589" max="14589" width="9" style="18" customWidth="1"/>
    <col min="14590" max="14591" width="9.85546875" style="18" customWidth="1"/>
    <col min="14592" max="14592" width="11.140625" style="18" customWidth="1"/>
    <col min="14593" max="14593" width="2.85546875" style="18" customWidth="1"/>
    <col min="14594" max="14594" width="3.5703125" style="18" customWidth="1"/>
    <col min="14595" max="14839" width="9.140625" style="18"/>
    <col min="14840" max="14840" width="8.5703125" style="18" customWidth="1"/>
    <col min="14841" max="14841" width="9.85546875" style="18" customWidth="1"/>
    <col min="14842" max="14842" width="14.42578125" style="18" customWidth="1"/>
    <col min="14843" max="14843" width="7.42578125" style="18" customWidth="1"/>
    <col min="14844" max="14844" width="5.5703125" style="18" customWidth="1"/>
    <col min="14845" max="14845" width="9" style="18" customWidth="1"/>
    <col min="14846" max="14847" width="9.85546875" style="18" customWidth="1"/>
    <col min="14848" max="14848" width="11.140625" style="18" customWidth="1"/>
    <col min="14849" max="14849" width="2.85546875" style="18" customWidth="1"/>
    <col min="14850" max="14850" width="3.5703125" style="18" customWidth="1"/>
    <col min="14851" max="15095" width="9.140625" style="18"/>
    <col min="15096" max="15096" width="8.5703125" style="18" customWidth="1"/>
    <col min="15097" max="15097" width="9.85546875" style="18" customWidth="1"/>
    <col min="15098" max="15098" width="14.42578125" style="18" customWidth="1"/>
    <col min="15099" max="15099" width="7.42578125" style="18" customWidth="1"/>
    <col min="15100" max="15100" width="5.5703125" style="18" customWidth="1"/>
    <col min="15101" max="15101" width="9" style="18" customWidth="1"/>
    <col min="15102" max="15103" width="9.85546875" style="18" customWidth="1"/>
    <col min="15104" max="15104" width="11.140625" style="18" customWidth="1"/>
    <col min="15105" max="15105" width="2.85546875" style="18" customWidth="1"/>
    <col min="15106" max="15106" width="3.5703125" style="18" customWidth="1"/>
    <col min="15107" max="15351" width="9.140625" style="18"/>
    <col min="15352" max="15352" width="8.5703125" style="18" customWidth="1"/>
    <col min="15353" max="15353" width="9.85546875" style="18" customWidth="1"/>
    <col min="15354" max="15354" width="14.42578125" style="18" customWidth="1"/>
    <col min="15355" max="15355" width="7.42578125" style="18" customWidth="1"/>
    <col min="15356" max="15356" width="5.5703125" style="18" customWidth="1"/>
    <col min="15357" max="15357" width="9" style="18" customWidth="1"/>
    <col min="15358" max="15359" width="9.85546875" style="18" customWidth="1"/>
    <col min="15360" max="15360" width="11.140625" style="18" customWidth="1"/>
    <col min="15361" max="15361" width="2.85546875" style="18" customWidth="1"/>
    <col min="15362" max="15362" width="3.5703125" style="18" customWidth="1"/>
    <col min="15363" max="15607" width="9.140625" style="18"/>
    <col min="15608" max="15608" width="8.5703125" style="18" customWidth="1"/>
    <col min="15609" max="15609" width="9.85546875" style="18" customWidth="1"/>
    <col min="15610" max="15610" width="14.42578125" style="18" customWidth="1"/>
    <col min="15611" max="15611" width="7.42578125" style="18" customWidth="1"/>
    <col min="15612" max="15612" width="5.5703125" style="18" customWidth="1"/>
    <col min="15613" max="15613" width="9" style="18" customWidth="1"/>
    <col min="15614" max="15615" width="9.85546875" style="18" customWidth="1"/>
    <col min="15616" max="15616" width="11.140625" style="18" customWidth="1"/>
    <col min="15617" max="15617" width="2.85546875" style="18" customWidth="1"/>
    <col min="15618" max="15618" width="3.5703125" style="18" customWidth="1"/>
    <col min="15619" max="15863" width="9.140625" style="18"/>
    <col min="15864" max="15864" width="8.5703125" style="18" customWidth="1"/>
    <col min="15865" max="15865" width="9.85546875" style="18" customWidth="1"/>
    <col min="15866" max="15866" width="14.42578125" style="18" customWidth="1"/>
    <col min="15867" max="15867" width="7.42578125" style="18" customWidth="1"/>
    <col min="15868" max="15868" width="5.5703125" style="18" customWidth="1"/>
    <col min="15869" max="15869" width="9" style="18" customWidth="1"/>
    <col min="15870" max="15871" width="9.85546875" style="18" customWidth="1"/>
    <col min="15872" max="15872" width="11.140625" style="18" customWidth="1"/>
    <col min="15873" max="15873" width="2.85546875" style="18" customWidth="1"/>
    <col min="15874" max="15874" width="3.5703125" style="18" customWidth="1"/>
    <col min="15875" max="16119" width="9.140625" style="18"/>
    <col min="16120" max="16120" width="8.5703125" style="18" customWidth="1"/>
    <col min="16121" max="16121" width="9.85546875" style="18" customWidth="1"/>
    <col min="16122" max="16122" width="14.42578125" style="18" customWidth="1"/>
    <col min="16123" max="16123" width="7.42578125" style="18" customWidth="1"/>
    <col min="16124" max="16124" width="5.5703125" style="18" customWidth="1"/>
    <col min="16125" max="16125" width="9" style="18" customWidth="1"/>
    <col min="16126" max="16127" width="9.85546875" style="18" customWidth="1"/>
    <col min="16128" max="16128" width="11.140625" style="18" customWidth="1"/>
    <col min="16129" max="16129" width="2.85546875" style="18" customWidth="1"/>
    <col min="16130" max="16130" width="3.5703125" style="18" customWidth="1"/>
    <col min="16131" max="16384" width="9.140625" style="18"/>
  </cols>
  <sheetData>
    <row r="1" spans="1:8" ht="46.5" customHeight="1">
      <c r="A1" s="173" t="s">
        <v>0</v>
      </c>
      <c r="B1" s="173"/>
      <c r="C1" s="173"/>
      <c r="D1" s="173"/>
      <c r="E1" s="173"/>
      <c r="F1" s="173"/>
      <c r="G1" s="173"/>
      <c r="H1" s="173"/>
    </row>
    <row r="2" spans="1:8" ht="16.5" customHeight="1">
      <c r="A2" s="107" t="s">
        <v>1</v>
      </c>
      <c r="B2" s="107"/>
      <c r="C2" s="107"/>
      <c r="D2" s="107"/>
      <c r="E2" s="107"/>
      <c r="F2" s="107"/>
      <c r="G2" s="107"/>
      <c r="H2" s="107"/>
    </row>
    <row r="3" spans="1:8">
      <c r="A3" s="73" t="s">
        <v>2</v>
      </c>
      <c r="B3" s="73"/>
      <c r="C3" s="73"/>
      <c r="D3" s="73"/>
      <c r="E3" s="73" t="str">
        <f ca="1">TEXT(TODAY(),"DD/MM/YYYY")</f>
        <v>14/09/2025</v>
      </c>
      <c r="F3" s="73"/>
      <c r="G3" s="73"/>
      <c r="H3" s="73"/>
    </row>
    <row r="4" spans="1:8" ht="15" customHeight="1">
      <c r="A4" s="73" t="s">
        <v>3</v>
      </c>
      <c r="B4" s="73"/>
      <c r="C4" s="73"/>
      <c r="D4" s="73"/>
      <c r="E4" s="73" t="s">
        <v>4</v>
      </c>
      <c r="F4" s="73"/>
      <c r="G4" s="73"/>
      <c r="H4" s="73"/>
    </row>
    <row r="5" spans="1:8">
      <c r="A5" s="73" t="s">
        <v>5</v>
      </c>
      <c r="B5" s="73"/>
      <c r="C5" s="73"/>
      <c r="D5" s="73"/>
      <c r="E5" s="174">
        <v>45910</v>
      </c>
      <c r="F5" s="73"/>
      <c r="G5" s="73"/>
      <c r="H5" s="73"/>
    </row>
    <row r="6" spans="1:8" ht="16.5" customHeight="1">
      <c r="A6" s="73" t="s">
        <v>6</v>
      </c>
      <c r="B6" s="73"/>
      <c r="C6" s="73"/>
      <c r="D6" s="73"/>
      <c r="E6" s="73" t="s">
        <v>7</v>
      </c>
      <c r="F6" s="73"/>
      <c r="G6" s="73"/>
      <c r="H6" s="73"/>
    </row>
    <row r="7" spans="1:8" ht="15" customHeight="1">
      <c r="A7" s="73" t="s">
        <v>8</v>
      </c>
      <c r="B7" s="73"/>
      <c r="C7" s="73"/>
      <c r="D7" s="73"/>
      <c r="E7" s="73" t="str">
        <f>E6</f>
        <v>Vl Savli Developers LLP</v>
      </c>
      <c r="F7" s="73"/>
      <c r="G7" s="73"/>
      <c r="H7" s="73"/>
    </row>
    <row r="8" spans="1:8">
      <c r="A8" s="73" t="s">
        <v>9</v>
      </c>
      <c r="B8" s="73"/>
      <c r="C8" s="73"/>
      <c r="D8" s="73"/>
      <c r="E8" s="137" t="s">
        <v>10</v>
      </c>
      <c r="F8" s="137"/>
      <c r="G8" s="137"/>
      <c r="H8" s="137"/>
    </row>
    <row r="9" spans="1:8">
      <c r="A9" s="73" t="s">
        <v>11</v>
      </c>
      <c r="B9" s="73"/>
      <c r="C9" s="73"/>
      <c r="D9" s="73"/>
      <c r="E9" s="73">
        <v>8104714579</v>
      </c>
      <c r="F9" s="73"/>
      <c r="G9" s="73"/>
      <c r="H9" s="73"/>
    </row>
    <row r="10" spans="1:8">
      <c r="A10" s="73" t="s">
        <v>12</v>
      </c>
      <c r="B10" s="73"/>
      <c r="C10" s="73"/>
      <c r="D10" s="73"/>
      <c r="E10" s="72" t="s">
        <v>280</v>
      </c>
      <c r="F10" s="73"/>
      <c r="G10" s="73"/>
      <c r="H10" s="73"/>
    </row>
    <row r="11" spans="1:8" ht="50.25" customHeight="1">
      <c r="A11" s="73" t="s">
        <v>13</v>
      </c>
      <c r="B11" s="73"/>
      <c r="C11" s="73"/>
      <c r="D11" s="73"/>
      <c r="E11" s="72" t="s">
        <v>14</v>
      </c>
      <c r="F11" s="73"/>
      <c r="G11" s="73"/>
      <c r="H11" s="73"/>
    </row>
    <row r="12" spans="1:8">
      <c r="A12" s="73" t="s">
        <v>15</v>
      </c>
      <c r="B12" s="73"/>
      <c r="C12" s="73"/>
      <c r="D12" s="73"/>
      <c r="E12" s="72" t="s">
        <v>16</v>
      </c>
      <c r="F12" s="72"/>
      <c r="G12" s="72"/>
      <c r="H12" s="72"/>
    </row>
    <row r="13" spans="1:8" ht="54.75" customHeight="1">
      <c r="A13" s="73" t="s">
        <v>17</v>
      </c>
      <c r="B13" s="73"/>
      <c r="C13" s="73"/>
      <c r="D13" s="73"/>
      <c r="E13" s="72" t="s">
        <v>18</v>
      </c>
      <c r="F13" s="73"/>
      <c r="G13" s="73"/>
      <c r="H13" s="73"/>
    </row>
    <row r="14" spans="1:8" ht="45" customHeight="1">
      <c r="A14" s="72" t="s">
        <v>19</v>
      </c>
      <c r="B14" s="72"/>
      <c r="C14" s="72" t="s">
        <v>20</v>
      </c>
      <c r="D14" s="72"/>
      <c r="E14" s="72"/>
      <c r="F14" s="72"/>
      <c r="G14" s="72"/>
      <c r="H14" s="72"/>
    </row>
    <row r="15" spans="1:8">
      <c r="A15" s="72" t="s">
        <v>21</v>
      </c>
      <c r="B15" s="72"/>
      <c r="C15" s="72" t="s">
        <v>22</v>
      </c>
      <c r="D15" s="72"/>
      <c r="E15" s="72"/>
      <c r="F15" s="72"/>
      <c r="G15" s="72"/>
      <c r="H15" s="72"/>
    </row>
    <row r="16" spans="1:8" ht="15.75" customHeight="1">
      <c r="A16" s="72" t="s">
        <v>23</v>
      </c>
      <c r="B16" s="72"/>
      <c r="C16" s="73" t="s">
        <v>24</v>
      </c>
      <c r="D16" s="73"/>
      <c r="E16" s="72" t="s">
        <v>25</v>
      </c>
      <c r="F16" s="72"/>
      <c r="G16" s="72" t="s">
        <v>26</v>
      </c>
      <c r="H16" s="72"/>
    </row>
    <row r="17" spans="1:8">
      <c r="A17" s="73" t="s">
        <v>27</v>
      </c>
      <c r="B17" s="73"/>
      <c r="C17" s="72" t="s">
        <v>28</v>
      </c>
      <c r="D17" s="72"/>
      <c r="E17" s="72" t="s">
        <v>29</v>
      </c>
      <c r="F17" s="72"/>
      <c r="G17" s="171" t="s">
        <v>30</v>
      </c>
      <c r="H17" s="171"/>
    </row>
    <row r="18" spans="1:8">
      <c r="A18" s="73" t="s">
        <v>31</v>
      </c>
      <c r="B18" s="73"/>
      <c r="C18" s="72" t="s">
        <v>32</v>
      </c>
      <c r="D18" s="72"/>
      <c r="E18" s="72" t="s">
        <v>33</v>
      </c>
      <c r="F18" s="72"/>
      <c r="G18" s="72">
        <v>400083</v>
      </c>
      <c r="H18" s="72"/>
    </row>
    <row r="19" spans="1:8" ht="32.25" customHeight="1">
      <c r="A19" s="73" t="s">
        <v>34</v>
      </c>
      <c r="B19" s="73"/>
      <c r="C19" s="72" t="s">
        <v>35</v>
      </c>
      <c r="D19" s="72"/>
      <c r="E19" s="72" t="s">
        <v>36</v>
      </c>
      <c r="F19" s="72"/>
      <c r="G19" s="72" t="s">
        <v>37</v>
      </c>
      <c r="H19" s="72"/>
    </row>
    <row r="20" spans="1:8" ht="15" customHeight="1">
      <c r="A20" s="72" t="s">
        <v>38</v>
      </c>
      <c r="B20" s="72"/>
      <c r="C20" s="72"/>
      <c r="D20" s="72"/>
      <c r="E20" s="73" t="s">
        <v>39</v>
      </c>
      <c r="F20" s="73"/>
      <c r="G20" s="73"/>
      <c r="H20" s="73"/>
    </row>
    <row r="21" spans="1:8" ht="18.75" customHeight="1">
      <c r="A21" s="72"/>
      <c r="B21" s="72"/>
      <c r="C21" s="72"/>
      <c r="D21" s="72"/>
      <c r="E21" s="73"/>
      <c r="F21" s="73"/>
      <c r="G21" s="73"/>
      <c r="H21" s="73"/>
    </row>
    <row r="22" spans="1:8" ht="15" customHeight="1">
      <c r="A22" s="72" t="s">
        <v>40</v>
      </c>
      <c r="B22" s="72"/>
      <c r="C22" s="72"/>
      <c r="D22" s="72"/>
      <c r="E22" s="72" t="s">
        <v>41</v>
      </c>
      <c r="F22" s="72"/>
      <c r="G22" s="72"/>
      <c r="H22" s="72"/>
    </row>
    <row r="23" spans="1:8" ht="15" customHeight="1">
      <c r="A23" s="73" t="s">
        <v>42</v>
      </c>
      <c r="B23" s="73"/>
      <c r="C23" s="73"/>
      <c r="D23" s="73"/>
      <c r="E23" s="72" t="str">
        <f>IF(AND(G17="Mumbai"),"Upper Class","Middle Class")</f>
        <v>Upper Class</v>
      </c>
      <c r="F23" s="72"/>
      <c r="G23" s="72"/>
      <c r="H23" s="72"/>
    </row>
    <row r="24" spans="1:8">
      <c r="A24" s="73" t="s">
        <v>43</v>
      </c>
      <c r="B24" s="73"/>
      <c r="C24" s="73"/>
      <c r="D24" s="73"/>
      <c r="E24" s="72" t="s">
        <v>44</v>
      </c>
      <c r="F24" s="72"/>
      <c r="G24" s="72"/>
      <c r="H24" s="72"/>
    </row>
    <row r="25" spans="1:8" ht="15.75" customHeight="1">
      <c r="A25" s="73" t="s">
        <v>45</v>
      </c>
      <c r="B25" s="73"/>
      <c r="C25" s="73"/>
      <c r="D25" s="73"/>
      <c r="E25" s="72" t="str">
        <f>IF(AND(G17="Mumbai"),"Developed","Developing")</f>
        <v>Developed</v>
      </c>
      <c r="F25" s="72"/>
      <c r="G25" s="72"/>
      <c r="H25" s="72"/>
    </row>
    <row r="26" spans="1:8">
      <c r="A26" s="73" t="s">
        <v>46</v>
      </c>
      <c r="B26" s="73"/>
      <c r="C26" s="73"/>
      <c r="D26" s="73"/>
      <c r="E26" s="72" t="s">
        <v>47</v>
      </c>
      <c r="F26" s="72"/>
      <c r="G26" s="72"/>
      <c r="H26" s="72"/>
    </row>
    <row r="27" spans="1:8" ht="15.75" customHeight="1">
      <c r="A27" s="73" t="s">
        <v>48</v>
      </c>
      <c r="B27" s="73"/>
      <c r="C27" s="73"/>
      <c r="D27" s="73"/>
      <c r="E27" s="72" t="s">
        <v>49</v>
      </c>
      <c r="F27" s="72"/>
      <c r="G27" s="72"/>
      <c r="H27" s="72"/>
    </row>
    <row r="28" spans="1:8" ht="15" customHeight="1">
      <c r="A28" s="73" t="s">
        <v>50</v>
      </c>
      <c r="B28" s="73"/>
      <c r="C28" s="73"/>
      <c r="D28" s="73"/>
      <c r="E28" s="72" t="str">
        <f>IF(AND(ISNUMBER(SEARCH("Flat",D59)),ISNUMBER(SEARCH("Shop",D59)),ISNUMBER(SEARCH("Office",D59))),"Residential + Commercial",IF(AND(ISNUMBER(SEARCH("Flat",D59)),ISNUMBER(SEARCH("Shop",D59))),"Residential + Commercial",IF(AND(ISNUMBER(SEARCH("Flat",D59)),ISNUMBER(SEARCH("Office",D59))),"Residential + Commercial",IF(AND(ISNUMBER(SEARCH("Shop",D59)),ISNUMBER(SEARCH("Office",D59))),"Commercial",IF(ISNUMBER(SEARCH("Shop",D59)),"Commercial",IF(ISNUMBER(SEARCH("Office",D59)),"Commercial",IF(ISNUMBER(SEARCH("Flat",D59)),"Residential")))))))</f>
        <v>Residential + Commercial</v>
      </c>
      <c r="F28" s="72"/>
      <c r="G28" s="72"/>
      <c r="H28" s="72"/>
    </row>
    <row r="29" spans="1:8" ht="15.75" customHeight="1">
      <c r="A29" s="73" t="s">
        <v>51</v>
      </c>
      <c r="B29" s="73"/>
      <c r="C29" s="73"/>
      <c r="D29" s="73"/>
      <c r="E29" s="72" t="s">
        <v>52</v>
      </c>
      <c r="F29" s="72"/>
      <c r="G29" s="72"/>
      <c r="H29" s="72"/>
    </row>
    <row r="30" spans="1:8">
      <c r="A30" s="172" t="s">
        <v>53</v>
      </c>
      <c r="B30" s="172"/>
      <c r="C30" s="107" t="s">
        <v>54</v>
      </c>
      <c r="D30" s="107"/>
      <c r="E30" s="107"/>
      <c r="F30" s="107" t="s">
        <v>55</v>
      </c>
      <c r="G30" s="107"/>
      <c r="H30" s="107"/>
    </row>
    <row r="31" spans="1:8">
      <c r="A31" s="167" t="s">
        <v>56</v>
      </c>
      <c r="B31" s="167" t="s">
        <v>57</v>
      </c>
      <c r="C31" s="168" t="s">
        <v>57</v>
      </c>
      <c r="D31" s="168"/>
      <c r="E31" s="168"/>
      <c r="F31" s="168" t="s">
        <v>58</v>
      </c>
      <c r="G31" s="168"/>
      <c r="H31" s="168"/>
    </row>
    <row r="32" spans="1:8">
      <c r="A32" s="167" t="s">
        <v>59</v>
      </c>
      <c r="B32" s="167" t="s">
        <v>57</v>
      </c>
      <c r="C32" s="168" t="s">
        <v>57</v>
      </c>
      <c r="D32" s="168"/>
      <c r="E32" s="168"/>
      <c r="F32" s="168" t="s">
        <v>60</v>
      </c>
      <c r="G32" s="168"/>
      <c r="H32" s="168"/>
    </row>
    <row r="33" spans="1:8">
      <c r="A33" s="167" t="s">
        <v>61</v>
      </c>
      <c r="B33" s="167" t="s">
        <v>57</v>
      </c>
      <c r="C33" s="168" t="s">
        <v>57</v>
      </c>
      <c r="D33" s="168"/>
      <c r="E33" s="168"/>
      <c r="F33" s="168" t="s">
        <v>24</v>
      </c>
      <c r="G33" s="168"/>
      <c r="H33" s="168"/>
    </row>
    <row r="34" spans="1:8">
      <c r="A34" s="167" t="s">
        <v>62</v>
      </c>
      <c r="B34" s="167" t="s">
        <v>57</v>
      </c>
      <c r="C34" s="168" t="s">
        <v>57</v>
      </c>
      <c r="D34" s="168"/>
      <c r="E34" s="168"/>
      <c r="F34" s="168" t="s">
        <v>63</v>
      </c>
      <c r="G34" s="168"/>
      <c r="H34" s="168"/>
    </row>
    <row r="35" spans="1:8">
      <c r="A35" s="73" t="s">
        <v>64</v>
      </c>
      <c r="B35" s="73"/>
      <c r="C35" s="73"/>
      <c r="D35" s="73"/>
      <c r="E35" s="73"/>
      <c r="F35" s="73"/>
      <c r="G35" s="73"/>
      <c r="H35" s="73"/>
    </row>
    <row r="36" spans="1:8" ht="15.75" customHeight="1">
      <c r="A36" s="168" t="s">
        <v>65</v>
      </c>
      <c r="B36" s="168"/>
      <c r="C36" s="169" t="s">
        <v>66</v>
      </c>
      <c r="D36" s="169"/>
      <c r="E36" s="169"/>
      <c r="F36" s="169"/>
      <c r="G36" s="169"/>
      <c r="H36" s="169"/>
    </row>
    <row r="37" spans="1:8" ht="15.75" customHeight="1">
      <c r="A37" s="73" t="s">
        <v>67</v>
      </c>
      <c r="B37" s="73"/>
      <c r="C37" s="170" t="s">
        <v>68</v>
      </c>
      <c r="D37" s="171"/>
      <c r="E37" s="171"/>
      <c r="F37" s="171"/>
      <c r="G37" s="171"/>
      <c r="H37" s="171"/>
    </row>
    <row r="38" spans="1:8">
      <c r="A38" s="137" t="s">
        <v>69</v>
      </c>
      <c r="B38" s="137"/>
      <c r="C38" s="137"/>
      <c r="D38" s="137"/>
      <c r="E38" s="137"/>
      <c r="F38" s="137"/>
      <c r="G38" s="137"/>
      <c r="H38" s="137"/>
    </row>
    <row r="39" spans="1:8">
      <c r="A39" s="73" t="s">
        <v>70</v>
      </c>
      <c r="B39" s="73"/>
      <c r="C39" s="73"/>
      <c r="D39" s="73"/>
      <c r="E39" s="164">
        <v>3814.45</v>
      </c>
      <c r="F39" s="164"/>
      <c r="G39" s="164"/>
      <c r="H39" s="164"/>
    </row>
    <row r="40" spans="1:8">
      <c r="A40" s="73" t="s">
        <v>71</v>
      </c>
      <c r="B40" s="73"/>
      <c r="C40" s="73"/>
      <c r="D40" s="73"/>
      <c r="E40" s="165">
        <v>3</v>
      </c>
      <c r="F40" s="165"/>
      <c r="G40" s="165"/>
      <c r="H40" s="165"/>
    </row>
    <row r="41" spans="1:8">
      <c r="A41" s="73" t="s">
        <v>72</v>
      </c>
      <c r="B41" s="73"/>
      <c r="C41" s="73"/>
      <c r="D41" s="73"/>
      <c r="E41" s="165">
        <f>E43/E39-E40</f>
        <v>2.9060021759362433</v>
      </c>
      <c r="F41" s="165"/>
      <c r="G41" s="165"/>
      <c r="H41" s="165"/>
    </row>
    <row r="42" spans="1:8">
      <c r="A42" s="73" t="s">
        <v>73</v>
      </c>
      <c r="B42" s="73"/>
      <c r="C42" s="73"/>
      <c r="D42" s="73"/>
      <c r="E42" s="165">
        <f>E40+E41</f>
        <v>5.9060021759362433</v>
      </c>
      <c r="F42" s="165"/>
      <c r="G42" s="165"/>
      <c r="H42" s="165"/>
    </row>
    <row r="43" spans="1:8">
      <c r="A43" s="73" t="s">
        <v>74</v>
      </c>
      <c r="B43" s="73"/>
      <c r="C43" s="73"/>
      <c r="D43" s="73"/>
      <c r="E43" s="166">
        <v>22528.15</v>
      </c>
      <c r="F43" s="166"/>
      <c r="G43" s="166"/>
      <c r="H43" s="166"/>
    </row>
    <row r="44" spans="1:8">
      <c r="A44" s="73" t="s">
        <v>75</v>
      </c>
      <c r="B44" s="73"/>
      <c r="C44" s="73"/>
      <c r="D44" s="73"/>
      <c r="E44" s="73" t="s">
        <v>76</v>
      </c>
      <c r="F44" s="73"/>
      <c r="G44" s="73"/>
      <c r="H44" s="73"/>
    </row>
    <row r="45" spans="1:8">
      <c r="A45" s="137" t="s">
        <v>77</v>
      </c>
      <c r="B45" s="137"/>
      <c r="C45" s="137"/>
      <c r="D45" s="137"/>
      <c r="E45" s="137"/>
      <c r="F45" s="137"/>
      <c r="G45" s="137"/>
      <c r="H45" s="137"/>
    </row>
    <row r="46" spans="1:8" ht="33.75" customHeight="1">
      <c r="A46" s="158" t="s">
        <v>78</v>
      </c>
      <c r="B46" s="160"/>
      <c r="C46" s="162" t="s">
        <v>79</v>
      </c>
      <c r="D46" s="163"/>
      <c r="E46" s="163"/>
      <c r="F46" s="163"/>
      <c r="G46" s="163"/>
      <c r="H46" s="68"/>
    </row>
    <row r="47" spans="1:8" ht="15.75" customHeight="1">
      <c r="A47" s="158" t="s">
        <v>80</v>
      </c>
      <c r="B47" s="160"/>
      <c r="C47" s="158" t="s">
        <v>81</v>
      </c>
      <c r="D47" s="159"/>
      <c r="E47" s="160"/>
      <c r="F47" s="20" t="s">
        <v>82</v>
      </c>
      <c r="G47" s="161">
        <v>44658</v>
      </c>
      <c r="H47" s="160"/>
    </row>
    <row r="48" spans="1:8">
      <c r="A48" s="158" t="s">
        <v>83</v>
      </c>
      <c r="B48" s="160"/>
      <c r="C48" s="158" t="str">
        <f>C47</f>
        <v>Mhada9/539/2022</v>
      </c>
      <c r="D48" s="159"/>
      <c r="E48" s="160"/>
      <c r="F48" s="20" t="s">
        <v>82</v>
      </c>
      <c r="G48" s="161">
        <f>G47</f>
        <v>44658</v>
      </c>
      <c r="H48" s="160"/>
    </row>
    <row r="49" spans="1:14" ht="15.75" customHeight="1">
      <c r="A49" s="94" t="s">
        <v>84</v>
      </c>
      <c r="B49" s="95"/>
      <c r="C49" s="158" t="s">
        <v>85</v>
      </c>
      <c r="D49" s="159"/>
      <c r="E49" s="160"/>
      <c r="F49" s="20" t="s">
        <v>82</v>
      </c>
      <c r="G49" s="161">
        <v>44729</v>
      </c>
      <c r="H49" s="160"/>
    </row>
    <row r="50" spans="1:14" ht="332.25" customHeight="1">
      <c r="A50" s="96"/>
      <c r="B50" s="97"/>
      <c r="C50" s="158" t="s">
        <v>86</v>
      </c>
      <c r="D50" s="159"/>
      <c r="E50" s="159"/>
      <c r="F50" s="159"/>
      <c r="G50" s="159"/>
      <c r="H50" s="160"/>
    </row>
    <row r="51" spans="1:14" ht="15.75" customHeight="1">
      <c r="A51" s="94" t="s">
        <v>84</v>
      </c>
      <c r="B51" s="95"/>
      <c r="C51" s="158" t="s">
        <v>87</v>
      </c>
      <c r="D51" s="159"/>
      <c r="E51" s="160"/>
      <c r="F51" s="20" t="s">
        <v>82</v>
      </c>
      <c r="G51" s="161" t="s">
        <v>88</v>
      </c>
      <c r="H51" s="160"/>
    </row>
    <row r="52" spans="1:14" ht="111.75" customHeight="1">
      <c r="A52" s="96"/>
      <c r="B52" s="97"/>
      <c r="C52" s="158" t="s">
        <v>89</v>
      </c>
      <c r="D52" s="159"/>
      <c r="E52" s="159"/>
      <c r="F52" s="159"/>
      <c r="G52" s="159"/>
      <c r="H52" s="160"/>
    </row>
    <row r="53" spans="1:14">
      <c r="A53" s="94" t="s">
        <v>84</v>
      </c>
      <c r="B53" s="95"/>
      <c r="C53" s="158" t="s">
        <v>90</v>
      </c>
      <c r="D53" s="159"/>
      <c r="E53" s="160"/>
      <c r="F53" s="20" t="s">
        <v>82</v>
      </c>
      <c r="G53" s="161" t="s">
        <v>91</v>
      </c>
      <c r="H53" s="160"/>
    </row>
    <row r="54" spans="1:14" ht="111.95" customHeight="1">
      <c r="A54" s="96"/>
      <c r="B54" s="97"/>
      <c r="C54" s="158" t="s">
        <v>92</v>
      </c>
      <c r="D54" s="159"/>
      <c r="E54" s="159"/>
      <c r="F54" s="159"/>
      <c r="G54" s="159"/>
      <c r="H54" s="160"/>
    </row>
    <row r="55" spans="1:14" ht="96" customHeight="1">
      <c r="A55" s="64" t="s">
        <v>276</v>
      </c>
      <c r="B55" s="65"/>
      <c r="C55" s="64" t="s">
        <v>277</v>
      </c>
      <c r="D55" s="66"/>
      <c r="E55" s="65"/>
      <c r="F55" s="21" t="s">
        <v>82</v>
      </c>
      <c r="G55" s="67">
        <v>45684</v>
      </c>
      <c r="H55" s="68"/>
    </row>
    <row r="56" spans="1:14">
      <c r="A56" s="64" t="s">
        <v>93</v>
      </c>
      <c r="B56" s="65"/>
      <c r="C56" s="64" t="s">
        <v>278</v>
      </c>
      <c r="D56" s="66"/>
      <c r="E56" s="65"/>
      <c r="F56" s="21" t="s">
        <v>82</v>
      </c>
      <c r="G56" s="67" t="s">
        <v>57</v>
      </c>
      <c r="H56" s="68"/>
    </row>
    <row r="57" spans="1:14">
      <c r="A57" s="115" t="s">
        <v>94</v>
      </c>
      <c r="B57" s="115"/>
      <c r="C57" s="115"/>
      <c r="D57" s="115"/>
      <c r="E57" s="115"/>
      <c r="F57" s="115"/>
      <c r="G57" s="115"/>
      <c r="H57" s="115"/>
    </row>
    <row r="58" spans="1:14">
      <c r="A58" s="72" t="s">
        <v>95</v>
      </c>
      <c r="B58" s="72"/>
      <c r="C58" s="72"/>
      <c r="D58" s="73">
        <f>E43</f>
        <v>22528.15</v>
      </c>
      <c r="E58" s="73"/>
      <c r="F58" s="73"/>
      <c r="G58" s="73"/>
      <c r="H58" s="73"/>
    </row>
    <row r="59" spans="1:14">
      <c r="A59" s="72" t="s">
        <v>96</v>
      </c>
      <c r="B59" s="73"/>
      <c r="C59" s="73"/>
      <c r="D59" s="73" t="s">
        <v>97</v>
      </c>
      <c r="E59" s="73"/>
      <c r="F59" s="73"/>
      <c r="G59" s="73"/>
      <c r="H59" s="73"/>
      <c r="I59" s="22"/>
    </row>
    <row r="60" spans="1:14" ht="51.75" customHeight="1">
      <c r="A60" s="94" t="s">
        <v>98</v>
      </c>
      <c r="B60" s="98"/>
      <c r="C60" s="98"/>
      <c r="D60" s="155" t="s">
        <v>99</v>
      </c>
      <c r="E60" s="154"/>
      <c r="F60" s="154"/>
      <c r="G60" s="154"/>
      <c r="H60" s="154"/>
    </row>
    <row r="61" spans="1:14" ht="15.75" customHeight="1">
      <c r="A61" s="94" t="s">
        <v>100</v>
      </c>
      <c r="B61" s="98"/>
      <c r="C61" s="95"/>
      <c r="D61" s="73" t="s">
        <v>101</v>
      </c>
      <c r="E61" s="73"/>
      <c r="F61" s="73"/>
      <c r="G61" s="73"/>
      <c r="H61" s="73"/>
      <c r="J61" s="18">
        <f>354+21+3</f>
        <v>378</v>
      </c>
    </row>
    <row r="62" spans="1:14" ht="15.75" customHeight="1">
      <c r="A62" s="99"/>
      <c r="B62" s="100"/>
      <c r="C62" s="101"/>
      <c r="D62" s="73" t="s">
        <v>102</v>
      </c>
      <c r="E62" s="73"/>
      <c r="F62" s="73"/>
      <c r="G62" s="73"/>
      <c r="H62" s="73"/>
    </row>
    <row r="63" spans="1:14" ht="15.75" customHeight="1">
      <c r="A63" s="96"/>
      <c r="B63" s="102"/>
      <c r="C63" s="97"/>
      <c r="D63" s="73" t="s">
        <v>103</v>
      </c>
      <c r="E63" s="73"/>
      <c r="F63" s="73"/>
      <c r="G63" s="73"/>
      <c r="H63" s="73"/>
    </row>
    <row r="64" spans="1:14" ht="15.75" customHeight="1">
      <c r="A64" s="73" t="s">
        <v>104</v>
      </c>
      <c r="B64" s="73"/>
      <c r="C64" s="73"/>
      <c r="D64" s="156" t="s">
        <v>105</v>
      </c>
      <c r="E64" s="156"/>
      <c r="F64" s="156"/>
      <c r="G64" s="156"/>
      <c r="H64" s="156"/>
      <c r="J64" s="23"/>
      <c r="K64" s="22"/>
      <c r="N64" s="22"/>
    </row>
    <row r="65" spans="1:14" ht="15.75" customHeight="1">
      <c r="A65" s="73" t="s">
        <v>106</v>
      </c>
      <c r="B65" s="73"/>
      <c r="C65" s="73"/>
      <c r="D65" s="157" t="str">
        <f>(IF(G56="NA","60 Years After Completion",IF(G56&lt;&gt;"NA",""&amp;60-ROUNDDOWN((E3-G56)/360,0)&amp;" Years"," ")))</f>
        <v>60 Years After Completion</v>
      </c>
      <c r="E65" s="157"/>
      <c r="F65" s="157"/>
      <c r="G65" s="157"/>
      <c r="H65" s="157"/>
      <c r="N65" s="22"/>
    </row>
    <row r="66" spans="1:14" ht="15.75" customHeight="1">
      <c r="A66" s="73" t="s">
        <v>107</v>
      </c>
      <c r="B66" s="73"/>
      <c r="C66" s="73"/>
      <c r="D66" s="72" t="s">
        <v>47</v>
      </c>
      <c r="E66" s="72"/>
      <c r="F66" s="72"/>
      <c r="G66" s="72"/>
      <c r="H66" s="72"/>
      <c r="J66" s="31"/>
      <c r="K66" s="31"/>
    </row>
    <row r="67" spans="1:14" ht="30" customHeight="1">
      <c r="A67" s="73" t="s">
        <v>108</v>
      </c>
      <c r="B67" s="73"/>
      <c r="C67" s="73"/>
      <c r="D67" s="72" t="s">
        <v>109</v>
      </c>
      <c r="E67" s="72"/>
      <c r="F67" s="72"/>
      <c r="G67" s="72"/>
      <c r="H67" s="72"/>
    </row>
    <row r="68" spans="1:14">
      <c r="A68" s="72" t="s">
        <v>110</v>
      </c>
      <c r="B68" s="72"/>
      <c r="C68" s="72"/>
      <c r="D68" s="72" t="s">
        <v>57</v>
      </c>
      <c r="E68" s="72"/>
      <c r="F68" s="72"/>
      <c r="G68" s="72"/>
      <c r="H68" s="72"/>
      <c r="I68" s="32"/>
      <c r="J68" s="32"/>
      <c r="K68" s="32"/>
      <c r="L68" s="32"/>
      <c r="M68" s="32"/>
      <c r="N68" s="32"/>
    </row>
    <row r="69" spans="1:14" ht="15.75" customHeight="1">
      <c r="A69" s="154" t="s">
        <v>111</v>
      </c>
      <c r="B69" s="154"/>
      <c r="C69" s="154"/>
      <c r="D69" s="155" t="str">
        <f ca="1">(IF(G105&gt;95%,"Nothing",IF(G76&gt;0%,"Cement, Aggregate, Steel, etc",IF(G76=0%,"Work not yet Started"))))</f>
        <v>Cement, Aggregate, Steel, etc</v>
      </c>
      <c r="E69" s="155"/>
      <c r="F69" s="155"/>
      <c r="G69" s="155"/>
      <c r="H69" s="155"/>
      <c r="J69" s="31"/>
    </row>
    <row r="70" spans="1:14" ht="33.75" customHeight="1">
      <c r="A70" s="155" t="s">
        <v>112</v>
      </c>
      <c r="B70" s="155"/>
      <c r="C70" s="155"/>
      <c r="D70" s="155" t="str">
        <f ca="1">(IF(D69="Nothing","Yes",IF(D69="Cement, Aggregate, Steel, etc","Under Construction",IF(D69="Work not yet Started","Work not yet Started"))))</f>
        <v>Under Construction</v>
      </c>
      <c r="E70" s="155"/>
      <c r="F70" s="155" t="str">
        <f ca="1">(IF(D69="Nothing","Yes",IF(D69="Cement, Aggregate, Steel, etc","Under Construction",IF(D69="Work not yet Started","Work not yet Started"))))</f>
        <v>Under Construction</v>
      </c>
      <c r="G70" s="155"/>
      <c r="H70" s="155"/>
    </row>
    <row r="71" spans="1:14">
      <c r="A71" s="145" t="s">
        <v>113</v>
      </c>
      <c r="B71" s="146"/>
      <c r="C71" s="147" t="str">
        <f>D61</f>
        <v>Phase 1A (Wing E &amp; F) = Gr/St + 1st to 23rd Floor</v>
      </c>
      <c r="D71" s="148"/>
      <c r="E71" s="148"/>
      <c r="F71" s="148"/>
      <c r="G71" s="148"/>
      <c r="H71" s="149"/>
      <c r="I71" s="33" t="str">
        <f ca="1">IF(D85=100%,"All work Completed. Possession granted to the Building.",IF(D84=100%,"All work Completed, Waiting for OC",I72&amp;""&amp;I73&amp;""&amp;J72&amp;""&amp;J71&amp;" "&amp;J73))</f>
        <v>All work Completed. Possession granted to the Building.</v>
      </c>
      <c r="J71" s="34" t="str">
        <f ca="1">(IF(C78=(D72+F72+H72),"",IF(C78&gt;0,", RCC upto "&amp;C78&amp;" Slab","")))&amp;(IF(C79=H72,"",IF(C79&gt;0,", Brickwork upto "&amp;C79&amp;" Floor","")))&amp;(IF(C80=H72,"",IF(C80&gt;0,", Internal Plaster upto "&amp;C80&amp;" Floor","")))&amp;(IF(C81=H72,"",IF(C81&gt;0,", External Plaster upto "&amp;C81&amp;" Floor","")))&amp;(IF(C82=H72,"",IF(C82&gt;0,", Flooring upto "&amp;C82&amp;" Floor","")))&amp;(IF(C83=H72,"",IF(C83&gt;0,", Painting upto "&amp;C83&amp;" Floor","")))&amp;(IF(C84=H72,"",IF(C84&gt;0,", Finishing upto "&amp;C84&amp;" Floor","")))&amp;(IF(C85=H72,"",IF(C85&gt;0,", Finishing upto "&amp;C85&amp;" Floor","")))</f>
        <v/>
      </c>
    </row>
    <row r="72" spans="1:14">
      <c r="A72" s="24" t="s">
        <v>114</v>
      </c>
      <c r="B72" s="19">
        <v>0</v>
      </c>
      <c r="C72" s="19" t="s">
        <v>115</v>
      </c>
      <c r="D72" s="19">
        <v>1</v>
      </c>
      <c r="E72" s="19" t="s">
        <v>116</v>
      </c>
      <c r="F72" s="19">
        <v>0</v>
      </c>
      <c r="G72" s="19" t="s">
        <v>117</v>
      </c>
      <c r="H72" s="25">
        <f ca="1">--TRIM(RIGHT(SUBSTITUTE(LEFT(C71,_xlfn.AGGREGATE(16,6,FIND({0,1,2,3,4,5,6,7,8,9},C71,ROW(INDIRECT("1:"&amp;LEN(C71)))),1))," ",REPT(" ",LEN(C71))),LEN(C71)))</f>
        <v>23</v>
      </c>
      <c r="I72" s="35" t="str">
        <f ca="1">IF(D76=100%,"Excavation","")&amp;IF(D77=100%,", Plinth","")&amp;IF(D78=100%,", RCC Slab","")&amp;IF(D79=100%,", Brickwork","")&amp;IF(D80=100%,", Internal Plaster","")&amp;IF(D81=100%,", External Plaster","")&amp;IF(D82=100%,", Flooring","")&amp;IF(D83=100%,", Painting","")&amp;IF(D84=100%,", Building common Amenities","")</f>
        <v>Excavation, Plinth, RCC Slab, Brickwork, Internal Plaster, External Plaster, Flooring, Painting, Building common Amenities</v>
      </c>
      <c r="J72" s="36" t="str">
        <f ca="1">(IF(C76=0,"Work not yet Started.",IF(D76=25%,"Piling work in process",IF(D76=50%,"Excavation work in process",IF(D76=100%,"","0")))))&amp;(IF(C77=0%,"",IF(C77=J78,", Footing work is process",IF(C77=J79,", Footing work Completed",IF(C77=J80,", 1st Basement Completed",IF(C77=J81,", 1st &amp; 2nd Basement Completed",IF(C77=J82,", 1st to 3rd Basement Completed",IF(C77=J83,", 1st to 4th Basement Completed",IF(C77=J84,", Plinth work is process",IF(C77=J85,"","0"))))))))))</f>
        <v/>
      </c>
    </row>
    <row r="73" spans="1:14">
      <c r="A73" s="150" t="s">
        <v>118</v>
      </c>
      <c r="B73" s="137"/>
      <c r="C73" s="151" t="str">
        <f ca="1">(IF($G$56="NA",I71,"All work Completed. OC Received."))</f>
        <v>All work Completed. Possession granted to the Building.</v>
      </c>
      <c r="D73" s="151"/>
      <c r="E73" s="151"/>
      <c r="F73" s="151"/>
      <c r="G73" s="151"/>
      <c r="H73" s="152"/>
      <c r="I73" s="35" t="str">
        <f ca="1">IF(I72&lt;&gt;""," Completed","")</f>
        <v xml:space="preserve"> Completed</v>
      </c>
      <c r="J73" s="36" t="str">
        <f ca="1">IF(J71&lt;&gt;"","Completed","")</f>
        <v/>
      </c>
    </row>
    <row r="74" spans="1:14" ht="30.95" customHeight="1">
      <c r="A74" s="57" t="s">
        <v>122</v>
      </c>
      <c r="B74" s="58"/>
      <c r="C74" s="59">
        <f ca="1">E76</f>
        <v>1</v>
      </c>
      <c r="D74" s="60"/>
      <c r="E74" s="61" t="s">
        <v>123</v>
      </c>
      <c r="F74" s="60"/>
      <c r="G74" s="59">
        <f ca="1">G76</f>
        <v>1</v>
      </c>
      <c r="H74" s="62"/>
      <c r="I74" s="35"/>
      <c r="J74" s="36"/>
    </row>
    <row r="75" spans="1:14" ht="15.75" hidden="1" customHeight="1">
      <c r="A75" s="141" t="s">
        <v>119</v>
      </c>
      <c r="B75" s="142"/>
      <c r="C75" s="26" t="s">
        <v>120</v>
      </c>
      <c r="D75" s="26" t="s">
        <v>121</v>
      </c>
      <c r="E75" s="142" t="s">
        <v>122</v>
      </c>
      <c r="F75" s="142"/>
      <c r="G75" s="142" t="s">
        <v>123</v>
      </c>
      <c r="H75" s="153"/>
      <c r="I75" s="37" t="s">
        <v>124</v>
      </c>
      <c r="J75" s="38">
        <f ca="1">H72*25%</f>
        <v>5.75</v>
      </c>
    </row>
    <row r="76" spans="1:14" hidden="1">
      <c r="A76" s="141" t="s">
        <v>125</v>
      </c>
      <c r="B76" s="142"/>
      <c r="C76" s="26">
        <f ca="1">J77</f>
        <v>23</v>
      </c>
      <c r="D76" s="27">
        <f ca="1">((100/H72)*C76)/100</f>
        <v>1</v>
      </c>
      <c r="E76" s="74">
        <f ca="1">(((C77/H72*10)+(40/(D72+F72+H72)*C78)+(7.5/(H72)*C79)+(7.5/(H72)*C80)+(10/H72*C81)+(10/H72*C82)+(5/H72*C83)+(5/H72*C84)+(5/H72*C85))/100)</f>
        <v>1</v>
      </c>
      <c r="F76" s="75"/>
      <c r="G76" s="74">
        <f ca="1">((((C76/H72)*20)+((C77/H72)*25)+(30/(H72+F72+D72)*C78)+(5/H72*C79)+(5/H72*C80)+(5/H72*C81)+(5/H72*C82)+(0/H72*C83)+(0/H72*C84)+(5/H72*C85))/100)</f>
        <v>1</v>
      </c>
      <c r="H76" s="80"/>
      <c r="I76" s="37" t="s">
        <v>126</v>
      </c>
      <c r="J76" s="39">
        <f ca="1">H72*50%</f>
        <v>11.5</v>
      </c>
    </row>
    <row r="77" spans="1:14" hidden="1">
      <c r="A77" s="141" t="s">
        <v>127</v>
      </c>
      <c r="B77" s="142"/>
      <c r="C77" s="28">
        <f ca="1">J85</f>
        <v>23</v>
      </c>
      <c r="D77" s="27">
        <f ca="1">((100/H72)*C77)/100</f>
        <v>1</v>
      </c>
      <c r="E77" s="76"/>
      <c r="F77" s="77"/>
      <c r="G77" s="76"/>
      <c r="H77" s="81"/>
      <c r="I77" s="37" t="s">
        <v>128</v>
      </c>
      <c r="J77" s="39">
        <f ca="1">H72</f>
        <v>23</v>
      </c>
    </row>
    <row r="78" spans="1:14" ht="15.75" hidden="1" customHeight="1">
      <c r="A78" s="141" t="s">
        <v>129</v>
      </c>
      <c r="B78" s="142"/>
      <c r="C78" s="26">
        <v>24</v>
      </c>
      <c r="D78" s="27">
        <f ca="1">((100/(D72+F72+H72))*C78)/100</f>
        <v>1</v>
      </c>
      <c r="E78" s="76"/>
      <c r="F78" s="77"/>
      <c r="G78" s="76"/>
      <c r="H78" s="81"/>
      <c r="I78" s="37" t="s">
        <v>130</v>
      </c>
      <c r="J78" s="40">
        <f ca="1">(IF(B72&gt;1,(H72/(B72+2)),H72/4))</f>
        <v>5.75</v>
      </c>
    </row>
    <row r="79" spans="1:14" ht="15.75" hidden="1" customHeight="1">
      <c r="A79" s="141" t="s">
        <v>131</v>
      </c>
      <c r="B79" s="142" t="s">
        <v>132</v>
      </c>
      <c r="C79" s="26">
        <v>23</v>
      </c>
      <c r="D79" s="27">
        <f ca="1">((100/H72)*C79)/100</f>
        <v>1</v>
      </c>
      <c r="E79" s="76"/>
      <c r="F79" s="77"/>
      <c r="G79" s="76"/>
      <c r="H79" s="81"/>
      <c r="I79" s="37" t="s">
        <v>133</v>
      </c>
      <c r="J79" s="40">
        <f ca="1">(IF(B72&gt;1,(H72/(B72+2)+J78),H72/4+J78))</f>
        <v>11.5</v>
      </c>
    </row>
    <row r="80" spans="1:14" ht="15.75" hidden="1" customHeight="1">
      <c r="A80" s="141" t="s">
        <v>134</v>
      </c>
      <c r="B80" s="142" t="s">
        <v>132</v>
      </c>
      <c r="C80" s="26">
        <v>23</v>
      </c>
      <c r="D80" s="27">
        <f ca="1">((100/H72)*C80)/100</f>
        <v>1</v>
      </c>
      <c r="E80" s="76"/>
      <c r="F80" s="77"/>
      <c r="G80" s="76"/>
      <c r="H80" s="81"/>
      <c r="I80" s="37" t="s">
        <v>135</v>
      </c>
      <c r="J80" s="40">
        <f>(IF(B72&gt;1,(H72/(B72+2)+J79),0))</f>
        <v>0</v>
      </c>
    </row>
    <row r="81" spans="1:10" ht="15" hidden="1" customHeight="1">
      <c r="A81" s="141" t="s">
        <v>136</v>
      </c>
      <c r="B81" s="142" t="s">
        <v>137</v>
      </c>
      <c r="C81" s="26">
        <v>23</v>
      </c>
      <c r="D81" s="27">
        <f ca="1">((100/(H72))*C81)/100</f>
        <v>1</v>
      </c>
      <c r="E81" s="76"/>
      <c r="F81" s="77"/>
      <c r="G81" s="76"/>
      <c r="H81" s="81"/>
      <c r="I81" s="37" t="s">
        <v>138</v>
      </c>
      <c r="J81" s="40">
        <f>(IF(B72&gt;2,(H72/(B72+2)+J80),0))</f>
        <v>0</v>
      </c>
    </row>
    <row r="82" spans="1:10" ht="15.75" hidden="1" customHeight="1">
      <c r="A82" s="141" t="s">
        <v>139</v>
      </c>
      <c r="B82" s="142" t="s">
        <v>139</v>
      </c>
      <c r="C82" s="26">
        <v>23</v>
      </c>
      <c r="D82" s="27">
        <f ca="1">((100/H72)*C82)/100</f>
        <v>1</v>
      </c>
      <c r="E82" s="76"/>
      <c r="F82" s="77"/>
      <c r="G82" s="76"/>
      <c r="H82" s="81"/>
      <c r="I82" s="37" t="s">
        <v>140</v>
      </c>
      <c r="J82" s="41">
        <f>(IF(B72&gt;3,(H72/(B72+2)+J81),0))</f>
        <v>0</v>
      </c>
    </row>
    <row r="83" spans="1:10" ht="15.75" hidden="1" customHeight="1">
      <c r="A83" s="141" t="s">
        <v>141</v>
      </c>
      <c r="B83" s="142"/>
      <c r="C83" s="26">
        <v>23</v>
      </c>
      <c r="D83" s="27">
        <f ca="1">((100/H72)*C83)/100</f>
        <v>1</v>
      </c>
      <c r="E83" s="76"/>
      <c r="F83" s="77"/>
      <c r="G83" s="76"/>
      <c r="H83" s="81"/>
      <c r="I83" s="37" t="s">
        <v>142</v>
      </c>
      <c r="J83" s="40">
        <f>(IF(B72&gt;4,(H72/(B72+2)+J82),0))</f>
        <v>0</v>
      </c>
    </row>
    <row r="84" spans="1:10" ht="15.75" hidden="1" customHeight="1">
      <c r="A84" s="141" t="s">
        <v>143</v>
      </c>
      <c r="B84" s="142" t="s">
        <v>143</v>
      </c>
      <c r="C84" s="26">
        <v>23</v>
      </c>
      <c r="D84" s="27">
        <f ca="1">((100/(H72))*C84)/100</f>
        <v>1</v>
      </c>
      <c r="E84" s="76"/>
      <c r="F84" s="77"/>
      <c r="G84" s="76"/>
      <c r="H84" s="81"/>
      <c r="I84" s="37" t="s">
        <v>144</v>
      </c>
      <c r="J84" s="40">
        <f ca="1">(IF(B72=1,(H72/(B72+3)+J79),IF(B72=0,(H72/4+J79),IF(B72&gt;1,0))))</f>
        <v>17.25</v>
      </c>
    </row>
    <row r="85" spans="1:10" hidden="1">
      <c r="A85" s="143" t="s">
        <v>145</v>
      </c>
      <c r="B85" s="144"/>
      <c r="C85" s="29">
        <v>23</v>
      </c>
      <c r="D85" s="30">
        <f ca="1">((100/(H72))*C85)/100</f>
        <v>1</v>
      </c>
      <c r="E85" s="78"/>
      <c r="F85" s="79"/>
      <c r="G85" s="78"/>
      <c r="H85" s="82"/>
      <c r="I85" s="42" t="s">
        <v>146</v>
      </c>
      <c r="J85" s="43">
        <f ca="1">(IF(B72&gt;1.5,(H72/(B72+2)+J79+MAX(0,J80-J79)+MAX(0,J81-J80)+MAX(0,J82-J81)+MAX(0,J83-J82)+MAX(0,J84-J83)),IF(B72=1,(H72/(B72+3)+J84),IF(B72=0,H72/4+J84))))</f>
        <v>23</v>
      </c>
    </row>
    <row r="86" spans="1:10" ht="15.75" customHeight="1">
      <c r="A86" s="145" t="s">
        <v>113</v>
      </c>
      <c r="B86" s="146"/>
      <c r="C86" s="147" t="str">
        <f>D62</f>
        <v>Phase 1B (Wing C &amp; D)= Gr/St + 1st to 23rd Floor</v>
      </c>
      <c r="D86" s="148"/>
      <c r="E86" s="148"/>
      <c r="F86" s="148"/>
      <c r="G86" s="148"/>
      <c r="H86" s="149"/>
      <c r="I86" s="33" t="str">
        <f ca="1">IF(D100=100%,"All work Completed. Possession granted to the Building.",IF(D99=100%,"All work Completed, Waiting for OC",I87&amp;""&amp;I88&amp;""&amp;J87&amp;""&amp;J86&amp;" "&amp;J88))</f>
        <v>All work Completed. Possession granted to the Building.</v>
      </c>
      <c r="J86" s="34" t="str">
        <f ca="1">(IF(C93=(D87+F87+H87),"",IF(C93&gt;0,", RCC upto "&amp;C93&amp;" Slab","")))&amp;(IF(C94=H87,"",IF(C94&gt;0,", Brickwork upto "&amp;C94&amp;" Floor","")))&amp;(IF(C95=H87,"",IF(C95&gt;0,", Internal Plaster upto "&amp;C95&amp;" Floor","")))&amp;(IF(C96=H87,"",IF(C96&gt;0,", External Plaster upto "&amp;C96&amp;" Floor","")))&amp;(IF(C97=H87,"",IF(C97&gt;0,", Flooring upto "&amp;C97&amp;" Floor","")))&amp;(IF(C98=H87,"",IF(C98&gt;0,", Painting upto "&amp;C98&amp;" Floor","")))&amp;(IF(C99=H87,"",IF(C99&gt;0,", Finishing upto "&amp;C99&amp;" Floor","")))&amp;(IF(C100=H87,"",IF(C100&gt;0,", Finishing upto "&amp;C100&amp;" Floor","")))</f>
        <v/>
      </c>
    </row>
    <row r="87" spans="1:10">
      <c r="A87" s="24" t="s">
        <v>114</v>
      </c>
      <c r="B87" s="19">
        <v>0</v>
      </c>
      <c r="C87" s="19" t="s">
        <v>115</v>
      </c>
      <c r="D87" s="19">
        <v>1</v>
      </c>
      <c r="E87" s="19" t="s">
        <v>116</v>
      </c>
      <c r="F87" s="19">
        <v>0</v>
      </c>
      <c r="G87" s="19" t="s">
        <v>117</v>
      </c>
      <c r="H87" s="25">
        <f ca="1">--TRIM(RIGHT(SUBSTITUTE(LEFT(C86,_xlfn.AGGREGATE(16,6,FIND({0,1,2,3,4,5,6,7,8,9},C86,ROW(INDIRECT("1:"&amp;LEN(C86)))),1))," ",REPT(" ",LEN(C86))),LEN(C86)))</f>
        <v>23</v>
      </c>
      <c r="I87" s="35" t="str">
        <f ca="1">IF(D91=100%,"Excavation","")&amp;IF(D92=100%,", Plinth","")&amp;IF(D93=100%,", RCC Slab","")&amp;IF(D94=100%,", Brickwork","")&amp;IF(D95=100%,", Internal Plaster","")&amp;IF(D96=100%,", External Plaster","")&amp;IF(D97=100%,", Flooring","")&amp;IF(D98=100%,", Painting","")&amp;IF(D99=100%,", Building common Amenities","")</f>
        <v>Excavation, Plinth, RCC Slab, Brickwork, Internal Plaster, External Plaster, Flooring, Painting, Building common Amenities</v>
      </c>
      <c r="J87" s="36" t="str">
        <f ca="1">(IF(C91=0,"Work not yet Started.",IF(D91=25%,"Piling work in process",IF(D91=50%,"Excavation work in process",IF(D91=100%,"","0")))))&amp;(IF(C92=0%,"",IF(C92=J93,", Footing work is process",IF(C92=J94,", Footing work Completed",IF(C92=J95,", 1st Basement Completed",IF(C92=J96,", 1st &amp; 2nd Basement Completed",IF(C92=J97,", 1st to 3rd Basement Completed",IF(C92=J98,", 1st to 4th Basement Completed",IF(C92=J99,", Plinth work is process",IF(C92=J100,"","0"))))))))))</f>
        <v/>
      </c>
    </row>
    <row r="88" spans="1:10">
      <c r="A88" s="150" t="s">
        <v>118</v>
      </c>
      <c r="B88" s="137"/>
      <c r="C88" s="151" t="str">
        <f ca="1">(IF($G$56="NA",I86,"All work Completed. OC Received."))</f>
        <v>All work Completed. Possession granted to the Building.</v>
      </c>
      <c r="D88" s="151"/>
      <c r="E88" s="151"/>
      <c r="F88" s="151"/>
      <c r="G88" s="151"/>
      <c r="H88" s="152"/>
      <c r="I88" s="35" t="str">
        <f ca="1">IF(I87&lt;&gt;""," Completed","")</f>
        <v xml:space="preserve"> Completed</v>
      </c>
      <c r="J88" s="36" t="str">
        <f ca="1">IF(J86&lt;&gt;"","Completed","")</f>
        <v/>
      </c>
    </row>
    <row r="89" spans="1:10" ht="30.95" customHeight="1">
      <c r="A89" s="57" t="s">
        <v>122</v>
      </c>
      <c r="B89" s="58"/>
      <c r="C89" s="59">
        <f ca="1">E91</f>
        <v>1</v>
      </c>
      <c r="D89" s="60"/>
      <c r="E89" s="61" t="s">
        <v>123</v>
      </c>
      <c r="F89" s="60"/>
      <c r="G89" s="59">
        <f ca="1">G91</f>
        <v>1</v>
      </c>
      <c r="H89" s="62"/>
      <c r="I89" s="35"/>
      <c r="J89" s="36"/>
    </row>
    <row r="90" spans="1:10" ht="15.75" hidden="1" customHeight="1">
      <c r="A90" s="141" t="s">
        <v>119</v>
      </c>
      <c r="B90" s="142"/>
      <c r="C90" s="26" t="s">
        <v>120</v>
      </c>
      <c r="D90" s="26" t="s">
        <v>121</v>
      </c>
      <c r="E90" s="142" t="s">
        <v>122</v>
      </c>
      <c r="F90" s="142"/>
      <c r="G90" s="142" t="s">
        <v>123</v>
      </c>
      <c r="H90" s="153"/>
      <c r="I90" s="37" t="s">
        <v>124</v>
      </c>
      <c r="J90" s="38">
        <f ca="1">H87*25%</f>
        <v>5.75</v>
      </c>
    </row>
    <row r="91" spans="1:10" hidden="1">
      <c r="A91" s="141" t="s">
        <v>125</v>
      </c>
      <c r="B91" s="142"/>
      <c r="C91" s="26">
        <v>23</v>
      </c>
      <c r="D91" s="27">
        <f ca="1">((100/H87)*C91)/100</f>
        <v>1</v>
      </c>
      <c r="E91" s="74">
        <f ca="1">(((C92/H87*10)+(40/(D87+F87+H87)*C93)+(7.5/(H87)*C94)+(7.5/(H87)*C95)+(10/H87*C96)+(10/H87*C97)+(5/H87*C98)+(5/H87*C99)+(5/H87*C100))/100)</f>
        <v>1</v>
      </c>
      <c r="F91" s="75"/>
      <c r="G91" s="74">
        <f ca="1">((((C91/H87)*20)+((C92/H87)*25)+(30/(H87+F87+D87)*C93)+(5/H87*C94)+(5/H87*C95)+(5/H87*C96)+(5/H87*C97)+(0/H87*C98)+(0/H87*C99)+(5/H87*C100))/100)</f>
        <v>1</v>
      </c>
      <c r="H91" s="80"/>
      <c r="I91" s="37" t="s">
        <v>126</v>
      </c>
      <c r="J91" s="39">
        <f ca="1">H87*50%</f>
        <v>11.5</v>
      </c>
    </row>
    <row r="92" spans="1:10" hidden="1">
      <c r="A92" s="141" t="s">
        <v>127</v>
      </c>
      <c r="B92" s="142"/>
      <c r="C92" s="28">
        <v>23</v>
      </c>
      <c r="D92" s="27">
        <f ca="1">((100/H87)*C92)/100</f>
        <v>1</v>
      </c>
      <c r="E92" s="76"/>
      <c r="F92" s="77"/>
      <c r="G92" s="76"/>
      <c r="H92" s="81"/>
      <c r="I92" s="37" t="s">
        <v>128</v>
      </c>
      <c r="J92" s="39">
        <f ca="1">H87</f>
        <v>23</v>
      </c>
    </row>
    <row r="93" spans="1:10" ht="15.75" hidden="1" customHeight="1">
      <c r="A93" s="141" t="s">
        <v>129</v>
      </c>
      <c r="B93" s="142"/>
      <c r="C93" s="26">
        <v>24</v>
      </c>
      <c r="D93" s="27">
        <f ca="1">((100/(D87+F87+H87))*C93)/100</f>
        <v>1</v>
      </c>
      <c r="E93" s="76"/>
      <c r="F93" s="77"/>
      <c r="G93" s="76"/>
      <c r="H93" s="81"/>
      <c r="I93" s="37" t="s">
        <v>130</v>
      </c>
      <c r="J93" s="40">
        <f ca="1">(IF(B87&gt;1,(H87/(B87+2)),H87/4))</f>
        <v>5.75</v>
      </c>
    </row>
    <row r="94" spans="1:10" ht="15.75" hidden="1" customHeight="1">
      <c r="A94" s="141" t="s">
        <v>131</v>
      </c>
      <c r="B94" s="142" t="s">
        <v>132</v>
      </c>
      <c r="C94" s="26">
        <v>23</v>
      </c>
      <c r="D94" s="27">
        <f ca="1">((100/H87)*C94)/100</f>
        <v>1</v>
      </c>
      <c r="E94" s="76"/>
      <c r="F94" s="77"/>
      <c r="G94" s="76"/>
      <c r="H94" s="81"/>
      <c r="I94" s="37" t="s">
        <v>133</v>
      </c>
      <c r="J94" s="40">
        <f ca="1">(IF(B87&gt;1,(H87/(B87+2)+J93),H87/4+J93))</f>
        <v>11.5</v>
      </c>
    </row>
    <row r="95" spans="1:10" ht="15.75" hidden="1" customHeight="1">
      <c r="A95" s="141" t="s">
        <v>134</v>
      </c>
      <c r="B95" s="142" t="s">
        <v>132</v>
      </c>
      <c r="C95" s="26">
        <v>23</v>
      </c>
      <c r="D95" s="27">
        <f ca="1">((100/H87)*C95)/100</f>
        <v>1</v>
      </c>
      <c r="E95" s="76"/>
      <c r="F95" s="77"/>
      <c r="G95" s="76"/>
      <c r="H95" s="81"/>
      <c r="I95" s="37" t="s">
        <v>135</v>
      </c>
      <c r="J95" s="40">
        <f>(IF(B87&gt;1,(H87/(B87+2)+J94),0))</f>
        <v>0</v>
      </c>
    </row>
    <row r="96" spans="1:10" ht="15" hidden="1" customHeight="1">
      <c r="A96" s="141" t="s">
        <v>136</v>
      </c>
      <c r="B96" s="142" t="s">
        <v>137</v>
      </c>
      <c r="C96" s="26">
        <v>23</v>
      </c>
      <c r="D96" s="27">
        <f ca="1">((100/(H87))*C96)/100</f>
        <v>1</v>
      </c>
      <c r="E96" s="76"/>
      <c r="F96" s="77"/>
      <c r="G96" s="76"/>
      <c r="H96" s="81"/>
      <c r="I96" s="37" t="s">
        <v>138</v>
      </c>
      <c r="J96" s="40">
        <f>(IF(B87&gt;2,(H87/(B87+2)+J95),0))</f>
        <v>0</v>
      </c>
    </row>
    <row r="97" spans="1:10" ht="15.75" hidden="1" customHeight="1">
      <c r="A97" s="141" t="s">
        <v>139</v>
      </c>
      <c r="B97" s="142" t="s">
        <v>139</v>
      </c>
      <c r="C97" s="26">
        <v>23</v>
      </c>
      <c r="D97" s="27">
        <f ca="1">((100/H87)*C97)/100</f>
        <v>1</v>
      </c>
      <c r="E97" s="76"/>
      <c r="F97" s="77"/>
      <c r="G97" s="76"/>
      <c r="H97" s="81"/>
      <c r="I97" s="37" t="s">
        <v>140</v>
      </c>
      <c r="J97" s="41">
        <f>(IF(B87&gt;3,(H87/(B87+2)+J96),0))</f>
        <v>0</v>
      </c>
    </row>
    <row r="98" spans="1:10" ht="15.75" hidden="1" customHeight="1">
      <c r="A98" s="141" t="s">
        <v>141</v>
      </c>
      <c r="B98" s="142"/>
      <c r="C98" s="26">
        <v>23</v>
      </c>
      <c r="D98" s="27">
        <f ca="1">((100/H87)*C98)/100</f>
        <v>1</v>
      </c>
      <c r="E98" s="76"/>
      <c r="F98" s="77"/>
      <c r="G98" s="76"/>
      <c r="H98" s="81"/>
      <c r="I98" s="37" t="s">
        <v>142</v>
      </c>
      <c r="J98" s="40">
        <f>(IF(B87&gt;4,(H87/(B87+2)+J97),0))</f>
        <v>0</v>
      </c>
    </row>
    <row r="99" spans="1:10" ht="15.75" hidden="1" customHeight="1">
      <c r="A99" s="141" t="s">
        <v>143</v>
      </c>
      <c r="B99" s="142" t="s">
        <v>143</v>
      </c>
      <c r="C99" s="26">
        <v>23</v>
      </c>
      <c r="D99" s="27">
        <f ca="1">((100/(H87))*C99)/100</f>
        <v>1</v>
      </c>
      <c r="E99" s="76"/>
      <c r="F99" s="77"/>
      <c r="G99" s="76"/>
      <c r="H99" s="81"/>
      <c r="I99" s="37" t="s">
        <v>144</v>
      </c>
      <c r="J99" s="40">
        <f ca="1">(IF(B87=1,(H87/(B87+3)+J94),IF(B87=0,(H87/4+J94),IF(B87&gt;1,0))))</f>
        <v>17.25</v>
      </c>
    </row>
    <row r="100" spans="1:10" hidden="1">
      <c r="A100" s="143" t="s">
        <v>145</v>
      </c>
      <c r="B100" s="144"/>
      <c r="C100" s="29">
        <v>23</v>
      </c>
      <c r="D100" s="30">
        <f ca="1">((100/(H87))*C100)/100</f>
        <v>1</v>
      </c>
      <c r="E100" s="78"/>
      <c r="F100" s="79"/>
      <c r="G100" s="78"/>
      <c r="H100" s="82"/>
      <c r="I100" s="42" t="s">
        <v>146</v>
      </c>
      <c r="J100" s="43">
        <f ca="1">(IF(B87&gt;1.5,(H87/(B87+2)+J94+MAX(0,J95-J94)+MAX(0,J96-J95)+MAX(0,J97-J96)+MAX(0,J98-J97)+MAX(0,J99-J98)),IF(B87=1,(H87/(B87+3)+J99),IF(B87=0,H87/4+J99))))</f>
        <v>23</v>
      </c>
    </row>
    <row r="101" spans="1:10" ht="15.75" customHeight="1">
      <c r="A101" s="145" t="s">
        <v>113</v>
      </c>
      <c r="B101" s="146"/>
      <c r="C101" s="147" t="s">
        <v>103</v>
      </c>
      <c r="D101" s="148"/>
      <c r="E101" s="148"/>
      <c r="F101" s="148"/>
      <c r="G101" s="148"/>
      <c r="H101" s="149"/>
      <c r="I101" s="33" t="str">
        <f ca="1">IF(D114=100%,"All work Completed. Possession granted to the Building.",IF(D113=100%,"All work Completed, Waiting for OC",I102&amp;""&amp;I103&amp;""&amp;J102&amp;""&amp;J101&amp;" "&amp;J103))</f>
        <v>Excavation, Plinth, RCC Slab, Brickwork, Internal Plaster, External Plaster Completed, Flooring upto 21 Floor, Painting upto 20 Floor, Finishing upto 9 Floor Completed</v>
      </c>
      <c r="J101" s="34" t="str">
        <f ca="1">(IF(C107=(D102+F102+H102),"",IF(C107&gt;0,", RCC upto "&amp;C107&amp;" Slab","")))&amp;(IF(C108=H102,"",IF(C108&gt;0,", Brickwork upto "&amp;C108&amp;" Floor","")))&amp;(IF(C109=H102,"",IF(C109&gt;0,", Internal Plaster upto "&amp;C109&amp;" Floor","")))&amp;(IF(C110=H102,"",IF(C110&gt;0,", External Plaster upto "&amp;C110&amp;" Floor","")))&amp;(IF(C111=H102,"",IF(C111&gt;0,", Flooring upto "&amp;C111&amp;" Floor","")))&amp;(IF(C112=H102,"",IF(C112&gt;0,", Painting upto "&amp;C112&amp;" Floor","")))&amp;(IF(C113=H102,"",IF(C113&gt;0,", Finishing upto "&amp;C113&amp;" Floor","")))&amp;(IF(C114=H102,"",IF(C114&gt;0,", Finishing upto "&amp;C114&amp;" Floor","")))</f>
        <v>, Flooring upto 21 Floor, Painting upto 20 Floor, Finishing upto 9 Floor</v>
      </c>
    </row>
    <row r="102" spans="1:10">
      <c r="A102" s="24" t="s">
        <v>114</v>
      </c>
      <c r="B102" s="19">
        <v>0</v>
      </c>
      <c r="C102" s="19" t="s">
        <v>115</v>
      </c>
      <c r="D102" s="19">
        <v>1</v>
      </c>
      <c r="E102" s="19" t="s">
        <v>116</v>
      </c>
      <c r="F102" s="19">
        <v>0</v>
      </c>
      <c r="G102" s="19" t="s">
        <v>117</v>
      </c>
      <c r="H102" s="25">
        <f ca="1">--TRIM(RIGHT(SUBSTITUTE(LEFT(C101,_xlfn.AGGREGATE(16,6,FIND({0,1,2,3,4,5,6,7,8,9},C101,ROW(INDIRECT("1:"&amp;LEN(C101)))),1))," ",REPT(" ",LEN(C101))),LEN(C101)))</f>
        <v>23</v>
      </c>
      <c r="I102" s="35" t="str">
        <f ca="1">IF(D105=100%,"Excavation","")&amp;IF(D106=100%,", Plinth","")&amp;IF(D107=100%,", RCC Slab","")&amp;IF(D108=100%,", Brickwork","")&amp;IF(D109=100%,", Internal Plaster","")&amp;IF(D110=100%,", External Plaster","")&amp;IF(D111=100%,", Flooring","")&amp;IF(D112=100%,", Painting","")&amp;IF(D113=100%,", Building common Amenities","")</f>
        <v>Excavation, Plinth, RCC Slab, Brickwork, Internal Plaster, External Plaster</v>
      </c>
      <c r="J102" s="36" t="str">
        <f ca="1">(IF(C105=0,"Work not yet Started.",IF(D105=25%,"Piling work in process",IF(D105=50%,"Excavation work in process",IF(D105=100%,"","0")))))&amp;(IF(C106=0%,"",IF(C106=J107,", Footing work is process",IF(C106=J108,", Footing work Completed",IF(C106=J109,", 1st Basement Completed",IF(C106=J110,", 1st &amp; 2nd Basement Completed",IF(C106=J111,", 1st to 3rd Basement Completed",IF(C106=J112,", 1st to 4th Basement Completed",IF(C106=J113,", Plinth work is process",IF(C106=J114,"","0"))))))))))</f>
        <v/>
      </c>
    </row>
    <row r="103" spans="1:10" ht="48.75" customHeight="1">
      <c r="A103" s="150" t="s">
        <v>118</v>
      </c>
      <c r="B103" s="137"/>
      <c r="C103" s="151" t="str">
        <f ca="1">(IF($G$56="NA",I101,"All work Completed. OC Received."))</f>
        <v>Excavation, Plinth, RCC Slab, Brickwork, Internal Plaster, External Plaster Completed, Flooring upto 21 Floor, Painting upto 20 Floor, Finishing upto 9 Floor Completed</v>
      </c>
      <c r="D103" s="151"/>
      <c r="E103" s="151"/>
      <c r="F103" s="151"/>
      <c r="G103" s="151"/>
      <c r="H103" s="152"/>
      <c r="I103" s="35" t="str">
        <f ca="1">IF(I102&lt;&gt;""," Completed","")</f>
        <v xml:space="preserve"> Completed</v>
      </c>
      <c r="J103" s="36" t="str">
        <f ca="1">IF(J101&lt;&gt;"","Completed","")</f>
        <v>Completed</v>
      </c>
    </row>
    <row r="104" spans="1:10" ht="15.75" customHeight="1">
      <c r="A104" s="141" t="s">
        <v>119</v>
      </c>
      <c r="B104" s="142"/>
      <c r="C104" s="26" t="s">
        <v>120</v>
      </c>
      <c r="D104" s="26" t="s">
        <v>121</v>
      </c>
      <c r="E104" s="142" t="s">
        <v>122</v>
      </c>
      <c r="F104" s="142"/>
      <c r="G104" s="142" t="s">
        <v>123</v>
      </c>
      <c r="H104" s="153"/>
      <c r="I104" s="37" t="s">
        <v>124</v>
      </c>
      <c r="J104" s="38">
        <f ca="1">H102*25%</f>
        <v>5.75</v>
      </c>
    </row>
    <row r="105" spans="1:10">
      <c r="A105" s="141" t="s">
        <v>125</v>
      </c>
      <c r="B105" s="142"/>
      <c r="C105" s="26">
        <v>23</v>
      </c>
      <c r="D105" s="27">
        <f ca="1">((100/H102)*C105)/100</f>
        <v>1</v>
      </c>
      <c r="E105" s="74">
        <f ca="1">(((C106/H102*10)+(40/(D102+F102+H102)*C107)+(7.5/(H102)*C108)+(7.5/(H102)*C109)+(10/H102*C110)+(10/H102*C111)+(5/H102*C112)+(5/H102*C113)+(5/H102*C114))/100)</f>
        <v>0.90434782608695641</v>
      </c>
      <c r="F105" s="75"/>
      <c r="G105" s="74">
        <f ca="1">((((C105/H102)*20)+((C106/H102)*25)+(30/(H102+F102+D102)*C107)+(5/H102*C108)+(5/H102*C109)+(5/H102*C110)+(5/H102*C111)+(0/H102*C112)+(0/H102*C113)+(5/H102*C114))/100)</f>
        <v>0.94565217391304346</v>
      </c>
      <c r="H105" s="80"/>
      <c r="I105" s="37" t="s">
        <v>126</v>
      </c>
      <c r="J105" s="39">
        <f ca="1">H102*50%</f>
        <v>11.5</v>
      </c>
    </row>
    <row r="106" spans="1:10">
      <c r="A106" s="141" t="s">
        <v>127</v>
      </c>
      <c r="B106" s="142"/>
      <c r="C106" s="28">
        <f ca="1">J114</f>
        <v>23</v>
      </c>
      <c r="D106" s="27">
        <f ca="1">((100/H102)*C106)/100</f>
        <v>1</v>
      </c>
      <c r="E106" s="76"/>
      <c r="F106" s="77"/>
      <c r="G106" s="76"/>
      <c r="H106" s="81"/>
      <c r="I106" s="37" t="s">
        <v>128</v>
      </c>
      <c r="J106" s="39">
        <f ca="1">H102</f>
        <v>23</v>
      </c>
    </row>
    <row r="107" spans="1:10" ht="15.75" customHeight="1">
      <c r="A107" s="141" t="s">
        <v>129</v>
      </c>
      <c r="B107" s="142"/>
      <c r="C107" s="28">
        <v>24</v>
      </c>
      <c r="D107" s="27">
        <f ca="1">((100/(D102+F102+H102))*C107)/100</f>
        <v>1</v>
      </c>
      <c r="E107" s="76"/>
      <c r="F107" s="77"/>
      <c r="G107" s="76"/>
      <c r="H107" s="81"/>
      <c r="I107" s="37" t="s">
        <v>130</v>
      </c>
      <c r="J107" s="40">
        <f ca="1">(IF(B102&gt;1,(H102/(B102+2)),H102/4))</f>
        <v>5.75</v>
      </c>
    </row>
    <row r="108" spans="1:10" ht="15.75" customHeight="1">
      <c r="A108" s="141" t="s">
        <v>131</v>
      </c>
      <c r="B108" s="142" t="s">
        <v>132</v>
      </c>
      <c r="C108" s="28">
        <v>23</v>
      </c>
      <c r="D108" s="27">
        <f ca="1">((100/H102)*C108)/100</f>
        <v>1</v>
      </c>
      <c r="E108" s="76"/>
      <c r="F108" s="77"/>
      <c r="G108" s="76"/>
      <c r="H108" s="81"/>
      <c r="I108" s="37" t="s">
        <v>133</v>
      </c>
      <c r="J108" s="40">
        <f ca="1">(IF(B102&gt;1,(H102/(B102+2)+J107),H102/4+J107))</f>
        <v>11.5</v>
      </c>
    </row>
    <row r="109" spans="1:10" ht="15.75" customHeight="1">
      <c r="A109" s="141" t="s">
        <v>134</v>
      </c>
      <c r="B109" s="142" t="s">
        <v>132</v>
      </c>
      <c r="C109" s="26">
        <v>23</v>
      </c>
      <c r="D109" s="27">
        <f ca="1">((100/H102)*C109)/100</f>
        <v>1</v>
      </c>
      <c r="E109" s="76"/>
      <c r="F109" s="77"/>
      <c r="G109" s="76"/>
      <c r="H109" s="81"/>
      <c r="I109" s="37" t="s">
        <v>135</v>
      </c>
      <c r="J109" s="40">
        <f>(IF(B102&gt;1,(H102/(B102+2)+J108),0))</f>
        <v>0</v>
      </c>
    </row>
    <row r="110" spans="1:10" ht="15" customHeight="1">
      <c r="A110" s="141" t="s">
        <v>136</v>
      </c>
      <c r="B110" s="142" t="s">
        <v>137</v>
      </c>
      <c r="C110" s="26">
        <v>23</v>
      </c>
      <c r="D110" s="27">
        <f ca="1">((100/(H102))*C110)/100</f>
        <v>1</v>
      </c>
      <c r="E110" s="76"/>
      <c r="F110" s="77"/>
      <c r="G110" s="76"/>
      <c r="H110" s="81"/>
      <c r="I110" s="37" t="s">
        <v>138</v>
      </c>
      <c r="J110" s="40">
        <f>(IF(B102&gt;2,(H102/(B102+2)+J109),0))</f>
        <v>0</v>
      </c>
    </row>
    <row r="111" spans="1:10" ht="15.75" customHeight="1">
      <c r="A111" s="141" t="s">
        <v>139</v>
      </c>
      <c r="B111" s="142" t="s">
        <v>139</v>
      </c>
      <c r="C111" s="26">
        <v>21</v>
      </c>
      <c r="D111" s="27">
        <f ca="1">((100/H102)*C111)/100</f>
        <v>0.91304347826086951</v>
      </c>
      <c r="E111" s="76"/>
      <c r="F111" s="77"/>
      <c r="G111" s="76"/>
      <c r="H111" s="81"/>
      <c r="I111" s="37" t="s">
        <v>140</v>
      </c>
      <c r="J111" s="41">
        <f>(IF(B102&gt;3,(H102/(B102+2)+J110),0))</f>
        <v>0</v>
      </c>
    </row>
    <row r="112" spans="1:10" ht="15.75" customHeight="1">
      <c r="A112" s="141" t="s">
        <v>141</v>
      </c>
      <c r="B112" s="142"/>
      <c r="C112" s="26">
        <v>20</v>
      </c>
      <c r="D112" s="27">
        <f ca="1">((100/H102)*C112)/100</f>
        <v>0.86956521739130432</v>
      </c>
      <c r="E112" s="76"/>
      <c r="F112" s="77"/>
      <c r="G112" s="76"/>
      <c r="H112" s="81"/>
      <c r="I112" s="37" t="s">
        <v>142</v>
      </c>
      <c r="J112" s="40">
        <f>(IF(B102&gt;4,(H102/(B102+2)+J111),0))</f>
        <v>0</v>
      </c>
    </row>
    <row r="113" spans="1:10" ht="15.75" customHeight="1">
      <c r="A113" s="141" t="s">
        <v>143</v>
      </c>
      <c r="B113" s="142" t="s">
        <v>143</v>
      </c>
      <c r="C113" s="26">
        <v>9</v>
      </c>
      <c r="D113" s="27">
        <f ca="1">((100/(H102))*C113)/100</f>
        <v>0.39130434782608697</v>
      </c>
      <c r="E113" s="76"/>
      <c r="F113" s="77"/>
      <c r="G113" s="76"/>
      <c r="H113" s="81"/>
      <c r="I113" s="37" t="s">
        <v>144</v>
      </c>
      <c r="J113" s="40">
        <f ca="1">(IF(B102=1,(H102/(B102+3)+J108),IF(B102=0,(H102/4+J108),IF(B102&gt;1,0))))</f>
        <v>17.25</v>
      </c>
    </row>
    <row r="114" spans="1:10">
      <c r="A114" s="143" t="s">
        <v>145</v>
      </c>
      <c r="B114" s="144"/>
      <c r="C114" s="29">
        <v>0</v>
      </c>
      <c r="D114" s="30">
        <f ca="1">((100/(H102))*C114)/100</f>
        <v>0</v>
      </c>
      <c r="E114" s="78"/>
      <c r="F114" s="79"/>
      <c r="G114" s="78"/>
      <c r="H114" s="82"/>
      <c r="I114" s="42" t="s">
        <v>146</v>
      </c>
      <c r="J114" s="43">
        <f ca="1">(IF(B102&gt;1.5,(H102/(B102+2)+J108+MAX(0,J109-J108)+MAX(0,J110-J109)+MAX(0,J111-J110)+MAX(0,J112-J111)+MAX(0,J113-J112)),IF(B102=1,(H102/(B102+3)+J113),IF(B102=0,H102/4+J113))))</f>
        <v>23</v>
      </c>
    </row>
    <row r="115" spans="1:10" ht="15.75" hidden="1" customHeight="1">
      <c r="A115" s="145" t="s">
        <v>113</v>
      </c>
      <c r="B115" s="146"/>
      <c r="C115" s="147" t="s">
        <v>147</v>
      </c>
      <c r="D115" s="148"/>
      <c r="E115" s="148"/>
      <c r="F115" s="148"/>
      <c r="G115" s="148"/>
      <c r="H115" s="149"/>
      <c r="I115" s="33" t="str">
        <f ca="1">IF(D128=100%,"All work Completed. Possession granted to the Building.",IF(D127=100%,"All work Completed, Waiting for OC",I116&amp;""&amp;I117&amp;""&amp;J116&amp;""&amp;J115&amp;" "&amp;J117))</f>
        <v>Excavation, Plinth, RCC Slab, Brickwork Completed, Internal Plaster upto 16 Floor, External Plaster upto 14 Floor, Flooring upto 3 Floor Completed</v>
      </c>
      <c r="J115" s="34" t="str">
        <f ca="1">(IF(C121=(D116+F116+H116),"",IF(C121&gt;0,", RCC upto "&amp;C121&amp;" Slab","")))&amp;(IF(C122=H116,"",IF(C122&gt;0,", Brickwork upto "&amp;C122&amp;" Floor","")))&amp;(IF(C123=H116,"",IF(C123&gt;0,", Internal Plaster upto "&amp;C123&amp;" Floor","")))&amp;(IF(C124=H116,"",IF(C124&gt;0,", External Plaster upto "&amp;C124&amp;" Floor","")))&amp;(IF(C125=H116,"",IF(C125&gt;0,", Flooring upto "&amp;C125&amp;" Floor","")))&amp;(IF(C126=H116,"",IF(C126&gt;0,", Painting upto "&amp;C126&amp;" Floor","")))&amp;(IF(C127=H116,"",IF(C127&gt;0,", Finishing upto "&amp;C127&amp;" Floor","")))&amp;(IF(C128=H116,"",IF(C128&gt;0,", Finishing upto "&amp;C128&amp;" Floor","")))</f>
        <v>, Internal Plaster upto 16 Floor, External Plaster upto 14 Floor, Flooring upto 3 Floor</v>
      </c>
    </row>
    <row r="116" spans="1:10" hidden="1">
      <c r="A116" s="24" t="s">
        <v>114</v>
      </c>
      <c r="B116" s="19">
        <v>0</v>
      </c>
      <c r="C116" s="19" t="s">
        <v>115</v>
      </c>
      <c r="D116" s="19">
        <v>1</v>
      </c>
      <c r="E116" s="19" t="s">
        <v>116</v>
      </c>
      <c r="F116" s="19">
        <v>0</v>
      </c>
      <c r="G116" s="19" t="s">
        <v>117</v>
      </c>
      <c r="H116" s="25">
        <f ca="1">--TRIM(RIGHT(SUBSTITUTE(LEFT(C115,_xlfn.AGGREGATE(16,6,FIND({0,1,2,3,4,5,6,7,8,9},C115,ROW(INDIRECT("1:"&amp;LEN(C115)))),1))," ",REPT(" ",LEN(C115))),LEN(C115)))</f>
        <v>23</v>
      </c>
      <c r="I116" s="35" t="str">
        <f ca="1">IF(D119=100%,"Excavation","")&amp;IF(D120=100%,", Plinth","")&amp;IF(D121=100%,", RCC Slab","")&amp;IF(D122=100%,", Brickwork","")&amp;IF(D123=100%,", Internal Plaster","")&amp;IF(D124=100%,", External Plaster","")&amp;IF(D125=100%,", Flooring","")&amp;IF(D126=100%,", Painting","")&amp;IF(D127=100%,", Building common Amenities","")</f>
        <v>Excavation, Plinth, RCC Slab, Brickwork</v>
      </c>
      <c r="J116" s="36" t="str">
        <f ca="1">(IF(C119=0,"Work not yet Started.",IF(D119=25%,"Piling work in process",IF(D119=50%,"Excavation work in process",IF(D119=100%,"","0")))))&amp;(IF(C120=0%,"",IF(C120=J121,", Footing work is process",IF(C120=J122,", Footing work Completed",IF(C120=J123,", 1st Basement Completed",IF(C120=J124,", 1st &amp; 2nd Basement Completed",IF(C120=J125,", 1st to 3rd Basement Completed",IF(C120=J126,", 1st to 4th Basement Completed",IF(C120=J127,", Plinth work is process",IF(C120=J128,"","0"))))))))))</f>
        <v/>
      </c>
    </row>
    <row r="117" spans="1:10" ht="37.35" hidden="1" customHeight="1">
      <c r="A117" s="150" t="s">
        <v>118</v>
      </c>
      <c r="B117" s="137"/>
      <c r="C117" s="151" t="str">
        <f ca="1">(IF($G$56="NA",I115,"All work Completed. OC Received."))</f>
        <v>Excavation, Plinth, RCC Slab, Brickwork Completed, Internal Plaster upto 16 Floor, External Plaster upto 14 Floor, Flooring upto 3 Floor Completed</v>
      </c>
      <c r="D117" s="151"/>
      <c r="E117" s="151"/>
      <c r="F117" s="151"/>
      <c r="G117" s="151"/>
      <c r="H117" s="152"/>
      <c r="I117" s="35" t="str">
        <f ca="1">IF(I116&lt;&gt;""," Completed","")</f>
        <v xml:space="preserve"> Completed</v>
      </c>
      <c r="J117" s="36" t="str">
        <f ca="1">IF(J115&lt;&gt;"","Completed","")</f>
        <v>Completed</v>
      </c>
    </row>
    <row r="118" spans="1:10" ht="15.75" hidden="1" customHeight="1">
      <c r="A118" s="141" t="s">
        <v>119</v>
      </c>
      <c r="B118" s="142"/>
      <c r="C118" s="26" t="s">
        <v>120</v>
      </c>
      <c r="D118" s="26" t="s">
        <v>121</v>
      </c>
      <c r="E118" s="142" t="s">
        <v>122</v>
      </c>
      <c r="F118" s="142"/>
      <c r="G118" s="142" t="s">
        <v>123</v>
      </c>
      <c r="H118" s="153"/>
      <c r="I118" s="37" t="s">
        <v>124</v>
      </c>
      <c r="J118" s="38">
        <f ca="1">H116*25%</f>
        <v>5.75</v>
      </c>
    </row>
    <row r="119" spans="1:10" hidden="1">
      <c r="A119" s="141" t="s">
        <v>125</v>
      </c>
      <c r="B119" s="142"/>
      <c r="C119" s="26">
        <v>23</v>
      </c>
      <c r="D119" s="27">
        <f ca="1">((100/H116)*C119)/100</f>
        <v>1</v>
      </c>
      <c r="E119" s="74">
        <f ca="1">(((C120/H116*10)+(40/(D116+F116+H116)*C121)+(7.5/(H116)*C122)+(7.5/(H116)*C123)+(10/H116*C124)+(10/H116*C125)+(5/H116*C126)+(5/H116*C127)+(5/H116*C128))/100)</f>
        <v>0.70108695652173902</v>
      </c>
      <c r="F119" s="75"/>
      <c r="G119" s="74">
        <f ca="1">((((C119/H116)*20)+((C120/H116)*25)+(30/(H116+F116+D116)*C121)+(5/H116*C122)+(5/H116*C123)+(5/H116*C124)+(5/H116*C125)+(0/H116*C126)+(0/H116*C127)+(5/H116*C128))/100)</f>
        <v>0.87173913043478268</v>
      </c>
      <c r="H119" s="80"/>
      <c r="I119" s="37" t="s">
        <v>126</v>
      </c>
      <c r="J119" s="39">
        <f ca="1">H116*50%</f>
        <v>11.5</v>
      </c>
    </row>
    <row r="120" spans="1:10" hidden="1">
      <c r="A120" s="141" t="s">
        <v>127</v>
      </c>
      <c r="B120" s="142"/>
      <c r="C120" s="28">
        <f ca="1">J128</f>
        <v>23</v>
      </c>
      <c r="D120" s="27">
        <f ca="1">((100/H116)*C120)/100</f>
        <v>1</v>
      </c>
      <c r="E120" s="76"/>
      <c r="F120" s="77"/>
      <c r="G120" s="76"/>
      <c r="H120" s="81"/>
      <c r="I120" s="37" t="s">
        <v>128</v>
      </c>
      <c r="J120" s="39">
        <f ca="1">H116</f>
        <v>23</v>
      </c>
    </row>
    <row r="121" spans="1:10" ht="15.75" hidden="1" customHeight="1">
      <c r="A121" s="141" t="s">
        <v>129</v>
      </c>
      <c r="B121" s="142"/>
      <c r="C121" s="28">
        <v>24</v>
      </c>
      <c r="D121" s="27">
        <f ca="1">((100/(D116+F116+H116))*C121)/100</f>
        <v>1</v>
      </c>
      <c r="E121" s="76"/>
      <c r="F121" s="77"/>
      <c r="G121" s="76"/>
      <c r="H121" s="81"/>
      <c r="I121" s="37" t="s">
        <v>130</v>
      </c>
      <c r="J121" s="40">
        <f ca="1">(IF(B116&gt;1,(H116/(B116+2)),H116/4))</f>
        <v>5.75</v>
      </c>
    </row>
    <row r="122" spans="1:10" ht="15.75" hidden="1" customHeight="1">
      <c r="A122" s="141" t="s">
        <v>131</v>
      </c>
      <c r="B122" s="142" t="s">
        <v>132</v>
      </c>
      <c r="C122" s="28">
        <v>23</v>
      </c>
      <c r="D122" s="27">
        <f ca="1">((100/H116)*C122)/100</f>
        <v>1</v>
      </c>
      <c r="E122" s="76"/>
      <c r="F122" s="77"/>
      <c r="G122" s="76"/>
      <c r="H122" s="81"/>
      <c r="I122" s="37" t="s">
        <v>133</v>
      </c>
      <c r="J122" s="40">
        <f ca="1">(IF(B116&gt;1,(H116/(B116+2)+J121),H116/4+J121))</f>
        <v>11.5</v>
      </c>
    </row>
    <row r="123" spans="1:10" ht="15.75" hidden="1" customHeight="1">
      <c r="A123" s="141" t="s">
        <v>134</v>
      </c>
      <c r="B123" s="142" t="s">
        <v>132</v>
      </c>
      <c r="C123" s="26">
        <v>16</v>
      </c>
      <c r="D123" s="27">
        <f ca="1">((100/H116)*C123)/100</f>
        <v>0.69565217391304346</v>
      </c>
      <c r="E123" s="76"/>
      <c r="F123" s="77"/>
      <c r="G123" s="76"/>
      <c r="H123" s="81"/>
      <c r="I123" s="37" t="s">
        <v>135</v>
      </c>
      <c r="J123" s="40">
        <f>(IF(B116&gt;1,(H116/(B116+2)+J122),0))</f>
        <v>0</v>
      </c>
    </row>
    <row r="124" spans="1:10" ht="15" hidden="1" customHeight="1">
      <c r="A124" s="141" t="s">
        <v>136</v>
      </c>
      <c r="B124" s="142" t="s">
        <v>137</v>
      </c>
      <c r="C124" s="26">
        <v>14</v>
      </c>
      <c r="D124" s="27">
        <f ca="1">((100/(H116))*C124)/100</f>
        <v>0.60869565217391297</v>
      </c>
      <c r="E124" s="76"/>
      <c r="F124" s="77"/>
      <c r="G124" s="76"/>
      <c r="H124" s="81"/>
      <c r="I124" s="37" t="s">
        <v>138</v>
      </c>
      <c r="J124" s="40">
        <f>(IF(B116&gt;2,(H116/(B116+2)+J123),0))</f>
        <v>0</v>
      </c>
    </row>
    <row r="125" spans="1:10" ht="15.75" hidden="1" customHeight="1">
      <c r="A125" s="141" t="s">
        <v>139</v>
      </c>
      <c r="B125" s="142" t="s">
        <v>139</v>
      </c>
      <c r="C125" s="26">
        <v>3</v>
      </c>
      <c r="D125" s="27">
        <f ca="1">((100/H116)*C125)/100</f>
        <v>0.13043478260869565</v>
      </c>
      <c r="E125" s="76"/>
      <c r="F125" s="77"/>
      <c r="G125" s="76"/>
      <c r="H125" s="81"/>
      <c r="I125" s="37" t="s">
        <v>140</v>
      </c>
      <c r="J125" s="41">
        <f>(IF(B116&gt;3,(H116/(B116+2)+J124),0))</f>
        <v>0</v>
      </c>
    </row>
    <row r="126" spans="1:10" ht="15.75" hidden="1" customHeight="1">
      <c r="A126" s="141" t="s">
        <v>141</v>
      </c>
      <c r="B126" s="142"/>
      <c r="C126" s="26">
        <v>0</v>
      </c>
      <c r="D126" s="27">
        <f ca="1">((100/H116)*C126)/100</f>
        <v>0</v>
      </c>
      <c r="E126" s="76"/>
      <c r="F126" s="77"/>
      <c r="G126" s="76"/>
      <c r="H126" s="81"/>
      <c r="I126" s="37" t="s">
        <v>142</v>
      </c>
      <c r="J126" s="40">
        <f>(IF(B116&gt;4,(H116/(B116+2)+J125),0))</f>
        <v>0</v>
      </c>
    </row>
    <row r="127" spans="1:10" ht="15.75" hidden="1" customHeight="1">
      <c r="A127" s="141" t="s">
        <v>143</v>
      </c>
      <c r="B127" s="142" t="s">
        <v>143</v>
      </c>
      <c r="C127" s="26">
        <v>0</v>
      </c>
      <c r="D127" s="27">
        <f ca="1">((100/(H116))*C127)/100</f>
        <v>0</v>
      </c>
      <c r="E127" s="76"/>
      <c r="F127" s="77"/>
      <c r="G127" s="76"/>
      <c r="H127" s="81"/>
      <c r="I127" s="37" t="s">
        <v>144</v>
      </c>
      <c r="J127" s="40">
        <f ca="1">(IF(B116=1,(H116/(B116+3)+J122),IF(B116=0,(H116/4+J122),IF(B116&gt;1,0))))</f>
        <v>17.25</v>
      </c>
    </row>
    <row r="128" spans="1:10" hidden="1">
      <c r="A128" s="143" t="s">
        <v>145</v>
      </c>
      <c r="B128" s="144"/>
      <c r="C128" s="29">
        <v>0</v>
      </c>
      <c r="D128" s="30">
        <f ca="1">((100/(H116))*C128)/100</f>
        <v>0</v>
      </c>
      <c r="E128" s="78"/>
      <c r="F128" s="79"/>
      <c r="G128" s="78"/>
      <c r="H128" s="82"/>
      <c r="I128" s="42" t="s">
        <v>146</v>
      </c>
      <c r="J128" s="43">
        <f ca="1">(IF(B116&gt;1.5,(H116/(B116+2)+J122+MAX(0,J123-J122)+MAX(0,J124-J123)+MAX(0,J125-J124)+MAX(0,J126-J125)+MAX(0,J127-J126)),IF(B116=1,(H116/(B116+3)+J127),IF(B116=0,H116/4+J127))))</f>
        <v>23</v>
      </c>
    </row>
    <row r="129" spans="1:12">
      <c r="A129" s="138" t="s">
        <v>148</v>
      </c>
      <c r="B129" s="138"/>
      <c r="C129" s="138"/>
      <c r="D129" s="138"/>
      <c r="E129" s="138"/>
      <c r="F129" s="139" t="s">
        <v>149</v>
      </c>
      <c r="G129" s="139"/>
      <c r="H129" s="139"/>
    </row>
    <row r="130" spans="1:12">
      <c r="A130" s="73" t="s">
        <v>150</v>
      </c>
      <c r="B130" s="73"/>
      <c r="C130" s="73"/>
      <c r="D130" s="73"/>
      <c r="E130" s="73"/>
      <c r="F130" s="140">
        <v>13400</v>
      </c>
      <c r="G130" s="140"/>
      <c r="H130" s="140"/>
      <c r="I130" s="44" t="s">
        <v>151</v>
      </c>
      <c r="J130" s="44" t="s">
        <v>152</v>
      </c>
      <c r="K130" s="45">
        <v>45324</v>
      </c>
      <c r="L130" s="44" t="s">
        <v>153</v>
      </c>
    </row>
    <row r="131" spans="1:12">
      <c r="A131" s="73" t="s">
        <v>154</v>
      </c>
      <c r="B131" s="73"/>
      <c r="C131" s="73"/>
      <c r="D131" s="73"/>
      <c r="E131" s="73"/>
      <c r="F131" s="136">
        <v>32500</v>
      </c>
      <c r="G131" s="136"/>
      <c r="H131" s="136"/>
      <c r="I131" s="44" t="s">
        <v>155</v>
      </c>
      <c r="J131" s="44" t="s">
        <v>156</v>
      </c>
      <c r="K131" s="45">
        <v>44825</v>
      </c>
      <c r="L131" s="44" t="s">
        <v>157</v>
      </c>
    </row>
    <row r="132" spans="1:12">
      <c r="A132" s="73" t="s">
        <v>158</v>
      </c>
      <c r="B132" s="73"/>
      <c r="C132" s="73"/>
      <c r="D132" s="73"/>
      <c r="E132" s="73"/>
      <c r="F132" s="136">
        <v>21000</v>
      </c>
      <c r="G132" s="136"/>
      <c r="H132" s="136"/>
      <c r="J132" s="18" t="s">
        <v>159</v>
      </c>
      <c r="L132" s="23">
        <v>45614</v>
      </c>
    </row>
    <row r="133" spans="1:12" s="13" customFormat="1" hidden="1">
      <c r="A133" s="73" t="s">
        <v>160</v>
      </c>
      <c r="B133" s="73"/>
      <c r="C133" s="73"/>
      <c r="D133" s="73"/>
      <c r="E133" s="73"/>
      <c r="F133" s="136">
        <v>8500</v>
      </c>
      <c r="G133" s="136"/>
      <c r="H133" s="136"/>
    </row>
    <row r="134" spans="1:12" s="13" customFormat="1">
      <c r="A134" s="73" t="s">
        <v>161</v>
      </c>
      <c r="B134" s="73"/>
      <c r="C134" s="73"/>
      <c r="D134" s="73"/>
      <c r="E134" s="73"/>
      <c r="F134" s="136">
        <v>39000</v>
      </c>
      <c r="G134" s="136"/>
      <c r="H134" s="136"/>
    </row>
    <row r="135" spans="1:12" s="13" customFormat="1">
      <c r="A135" s="73" t="s">
        <v>162</v>
      </c>
      <c r="B135" s="73"/>
      <c r="C135" s="73"/>
      <c r="D135" s="73"/>
      <c r="E135" s="73"/>
      <c r="F135" s="136">
        <v>46500</v>
      </c>
      <c r="G135" s="136"/>
      <c r="H135" s="136"/>
    </row>
    <row r="136" spans="1:12">
      <c r="A136" s="73" t="s">
        <v>163</v>
      </c>
      <c r="B136" s="73"/>
      <c r="C136" s="73"/>
      <c r="D136" s="73"/>
      <c r="E136" s="73"/>
      <c r="F136" s="136">
        <v>800000</v>
      </c>
      <c r="G136" s="136"/>
      <c r="H136" s="136"/>
    </row>
    <row r="137" spans="1:12" s="14" customFormat="1">
      <c r="A137" s="137" t="s">
        <v>164</v>
      </c>
      <c r="B137" s="137"/>
      <c r="C137" s="137"/>
      <c r="D137" s="137"/>
      <c r="E137" s="137"/>
      <c r="F137" s="136">
        <f>F130*0.8</f>
        <v>10720</v>
      </c>
      <c r="G137" s="136"/>
      <c r="H137" s="136"/>
    </row>
    <row r="138" spans="1:12" s="15" customFormat="1" ht="15.75" customHeight="1">
      <c r="A138" s="126" t="s">
        <v>165</v>
      </c>
      <c r="B138" s="126"/>
      <c r="C138" s="126"/>
      <c r="D138" s="126"/>
      <c r="E138" s="126"/>
      <c r="F138" s="126"/>
      <c r="G138" s="126"/>
      <c r="H138" s="126"/>
    </row>
    <row r="139" spans="1:12" s="15" customFormat="1" ht="15.75" customHeight="1">
      <c r="A139" s="129" t="s">
        <v>166</v>
      </c>
      <c r="B139" s="129"/>
      <c r="C139" s="128" t="s">
        <v>167</v>
      </c>
      <c r="D139" s="128"/>
      <c r="E139" s="130" t="s">
        <v>168</v>
      </c>
      <c r="F139" s="130"/>
      <c r="G139" s="129" t="s">
        <v>169</v>
      </c>
      <c r="H139" s="129"/>
    </row>
    <row r="140" spans="1:12" s="15" customFormat="1" ht="51" customHeight="1">
      <c r="A140" s="122" t="s">
        <v>170</v>
      </c>
      <c r="B140" s="122"/>
      <c r="C140" s="123">
        <f>COUNT(D170:D201)</f>
        <v>32</v>
      </c>
      <c r="D140" s="124"/>
      <c r="E140" s="122">
        <f>SUM(D170:D201)</f>
        <v>7173.8448677999995</v>
      </c>
      <c r="F140" s="135"/>
      <c r="G140" s="122">
        <f>SUM(F170:F201)</f>
        <v>11478.151788479998</v>
      </c>
      <c r="H140" s="135"/>
    </row>
    <row r="141" spans="1:12" s="15" customFormat="1" ht="15.75" customHeight="1">
      <c r="A141" s="126" t="s">
        <v>171</v>
      </c>
      <c r="B141" s="126"/>
      <c r="C141" s="126"/>
      <c r="D141" s="126"/>
      <c r="E141" s="126"/>
      <c r="F141" s="126"/>
      <c r="G141" s="126"/>
      <c r="H141" s="126"/>
    </row>
    <row r="142" spans="1:12" s="15" customFormat="1" ht="15.75" customHeight="1">
      <c r="A142" s="129" t="s">
        <v>166</v>
      </c>
      <c r="B142" s="129"/>
      <c r="C142" s="128" t="s">
        <v>167</v>
      </c>
      <c r="D142" s="128"/>
      <c r="E142" s="130" t="s">
        <v>168</v>
      </c>
      <c r="F142" s="130"/>
      <c r="G142" s="129" t="s">
        <v>169</v>
      </c>
      <c r="H142" s="129"/>
    </row>
    <row r="143" spans="1:12" s="15" customFormat="1" ht="52.5" customHeight="1">
      <c r="A143" s="122" t="s">
        <v>172</v>
      </c>
      <c r="B143" s="122"/>
      <c r="C143" s="123">
        <f>COUNT(D205:D208)</f>
        <v>4</v>
      </c>
      <c r="D143" s="124"/>
      <c r="E143" s="122">
        <f>SUM(D205:D208)</f>
        <v>6006.3012359999993</v>
      </c>
      <c r="F143" s="135"/>
      <c r="G143" s="122">
        <f>SUM(F205:F208)</f>
        <v>9009.451853999999</v>
      </c>
      <c r="H143" s="135"/>
    </row>
    <row r="144" spans="1:12" s="15" customFormat="1">
      <c r="A144" s="126" t="s">
        <v>173</v>
      </c>
      <c r="B144" s="126"/>
      <c r="C144" s="126"/>
      <c r="D144" s="126"/>
      <c r="E144" s="126"/>
      <c r="F144" s="126"/>
      <c r="G144" s="126"/>
      <c r="H144" s="126"/>
    </row>
    <row r="145" spans="1:9" s="15" customFormat="1" ht="15.75" customHeight="1">
      <c r="A145" s="129" t="s">
        <v>166</v>
      </c>
      <c r="B145" s="129"/>
      <c r="C145" s="128" t="s">
        <v>167</v>
      </c>
      <c r="D145" s="128"/>
      <c r="E145" s="130" t="s">
        <v>168</v>
      </c>
      <c r="F145" s="130"/>
      <c r="G145" s="129" t="s">
        <v>169</v>
      </c>
      <c r="H145" s="129"/>
    </row>
    <row r="146" spans="1:9" s="15" customFormat="1" ht="15.75" customHeight="1">
      <c r="A146" s="131" t="s">
        <v>174</v>
      </c>
      <c r="B146" s="132"/>
      <c r="C146" s="133">
        <f>COUNT(D219:D220,D222:D223)+COUNT(D225:D229)*11+COUNT(D231:D232,D234:D235)+COUNT(D237:D238,D240:D241)+COUNT(D243:D247)*3+COUNT(D249:D253)*3+COUNT(D255:D257,D259:D260)+COUNT(D262:D266)</f>
        <v>107</v>
      </c>
      <c r="D146" s="134"/>
      <c r="E146" s="131">
        <f>SUM(D219:D220,D222:D223)+SUM(D225:D229)*11+SUM(D231:D232,D234:D235)+SUM(D237:D238,D240:D241)+SUM(D243:D247)*3+SUM(D249:D253)*3+SUM(D255:D257,D259:D260)+SUM(D262:D266)</f>
        <v>47852.007839999984</v>
      </c>
      <c r="F146" s="132"/>
      <c r="G146" s="131">
        <f>SUM(F219:F220,F222:F223)+SUM(F225:F229)*11+SUM(F231:F232,F234:F235)+SUM(F237:F238,F240:F241)+SUM(F243:F247)*3+SUM(F249:F253)*3+SUM(F255:F257,F259:F260)+SUM(F262:F266)</f>
        <v>71778.011760000009</v>
      </c>
      <c r="H146" s="132"/>
      <c r="I146" s="15">
        <f>23+23+19+1+44+1</f>
        <v>111</v>
      </c>
    </row>
    <row r="147" spans="1:9" s="15" customFormat="1" ht="15.75" customHeight="1">
      <c r="A147" s="131" t="s">
        <v>175</v>
      </c>
      <c r="B147" s="132"/>
      <c r="C147" s="133">
        <f>COUNT(D280:D284)*11+COUNT(D286:D287,D290)+COUNT(D292:D293,D296)+COUNT(D298:D302)*3+COUNT(D304:D308)*3+COUNT(D310:D311,D313:D315)+COUNT(D317:D321)</f>
        <v>101</v>
      </c>
      <c r="D147" s="134"/>
      <c r="E147" s="131">
        <f>SUM(D280:D284)*11+SUM(D286:D287,D290)+SUM(D292:D293,D296)+SUM(D298:D302)*3+SUM(D304:D308)*3+SUM(D310:D311,D313:D315)+SUM(D317:D321)</f>
        <v>55127.072519999994</v>
      </c>
      <c r="F147" s="132"/>
      <c r="G147" s="131">
        <f>SUM(F280:F284)*11+SUM(F286:F287,F290)+SUM(F292:F293,F296)+SUM(F298:F302)*3+SUM(F304:F308)*3+SUM(F310:F311,F313:F315)+SUM(F317:F321)</f>
        <v>82690.60878000001</v>
      </c>
      <c r="H147" s="132"/>
      <c r="I147" s="15">
        <f>45+1+19+1+21+23</f>
        <v>110</v>
      </c>
    </row>
    <row r="148" spans="1:9" s="15" customFormat="1">
      <c r="A148" s="122" t="s">
        <v>176</v>
      </c>
      <c r="B148" s="122"/>
      <c r="C148" s="124">
        <f>COUNT(D329:D332)+COUNT(D334:D337)*11+COUNT(D339,D341:D342)+COUNT(D344,D346:D347)+COUNT(D349:D352)*3+COUNT(D354:D357)*3+COUNT(D359:D362)+COUNT(D364:D367)</f>
        <v>86</v>
      </c>
      <c r="D148" s="124"/>
      <c r="E148" s="125">
        <f>SUM(D329:D332)+SUM(D334:D337)*11+SUM(D339,D341:D342)+SUM(D344,D346:D347)+SUM(D349:D352)*3+SUM(D354:D357)*3+SUM(D359:D362)+SUM(D364:D367)</f>
        <v>47420.048519999997</v>
      </c>
      <c r="F148" s="125"/>
      <c r="G148" s="125">
        <f>SUM(F329:F332)+SUM(F334:F337)*11+SUM(F339,F341:F342)+SUM(F344,F346:F347)+SUM(F349:F352)*3+SUM(F354:F357)*3+SUM(F359:F362)+SUM(F364:F367)</f>
        <v>71323.695611999981</v>
      </c>
      <c r="H148" s="125"/>
    </row>
    <row r="149" spans="1:9" s="15" customFormat="1">
      <c r="A149" s="122" t="s">
        <v>177</v>
      </c>
      <c r="B149" s="122"/>
      <c r="C149" s="124">
        <f>COUNT(D418:D421)+COUNT(D423:D426)*11+COUNT(D428,D430:D431)+COUNT(D433,D435:D436)+COUNT(D438:D441)*3+COUNT(D443:D446)*3+COUNT(D448:D451)+COUNT(D453:D456)</f>
        <v>86</v>
      </c>
      <c r="D149" s="124"/>
      <c r="E149" s="125">
        <f>SUM(D418:D421)+SUM(D423:D426)*11+SUM(D428,D430:D431)+SUM(D433,D435:D436)+SUM(D438:D441)*3+SUM(D443:D446)*3+SUM(D448:D451)+SUM(D453:D456)</f>
        <v>34777.945800000001</v>
      </c>
      <c r="F149" s="125"/>
      <c r="G149" s="125">
        <f>SUM(F418:F421)+SUM(F423:F426)*11+SUM(F428,F430:F431)+SUM(F433,F435:F436)+SUM(F438:F441)*3+SUM(F443:F446)*3+SUM(F448:F451)+SUM(F453:F456)</f>
        <v>52332.55704</v>
      </c>
      <c r="H149" s="125"/>
    </row>
    <row r="150" spans="1:9" s="15" customFormat="1">
      <c r="A150" s="122" t="s">
        <v>178</v>
      </c>
      <c r="B150" s="122"/>
      <c r="C150" s="124">
        <f>COUNT(D418:D421)+COUNT(D423:D426)*11+COUNT(D428,D430:D431)+COUNT(D433,D435:D436)+COUNT(D438:D441)*3+COUNT(D443:D446)*3+COUNT(D448:D451)+COUNT(D453:D456)</f>
        <v>86</v>
      </c>
      <c r="D150" s="124"/>
      <c r="E150" s="125">
        <f>SUM(D418:D421)+SUM(D423:D426)*11+SUM(D428,D430:D431)+SUM(D433,D435:D436)+SUM(D438:D441)*3+SUM(D443:D446)*3+SUM(D448:D451)+SUM(D453:D456)</f>
        <v>34777.945800000001</v>
      </c>
      <c r="F150" s="125"/>
      <c r="G150" s="125">
        <f>SUM(F418:F421)+SUM(F423:F426)*11+SUM(F428,F430:F431)+SUM(F433,F435:F436)+SUM(F438:F441)*3+SUM(F443:F446)*3+SUM(F448:F451)+SUM(F453:F456)</f>
        <v>52332.55704</v>
      </c>
      <c r="H150" s="125"/>
    </row>
    <row r="151" spans="1:9" s="15" customFormat="1">
      <c r="A151" s="122" t="s">
        <v>179</v>
      </c>
      <c r="B151" s="122"/>
      <c r="C151" s="124">
        <f>COUNT(D463:D466)+COUNT(D468:D471)*11+COUNT(D473:D474,D476)+COUNT(D478:D479,D481)+COUNT(D483:D486)*3+COUNT(D488:D491)*3+COUNT(D493:D496)+COUNT(D498:D501)</f>
        <v>86</v>
      </c>
      <c r="D151" s="124"/>
      <c r="E151" s="125">
        <f>SUM(D463:D466)+SUM(D468:D471)*11+SUM(D473:D474,D476)+SUM(D478:D479,D481)+SUM(D483:D486)*3+SUM(D488:D491)*3+SUM(D493:D496)+SUM(D498:D501)</f>
        <v>48322.502280000001</v>
      </c>
      <c r="F151" s="125"/>
      <c r="G151" s="125">
        <f>SUM(F463:F466)+SUM(F468:F471)*11+SUM(F473:F474,F476)+SUM(F478:F479,F481)+SUM(F483:F486)*3+SUM(F488:F491)*3+SUM(F493:F496)+SUM(F498:F501)</f>
        <v>72580.56483599999</v>
      </c>
      <c r="H151" s="125"/>
    </row>
    <row r="152" spans="1:9" s="15" customFormat="1">
      <c r="A152" s="126" t="s">
        <v>180</v>
      </c>
      <c r="B152" s="126"/>
      <c r="C152" s="127">
        <f>SUM(C146:D151)</f>
        <v>552</v>
      </c>
      <c r="D152" s="128"/>
      <c r="E152" s="129">
        <f>SUM(E146:F151)</f>
        <v>268277.52275999996</v>
      </c>
      <c r="F152" s="130"/>
      <c r="G152" s="129">
        <f>SUM(G146:H151)</f>
        <v>403037.99506799999</v>
      </c>
      <c r="H152" s="129"/>
    </row>
    <row r="153" spans="1:9" s="15" customFormat="1">
      <c r="A153" s="126" t="s">
        <v>181</v>
      </c>
      <c r="B153" s="126"/>
      <c r="C153" s="126"/>
      <c r="D153" s="126"/>
      <c r="E153" s="126"/>
      <c r="F153" s="126"/>
      <c r="G153" s="126"/>
      <c r="H153" s="126"/>
    </row>
    <row r="154" spans="1:9" s="15" customFormat="1" ht="15.75" customHeight="1">
      <c r="A154" s="129" t="s">
        <v>166</v>
      </c>
      <c r="B154" s="129"/>
      <c r="C154" s="128" t="s">
        <v>167</v>
      </c>
      <c r="D154" s="128"/>
      <c r="E154" s="130" t="s">
        <v>168</v>
      </c>
      <c r="F154" s="130"/>
      <c r="G154" s="129" t="s">
        <v>169</v>
      </c>
      <c r="H154" s="129"/>
    </row>
    <row r="155" spans="1:9" s="15" customFormat="1" ht="15.75" customHeight="1">
      <c r="A155" s="131" t="s">
        <v>174</v>
      </c>
      <c r="B155" s="132"/>
      <c r="C155" s="133">
        <f>COUNT(D215:D217)+COUNT(D221)</f>
        <v>4</v>
      </c>
      <c r="D155" s="134"/>
      <c r="E155" s="131">
        <f>SUM(D215:D217)+SUM(D221)</f>
        <v>1863.0331199999996</v>
      </c>
      <c r="F155" s="132"/>
      <c r="G155" s="131">
        <f>SUM(F215:F217)+SUM(F221)</f>
        <v>2794.5496800000001</v>
      </c>
      <c r="H155" s="132"/>
      <c r="I155" s="15">
        <f>23+23+19+1+44+1</f>
        <v>111</v>
      </c>
    </row>
    <row r="156" spans="1:9" s="15" customFormat="1" ht="15.75" customHeight="1">
      <c r="A156" s="131" t="s">
        <v>175</v>
      </c>
      <c r="B156" s="132"/>
      <c r="C156" s="133">
        <f>COUNT(D269:D272)+COUNT(D274:D278)</f>
        <v>9</v>
      </c>
      <c r="D156" s="134"/>
      <c r="E156" s="131">
        <f>SUM(D269:D272)+SUM(D274:D278)</f>
        <v>4710.2187599999988</v>
      </c>
      <c r="F156" s="132"/>
      <c r="G156" s="131">
        <f>SUM(F269:F272)+SUM(F274:F278)</f>
        <v>7065.3281399999996</v>
      </c>
      <c r="H156" s="132"/>
      <c r="I156" s="15">
        <f>45+1+19+1+21+23</f>
        <v>110</v>
      </c>
    </row>
    <row r="157" spans="1:9" s="15" customFormat="1">
      <c r="A157" s="122" t="s">
        <v>176</v>
      </c>
      <c r="B157" s="122"/>
      <c r="C157" s="124">
        <f>COUNT(D325:D327)</f>
        <v>3</v>
      </c>
      <c r="D157" s="124"/>
      <c r="E157" s="125">
        <f>SUM(D325:D327)</f>
        <v>1602.9748799999998</v>
      </c>
      <c r="F157" s="125"/>
      <c r="G157" s="125">
        <f>SUM(F325:F327)</f>
        <v>2404.4623199999996</v>
      </c>
      <c r="H157" s="125"/>
    </row>
    <row r="158" spans="1:9" s="15" customFormat="1">
      <c r="A158" s="122" t="s">
        <v>177</v>
      </c>
      <c r="B158" s="122"/>
      <c r="C158" s="123">
        <f>COUNT(D370:D371)</f>
        <v>2</v>
      </c>
      <c r="D158" s="124"/>
      <c r="E158" s="125">
        <f>SUM(D370:D371)</f>
        <v>1068.6499199999998</v>
      </c>
      <c r="F158" s="125"/>
      <c r="G158" s="125">
        <f>SUM(F370:F371)</f>
        <v>1602.9748799999998</v>
      </c>
      <c r="H158" s="125"/>
    </row>
    <row r="159" spans="1:9" s="15" customFormat="1">
      <c r="A159" s="122" t="s">
        <v>178</v>
      </c>
      <c r="B159" s="122"/>
      <c r="C159" s="123">
        <f>COUNT(D415:D416)</f>
        <v>2</v>
      </c>
      <c r="D159" s="124"/>
      <c r="E159" s="125">
        <f t="shared" ref="E159" si="0">SUM(D415:D416)</f>
        <v>753.04943999999989</v>
      </c>
      <c r="F159" s="125"/>
      <c r="G159" s="125">
        <f>SUM(F415:F416)</f>
        <v>1129.5741599999999</v>
      </c>
      <c r="H159" s="125"/>
    </row>
    <row r="160" spans="1:9" s="15" customFormat="1">
      <c r="A160" s="122" t="s">
        <v>179</v>
      </c>
      <c r="B160" s="122"/>
      <c r="C160" s="123">
        <f>COUNT(D459:D461)</f>
        <v>3</v>
      </c>
      <c r="D160" s="124"/>
      <c r="E160" s="125">
        <f>SUM(D459:D461)</f>
        <v>1602.9748799999998</v>
      </c>
      <c r="F160" s="125"/>
      <c r="G160" s="125">
        <f>SUM(F459:F461)</f>
        <v>2404.4623199999996</v>
      </c>
      <c r="H160" s="125"/>
    </row>
    <row r="161" spans="1:14" s="15" customFormat="1">
      <c r="A161" s="126" t="s">
        <v>180</v>
      </c>
      <c r="B161" s="126"/>
      <c r="C161" s="127">
        <f>SUM(C155:D160)</f>
        <v>23</v>
      </c>
      <c r="D161" s="128"/>
      <c r="E161" s="129">
        <f>SUM(E155:F160)</f>
        <v>11600.900999999998</v>
      </c>
      <c r="F161" s="130"/>
      <c r="G161" s="129">
        <f>SUM(G155:H160)</f>
        <v>17401.351500000001</v>
      </c>
      <c r="H161" s="129"/>
    </row>
    <row r="162" spans="1:14" s="15" customFormat="1">
      <c r="A162" s="126" t="s">
        <v>182</v>
      </c>
      <c r="B162" s="126"/>
      <c r="C162" s="127">
        <f>C161+C152+C143+C140</f>
        <v>611</v>
      </c>
      <c r="D162" s="128"/>
      <c r="E162" s="129">
        <f>E161+E152+E143+E140</f>
        <v>293058.56986379996</v>
      </c>
      <c r="F162" s="130"/>
      <c r="G162" s="129">
        <f>G161+G152+G143+G140</f>
        <v>440926.95021047996</v>
      </c>
      <c r="H162" s="130"/>
    </row>
    <row r="163" spans="1:14" s="14" customFormat="1">
      <c r="A163" s="107" t="s">
        <v>183</v>
      </c>
      <c r="B163" s="107"/>
      <c r="C163" s="107"/>
      <c r="D163" s="107"/>
      <c r="E163" s="107"/>
      <c r="F163" s="107"/>
      <c r="G163" s="107"/>
      <c r="H163" s="107"/>
    </row>
    <row r="164" spans="1:14">
      <c r="A164" s="107" t="s">
        <v>184</v>
      </c>
      <c r="B164" s="107"/>
      <c r="C164" s="107"/>
      <c r="D164" s="107"/>
      <c r="E164" s="107"/>
      <c r="F164" s="107"/>
      <c r="G164" s="107"/>
      <c r="H164" s="107"/>
    </row>
    <row r="165" spans="1:14" ht="47.25" customHeight="1">
      <c r="A165" s="111" t="s">
        <v>185</v>
      </c>
      <c r="B165" s="111" t="s">
        <v>186</v>
      </c>
      <c r="C165" s="111" t="s">
        <v>187</v>
      </c>
      <c r="D165" s="111" t="s">
        <v>188</v>
      </c>
      <c r="E165" s="113" t="s">
        <v>189</v>
      </c>
      <c r="F165" s="47" t="s">
        <v>190</v>
      </c>
      <c r="G165" s="89" t="s">
        <v>191</v>
      </c>
      <c r="H165" s="90"/>
    </row>
    <row r="166" spans="1:14" s="16" customFormat="1">
      <c r="A166" s="112"/>
      <c r="B166" s="112"/>
      <c r="C166" s="112"/>
      <c r="D166" s="112"/>
      <c r="E166" s="114"/>
      <c r="F166" s="48">
        <v>0.6</v>
      </c>
      <c r="G166" s="91"/>
      <c r="H166" s="92"/>
    </row>
    <row r="167" spans="1:14" s="14" customFormat="1">
      <c r="A167" s="107" t="s">
        <v>192</v>
      </c>
      <c r="B167" s="107"/>
      <c r="C167" s="107"/>
      <c r="D167" s="107"/>
      <c r="E167" s="107"/>
      <c r="F167" s="107"/>
      <c r="G167" s="107"/>
      <c r="H167" s="107"/>
    </row>
    <row r="168" spans="1:14" s="14" customFormat="1">
      <c r="A168" s="107" t="s">
        <v>193</v>
      </c>
      <c r="B168" s="107"/>
      <c r="C168" s="107"/>
      <c r="D168" s="107"/>
      <c r="E168" s="107"/>
      <c r="F168" s="107"/>
      <c r="G168" s="107"/>
      <c r="H168" s="107"/>
    </row>
    <row r="169" spans="1:14" s="16" customFormat="1">
      <c r="A169" s="106" t="s">
        <v>194</v>
      </c>
      <c r="B169" s="106"/>
      <c r="C169" s="106"/>
      <c r="D169" s="106"/>
      <c r="E169" s="106"/>
      <c r="F169" s="106"/>
      <c r="G169" s="106"/>
      <c r="H169" s="106"/>
      <c r="J169" s="50"/>
    </row>
    <row r="170" spans="1:14" s="16" customFormat="1" ht="15.75" customHeight="1">
      <c r="A170" s="93">
        <v>1</v>
      </c>
      <c r="B170" s="93"/>
      <c r="C170" s="49" t="s">
        <v>195</v>
      </c>
      <c r="D170" s="49">
        <f>(5.41*2.65+1.14*1.55+1+2.15*0.7)*10.764</f>
        <v>200.30189399999998</v>
      </c>
      <c r="E170" s="49">
        <v>0</v>
      </c>
      <c r="F170" s="49">
        <f>(D170+E170)*(($F$166)+1)</f>
        <v>320.48303039999996</v>
      </c>
      <c r="G170" s="93" t="str">
        <f>A169</f>
        <v>Ground Floor for Commercial</v>
      </c>
      <c r="H170" s="93"/>
      <c r="I170" s="50"/>
      <c r="L170" s="119"/>
      <c r="M170" s="119"/>
      <c r="N170" s="50"/>
    </row>
    <row r="171" spans="1:14" s="16" customFormat="1" ht="15.75" customHeight="1">
      <c r="A171" s="93">
        <f t="shared" ref="A171:A180" si="1">A170+1</f>
        <v>2</v>
      </c>
      <c r="B171" s="93"/>
      <c r="C171" s="49" t="s">
        <v>195</v>
      </c>
      <c r="D171" s="49">
        <f>(3.15*5.07)*10.764</f>
        <v>171.906462</v>
      </c>
      <c r="E171" s="49">
        <v>0</v>
      </c>
      <c r="F171" s="49">
        <f t="shared" ref="F171:F179" si="2">(D171+E171)*(($F$166)+1)</f>
        <v>275.0503392</v>
      </c>
      <c r="G171" s="93"/>
      <c r="H171" s="93"/>
      <c r="I171" s="50"/>
      <c r="L171" s="119"/>
      <c r="M171" s="119"/>
      <c r="N171" s="50"/>
    </row>
    <row r="172" spans="1:14" s="16" customFormat="1" ht="15.75" customHeight="1">
      <c r="A172" s="93">
        <f t="shared" si="1"/>
        <v>3</v>
      </c>
      <c r="B172" s="93"/>
      <c r="C172" s="49" t="s">
        <v>195</v>
      </c>
      <c r="D172" s="49">
        <f>(2.9*4.05)*10.764</f>
        <v>126.42317999999999</v>
      </c>
      <c r="E172" s="49">
        <v>0</v>
      </c>
      <c r="F172" s="49">
        <f t="shared" si="2"/>
        <v>202.27708799999999</v>
      </c>
      <c r="G172" s="93"/>
      <c r="H172" s="93"/>
      <c r="I172" s="50"/>
      <c r="L172" s="119"/>
      <c r="M172" s="119"/>
      <c r="N172" s="50"/>
    </row>
    <row r="173" spans="1:14" s="16" customFormat="1" ht="15.75" customHeight="1">
      <c r="A173" s="93">
        <f t="shared" si="1"/>
        <v>4</v>
      </c>
      <c r="B173" s="93"/>
      <c r="C173" s="49" t="s">
        <v>195</v>
      </c>
      <c r="D173" s="49">
        <f>(4.2*5.3+5.05*3.4+2.1*1.2)*10.764</f>
        <v>451.5498</v>
      </c>
      <c r="E173" s="49">
        <v>0</v>
      </c>
      <c r="F173" s="49">
        <f t="shared" si="2"/>
        <v>722.47968000000003</v>
      </c>
      <c r="G173" s="93"/>
      <c r="H173" s="93"/>
      <c r="I173" s="50"/>
      <c r="L173" s="119"/>
      <c r="M173" s="119"/>
      <c r="N173" s="50"/>
    </row>
    <row r="174" spans="1:14" s="16" customFormat="1" ht="15.75" customHeight="1">
      <c r="A174" s="93">
        <f t="shared" si="1"/>
        <v>5</v>
      </c>
      <c r="B174" s="93"/>
      <c r="C174" s="49" t="s">
        <v>195</v>
      </c>
      <c r="D174" s="49">
        <f>(3.2*3.9+3.2*1.1)*10.764</f>
        <v>172.22399999999999</v>
      </c>
      <c r="E174" s="49">
        <v>0</v>
      </c>
      <c r="F174" s="49">
        <f t="shared" si="2"/>
        <v>275.55840000000001</v>
      </c>
      <c r="G174" s="93"/>
      <c r="H174" s="93"/>
      <c r="I174" s="50"/>
      <c r="L174" s="119"/>
      <c r="M174" s="119"/>
      <c r="N174" s="50"/>
    </row>
    <row r="175" spans="1:14" s="16" customFormat="1" ht="15.75" customHeight="1">
      <c r="A175" s="93">
        <f t="shared" si="1"/>
        <v>6</v>
      </c>
      <c r="B175" s="93"/>
      <c r="C175" s="49" t="s">
        <v>195</v>
      </c>
      <c r="D175" s="49">
        <f>(3*5+1+1.01*1.1)*10.764</f>
        <v>184.182804</v>
      </c>
      <c r="E175" s="49">
        <v>0</v>
      </c>
      <c r="F175" s="49">
        <f t="shared" si="2"/>
        <v>294.69248640000001</v>
      </c>
      <c r="G175" s="93"/>
      <c r="H175" s="93"/>
      <c r="I175" s="50"/>
      <c r="L175" s="119"/>
      <c r="M175" s="119"/>
      <c r="N175" s="50"/>
    </row>
    <row r="176" spans="1:14" s="16" customFormat="1" ht="15.75" customHeight="1">
      <c r="A176" s="93">
        <f t="shared" si="1"/>
        <v>7</v>
      </c>
      <c r="B176" s="93"/>
      <c r="C176" s="49" t="s">
        <v>195</v>
      </c>
      <c r="D176" s="49">
        <f>(2.9*4.85+1.76*1.1+1)*10.764</f>
        <v>182.99876399999997</v>
      </c>
      <c r="E176" s="49">
        <v>0</v>
      </c>
      <c r="F176" s="49">
        <f t="shared" si="2"/>
        <v>292.79802239999998</v>
      </c>
      <c r="G176" s="93"/>
      <c r="H176" s="93"/>
      <c r="I176" s="50"/>
      <c r="L176" s="119"/>
      <c r="M176" s="119"/>
      <c r="N176" s="50"/>
    </row>
    <row r="177" spans="1:14" s="16" customFormat="1" ht="15.75" customHeight="1">
      <c r="A177" s="93">
        <f t="shared" si="1"/>
        <v>8</v>
      </c>
      <c r="B177" s="93"/>
      <c r="C177" s="49" t="s">
        <v>195</v>
      </c>
      <c r="D177" s="49">
        <f>(4.35*4.8)*10.764</f>
        <v>224.75231999999997</v>
      </c>
      <c r="E177" s="49">
        <v>0</v>
      </c>
      <c r="F177" s="49">
        <f t="shared" si="2"/>
        <v>359.60371199999997</v>
      </c>
      <c r="G177" s="93"/>
      <c r="H177" s="93"/>
      <c r="I177" s="50"/>
      <c r="L177" s="119"/>
      <c r="M177" s="119"/>
      <c r="N177" s="50"/>
    </row>
    <row r="178" spans="1:14" s="16" customFormat="1" ht="15.75" customHeight="1">
      <c r="A178" s="93">
        <f t="shared" si="1"/>
        <v>9</v>
      </c>
      <c r="B178" s="93"/>
      <c r="C178" s="49" t="s">
        <v>195</v>
      </c>
      <c r="D178" s="49">
        <f>(3.05*4.8)*10.764</f>
        <v>157.58495999999997</v>
      </c>
      <c r="E178" s="49">
        <v>0</v>
      </c>
      <c r="F178" s="49">
        <f t="shared" si="2"/>
        <v>252.13593599999996</v>
      </c>
      <c r="G178" s="93"/>
      <c r="H178" s="93"/>
      <c r="I178" s="50"/>
      <c r="L178" s="119"/>
      <c r="M178" s="119"/>
      <c r="N178" s="50"/>
    </row>
    <row r="179" spans="1:14" s="16" customFormat="1" ht="15.75" customHeight="1">
      <c r="A179" s="93">
        <f t="shared" si="1"/>
        <v>10</v>
      </c>
      <c r="B179" s="93"/>
      <c r="C179" s="49" t="s">
        <v>195</v>
      </c>
      <c r="D179" s="49">
        <f>(3.5*4.8)*10.764</f>
        <v>180.83519999999999</v>
      </c>
      <c r="E179" s="49">
        <v>0</v>
      </c>
      <c r="F179" s="49">
        <f t="shared" si="2"/>
        <v>289.33632</v>
      </c>
      <c r="G179" s="93"/>
      <c r="H179" s="93"/>
      <c r="I179" s="50"/>
      <c r="L179" s="119"/>
      <c r="M179" s="119"/>
      <c r="N179" s="50"/>
    </row>
    <row r="180" spans="1:14" s="16" customFormat="1" ht="15.75" customHeight="1">
      <c r="A180" s="93">
        <f t="shared" si="1"/>
        <v>11</v>
      </c>
      <c r="B180" s="93"/>
      <c r="C180" s="49" t="s">
        <v>195</v>
      </c>
      <c r="D180" s="49">
        <f>(7.9*3.7+5.16*1.2+4.18*0.9+1.2)*10.764</f>
        <v>434.69337600000006</v>
      </c>
      <c r="E180" s="49">
        <v>0</v>
      </c>
      <c r="F180" s="49">
        <f t="shared" ref="F180:F187" si="3">(D180+E180)*(($F$166)+1)</f>
        <v>695.50940160000016</v>
      </c>
      <c r="G180" s="93"/>
      <c r="H180" s="93"/>
      <c r="I180" s="50"/>
      <c r="L180" s="119"/>
      <c r="M180" s="119"/>
      <c r="N180" s="50"/>
    </row>
    <row r="181" spans="1:14" s="16" customFormat="1" ht="15.75" customHeight="1">
      <c r="A181" s="93">
        <v>12</v>
      </c>
      <c r="B181" s="93"/>
      <c r="C181" s="49" t="s">
        <v>195</v>
      </c>
      <c r="D181" s="49">
        <f>(3.2*3.9+2.1*1.1+1*1)*10.764</f>
        <v>169.96356</v>
      </c>
      <c r="E181" s="49">
        <v>0</v>
      </c>
      <c r="F181" s="49">
        <f t="shared" si="3"/>
        <v>271.94169600000004</v>
      </c>
      <c r="G181" s="93"/>
      <c r="H181" s="93"/>
      <c r="I181" s="50"/>
      <c r="L181" s="119"/>
      <c r="M181" s="119"/>
      <c r="N181" s="50"/>
    </row>
    <row r="182" spans="1:14" s="16" customFormat="1" ht="15.75" customHeight="1">
      <c r="A182" s="93">
        <f t="shared" ref="A182:A201" si="4">A181+1</f>
        <v>13</v>
      </c>
      <c r="B182" s="93"/>
      <c r="C182" s="49" t="s">
        <v>195</v>
      </c>
      <c r="D182" s="49">
        <f>(3*5+2.15*1+1.05*1.1+2.07*1+1*1)*10.764</f>
        <v>230.08049999999997</v>
      </c>
      <c r="E182" s="49">
        <v>0</v>
      </c>
      <c r="F182" s="49">
        <f t="shared" si="3"/>
        <v>368.12879999999996</v>
      </c>
      <c r="G182" s="93"/>
      <c r="H182" s="93"/>
      <c r="I182" s="50"/>
      <c r="L182" s="119"/>
      <c r="M182" s="119"/>
      <c r="N182" s="50"/>
    </row>
    <row r="183" spans="1:14" s="16" customFormat="1" ht="15.75" customHeight="1">
      <c r="A183" s="93">
        <f t="shared" si="4"/>
        <v>14</v>
      </c>
      <c r="B183" s="93"/>
      <c r="C183" s="49" t="s">
        <v>195</v>
      </c>
      <c r="D183" s="49">
        <f>(2.9*5.5)*10.764</f>
        <v>171.68579999999997</v>
      </c>
      <c r="E183" s="49">
        <v>0</v>
      </c>
      <c r="F183" s="49">
        <f t="shared" si="3"/>
        <v>274.69727999999998</v>
      </c>
      <c r="G183" s="93"/>
      <c r="H183" s="93"/>
      <c r="I183" s="50"/>
      <c r="L183" s="119"/>
      <c r="M183" s="119"/>
      <c r="N183" s="50"/>
    </row>
    <row r="184" spans="1:14" s="16" customFormat="1" ht="15.75" customHeight="1">
      <c r="A184" s="93">
        <f t="shared" si="4"/>
        <v>15</v>
      </c>
      <c r="B184" s="93"/>
      <c r="C184" s="49" t="s">
        <v>195</v>
      </c>
      <c r="D184" s="49">
        <f>(2.909*10.05+1.73*1.1+1*1)*10.764</f>
        <v>345.93827579999999</v>
      </c>
      <c r="E184" s="49">
        <v>0</v>
      </c>
      <c r="F184" s="49">
        <f t="shared" si="3"/>
        <v>553.50124128000004</v>
      </c>
      <c r="G184" s="93"/>
      <c r="H184" s="93"/>
      <c r="I184" s="50"/>
      <c r="L184" s="119"/>
      <c r="M184" s="119"/>
      <c r="N184" s="50"/>
    </row>
    <row r="185" spans="1:14" s="16" customFormat="1" ht="15.75" customHeight="1">
      <c r="A185" s="93">
        <f t="shared" si="4"/>
        <v>16</v>
      </c>
      <c r="B185" s="93"/>
      <c r="C185" s="49" t="s">
        <v>195</v>
      </c>
      <c r="D185" s="49">
        <f>(3*5+2.15*5.05+0.9*1.1+1*1)*10.764</f>
        <v>299.75048999999996</v>
      </c>
      <c r="E185" s="49">
        <v>0</v>
      </c>
      <c r="F185" s="49">
        <f t="shared" si="3"/>
        <v>479.60078399999998</v>
      </c>
      <c r="G185" s="93"/>
      <c r="H185" s="93"/>
      <c r="I185" s="50"/>
      <c r="L185" s="119"/>
      <c r="M185" s="119"/>
      <c r="N185" s="50"/>
    </row>
    <row r="186" spans="1:14" s="16" customFormat="1" ht="15.75" customHeight="1">
      <c r="A186" s="93">
        <f t="shared" si="4"/>
        <v>17</v>
      </c>
      <c r="B186" s="93"/>
      <c r="C186" s="49" t="s">
        <v>195</v>
      </c>
      <c r="D186" s="49">
        <f>(3.2*3.9+2.06*1.1+1*1)*10.764</f>
        <v>169.48994400000001</v>
      </c>
      <c r="E186" s="49">
        <v>0</v>
      </c>
      <c r="F186" s="49">
        <f t="shared" si="3"/>
        <v>271.1839104</v>
      </c>
      <c r="G186" s="93"/>
      <c r="H186" s="93"/>
      <c r="I186" s="50"/>
      <c r="L186" s="119"/>
      <c r="M186" s="119"/>
      <c r="N186" s="50"/>
    </row>
    <row r="187" spans="1:14" s="16" customFormat="1" ht="15.75" customHeight="1">
      <c r="A187" s="93">
        <f t="shared" si="4"/>
        <v>18</v>
      </c>
      <c r="B187" s="93"/>
      <c r="C187" s="49" t="s">
        <v>195</v>
      </c>
      <c r="D187" s="49">
        <f>(3.2*3.9+2.06*1.1+1*1)*10.764</f>
        <v>169.48994400000001</v>
      </c>
      <c r="E187" s="49">
        <v>0</v>
      </c>
      <c r="F187" s="49">
        <f t="shared" si="3"/>
        <v>271.1839104</v>
      </c>
      <c r="G187" s="93"/>
      <c r="H187" s="93"/>
      <c r="I187" s="50"/>
      <c r="L187" s="119"/>
      <c r="M187" s="119"/>
      <c r="N187" s="50"/>
    </row>
    <row r="188" spans="1:14" s="16" customFormat="1" ht="15.75" customHeight="1">
      <c r="A188" s="93">
        <f t="shared" si="4"/>
        <v>19</v>
      </c>
      <c r="B188" s="93"/>
      <c r="C188" s="49" t="s">
        <v>195</v>
      </c>
      <c r="D188" s="49">
        <f>(3*5+2.15*1.2+1.05*1.2+2*0.8+1*1)*10.764</f>
        <v>230.78016</v>
      </c>
      <c r="E188" s="49">
        <v>0</v>
      </c>
      <c r="F188" s="49">
        <f t="shared" ref="F188:F194" si="5">(D188+E188)*(($F$166)+1)</f>
        <v>369.24825600000003</v>
      </c>
      <c r="G188" s="93"/>
      <c r="H188" s="93"/>
      <c r="I188" s="50"/>
      <c r="L188" s="119"/>
      <c r="M188" s="119"/>
      <c r="N188" s="50"/>
    </row>
    <row r="189" spans="1:14" s="16" customFormat="1" ht="15.75" customHeight="1">
      <c r="A189" s="93">
        <f t="shared" si="4"/>
        <v>20</v>
      </c>
      <c r="B189" s="93"/>
      <c r="C189" s="49" t="s">
        <v>195</v>
      </c>
      <c r="D189" s="49">
        <f>(2.9*10.05+1.8*1.1+1*1)*10.764</f>
        <v>345.79349999999999</v>
      </c>
      <c r="E189" s="49">
        <v>0</v>
      </c>
      <c r="F189" s="49">
        <f t="shared" si="5"/>
        <v>553.26959999999997</v>
      </c>
      <c r="G189" s="93"/>
      <c r="H189" s="93"/>
      <c r="I189" s="50"/>
      <c r="L189" s="119"/>
      <c r="M189" s="119"/>
      <c r="N189" s="50"/>
    </row>
    <row r="190" spans="1:14" s="16" customFormat="1" ht="15.75" customHeight="1">
      <c r="A190" s="93">
        <f t="shared" si="4"/>
        <v>21</v>
      </c>
      <c r="B190" s="93"/>
      <c r="C190" s="49" t="s">
        <v>195</v>
      </c>
      <c r="D190" s="49">
        <f>(3*5+2.15*1.2+1.05*1.2+2.07*0.8+1*1)*10.764</f>
        <v>231.38294399999998</v>
      </c>
      <c r="E190" s="49">
        <v>0</v>
      </c>
      <c r="F190" s="49">
        <f t="shared" si="5"/>
        <v>370.21271039999999</v>
      </c>
      <c r="G190" s="93"/>
      <c r="H190" s="93"/>
      <c r="I190" s="50"/>
      <c r="L190" s="119"/>
      <c r="M190" s="119"/>
      <c r="N190" s="50"/>
    </row>
    <row r="191" spans="1:14" s="16" customFormat="1" ht="15.75" customHeight="1">
      <c r="A191" s="93">
        <f t="shared" si="4"/>
        <v>22</v>
      </c>
      <c r="B191" s="93"/>
      <c r="C191" s="49" t="s">
        <v>195</v>
      </c>
      <c r="D191" s="49">
        <f>(3.2*3.9+2.02*1.1+1*1)*10.764</f>
        <v>169.01632800000002</v>
      </c>
      <c r="E191" s="49">
        <v>0</v>
      </c>
      <c r="F191" s="49">
        <f t="shared" si="5"/>
        <v>270.42612480000003</v>
      </c>
      <c r="G191" s="93"/>
      <c r="H191" s="93"/>
      <c r="I191" s="50"/>
      <c r="L191" s="119"/>
      <c r="M191" s="119"/>
      <c r="N191" s="50"/>
    </row>
    <row r="192" spans="1:14" s="16" customFormat="1" ht="15.75" customHeight="1">
      <c r="A192" s="93">
        <f t="shared" si="4"/>
        <v>23</v>
      </c>
      <c r="B192" s="93"/>
      <c r="C192" s="49" t="s">
        <v>195</v>
      </c>
      <c r="D192" s="49">
        <f>(2.8*4.35+1.35*1.2)*10.764</f>
        <v>148.54319999999996</v>
      </c>
      <c r="E192" s="49">
        <v>0</v>
      </c>
      <c r="F192" s="49">
        <f t="shared" si="5"/>
        <v>237.66911999999994</v>
      </c>
      <c r="G192" s="93"/>
      <c r="H192" s="93"/>
      <c r="I192" s="50"/>
      <c r="L192" s="119"/>
      <c r="M192" s="119"/>
      <c r="N192" s="50"/>
    </row>
    <row r="193" spans="1:14" s="16" customFormat="1" ht="15.75" customHeight="1">
      <c r="A193" s="93">
        <f t="shared" si="4"/>
        <v>24</v>
      </c>
      <c r="B193" s="93"/>
      <c r="C193" s="49" t="s">
        <v>195</v>
      </c>
      <c r="D193" s="49">
        <f>(2.45*4.6+1.35*1+1*1)*10.764</f>
        <v>146.60567999999998</v>
      </c>
      <c r="E193" s="49">
        <v>0</v>
      </c>
      <c r="F193" s="49">
        <f t="shared" si="5"/>
        <v>234.56908799999997</v>
      </c>
      <c r="G193" s="93"/>
      <c r="H193" s="93"/>
      <c r="I193" s="50"/>
      <c r="L193" s="119"/>
      <c r="M193" s="119"/>
      <c r="N193" s="50"/>
    </row>
    <row r="194" spans="1:14" s="16" customFormat="1" ht="15.75" customHeight="1">
      <c r="A194" s="93">
        <f t="shared" si="4"/>
        <v>25</v>
      </c>
      <c r="B194" s="93"/>
      <c r="C194" s="49" t="s">
        <v>195</v>
      </c>
      <c r="D194" s="49">
        <f>(2.9*5.54)*10.764</f>
        <v>172.93442399999998</v>
      </c>
      <c r="E194" s="49">
        <v>0</v>
      </c>
      <c r="F194" s="49">
        <f t="shared" si="5"/>
        <v>276.6950784</v>
      </c>
      <c r="G194" s="93"/>
      <c r="H194" s="93"/>
      <c r="I194" s="50"/>
      <c r="L194" s="119"/>
      <c r="M194" s="119"/>
      <c r="N194" s="50"/>
    </row>
    <row r="195" spans="1:14" s="16" customFormat="1" ht="15.75" customHeight="1">
      <c r="A195" s="93">
        <f t="shared" si="4"/>
        <v>26</v>
      </c>
      <c r="B195" s="93"/>
      <c r="C195" s="49" t="s">
        <v>195</v>
      </c>
      <c r="D195" s="49">
        <f>(3.2*5.54)*10.764</f>
        <v>190.82419200000001</v>
      </c>
      <c r="E195" s="49">
        <v>0</v>
      </c>
      <c r="F195" s="49">
        <f t="shared" ref="F195:F201" si="6">(D195+E195)*(($F$166)+1)</f>
        <v>305.31870720000001</v>
      </c>
      <c r="G195" s="93"/>
      <c r="H195" s="93"/>
      <c r="I195" s="50"/>
      <c r="L195" s="119"/>
      <c r="M195" s="119"/>
      <c r="N195" s="50"/>
    </row>
    <row r="196" spans="1:14" s="16" customFormat="1" ht="15.75" customHeight="1">
      <c r="A196" s="93">
        <f t="shared" si="4"/>
        <v>27</v>
      </c>
      <c r="B196" s="93"/>
      <c r="C196" s="49" t="s">
        <v>195</v>
      </c>
      <c r="D196" s="49">
        <f>(4.9*3.25+3.8*1.1+3.35*1.35+1*1)*10.764</f>
        <v>275.85440999999997</v>
      </c>
      <c r="E196" s="49">
        <v>0</v>
      </c>
      <c r="F196" s="49">
        <f t="shared" si="6"/>
        <v>441.36705599999999</v>
      </c>
      <c r="G196" s="93"/>
      <c r="H196" s="93"/>
      <c r="I196" s="50"/>
      <c r="L196" s="119"/>
      <c r="M196" s="119"/>
      <c r="N196" s="50"/>
    </row>
    <row r="197" spans="1:14" s="16" customFormat="1" ht="15.75" customHeight="1">
      <c r="A197" s="93">
        <f t="shared" si="4"/>
        <v>28</v>
      </c>
      <c r="B197" s="93"/>
      <c r="C197" s="49" t="s">
        <v>195</v>
      </c>
      <c r="D197" s="49">
        <f>(3*5+2.15*5.07+0.9*1.1+1*1)*10.764</f>
        <v>300.21334199999995</v>
      </c>
      <c r="E197" s="49">
        <v>0</v>
      </c>
      <c r="F197" s="49">
        <f t="shared" si="6"/>
        <v>480.34134719999997</v>
      </c>
      <c r="G197" s="93"/>
      <c r="H197" s="93"/>
      <c r="I197" s="50"/>
      <c r="L197" s="119"/>
      <c r="M197" s="119"/>
      <c r="N197" s="50"/>
    </row>
    <row r="198" spans="1:14" s="16" customFormat="1" ht="15.75" customHeight="1">
      <c r="A198" s="93">
        <f t="shared" si="4"/>
        <v>29</v>
      </c>
      <c r="B198" s="93"/>
      <c r="C198" s="49" t="s">
        <v>195</v>
      </c>
      <c r="D198" s="49">
        <f>(3*5)*10.764</f>
        <v>161.45999999999998</v>
      </c>
      <c r="E198" s="49">
        <v>0</v>
      </c>
      <c r="F198" s="49">
        <f t="shared" si="6"/>
        <v>258.33599999999996</v>
      </c>
      <c r="G198" s="93"/>
      <c r="H198" s="93"/>
      <c r="I198" s="50"/>
      <c r="L198" s="119"/>
      <c r="M198" s="119"/>
      <c r="N198" s="50"/>
    </row>
    <row r="199" spans="1:14" s="16" customFormat="1" ht="15.75" customHeight="1">
      <c r="A199" s="93">
        <f t="shared" si="4"/>
        <v>30</v>
      </c>
      <c r="B199" s="93"/>
      <c r="C199" s="49" t="s">
        <v>195</v>
      </c>
      <c r="D199" s="49">
        <f>(2.9*11.5)*10.764</f>
        <v>358.9794</v>
      </c>
      <c r="E199" s="49">
        <v>0</v>
      </c>
      <c r="F199" s="49">
        <f t="shared" si="6"/>
        <v>574.36703999999997</v>
      </c>
      <c r="G199" s="93"/>
      <c r="H199" s="93"/>
      <c r="I199" s="50"/>
      <c r="L199" s="119"/>
      <c r="M199" s="119"/>
      <c r="N199" s="50"/>
    </row>
    <row r="200" spans="1:14" s="16" customFormat="1" ht="15.75" customHeight="1">
      <c r="A200" s="93">
        <f t="shared" si="4"/>
        <v>31</v>
      </c>
      <c r="B200" s="93"/>
      <c r="C200" s="49" t="s">
        <v>195</v>
      </c>
      <c r="D200" s="49">
        <f>(3*5+1*1.2+2.07*1.95+1*1)*10.764</f>
        <v>228.58968599999997</v>
      </c>
      <c r="E200" s="49">
        <v>0</v>
      </c>
      <c r="F200" s="49">
        <f t="shared" si="6"/>
        <v>365.74349759999996</v>
      </c>
      <c r="G200" s="93"/>
      <c r="H200" s="93"/>
      <c r="I200" s="50"/>
      <c r="L200" s="119"/>
      <c r="M200" s="119"/>
      <c r="N200" s="50"/>
    </row>
    <row r="201" spans="1:14" s="16" customFormat="1" ht="15.75" customHeight="1">
      <c r="A201" s="93">
        <f t="shared" si="4"/>
        <v>32</v>
      </c>
      <c r="B201" s="93"/>
      <c r="C201" s="49" t="s">
        <v>195</v>
      </c>
      <c r="D201" s="49">
        <f>(3.2*3.9+2.02*1.1+1*1)*10.764</f>
        <v>169.01632800000002</v>
      </c>
      <c r="E201" s="49">
        <v>0</v>
      </c>
      <c r="F201" s="49">
        <f t="shared" si="6"/>
        <v>270.42612480000003</v>
      </c>
      <c r="G201" s="93"/>
      <c r="H201" s="93"/>
      <c r="I201" s="50"/>
      <c r="L201" s="119"/>
      <c r="M201" s="119"/>
      <c r="N201" s="50"/>
    </row>
    <row r="202" spans="1:14" s="14" customFormat="1">
      <c r="A202" s="107" t="s">
        <v>192</v>
      </c>
      <c r="B202" s="107"/>
      <c r="C202" s="107"/>
      <c r="D202" s="107"/>
      <c r="E202" s="107"/>
      <c r="F202" s="107"/>
      <c r="G202" s="107"/>
      <c r="H202" s="107"/>
    </row>
    <row r="203" spans="1:14" s="14" customFormat="1">
      <c r="A203" s="107" t="s">
        <v>193</v>
      </c>
      <c r="B203" s="107"/>
      <c r="C203" s="107"/>
      <c r="D203" s="107"/>
      <c r="E203" s="107"/>
      <c r="F203" s="107"/>
      <c r="G203" s="107"/>
      <c r="H203" s="107"/>
    </row>
    <row r="204" spans="1:14" s="16" customFormat="1">
      <c r="A204" s="103" t="s">
        <v>196</v>
      </c>
      <c r="B204" s="104"/>
      <c r="C204" s="104"/>
      <c r="D204" s="104"/>
      <c r="E204" s="104"/>
      <c r="F204" s="104"/>
      <c r="G204" s="104"/>
      <c r="H204" s="105"/>
      <c r="J204" s="50"/>
    </row>
    <row r="205" spans="1:14" s="16" customFormat="1" ht="15.75" customHeight="1">
      <c r="A205" s="108">
        <v>1</v>
      </c>
      <c r="B205" s="109"/>
      <c r="C205" s="49" t="s">
        <v>197</v>
      </c>
      <c r="D205" s="49">
        <f>(4.4*4.3+2.15*5+3.15*6.72+3.2*5.7+4.2*7.3+1.95*2.25+3.75*1.15+5.3*7.6+5.3*7.6+4.93*6.45)*10.764</f>
        <v>2376.6535259999996</v>
      </c>
      <c r="E205" s="49">
        <v>0</v>
      </c>
      <c r="F205" s="49">
        <f>D205*(($F$211)+1)+(IF(E205&lt;101,E205,IF(E205&lt;201,E205/2,IF(E205&lt;=301,E205/3,E205/4))))</f>
        <v>3564.9802889999992</v>
      </c>
      <c r="G205" s="83" t="str">
        <f>A204</f>
        <v>1st Floor for Commercial</v>
      </c>
      <c r="H205" s="84"/>
      <c r="I205" s="50"/>
      <c r="L205" s="119"/>
      <c r="M205" s="119"/>
      <c r="N205" s="50"/>
    </row>
    <row r="206" spans="1:14" s="16" customFormat="1" ht="15.75" customHeight="1">
      <c r="A206" s="108">
        <v>3</v>
      </c>
      <c r="B206" s="109"/>
      <c r="C206" s="49" t="s">
        <v>197</v>
      </c>
      <c r="D206" s="49">
        <f>(5.2*6+6.4*5.9+2.15*4.55+5.2*6.85+1.9*1.2)*10.764</f>
        <v>1255.5398700000001</v>
      </c>
      <c r="E206" s="49">
        <v>0</v>
      </c>
      <c r="F206" s="49">
        <f>D206*(($F$211)+1)+(IF(E206&lt;101,E206,IF(E206&lt;201,E206/2,IF(E206&lt;=301,E206/3,E206/4))))</f>
        <v>1883.3098050000001</v>
      </c>
      <c r="G206" s="85"/>
      <c r="H206" s="86"/>
      <c r="I206" s="50"/>
      <c r="L206" s="119"/>
      <c r="M206" s="119"/>
      <c r="N206" s="50"/>
    </row>
    <row r="207" spans="1:14" s="16" customFormat="1" ht="15.75" customHeight="1">
      <c r="A207" s="108">
        <v>4</v>
      </c>
      <c r="B207" s="109"/>
      <c r="C207" s="49" t="s">
        <v>197</v>
      </c>
      <c r="D207" s="49">
        <f>(5.2*6+4.12*5.9+1.7*5.25+2.15*6.6+4.8*5.25+3.25*1.19+1.25-2.1)*10.764</f>
        <v>1150.031142</v>
      </c>
      <c r="E207" s="49">
        <v>0</v>
      </c>
      <c r="F207" s="49">
        <f>D207*(($F$211)+1)+(IF(E207&lt;101,E207,IF(E207&lt;201,E207/2,IF(E207&lt;=301,E207/3,E207/4))))</f>
        <v>1725.0467130000002</v>
      </c>
      <c r="G207" s="85"/>
      <c r="H207" s="86"/>
      <c r="I207" s="50"/>
      <c r="L207" s="119"/>
      <c r="M207" s="119"/>
      <c r="N207" s="50"/>
    </row>
    <row r="208" spans="1:14" s="16" customFormat="1" ht="15.75" customHeight="1">
      <c r="A208" s="108">
        <v>5</v>
      </c>
      <c r="B208" s="109"/>
      <c r="C208" s="49" t="s">
        <v>197</v>
      </c>
      <c r="D208" s="49">
        <f>(3.05*6.44+1.55*5.25+2.15*6.6+1.65*5.25+4.2*5.9+5.2*6.85+1.25*2.15)*10.764</f>
        <v>1224.0766980000001</v>
      </c>
      <c r="E208" s="49">
        <v>0</v>
      </c>
      <c r="F208" s="49">
        <f>D208*(($F$211)+1)+(IF(E208&lt;101,E208,IF(E208&lt;201,E208/2,IF(E208&lt;=301,E208/3,E208/4))))</f>
        <v>1836.1150470000002</v>
      </c>
      <c r="G208" s="87"/>
      <c r="H208" s="88"/>
      <c r="I208" s="50"/>
      <c r="L208" s="119"/>
      <c r="M208" s="119"/>
      <c r="N208" s="50"/>
    </row>
    <row r="209" spans="1:14" s="16" customFormat="1">
      <c r="A209" s="108"/>
      <c r="B209" s="118"/>
      <c r="C209" s="118"/>
      <c r="D209" s="118"/>
      <c r="E209" s="118"/>
      <c r="F209" s="118"/>
      <c r="G209" s="118"/>
      <c r="H209" s="109"/>
      <c r="I209" s="50"/>
      <c r="N209" s="50"/>
    </row>
    <row r="210" spans="1:14" ht="47.25" customHeight="1">
      <c r="A210" s="89" t="s">
        <v>198</v>
      </c>
      <c r="B210" s="89" t="s">
        <v>199</v>
      </c>
      <c r="C210" s="111" t="s">
        <v>187</v>
      </c>
      <c r="D210" s="111" t="s">
        <v>188</v>
      </c>
      <c r="E210" s="113" t="s">
        <v>200</v>
      </c>
      <c r="F210" s="47" t="s">
        <v>190</v>
      </c>
      <c r="G210" s="89" t="s">
        <v>191</v>
      </c>
      <c r="H210" s="90"/>
      <c r="I210" s="50"/>
    </row>
    <row r="211" spans="1:14" s="16" customFormat="1">
      <c r="A211" s="91"/>
      <c r="B211" s="91"/>
      <c r="C211" s="112"/>
      <c r="D211" s="112"/>
      <c r="E211" s="114"/>
      <c r="F211" s="48">
        <v>0.5</v>
      </c>
      <c r="G211" s="91"/>
      <c r="H211" s="92"/>
      <c r="I211" s="50"/>
    </row>
    <row r="212" spans="1:14" s="14" customFormat="1">
      <c r="A212" s="107" t="s">
        <v>201</v>
      </c>
      <c r="B212" s="107"/>
      <c r="C212" s="107"/>
      <c r="D212" s="107"/>
      <c r="E212" s="107"/>
      <c r="F212" s="107"/>
      <c r="G212" s="107"/>
      <c r="H212" s="107"/>
    </row>
    <row r="213" spans="1:14" s="14" customFormat="1">
      <c r="A213" s="107" t="s">
        <v>202</v>
      </c>
      <c r="B213" s="107"/>
      <c r="C213" s="107"/>
      <c r="D213" s="107"/>
      <c r="E213" s="107"/>
      <c r="F213" s="107"/>
      <c r="G213" s="107"/>
      <c r="H213" s="107"/>
    </row>
    <row r="214" spans="1:14" s="16" customFormat="1">
      <c r="A214" s="106" t="s">
        <v>203</v>
      </c>
      <c r="B214" s="106"/>
      <c r="C214" s="106"/>
      <c r="D214" s="106"/>
      <c r="E214" s="106"/>
      <c r="F214" s="106"/>
      <c r="G214" s="106"/>
      <c r="H214" s="106"/>
      <c r="J214" s="50"/>
    </row>
    <row r="215" spans="1:14" s="16" customFormat="1" ht="15.75" customHeight="1">
      <c r="A215" s="49">
        <v>1</v>
      </c>
      <c r="B215" s="49" t="s">
        <v>204</v>
      </c>
      <c r="C215" s="49" t="s">
        <v>205</v>
      </c>
      <c r="D215" s="49">
        <f>(46.88)*10.764</f>
        <v>504.61631999999997</v>
      </c>
      <c r="E215" s="49">
        <v>0</v>
      </c>
      <c r="F215" s="49">
        <f>D215*(($F$211)+1)+(IF(E215&lt;101,E215,IF(E215&lt;201,E215/2,IF(E215&lt;=301,E215/3,E215/4))))</f>
        <v>756.9244799999999</v>
      </c>
      <c r="G215" s="93" t="str">
        <f>A214</f>
        <v>1st Floor for Residential</v>
      </c>
      <c r="H215" s="93"/>
      <c r="I215" s="50"/>
      <c r="L215" s="119"/>
      <c r="M215" s="119"/>
      <c r="N215" s="50"/>
    </row>
    <row r="216" spans="1:14" s="16" customFormat="1" ht="15.75" customHeight="1">
      <c r="A216" s="49">
        <v>2</v>
      </c>
      <c r="B216" s="49" t="s">
        <v>204</v>
      </c>
      <c r="C216" s="49" t="s">
        <v>206</v>
      </c>
      <c r="D216" s="49">
        <f>(33.33)*10.764</f>
        <v>358.76411999999993</v>
      </c>
      <c r="E216" s="49">
        <v>0</v>
      </c>
      <c r="F216" s="49">
        <f>D216*(($F$211)+1)+(IF(E216&lt;101,E216,IF(E216&lt;201,E216/2,IF(E216&lt;=301,E216/3,E216/4))))</f>
        <v>538.14617999999996</v>
      </c>
      <c r="G216" s="93"/>
      <c r="H216" s="93"/>
      <c r="I216" s="50"/>
      <c r="L216" s="119"/>
      <c r="M216" s="119"/>
      <c r="N216" s="50"/>
    </row>
    <row r="217" spans="1:14" s="16" customFormat="1" ht="15.75" customHeight="1">
      <c r="A217" s="49">
        <v>5</v>
      </c>
      <c r="B217" s="49" t="s">
        <v>204</v>
      </c>
      <c r="C217" s="49" t="s">
        <v>206</v>
      </c>
      <c r="D217" s="49">
        <f>(37.12)*10.764</f>
        <v>399.55967999999996</v>
      </c>
      <c r="E217" s="49">
        <v>0</v>
      </c>
      <c r="F217" s="49">
        <f>D217*(($F$211)+1)+(IF(E217&lt;101,E217,IF(E217&lt;201,E217/2,IF(E217&lt;=301,E217/3,E217/4))))</f>
        <v>599.33951999999999</v>
      </c>
      <c r="G217" s="93"/>
      <c r="H217" s="93"/>
      <c r="I217" s="50"/>
      <c r="L217" s="119"/>
      <c r="M217" s="119"/>
      <c r="N217" s="50"/>
    </row>
    <row r="218" spans="1:14" s="16" customFormat="1">
      <c r="A218" s="106" t="s">
        <v>207</v>
      </c>
      <c r="B218" s="106"/>
      <c r="C218" s="106"/>
      <c r="D218" s="106"/>
      <c r="E218" s="106"/>
      <c r="F218" s="106"/>
      <c r="G218" s="106"/>
      <c r="H218" s="106"/>
      <c r="J218" s="50"/>
    </row>
    <row r="219" spans="1:14" s="16" customFormat="1">
      <c r="A219" s="49">
        <v>1</v>
      </c>
      <c r="B219" s="49" t="s">
        <v>208</v>
      </c>
      <c r="C219" s="49" t="s">
        <v>205</v>
      </c>
      <c r="D219" s="49">
        <f>(46.88)*10.764</f>
        <v>504.61631999999997</v>
      </c>
      <c r="E219" s="49">
        <v>0</v>
      </c>
      <c r="F219" s="49">
        <f>D219*(($F$211)+1)+(IF(E219&lt;101,E219,IF(E219&lt;201,E219/2,IF(E219&lt;=301,E219/3,E219/4))))</f>
        <v>756.9244799999999</v>
      </c>
      <c r="G219" s="93" t="str">
        <f>A218</f>
        <v>2nd Floor</v>
      </c>
      <c r="H219" s="93"/>
      <c r="I219" s="50"/>
      <c r="L219" s="119"/>
      <c r="M219" s="119"/>
      <c r="N219" s="50"/>
    </row>
    <row r="220" spans="1:14" s="16" customFormat="1">
      <c r="A220" s="49">
        <v>2</v>
      </c>
      <c r="B220" s="49" t="s">
        <v>208</v>
      </c>
      <c r="C220" s="49" t="s">
        <v>206</v>
      </c>
      <c r="D220" s="49">
        <f>(33.33)*10.764</f>
        <v>358.76411999999993</v>
      </c>
      <c r="E220" s="51">
        <v>0</v>
      </c>
      <c r="F220" s="49">
        <f>D220*(($F$211)+1)+(IF(E220&lt;101,E220,IF(E220&lt;201,E220/2,IF(E220&lt;=301,E220/3,E220/4))))</f>
        <v>538.14617999999996</v>
      </c>
      <c r="G220" s="93"/>
      <c r="H220" s="93"/>
      <c r="I220" s="50"/>
      <c r="L220" s="119"/>
      <c r="M220" s="119"/>
      <c r="N220" s="50"/>
    </row>
    <row r="221" spans="1:14" s="16" customFormat="1">
      <c r="A221" s="49">
        <f>A220+1</f>
        <v>3</v>
      </c>
      <c r="B221" s="49" t="s">
        <v>204</v>
      </c>
      <c r="C221" s="49" t="s">
        <v>205</v>
      </c>
      <c r="D221" s="49">
        <f>(55.75)*10.764</f>
        <v>600.09299999999996</v>
      </c>
      <c r="E221" s="51">
        <v>0</v>
      </c>
      <c r="F221" s="49">
        <f>D221*(($F$211)+1)+(IF(E221&lt;101,E221,IF(E221&lt;201,E221/2,IF(E221&lt;=301,E221/3,E221/4))))</f>
        <v>900.1395</v>
      </c>
      <c r="G221" s="93"/>
      <c r="H221" s="93"/>
      <c r="I221" s="50"/>
      <c r="L221" s="119"/>
      <c r="M221" s="119"/>
      <c r="N221" s="50"/>
    </row>
    <row r="222" spans="1:14" s="16" customFormat="1">
      <c r="A222" s="49">
        <f>A221+1</f>
        <v>4</v>
      </c>
      <c r="B222" s="49" t="s">
        <v>208</v>
      </c>
      <c r="C222" s="49" t="s">
        <v>206</v>
      </c>
      <c r="D222" s="49">
        <f>(37.12)*10.764</f>
        <v>399.55967999999996</v>
      </c>
      <c r="E222" s="51">
        <v>0</v>
      </c>
      <c r="F222" s="49">
        <f>D222*(($F$211)+1)+(IF(E222&lt;101,E222,IF(E222&lt;201,E222/2,IF(E222&lt;=301,E222/3,E222/4))))</f>
        <v>599.33951999999999</v>
      </c>
      <c r="G222" s="93"/>
      <c r="H222" s="93"/>
      <c r="I222" s="50"/>
      <c r="L222" s="119"/>
      <c r="M222" s="119"/>
      <c r="N222" s="50"/>
    </row>
    <row r="223" spans="1:14" s="16" customFormat="1">
      <c r="A223" s="49">
        <f>A222+1</f>
        <v>5</v>
      </c>
      <c r="B223" s="49" t="s">
        <v>208</v>
      </c>
      <c r="C223" s="49" t="s">
        <v>206</v>
      </c>
      <c r="D223" s="49">
        <f>(37.12)*10.764</f>
        <v>399.55967999999996</v>
      </c>
      <c r="E223" s="49">
        <v>0</v>
      </c>
      <c r="F223" s="49">
        <f>D223*(($F$211)+1)+(IF(E223&lt;101,E223,IF(E223&lt;201,E223/2,IF(E223&lt;=301,E223/3,E223/4))))</f>
        <v>599.33951999999999</v>
      </c>
      <c r="G223" s="93"/>
      <c r="H223" s="93"/>
      <c r="I223" s="50"/>
      <c r="L223" s="119"/>
      <c r="M223" s="119"/>
      <c r="N223" s="50"/>
    </row>
    <row r="224" spans="1:14" s="16" customFormat="1" ht="15.75" customHeight="1">
      <c r="A224" s="106" t="s">
        <v>209</v>
      </c>
      <c r="B224" s="106"/>
      <c r="C224" s="106"/>
      <c r="D224" s="106"/>
      <c r="E224" s="106"/>
      <c r="F224" s="106"/>
      <c r="G224" s="106"/>
      <c r="H224" s="106"/>
      <c r="I224" s="50"/>
    </row>
    <row r="225" spans="1:14" s="16" customFormat="1" ht="15.75" customHeight="1">
      <c r="A225" s="49">
        <v>1</v>
      </c>
      <c r="B225" s="49" t="s">
        <v>208</v>
      </c>
      <c r="C225" s="49" t="s">
        <v>205</v>
      </c>
      <c r="D225" s="49">
        <f>(46.88)*10.764</f>
        <v>504.61631999999997</v>
      </c>
      <c r="E225" s="49">
        <v>0</v>
      </c>
      <c r="F225" s="49">
        <f>D225*(($F$211)+1)+(IF(E225&lt;101,E225,IF(E225&lt;201,E225/2,IF(E225&lt;=301,E225/3,E225/4))))</f>
        <v>756.9244799999999</v>
      </c>
      <c r="G225" s="93" t="str">
        <f>A224</f>
        <v>3rd to 7th, 9th to 14th Floor</v>
      </c>
      <c r="H225" s="93"/>
      <c r="I225" s="50"/>
    </row>
    <row r="226" spans="1:14" s="16" customFormat="1" ht="15.75" customHeight="1">
      <c r="A226" s="49">
        <v>2</v>
      </c>
      <c r="B226" s="49" t="s">
        <v>208</v>
      </c>
      <c r="C226" s="49" t="s">
        <v>206</v>
      </c>
      <c r="D226" s="49">
        <f>(33.33)*10.764</f>
        <v>358.76411999999993</v>
      </c>
      <c r="E226" s="49">
        <v>0</v>
      </c>
      <c r="F226" s="49">
        <f>D226*(($F$211)+1)+(IF(E226&lt;101,E226,IF(E226&lt;201,E226/2,IF(E226&lt;=301,E226/3,E226/4))))</f>
        <v>538.14617999999996</v>
      </c>
      <c r="G226" s="93"/>
      <c r="H226" s="93"/>
      <c r="I226" s="50"/>
    </row>
    <row r="227" spans="1:14" s="16" customFormat="1" ht="15.75" customHeight="1">
      <c r="A227" s="49">
        <v>3</v>
      </c>
      <c r="B227" s="49" t="s">
        <v>208</v>
      </c>
      <c r="C227" s="49" t="s">
        <v>205</v>
      </c>
      <c r="D227" s="49">
        <f>(55.75)*10.764</f>
        <v>600.09299999999996</v>
      </c>
      <c r="E227" s="49">
        <v>0</v>
      </c>
      <c r="F227" s="49">
        <f>D227*(($F$211)+1)+(IF(E227&lt;101,E227,IF(E227&lt;201,E227/2,IF(E227&lt;=301,E227/3,E227/4))))</f>
        <v>900.1395</v>
      </c>
      <c r="G227" s="93"/>
      <c r="H227" s="93"/>
      <c r="I227" s="50"/>
    </row>
    <row r="228" spans="1:14" s="16" customFormat="1" ht="15.75" customHeight="1">
      <c r="A228" s="49">
        <v>4</v>
      </c>
      <c r="B228" s="49" t="s">
        <v>208</v>
      </c>
      <c r="C228" s="49" t="s">
        <v>206</v>
      </c>
      <c r="D228" s="49">
        <f>(37.12)*10.764</f>
        <v>399.55967999999996</v>
      </c>
      <c r="E228" s="49">
        <v>0</v>
      </c>
      <c r="F228" s="49">
        <f>D228*(($F$211)+1)+(IF(E228&lt;101,E228,IF(E228&lt;201,E228/2,IF(E228&lt;=301,E228/3,E228/4))))</f>
        <v>599.33951999999999</v>
      </c>
      <c r="G228" s="93"/>
      <c r="H228" s="93"/>
      <c r="I228" s="50"/>
    </row>
    <row r="229" spans="1:14" s="16" customFormat="1" ht="15.75" customHeight="1">
      <c r="A229" s="49">
        <v>5</v>
      </c>
      <c r="B229" s="49" t="s">
        <v>208</v>
      </c>
      <c r="C229" s="49" t="s">
        <v>206</v>
      </c>
      <c r="D229" s="49">
        <f>(37.12)*10.764</f>
        <v>399.55967999999996</v>
      </c>
      <c r="E229" s="49">
        <v>0</v>
      </c>
      <c r="F229" s="49">
        <f>D229*(($F$211)+1)+(IF(E229&lt;101,E229,IF(E229&lt;201,E229/2,IF(E229&lt;=301,E229/3,E229/4))))</f>
        <v>599.33951999999999</v>
      </c>
      <c r="G229" s="93"/>
      <c r="H229" s="93"/>
      <c r="I229" s="50"/>
    </row>
    <row r="230" spans="1:14" s="16" customFormat="1">
      <c r="A230" s="103" t="s">
        <v>210</v>
      </c>
      <c r="B230" s="104"/>
      <c r="C230" s="104"/>
      <c r="D230" s="104"/>
      <c r="E230" s="104"/>
      <c r="F230" s="104"/>
      <c r="G230" s="104"/>
      <c r="H230" s="105"/>
      <c r="J230" s="50"/>
    </row>
    <row r="231" spans="1:14" s="16" customFormat="1" ht="15.75" customHeight="1">
      <c r="A231" s="49">
        <v>1</v>
      </c>
      <c r="B231" s="49" t="s">
        <v>208</v>
      </c>
      <c r="C231" s="49" t="s">
        <v>205</v>
      </c>
      <c r="D231" s="49">
        <f>(46.88)*10.764</f>
        <v>504.61631999999997</v>
      </c>
      <c r="E231" s="49">
        <v>0</v>
      </c>
      <c r="F231" s="49">
        <f>D231*(($F$211)+1)+(IF(E231&lt;101,E231,IF(E231&lt;201,E231/2,IF(E231&lt;=301,E231/3,E231/4))))</f>
        <v>756.9244799999999</v>
      </c>
      <c r="G231" s="83" t="str">
        <f>A230</f>
        <v>8th Floor (Part Refuge Floor)</v>
      </c>
      <c r="H231" s="84"/>
      <c r="I231" s="50"/>
      <c r="L231" s="119"/>
      <c r="M231" s="119"/>
      <c r="N231" s="50"/>
    </row>
    <row r="232" spans="1:14" s="16" customFormat="1" ht="15.75" customHeight="1">
      <c r="A232" s="49">
        <v>2</v>
      </c>
      <c r="B232" s="49" t="s">
        <v>208</v>
      </c>
      <c r="C232" s="49" t="s">
        <v>206</v>
      </c>
      <c r="D232" s="49">
        <f>(33.33)*10.764</f>
        <v>358.76411999999993</v>
      </c>
      <c r="E232" s="49">
        <v>0</v>
      </c>
      <c r="F232" s="49">
        <f>D232*(($F$211)+1)+(IF(E232&lt;101,E232,IF(E232&lt;201,E232/2,IF(E232&lt;=301,E232/3,E232/4))))</f>
        <v>538.14617999999996</v>
      </c>
      <c r="G232" s="85"/>
      <c r="H232" s="86"/>
      <c r="I232" s="50"/>
      <c r="L232" s="119"/>
      <c r="M232" s="119"/>
      <c r="N232" s="50"/>
    </row>
    <row r="233" spans="1:14" s="16" customFormat="1" ht="15.75" customHeight="1">
      <c r="A233" s="49">
        <v>3</v>
      </c>
      <c r="B233" s="108" t="s">
        <v>211</v>
      </c>
      <c r="C233" s="118"/>
      <c r="D233" s="118"/>
      <c r="E233" s="118"/>
      <c r="F233" s="109"/>
      <c r="G233" s="85"/>
      <c r="H233" s="86"/>
      <c r="I233" s="50"/>
      <c r="L233" s="119"/>
      <c r="M233" s="119"/>
      <c r="N233" s="50"/>
    </row>
    <row r="234" spans="1:14" s="16" customFormat="1" ht="15.75" customHeight="1">
      <c r="A234" s="49">
        <v>4</v>
      </c>
      <c r="B234" s="49" t="s">
        <v>208</v>
      </c>
      <c r="C234" s="49" t="s">
        <v>206</v>
      </c>
      <c r="D234" s="49">
        <f>(37.12)*10.764</f>
        <v>399.55967999999996</v>
      </c>
      <c r="E234" s="49">
        <v>0</v>
      </c>
      <c r="F234" s="49">
        <f>D234*(($F$211)+1)+(IF(E234&lt;101,E234,IF(E234&lt;201,E234/2,IF(E234&lt;=301,E234/3,E234/4))))</f>
        <v>599.33951999999999</v>
      </c>
      <c r="G234" s="85"/>
      <c r="H234" s="86"/>
      <c r="I234" s="50"/>
      <c r="L234" s="119"/>
      <c r="M234" s="119"/>
      <c r="N234" s="50"/>
    </row>
    <row r="235" spans="1:14" s="16" customFormat="1" ht="15.75" customHeight="1">
      <c r="A235" s="49">
        <v>5</v>
      </c>
      <c r="B235" s="49" t="s">
        <v>208</v>
      </c>
      <c r="C235" s="49" t="s">
        <v>206</v>
      </c>
      <c r="D235" s="49">
        <f>(37.12)*10.764</f>
        <v>399.55967999999996</v>
      </c>
      <c r="E235" s="49">
        <v>0</v>
      </c>
      <c r="F235" s="49">
        <f>D235*(($F$211)+1)+(IF(E235&lt;101,E235,IF(E235&lt;201,E235/2,IF(E235&lt;=301,E235/3,E235/4))))</f>
        <v>599.33951999999999</v>
      </c>
      <c r="G235" s="87"/>
      <c r="H235" s="88"/>
      <c r="I235" s="50"/>
      <c r="N235" s="50"/>
    </row>
    <row r="236" spans="1:14" s="16" customFormat="1">
      <c r="A236" s="103" t="s">
        <v>212</v>
      </c>
      <c r="B236" s="104"/>
      <c r="C236" s="104"/>
      <c r="D236" s="104"/>
      <c r="E236" s="104"/>
      <c r="F236" s="104"/>
      <c r="G236" s="104"/>
      <c r="H236" s="105"/>
      <c r="J236" s="50"/>
    </row>
    <row r="237" spans="1:14" s="16" customFormat="1" ht="15.75" customHeight="1">
      <c r="A237" s="49">
        <v>1</v>
      </c>
      <c r="B237" s="49" t="s">
        <v>208</v>
      </c>
      <c r="C237" s="49" t="s">
        <v>205</v>
      </c>
      <c r="D237" s="49">
        <f>(46.88)*10.764</f>
        <v>504.61631999999997</v>
      </c>
      <c r="E237" s="49">
        <v>0</v>
      </c>
      <c r="F237" s="49">
        <f>D237*(($F$211)+1)+(IF(E237&lt;101,E237,IF(E237&lt;201,E237/2,IF(E237&lt;=301,E237/3,E237/4))))</f>
        <v>756.9244799999999</v>
      </c>
      <c r="G237" s="83" t="str">
        <f>A236</f>
        <v>15th Floor (Part Refuge Floor)</v>
      </c>
      <c r="H237" s="84"/>
      <c r="I237" s="50"/>
      <c r="L237" s="119"/>
      <c r="M237" s="119"/>
      <c r="N237" s="50"/>
    </row>
    <row r="238" spans="1:14" s="16" customFormat="1" ht="15.75" customHeight="1">
      <c r="A238" s="49">
        <v>2</v>
      </c>
      <c r="B238" s="49" t="s">
        <v>208</v>
      </c>
      <c r="C238" s="49" t="s">
        <v>206</v>
      </c>
      <c r="D238" s="49">
        <f>(33.33)*10.764</f>
        <v>358.76411999999993</v>
      </c>
      <c r="E238" s="49">
        <v>0</v>
      </c>
      <c r="F238" s="49">
        <f>D238*(($F$211)+1)+(IF(E238&lt;101,E238,IF(E238&lt;201,E238/2,IF(E238&lt;=301,E238/3,E238/4))))</f>
        <v>538.14617999999996</v>
      </c>
      <c r="G238" s="85"/>
      <c r="H238" s="86"/>
      <c r="I238" s="50"/>
      <c r="L238" s="119"/>
      <c r="M238" s="119"/>
      <c r="N238" s="50"/>
    </row>
    <row r="239" spans="1:14" s="16" customFormat="1" ht="15.75" customHeight="1">
      <c r="A239" s="49">
        <v>3</v>
      </c>
      <c r="B239" s="108" t="s">
        <v>211</v>
      </c>
      <c r="C239" s="118"/>
      <c r="D239" s="118"/>
      <c r="E239" s="118"/>
      <c r="F239" s="109"/>
      <c r="G239" s="85"/>
      <c r="H239" s="86"/>
      <c r="I239" s="50"/>
      <c r="L239" s="119"/>
      <c r="M239" s="119"/>
      <c r="N239" s="50"/>
    </row>
    <row r="240" spans="1:14" s="16" customFormat="1" ht="15.75" customHeight="1">
      <c r="A240" s="49">
        <v>4</v>
      </c>
      <c r="B240" s="49" t="s">
        <v>208</v>
      </c>
      <c r="C240" s="49" t="s">
        <v>206</v>
      </c>
      <c r="D240" s="49">
        <f>(37.12)*10.764</f>
        <v>399.55967999999996</v>
      </c>
      <c r="E240" s="49">
        <v>0</v>
      </c>
      <c r="F240" s="49">
        <f>D240*(($F$211)+1)+(IF(E240&lt;101,E240,IF(E240&lt;201,E240/2,IF(E240&lt;=301,E240/3,E240/4))))</f>
        <v>599.33951999999999</v>
      </c>
      <c r="G240" s="85"/>
      <c r="H240" s="86"/>
      <c r="I240" s="50"/>
      <c r="L240" s="119"/>
      <c r="M240" s="119"/>
      <c r="N240" s="50"/>
    </row>
    <row r="241" spans="1:14" s="16" customFormat="1" ht="15.75" customHeight="1">
      <c r="A241" s="49">
        <v>5</v>
      </c>
      <c r="B241" s="49" t="s">
        <v>208</v>
      </c>
      <c r="C241" s="49" t="s">
        <v>206</v>
      </c>
      <c r="D241" s="49">
        <f>(37.12)*10.764</f>
        <v>399.55967999999996</v>
      </c>
      <c r="E241" s="49">
        <v>0</v>
      </c>
      <c r="F241" s="49">
        <f>D241*(($F$211)+1)+(IF(E241&lt;101,E241,IF(E241&lt;201,E241/2,IF(E241&lt;=301,E241/3,E241/4))))</f>
        <v>599.33951999999999</v>
      </c>
      <c r="G241" s="87"/>
      <c r="H241" s="88"/>
      <c r="I241" s="50"/>
      <c r="N241" s="50"/>
    </row>
    <row r="242" spans="1:14" s="16" customFormat="1" ht="15.75" customHeight="1">
      <c r="A242" s="103" t="s">
        <v>213</v>
      </c>
      <c r="B242" s="104"/>
      <c r="C242" s="104"/>
      <c r="D242" s="104"/>
      <c r="E242" s="104"/>
      <c r="F242" s="104"/>
      <c r="G242" s="104"/>
      <c r="H242" s="105"/>
      <c r="I242" s="50"/>
    </row>
    <row r="243" spans="1:14" s="16" customFormat="1" ht="15.75" customHeight="1">
      <c r="A243" s="49">
        <v>1</v>
      </c>
      <c r="B243" s="49" t="s">
        <v>208</v>
      </c>
      <c r="C243" s="49" t="s">
        <v>205</v>
      </c>
      <c r="D243" s="49">
        <f>(46.88)*10.764</f>
        <v>504.61631999999997</v>
      </c>
      <c r="E243" s="49">
        <v>0</v>
      </c>
      <c r="F243" s="49">
        <f>D243*(($F$211)+1)+(IF(E243&lt;101,E243,IF(E243&lt;201,E243/2,IF(E243&lt;=301,E243/3,E243/4))))</f>
        <v>756.9244799999999</v>
      </c>
      <c r="G243" s="83" t="str">
        <f>A242</f>
        <v>16th to 18th Floor</v>
      </c>
      <c r="H243" s="84"/>
      <c r="I243" s="50"/>
    </row>
    <row r="244" spans="1:14" s="16" customFormat="1" ht="15.75" customHeight="1">
      <c r="A244" s="49">
        <v>2</v>
      </c>
      <c r="B244" s="49" t="s">
        <v>208</v>
      </c>
      <c r="C244" s="49" t="s">
        <v>206</v>
      </c>
      <c r="D244" s="49">
        <f>(33.33)*10.764</f>
        <v>358.76411999999993</v>
      </c>
      <c r="E244" s="49">
        <v>0</v>
      </c>
      <c r="F244" s="49">
        <f>D244*(($F$211)+1)+(IF(E244&lt;101,E244,IF(E244&lt;201,E244/2,IF(E244&lt;=301,E244/3,E244/4))))</f>
        <v>538.14617999999996</v>
      </c>
      <c r="G244" s="85"/>
      <c r="H244" s="86"/>
      <c r="I244" s="50"/>
    </row>
    <row r="245" spans="1:14" s="16" customFormat="1" ht="15.75" customHeight="1">
      <c r="A245" s="49">
        <v>3</v>
      </c>
      <c r="B245" s="49" t="s">
        <v>208</v>
      </c>
      <c r="C245" s="49" t="s">
        <v>205</v>
      </c>
      <c r="D245" s="49">
        <f>(55.75)*10.764</f>
        <v>600.09299999999996</v>
      </c>
      <c r="E245" s="49">
        <v>0</v>
      </c>
      <c r="F245" s="49">
        <f>D245*(($F$211)+1)+(IF(E245&lt;101,E245,IF(E245&lt;201,E245/2,IF(E245&lt;=301,E245/3,E245/4))))</f>
        <v>900.1395</v>
      </c>
      <c r="G245" s="85"/>
      <c r="H245" s="86"/>
      <c r="I245" s="50"/>
    </row>
    <row r="246" spans="1:14" s="16" customFormat="1" ht="15.75" customHeight="1">
      <c r="A246" s="49">
        <v>4</v>
      </c>
      <c r="B246" s="49" t="s">
        <v>208</v>
      </c>
      <c r="C246" s="49" t="s">
        <v>206</v>
      </c>
      <c r="D246" s="49">
        <f>(37.12)*10.764</f>
        <v>399.55967999999996</v>
      </c>
      <c r="E246" s="49">
        <v>0</v>
      </c>
      <c r="F246" s="49">
        <f>D246*(($F$211)+1)+(IF(E246&lt;101,E246,IF(E246&lt;201,E246/2,IF(E246&lt;=301,E246/3,E246/4))))</f>
        <v>599.33951999999999</v>
      </c>
      <c r="G246" s="85"/>
      <c r="H246" s="86"/>
      <c r="I246" s="50"/>
    </row>
    <row r="247" spans="1:14" s="16" customFormat="1" ht="15.75" customHeight="1">
      <c r="A247" s="49">
        <v>5</v>
      </c>
      <c r="B247" s="49" t="s">
        <v>208</v>
      </c>
      <c r="C247" s="49" t="s">
        <v>206</v>
      </c>
      <c r="D247" s="49">
        <f>(37.12)*10.764</f>
        <v>399.55967999999996</v>
      </c>
      <c r="E247" s="49">
        <v>0</v>
      </c>
      <c r="F247" s="49">
        <f>D247*(($F$211)+1)+(IF(E247&lt;101,E247,IF(E247&lt;201,E247/2,IF(E247&lt;=301,E247/3,E247/4))))</f>
        <v>599.33951999999999</v>
      </c>
      <c r="G247" s="87"/>
      <c r="H247" s="88"/>
      <c r="I247" s="50"/>
    </row>
    <row r="248" spans="1:14" s="16" customFormat="1" ht="15.75" customHeight="1">
      <c r="A248" s="103" t="s">
        <v>214</v>
      </c>
      <c r="B248" s="104"/>
      <c r="C248" s="104"/>
      <c r="D248" s="104"/>
      <c r="E248" s="104"/>
      <c r="F248" s="104"/>
      <c r="G248" s="104"/>
      <c r="H248" s="105"/>
      <c r="I248" s="50"/>
    </row>
    <row r="249" spans="1:14" s="16" customFormat="1" ht="15.75" customHeight="1">
      <c r="A249" s="49">
        <v>1</v>
      </c>
      <c r="B249" s="49" t="s">
        <v>208</v>
      </c>
      <c r="C249" s="49" t="s">
        <v>205</v>
      </c>
      <c r="D249" s="49">
        <f>(46.88)*10.764</f>
        <v>504.61631999999997</v>
      </c>
      <c r="E249" s="49">
        <v>0</v>
      </c>
      <c r="F249" s="49">
        <f>D249*(($F$211)+1)+(IF(E249&lt;101,E249,IF(E249&lt;201,E249/2,IF(E249&lt;=301,E249/3,E249/4))))</f>
        <v>756.9244799999999</v>
      </c>
      <c r="G249" s="83" t="str">
        <f>A248</f>
        <v>19th, 20th &amp; 21st Floor</v>
      </c>
      <c r="H249" s="84"/>
      <c r="I249" s="52"/>
      <c r="J249" s="53" t="s">
        <v>215</v>
      </c>
      <c r="K249" s="53"/>
      <c r="L249" s="53" t="s">
        <v>216</v>
      </c>
      <c r="M249" s="53" t="s">
        <v>195</v>
      </c>
      <c r="N249" s="53" t="s">
        <v>197</v>
      </c>
    </row>
    <row r="250" spans="1:14" s="16" customFormat="1" ht="15.75" customHeight="1">
      <c r="A250" s="49">
        <v>2</v>
      </c>
      <c r="B250" s="49" t="s">
        <v>208</v>
      </c>
      <c r="C250" s="49" t="s">
        <v>206</v>
      </c>
      <c r="D250" s="49">
        <f>(33.33)*10.764</f>
        <v>358.76411999999993</v>
      </c>
      <c r="E250" s="49">
        <v>0</v>
      </c>
      <c r="F250" s="49">
        <f>D250*(($F$211)+1)+(IF(E250&lt;101,E250,IF(E250&lt;201,E250/2,IF(E250&lt;=301,E250/3,E250/4))))</f>
        <v>538.14617999999996</v>
      </c>
      <c r="G250" s="85"/>
      <c r="H250" s="86"/>
      <c r="I250" s="52"/>
      <c r="J250" s="53" t="s">
        <v>217</v>
      </c>
      <c r="K250" s="52"/>
      <c r="L250" s="53" t="s">
        <v>218</v>
      </c>
      <c r="M250" s="52">
        <f ca="1">7200000/D111</f>
        <v>7885714.2857142864</v>
      </c>
      <c r="N250" s="52" t="e">
        <f>45000000/D150</f>
        <v>#DIV/0!</v>
      </c>
    </row>
    <row r="251" spans="1:14" s="16" customFormat="1" ht="15.75" customHeight="1">
      <c r="A251" s="49">
        <v>3</v>
      </c>
      <c r="B251" s="49" t="s">
        <v>208</v>
      </c>
      <c r="C251" s="49" t="s">
        <v>205</v>
      </c>
      <c r="D251" s="49">
        <f>(55.75)*10.764</f>
        <v>600.09299999999996</v>
      </c>
      <c r="E251" s="49">
        <v>0</v>
      </c>
      <c r="F251" s="49">
        <f>D251*(($F$211)+1)+(IF(E251&lt;101,E251,IF(E251&lt;201,E251/2,IF(E251&lt;=301,E251/3,E251/4))))</f>
        <v>900.1395</v>
      </c>
      <c r="G251" s="85"/>
      <c r="H251" s="86"/>
      <c r="I251" s="52"/>
      <c r="J251" s="52">
        <f>11000000/D251</f>
        <v>18330.49210705674</v>
      </c>
      <c r="K251" s="52"/>
      <c r="L251" s="52">
        <f>7200000/D378</f>
        <v>13474.946032841141</v>
      </c>
      <c r="M251" s="52">
        <f ca="1">M250/1.6</f>
        <v>4928571.4285714291</v>
      </c>
      <c r="N251" s="52" t="e">
        <f>N250/1.6</f>
        <v>#DIV/0!</v>
      </c>
    </row>
    <row r="252" spans="1:14" s="16" customFormat="1" ht="15.75" customHeight="1">
      <c r="A252" s="49">
        <v>4</v>
      </c>
      <c r="B252" s="49" t="s">
        <v>208</v>
      </c>
      <c r="C252" s="49" t="s">
        <v>206</v>
      </c>
      <c r="D252" s="49">
        <f>(37.12)*10.764</f>
        <v>399.55967999999996</v>
      </c>
      <c r="E252" s="49">
        <v>0</v>
      </c>
      <c r="F252" s="49">
        <f>D252*(($F$211)+1)+(IF(E252&lt;101,E252,IF(E252&lt;201,E252/2,IF(E252&lt;=301,E252/3,E252/4))))</f>
        <v>599.33951999999999</v>
      </c>
      <c r="G252" s="85"/>
      <c r="H252" s="86"/>
      <c r="I252" s="52" t="s">
        <v>149</v>
      </c>
      <c r="J252" s="52">
        <f>J251/1.5</f>
        <v>12220.328071371159</v>
      </c>
      <c r="K252" s="53"/>
      <c r="L252" s="52">
        <f>9200000/D389</f>
        <v>17217.986597519233</v>
      </c>
    </row>
    <row r="253" spans="1:14" s="16" customFormat="1" ht="15.75" customHeight="1">
      <c r="A253" s="49">
        <v>5</v>
      </c>
      <c r="B253" s="49" t="s">
        <v>208</v>
      </c>
      <c r="C253" s="49" t="s">
        <v>206</v>
      </c>
      <c r="D253" s="49">
        <f>(37.12)*10.764</f>
        <v>399.55967999999996</v>
      </c>
      <c r="E253" s="49">
        <v>0</v>
      </c>
      <c r="F253" s="49">
        <f>D253*(($F$211)+1)+(IF(E253&lt;101,E253,IF(E253&lt;201,E253/2,IF(E253&lt;=301,E253/3,E253/4))))</f>
        <v>599.33951999999999</v>
      </c>
      <c r="G253" s="87"/>
      <c r="H253" s="88"/>
      <c r="I253" s="52"/>
      <c r="J253" s="52"/>
      <c r="K253" s="53"/>
      <c r="L253" s="52"/>
    </row>
    <row r="254" spans="1:14" s="16" customFormat="1" ht="15.75" customHeight="1">
      <c r="A254" s="103" t="s">
        <v>219</v>
      </c>
      <c r="B254" s="104"/>
      <c r="C254" s="104"/>
      <c r="D254" s="104"/>
      <c r="E254" s="104"/>
      <c r="F254" s="104"/>
      <c r="G254" s="104"/>
      <c r="H254" s="105"/>
      <c r="I254" s="50"/>
      <c r="K254" s="52"/>
      <c r="L254" s="52">
        <f>10200000/D419</f>
        <v>27634.970006304025</v>
      </c>
    </row>
    <row r="255" spans="1:14" s="16" customFormat="1" ht="15.75" customHeight="1">
      <c r="A255" s="49">
        <v>1</v>
      </c>
      <c r="B255" s="49" t="s">
        <v>208</v>
      </c>
      <c r="C255" s="49" t="s">
        <v>205</v>
      </c>
      <c r="D255" s="49">
        <f>(46.88)*10.764</f>
        <v>504.61631999999997</v>
      </c>
      <c r="E255" s="49">
        <v>0</v>
      </c>
      <c r="F255" s="49">
        <f>D255*(($F$211)+1)+(IF(E255&lt;101,E255,IF(E255&lt;201,E255/2,IF(E255&lt;=301,E255/3,E255/4))))</f>
        <v>756.9244799999999</v>
      </c>
      <c r="G255" s="83" t="str">
        <f>A254</f>
        <v>22nd Floor (Part Refuge Area)</v>
      </c>
      <c r="H255" s="84"/>
      <c r="I255" s="50"/>
      <c r="K255" s="52"/>
      <c r="L255" s="52">
        <f>13000000/D453</f>
        <v>34526.285551716239</v>
      </c>
    </row>
    <row r="256" spans="1:14" s="16" customFormat="1" ht="15.75" customHeight="1">
      <c r="A256" s="49">
        <v>2</v>
      </c>
      <c r="B256" s="49" t="s">
        <v>208</v>
      </c>
      <c r="C256" s="49" t="s">
        <v>206</v>
      </c>
      <c r="D256" s="49">
        <f>(33.33)*10.764</f>
        <v>358.76411999999993</v>
      </c>
      <c r="E256" s="49">
        <v>0</v>
      </c>
      <c r="F256" s="49">
        <f>D256*(($F$211)+1)+(IF(E256&lt;101,E256,IF(E256&lt;201,E256/2,IF(E256&lt;=301,E256/3,E256/4))))</f>
        <v>538.14617999999996</v>
      </c>
      <c r="G256" s="85"/>
      <c r="H256" s="86"/>
      <c r="I256" s="50"/>
      <c r="K256" s="52"/>
      <c r="L256" s="52">
        <f>AVERAGE(L251:L255)</f>
        <v>23213.547047095159</v>
      </c>
    </row>
    <row r="257" spans="1:14" s="16" customFormat="1" ht="15.75" customHeight="1">
      <c r="A257" s="49">
        <v>3</v>
      </c>
      <c r="B257" s="49" t="s">
        <v>208</v>
      </c>
      <c r="C257" s="49" t="s">
        <v>206</v>
      </c>
      <c r="D257" s="49">
        <f>(44.16)*10.764</f>
        <v>475.33823999999993</v>
      </c>
      <c r="E257" s="49">
        <v>0</v>
      </c>
      <c r="F257" s="49">
        <f>D257*(($F$211)+1)+(IF(E257&lt;101,E257,IF(E257&lt;201,E257/2,IF(E257&lt;=301,E257/3,E257/4))))</f>
        <v>713.00735999999984</v>
      </c>
      <c r="G257" s="85"/>
      <c r="H257" s="86"/>
      <c r="I257" s="50"/>
      <c r="K257" s="52" t="s">
        <v>149</v>
      </c>
      <c r="L257" s="52">
        <f>L256/1.5</f>
        <v>15475.698031396772</v>
      </c>
    </row>
    <row r="258" spans="1:14" s="16" customFormat="1" ht="15.75" customHeight="1">
      <c r="A258" s="49" t="s">
        <v>220</v>
      </c>
      <c r="B258" s="108" t="s">
        <v>221</v>
      </c>
      <c r="C258" s="118"/>
      <c r="D258" s="118"/>
      <c r="E258" s="118"/>
      <c r="F258" s="109"/>
      <c r="G258" s="85"/>
      <c r="H258" s="86"/>
      <c r="I258" s="50"/>
      <c r="K258" s="52"/>
      <c r="L258" s="52"/>
    </row>
    <row r="259" spans="1:14" s="16" customFormat="1" ht="15.75" customHeight="1">
      <c r="A259" s="49">
        <v>4</v>
      </c>
      <c r="B259" s="49" t="s">
        <v>208</v>
      </c>
      <c r="C259" s="49" t="s">
        <v>206</v>
      </c>
      <c r="D259" s="49">
        <f>(37.12)*10.764</f>
        <v>399.55967999999996</v>
      </c>
      <c r="E259" s="49">
        <v>0</v>
      </c>
      <c r="F259" s="49">
        <f>D259*(($F$211)+1)+(IF(E259&lt;101,E259,IF(E259&lt;201,E259/2,IF(E259&lt;=301,E259/3,E259/4))))</f>
        <v>599.33951999999999</v>
      </c>
      <c r="G259" s="85"/>
      <c r="H259" s="86"/>
      <c r="I259" s="50"/>
    </row>
    <row r="260" spans="1:14" s="16" customFormat="1" ht="15.75" customHeight="1">
      <c r="A260" s="49">
        <v>5</v>
      </c>
      <c r="B260" s="49" t="s">
        <v>208</v>
      </c>
      <c r="C260" s="49" t="s">
        <v>206</v>
      </c>
      <c r="D260" s="49">
        <f>(37.12)*10.764</f>
        <v>399.55967999999996</v>
      </c>
      <c r="E260" s="49">
        <v>0</v>
      </c>
      <c r="F260" s="49">
        <f>D260*(($F$211)+1)+(IF(E260&lt;101,E260,IF(E260&lt;201,E260/2,IF(E260&lt;=301,E260/3,E260/4))))</f>
        <v>599.33951999999999</v>
      </c>
      <c r="G260" s="87"/>
      <c r="H260" s="88"/>
      <c r="I260" s="50"/>
    </row>
    <row r="261" spans="1:14" s="16" customFormat="1" ht="15.75" customHeight="1">
      <c r="A261" s="106" t="s">
        <v>222</v>
      </c>
      <c r="B261" s="106"/>
      <c r="C261" s="106"/>
      <c r="D261" s="106"/>
      <c r="E261" s="106"/>
      <c r="F261" s="106"/>
      <c r="G261" s="106"/>
      <c r="H261" s="106"/>
      <c r="I261" s="50"/>
    </row>
    <row r="262" spans="1:14" s="16" customFormat="1">
      <c r="A262" s="49">
        <v>1</v>
      </c>
      <c r="B262" s="49" t="s">
        <v>208</v>
      </c>
      <c r="C262" s="49" t="s">
        <v>205</v>
      </c>
      <c r="D262" s="49">
        <f>(46.88)*10.764</f>
        <v>504.61631999999997</v>
      </c>
      <c r="E262" s="49">
        <v>0</v>
      </c>
      <c r="F262" s="49">
        <f>D262*(($F$211)+1)+(IF(E262&lt;101,E262,IF(E262&lt;201,E262/2,IF(E262&lt;=301,E262/3,E262/4))))</f>
        <v>756.9244799999999</v>
      </c>
      <c r="G262" s="93" t="str">
        <f>A261</f>
        <v>23rd Floor</v>
      </c>
      <c r="H262" s="93"/>
      <c r="I262" s="50"/>
    </row>
    <row r="263" spans="1:14" s="16" customFormat="1">
      <c r="A263" s="49">
        <v>2</v>
      </c>
      <c r="B263" s="49" t="s">
        <v>208</v>
      </c>
      <c r="C263" s="49" t="s">
        <v>206</v>
      </c>
      <c r="D263" s="49">
        <f>(33.33)*10.764</f>
        <v>358.76411999999993</v>
      </c>
      <c r="E263" s="49">
        <v>0</v>
      </c>
      <c r="F263" s="49">
        <f>D263*(($F$211)+1)+(IF(E263&lt;101,E263,IF(E263&lt;201,E263/2,IF(E263&lt;=301,E263/3,E263/4))))</f>
        <v>538.14617999999996</v>
      </c>
      <c r="G263" s="93"/>
      <c r="H263" s="93"/>
      <c r="I263" s="50"/>
    </row>
    <row r="264" spans="1:14" s="16" customFormat="1" ht="15.75" customHeight="1">
      <c r="A264" s="49">
        <v>3</v>
      </c>
      <c r="B264" s="49" t="s">
        <v>208</v>
      </c>
      <c r="C264" s="49" t="s">
        <v>205</v>
      </c>
      <c r="D264" s="49">
        <f>(55.75)*10.764</f>
        <v>600.09299999999996</v>
      </c>
      <c r="E264" s="49">
        <v>0</v>
      </c>
      <c r="F264" s="49">
        <f>D264*(($F$211)+1)+(IF(E264&lt;101,E264,IF(E264&lt;201,E264/2,IF(E264&lt;=301,E264/3,E264/4))))</f>
        <v>900.1395</v>
      </c>
      <c r="G264" s="93"/>
      <c r="H264" s="93"/>
      <c r="I264" s="50"/>
    </row>
    <row r="265" spans="1:14" s="16" customFormat="1" ht="15.75" customHeight="1">
      <c r="A265" s="49">
        <v>4</v>
      </c>
      <c r="B265" s="49" t="s">
        <v>208</v>
      </c>
      <c r="C265" s="49" t="s">
        <v>206</v>
      </c>
      <c r="D265" s="49">
        <f>(37.12)*10.764</f>
        <v>399.55967999999996</v>
      </c>
      <c r="E265" s="49">
        <v>0</v>
      </c>
      <c r="F265" s="49">
        <f>D265*(($F$211)+1)+(IF(E265&lt;101,E265,IF(E265&lt;201,E265/2,IF(E265&lt;=301,E265/3,E265/4))))</f>
        <v>599.33951999999999</v>
      </c>
      <c r="G265" s="93"/>
      <c r="H265" s="93"/>
      <c r="I265" s="50"/>
    </row>
    <row r="266" spans="1:14" s="16" customFormat="1" ht="15.75" customHeight="1">
      <c r="A266" s="49">
        <v>5</v>
      </c>
      <c r="B266" s="49" t="s">
        <v>208</v>
      </c>
      <c r="C266" s="49" t="s">
        <v>206</v>
      </c>
      <c r="D266" s="49">
        <f>(37.12)*10.764</f>
        <v>399.55967999999996</v>
      </c>
      <c r="E266" s="49">
        <v>0</v>
      </c>
      <c r="F266" s="49">
        <f>D266*(($F$211)+1)+(IF(E266&lt;101,E266,IF(E266&lt;201,E266/2,IF(E266&lt;=301,E266/3,E266/4))))</f>
        <v>599.33951999999999</v>
      </c>
      <c r="G266" s="93"/>
      <c r="H266" s="93"/>
      <c r="I266" s="50"/>
    </row>
    <row r="267" spans="1:14" s="14" customFormat="1">
      <c r="A267" s="107" t="s">
        <v>223</v>
      </c>
      <c r="B267" s="107"/>
      <c r="C267" s="107"/>
      <c r="D267" s="107"/>
      <c r="E267" s="107"/>
      <c r="F267" s="107"/>
      <c r="G267" s="107"/>
      <c r="H267" s="107"/>
    </row>
    <row r="268" spans="1:14" s="16" customFormat="1">
      <c r="A268" s="106" t="s">
        <v>203</v>
      </c>
      <c r="B268" s="106"/>
      <c r="C268" s="106"/>
      <c r="D268" s="106"/>
      <c r="E268" s="106"/>
      <c r="F268" s="106"/>
      <c r="G268" s="106"/>
      <c r="H268" s="106"/>
      <c r="J268" s="50"/>
    </row>
    <row r="269" spans="1:14" s="16" customFormat="1" ht="15.75" customHeight="1">
      <c r="A269" s="49">
        <v>1</v>
      </c>
      <c r="B269" s="49" t="s">
        <v>204</v>
      </c>
      <c r="C269" s="49" t="s">
        <v>205</v>
      </c>
      <c r="D269" s="49">
        <f>(49.72)*10.764</f>
        <v>535.18607999999995</v>
      </c>
      <c r="E269" s="49">
        <v>0</v>
      </c>
      <c r="F269" s="49">
        <f>D269*(($F$211)+1)+(IF(E269&lt;101,E269,IF(E269&lt;201,E269/2,IF(E269&lt;=301,E269/3,E269/4))))</f>
        <v>802.77911999999992</v>
      </c>
      <c r="G269" s="93" t="str">
        <f>A268</f>
        <v>1st Floor for Residential</v>
      </c>
      <c r="H269" s="93"/>
      <c r="I269" s="50"/>
      <c r="L269" s="119"/>
      <c r="M269" s="119"/>
      <c r="N269" s="50"/>
    </row>
    <row r="270" spans="1:14" s="16" customFormat="1" ht="15.75" customHeight="1">
      <c r="A270" s="49">
        <v>3</v>
      </c>
      <c r="B270" s="49" t="s">
        <v>204</v>
      </c>
      <c r="C270" s="49" t="s">
        <v>224</v>
      </c>
      <c r="D270" s="49">
        <f>(21.97)*10.764</f>
        <v>236.48507999999998</v>
      </c>
      <c r="E270" s="49">
        <v>0</v>
      </c>
      <c r="F270" s="49">
        <f>D270*(($F$211)+1)+(IF(E270&lt;101,E270,IF(E270&lt;201,E270/2,IF(E270&lt;=301,E270/3,E270/4))))</f>
        <v>354.72762</v>
      </c>
      <c r="G270" s="93"/>
      <c r="H270" s="93"/>
      <c r="I270" s="50"/>
      <c r="L270" s="119"/>
      <c r="M270" s="119"/>
      <c r="N270" s="50"/>
    </row>
    <row r="271" spans="1:14" s="16" customFormat="1" ht="15.75" customHeight="1">
      <c r="A271" s="49">
        <v>4</v>
      </c>
      <c r="B271" s="49" t="s">
        <v>204</v>
      </c>
      <c r="C271" s="49" t="s">
        <v>206</v>
      </c>
      <c r="D271" s="49">
        <f>(37.12)*10.764</f>
        <v>399.55967999999996</v>
      </c>
      <c r="E271" s="49">
        <v>0</v>
      </c>
      <c r="F271" s="49">
        <f>D271*(($F$211)+1)+(IF(E271&lt;101,E271,IF(E271&lt;201,E271/2,IF(E271&lt;=301,E271/3,E271/4))))</f>
        <v>599.33951999999999</v>
      </c>
      <c r="G271" s="93"/>
      <c r="H271" s="93"/>
      <c r="I271" s="50"/>
      <c r="L271" s="119"/>
      <c r="M271" s="119"/>
      <c r="N271" s="50"/>
    </row>
    <row r="272" spans="1:14" s="16" customFormat="1" ht="15.75" customHeight="1">
      <c r="A272" s="49">
        <v>5</v>
      </c>
      <c r="B272" s="49" t="s">
        <v>204</v>
      </c>
      <c r="C272" s="49" t="s">
        <v>225</v>
      </c>
      <c r="D272" s="49">
        <f>(77.09)*10.764</f>
        <v>829.79675999999995</v>
      </c>
      <c r="E272" s="49">
        <v>0</v>
      </c>
      <c r="F272" s="49">
        <f>D272*(($F$211)+1)+(IF(E272&lt;101,E272,IF(E272&lt;201,E272/2,IF(E272&lt;=301,E272/3,E272/4))))</f>
        <v>1244.6951399999998</v>
      </c>
      <c r="G272" s="93"/>
      <c r="H272" s="93"/>
      <c r="I272" s="50"/>
      <c r="L272" s="119"/>
      <c r="M272" s="119"/>
      <c r="N272" s="50"/>
    </row>
    <row r="273" spans="1:14" s="16" customFormat="1">
      <c r="A273" s="103" t="s">
        <v>207</v>
      </c>
      <c r="B273" s="104"/>
      <c r="C273" s="104"/>
      <c r="D273" s="104"/>
      <c r="E273" s="104"/>
      <c r="F273" s="104"/>
      <c r="G273" s="104"/>
      <c r="H273" s="105"/>
      <c r="J273" s="50"/>
    </row>
    <row r="274" spans="1:14" s="16" customFormat="1">
      <c r="A274" s="49">
        <v>1</v>
      </c>
      <c r="B274" s="49" t="s">
        <v>204</v>
      </c>
      <c r="C274" s="49" t="s">
        <v>205</v>
      </c>
      <c r="D274" s="49">
        <f>(49.72)*10.764</f>
        <v>535.18607999999995</v>
      </c>
      <c r="E274" s="49">
        <v>0</v>
      </c>
      <c r="F274" s="49">
        <f>D274*(($F$211)+1)+(IF(E274&lt;101,E274,IF(E274&lt;201,E274/2,IF(E274&lt;=301,E274/3,E274/4))))</f>
        <v>802.77911999999992</v>
      </c>
      <c r="G274" s="83" t="str">
        <f>A273</f>
        <v>2nd Floor</v>
      </c>
      <c r="H274" s="84"/>
      <c r="I274" s="50"/>
      <c r="L274" s="119"/>
      <c r="M274" s="119"/>
      <c r="N274" s="50"/>
    </row>
    <row r="275" spans="1:14" s="16" customFormat="1">
      <c r="A275" s="49">
        <v>2</v>
      </c>
      <c r="B275" s="49" t="s">
        <v>204</v>
      </c>
      <c r="C275" s="49" t="s">
        <v>205</v>
      </c>
      <c r="D275" s="49">
        <f>(49.72)*10.764</f>
        <v>535.18607999999995</v>
      </c>
      <c r="E275" s="49">
        <v>0</v>
      </c>
      <c r="F275" s="49">
        <f>D275*(($F$211)+1)+(IF(E275&lt;101,E275,IF(E275&lt;201,E275/2,IF(E275&lt;=301,E275/3,E275/4))))</f>
        <v>802.77911999999992</v>
      </c>
      <c r="G275" s="85"/>
      <c r="H275" s="86"/>
      <c r="I275" s="50"/>
      <c r="L275" s="119"/>
      <c r="M275" s="119"/>
      <c r="N275" s="50"/>
    </row>
    <row r="276" spans="1:14" s="16" customFormat="1">
      <c r="A276" s="49">
        <f>A275+1</f>
        <v>3</v>
      </c>
      <c r="B276" s="49" t="s">
        <v>204</v>
      </c>
      <c r="C276" s="49" t="s">
        <v>206</v>
      </c>
      <c r="D276" s="49">
        <f>(38.04)*10.764</f>
        <v>409.46255999999994</v>
      </c>
      <c r="E276" s="49">
        <v>0</v>
      </c>
      <c r="F276" s="49">
        <f>D276*(($F$211)+1)+(IF(E276&lt;101,E276,IF(E276&lt;201,E276/2,IF(E276&lt;=301,E276/3,E276/4))))</f>
        <v>614.19383999999991</v>
      </c>
      <c r="G276" s="85"/>
      <c r="H276" s="86"/>
      <c r="I276" s="50"/>
      <c r="L276" s="119"/>
      <c r="M276" s="119"/>
      <c r="N276" s="50"/>
    </row>
    <row r="277" spans="1:14" s="16" customFormat="1">
      <c r="A277" s="49">
        <f>A276+1</f>
        <v>4</v>
      </c>
      <c r="B277" s="49" t="s">
        <v>204</v>
      </c>
      <c r="C277" s="49" t="s">
        <v>206</v>
      </c>
      <c r="D277" s="49">
        <f>(37.12)*10.764</f>
        <v>399.55967999999996</v>
      </c>
      <c r="E277" s="49">
        <v>0</v>
      </c>
      <c r="F277" s="49">
        <f>D277*(($F$211)+1)+(IF(E277&lt;101,E277,IF(E277&lt;201,E277/2,IF(E277&lt;=301,E277/3,E277/4))))</f>
        <v>599.33951999999999</v>
      </c>
      <c r="G277" s="85"/>
      <c r="H277" s="86"/>
      <c r="I277" s="50"/>
      <c r="L277" s="119"/>
      <c r="M277" s="119"/>
      <c r="N277" s="50"/>
    </row>
    <row r="278" spans="1:14" s="16" customFormat="1">
      <c r="A278" s="49">
        <f>A277+1</f>
        <v>5</v>
      </c>
      <c r="B278" s="49" t="s">
        <v>204</v>
      </c>
      <c r="C278" s="49" t="s">
        <v>225</v>
      </c>
      <c r="D278" s="49">
        <f>(77.09)*10.764</f>
        <v>829.79675999999995</v>
      </c>
      <c r="E278" s="49">
        <v>0</v>
      </c>
      <c r="F278" s="49">
        <f>D278*(($F$211)+1)+(IF(E278&lt;101,E278,IF(E278&lt;201,E278/2,IF(E278&lt;=301,E278/3,E278/4))))</f>
        <v>1244.6951399999998</v>
      </c>
      <c r="G278" s="87"/>
      <c r="H278" s="88"/>
      <c r="I278" s="50"/>
      <c r="L278" s="119"/>
      <c r="M278" s="119"/>
      <c r="N278" s="50"/>
    </row>
    <row r="279" spans="1:14" s="16" customFormat="1" ht="15.75" customHeight="1">
      <c r="A279" s="103" t="s">
        <v>209</v>
      </c>
      <c r="B279" s="104"/>
      <c r="C279" s="104"/>
      <c r="D279" s="104"/>
      <c r="E279" s="104"/>
      <c r="F279" s="104"/>
      <c r="G279" s="104"/>
      <c r="H279" s="105"/>
      <c r="I279" s="50"/>
    </row>
    <row r="280" spans="1:14" s="16" customFormat="1" ht="15.75" customHeight="1">
      <c r="A280" s="49">
        <v>1</v>
      </c>
      <c r="B280" s="49" t="s">
        <v>208</v>
      </c>
      <c r="C280" s="49" t="s">
        <v>205</v>
      </c>
      <c r="D280" s="49">
        <f>(49.72)*10.764</f>
        <v>535.18607999999995</v>
      </c>
      <c r="E280" s="49">
        <v>0</v>
      </c>
      <c r="F280" s="49">
        <f>D280*(($F$211)+1)+(IF(E280&lt;101,E280,IF(E280&lt;201,E280/2,IF(E280&lt;=301,E280/3,E280/4))))</f>
        <v>802.77911999999992</v>
      </c>
      <c r="G280" s="83" t="str">
        <f>A279</f>
        <v>3rd to 7th, 9th to 14th Floor</v>
      </c>
      <c r="H280" s="84"/>
      <c r="I280" s="50"/>
    </row>
    <row r="281" spans="1:14" s="16" customFormat="1" ht="15.75" customHeight="1">
      <c r="A281" s="49">
        <v>2</v>
      </c>
      <c r="B281" s="49" t="s">
        <v>208</v>
      </c>
      <c r="C281" s="49" t="s">
        <v>205</v>
      </c>
      <c r="D281" s="49">
        <f>(49.72)*10.764</f>
        <v>535.18607999999995</v>
      </c>
      <c r="E281" s="49">
        <v>0</v>
      </c>
      <c r="F281" s="49">
        <f>D281*(($F$211)+1)+(IF(E281&lt;101,E281,IF(E281&lt;201,E281/2,IF(E281&lt;=301,E281/3,E281/4))))</f>
        <v>802.77911999999992</v>
      </c>
      <c r="G281" s="85"/>
      <c r="H281" s="86"/>
      <c r="I281" s="50"/>
    </row>
    <row r="282" spans="1:14" s="16" customFormat="1" ht="15.75" customHeight="1">
      <c r="A282" s="49">
        <f>A281+1</f>
        <v>3</v>
      </c>
      <c r="B282" s="49" t="s">
        <v>208</v>
      </c>
      <c r="C282" s="49" t="s">
        <v>206</v>
      </c>
      <c r="D282" s="49">
        <f>(38.04)*10.764</f>
        <v>409.46255999999994</v>
      </c>
      <c r="E282" s="49">
        <v>0</v>
      </c>
      <c r="F282" s="49">
        <f>D282*(($F$211)+1)+(IF(E282&lt;101,E282,IF(E282&lt;201,E282/2,IF(E282&lt;=301,E282/3,E282/4))))</f>
        <v>614.19383999999991</v>
      </c>
      <c r="G282" s="85"/>
      <c r="H282" s="86"/>
      <c r="I282" s="50"/>
    </row>
    <row r="283" spans="1:14" s="16" customFormat="1" ht="15.75" customHeight="1">
      <c r="A283" s="49">
        <f>A282+1</f>
        <v>4</v>
      </c>
      <c r="B283" s="49" t="s">
        <v>208</v>
      </c>
      <c r="C283" s="49" t="s">
        <v>206</v>
      </c>
      <c r="D283" s="49">
        <f>(37.12)*10.764</f>
        <v>399.55967999999996</v>
      </c>
      <c r="E283" s="49">
        <v>0</v>
      </c>
      <c r="F283" s="49">
        <f>D283*(($F$211)+1)+(IF(E283&lt;101,E283,IF(E283&lt;201,E283/2,IF(E283&lt;=301,E283/3,E283/4))))</f>
        <v>599.33951999999999</v>
      </c>
      <c r="G283" s="85"/>
      <c r="H283" s="86"/>
      <c r="I283" s="50"/>
    </row>
    <row r="284" spans="1:14" s="16" customFormat="1" ht="15.75" customHeight="1">
      <c r="A284" s="49">
        <f>A283+1</f>
        <v>5</v>
      </c>
      <c r="B284" s="49" t="s">
        <v>208</v>
      </c>
      <c r="C284" s="49" t="s">
        <v>225</v>
      </c>
      <c r="D284" s="49">
        <f>(77.09)*10.764</f>
        <v>829.79675999999995</v>
      </c>
      <c r="E284" s="49">
        <v>0</v>
      </c>
      <c r="F284" s="49">
        <f>D284*(($F$211)+1)+(IF(E284&lt;101,E284,IF(E284&lt;201,E284/2,IF(E284&lt;=301,E284/3,E284/4))))</f>
        <v>1244.6951399999998</v>
      </c>
      <c r="G284" s="87"/>
      <c r="H284" s="88"/>
      <c r="I284" s="50"/>
    </row>
    <row r="285" spans="1:14" s="16" customFormat="1">
      <c r="A285" s="103" t="s">
        <v>210</v>
      </c>
      <c r="B285" s="104"/>
      <c r="C285" s="104"/>
      <c r="D285" s="104"/>
      <c r="E285" s="104"/>
      <c r="F285" s="104"/>
      <c r="G285" s="104"/>
      <c r="H285" s="105"/>
      <c r="J285" s="50"/>
    </row>
    <row r="286" spans="1:14" s="16" customFormat="1" ht="15.75" customHeight="1">
      <c r="A286" s="49">
        <v>1</v>
      </c>
      <c r="B286" s="49" t="s">
        <v>208</v>
      </c>
      <c r="C286" s="49" t="s">
        <v>205</v>
      </c>
      <c r="D286" s="49">
        <f>(49.72)*10.764</f>
        <v>535.18607999999995</v>
      </c>
      <c r="E286" s="49">
        <v>0</v>
      </c>
      <c r="F286" s="49">
        <f>D286*(($F$211)+1)+(IF(E286&lt;101,E286,IF(E286&lt;201,E286/2,IF(E286&lt;=301,E286/3,E286/4))))</f>
        <v>802.77911999999992</v>
      </c>
      <c r="G286" s="83" t="str">
        <f>A285</f>
        <v>8th Floor (Part Refuge Floor)</v>
      </c>
      <c r="H286" s="84"/>
      <c r="I286" s="50"/>
      <c r="L286" s="119"/>
      <c r="M286" s="119"/>
      <c r="N286" s="50"/>
    </row>
    <row r="287" spans="1:14" s="16" customFormat="1" ht="15.75" customHeight="1">
      <c r="A287" s="49">
        <v>2</v>
      </c>
      <c r="B287" s="49" t="s">
        <v>208</v>
      </c>
      <c r="C287" s="49" t="s">
        <v>205</v>
      </c>
      <c r="D287" s="49">
        <f>(49.72)*10.764</f>
        <v>535.18607999999995</v>
      </c>
      <c r="E287" s="49">
        <v>0</v>
      </c>
      <c r="F287" s="49">
        <f>D287*(($F$211)+1)+(IF(E287&lt;101,E287,IF(E287&lt;201,E287/2,IF(E287&lt;=301,E287/3,E287/4))))</f>
        <v>802.77911999999992</v>
      </c>
      <c r="G287" s="85"/>
      <c r="H287" s="86"/>
      <c r="I287" s="50"/>
      <c r="L287" s="119"/>
      <c r="M287" s="119"/>
      <c r="N287" s="50"/>
    </row>
    <row r="288" spans="1:14" s="16" customFormat="1" ht="15.75" customHeight="1">
      <c r="A288" s="49">
        <f>A287+1</f>
        <v>3</v>
      </c>
      <c r="B288" s="83" t="s">
        <v>211</v>
      </c>
      <c r="C288" s="120"/>
      <c r="D288" s="120"/>
      <c r="E288" s="120"/>
      <c r="F288" s="84"/>
      <c r="G288" s="85"/>
      <c r="H288" s="86"/>
      <c r="I288" s="50"/>
      <c r="L288" s="119"/>
      <c r="M288" s="119"/>
      <c r="N288" s="50"/>
    </row>
    <row r="289" spans="1:14" s="16" customFormat="1" ht="15.75" customHeight="1">
      <c r="A289" s="49">
        <f>A288+1</f>
        <v>4</v>
      </c>
      <c r="B289" s="87"/>
      <c r="C289" s="121"/>
      <c r="D289" s="121"/>
      <c r="E289" s="121"/>
      <c r="F289" s="88"/>
      <c r="G289" s="85"/>
      <c r="H289" s="86"/>
      <c r="I289" s="50"/>
      <c r="L289" s="119"/>
      <c r="M289" s="119"/>
      <c r="N289" s="50"/>
    </row>
    <row r="290" spans="1:14" s="16" customFormat="1" ht="15.75" customHeight="1">
      <c r="A290" s="49">
        <f>A289+1</f>
        <v>5</v>
      </c>
      <c r="B290" s="49" t="s">
        <v>208</v>
      </c>
      <c r="C290" s="49" t="s">
        <v>225</v>
      </c>
      <c r="D290" s="49">
        <f>(77.09)*10.764</f>
        <v>829.79675999999995</v>
      </c>
      <c r="E290" s="49">
        <v>0</v>
      </c>
      <c r="F290" s="49">
        <f>D290*(($F$211)+1)+(IF(E290&lt;101,E290,IF(E290&lt;201,E290/2,IF(E290&lt;=301,E290/3,E290/4))))</f>
        <v>1244.6951399999998</v>
      </c>
      <c r="G290" s="87"/>
      <c r="H290" s="88"/>
      <c r="I290" s="50"/>
      <c r="N290" s="50"/>
    </row>
    <row r="291" spans="1:14" s="16" customFormat="1">
      <c r="A291" s="103" t="s">
        <v>212</v>
      </c>
      <c r="B291" s="104"/>
      <c r="C291" s="104"/>
      <c r="D291" s="104"/>
      <c r="E291" s="104"/>
      <c r="F291" s="104"/>
      <c r="G291" s="104"/>
      <c r="H291" s="105"/>
      <c r="J291" s="50"/>
    </row>
    <row r="292" spans="1:14" s="16" customFormat="1" ht="15.75" customHeight="1">
      <c r="A292" s="49">
        <v>1</v>
      </c>
      <c r="B292" s="49" t="s">
        <v>208</v>
      </c>
      <c r="C292" s="49" t="s">
        <v>205</v>
      </c>
      <c r="D292" s="49">
        <f>(49.72)*10.764</f>
        <v>535.18607999999995</v>
      </c>
      <c r="E292" s="49">
        <v>0</v>
      </c>
      <c r="F292" s="49">
        <f>D292*(($F$211)+1)+(IF(E292&lt;101,E292,IF(E292&lt;201,E292/2,IF(E292&lt;=301,E292/3,E292/4))))</f>
        <v>802.77911999999992</v>
      </c>
      <c r="G292" s="83" t="str">
        <f>A291</f>
        <v>15th Floor (Part Refuge Floor)</v>
      </c>
      <c r="H292" s="84"/>
      <c r="I292" s="50"/>
      <c r="L292" s="119"/>
      <c r="M292" s="119"/>
      <c r="N292" s="50"/>
    </row>
    <row r="293" spans="1:14" s="16" customFormat="1" ht="15.75" customHeight="1">
      <c r="A293" s="49">
        <v>2</v>
      </c>
      <c r="B293" s="49" t="s">
        <v>208</v>
      </c>
      <c r="C293" s="49" t="s">
        <v>205</v>
      </c>
      <c r="D293" s="49">
        <f>(49.72)*10.764</f>
        <v>535.18607999999995</v>
      </c>
      <c r="E293" s="49">
        <v>0</v>
      </c>
      <c r="F293" s="49">
        <f>D293*(($F$211)+1)+(IF(E293&lt;101,E293,IF(E293&lt;201,E293/2,IF(E293&lt;=301,E293/3,E293/4))))</f>
        <v>802.77911999999992</v>
      </c>
      <c r="G293" s="85"/>
      <c r="H293" s="86"/>
      <c r="I293" s="50"/>
      <c r="L293" s="119"/>
      <c r="M293" s="119"/>
      <c r="N293" s="50"/>
    </row>
    <row r="294" spans="1:14" s="16" customFormat="1" ht="15.75" customHeight="1">
      <c r="A294" s="49">
        <f>A293+1</f>
        <v>3</v>
      </c>
      <c r="B294" s="83" t="s">
        <v>211</v>
      </c>
      <c r="C294" s="120"/>
      <c r="D294" s="120"/>
      <c r="E294" s="120"/>
      <c r="F294" s="84"/>
      <c r="G294" s="85"/>
      <c r="H294" s="86"/>
      <c r="I294" s="50"/>
      <c r="L294" s="119"/>
      <c r="M294" s="119"/>
      <c r="N294" s="50"/>
    </row>
    <row r="295" spans="1:14" s="16" customFormat="1" ht="15.75" customHeight="1">
      <c r="A295" s="49">
        <f>A294+1</f>
        <v>4</v>
      </c>
      <c r="B295" s="87"/>
      <c r="C295" s="121"/>
      <c r="D295" s="121"/>
      <c r="E295" s="121"/>
      <c r="F295" s="88"/>
      <c r="G295" s="85"/>
      <c r="H295" s="86"/>
      <c r="I295" s="50"/>
      <c r="L295" s="119"/>
      <c r="M295" s="119"/>
      <c r="N295" s="50"/>
    </row>
    <row r="296" spans="1:14" s="16" customFormat="1" ht="15.75" customHeight="1">
      <c r="A296" s="49">
        <f>A295+1</f>
        <v>5</v>
      </c>
      <c r="B296" s="49" t="s">
        <v>208</v>
      </c>
      <c r="C296" s="49" t="s">
        <v>225</v>
      </c>
      <c r="D296" s="49">
        <f>(77.09)*10.764</f>
        <v>829.79675999999995</v>
      </c>
      <c r="E296" s="49">
        <v>0</v>
      </c>
      <c r="F296" s="49">
        <f>D296*(($F$211)+1)+(IF(E296&lt;101,E296,IF(E296&lt;201,E296/2,IF(E296&lt;=301,E296/3,E296/4))))</f>
        <v>1244.6951399999998</v>
      </c>
      <c r="G296" s="87"/>
      <c r="H296" s="88"/>
      <c r="I296" s="50"/>
      <c r="N296" s="50"/>
    </row>
    <row r="297" spans="1:14" s="16" customFormat="1" ht="15.75" customHeight="1">
      <c r="A297" s="103" t="s">
        <v>213</v>
      </c>
      <c r="B297" s="104"/>
      <c r="C297" s="104"/>
      <c r="D297" s="104"/>
      <c r="E297" s="104"/>
      <c r="F297" s="104"/>
      <c r="G297" s="104"/>
      <c r="H297" s="105"/>
      <c r="I297" s="50"/>
    </row>
    <row r="298" spans="1:14" s="16" customFormat="1" ht="15.75" customHeight="1">
      <c r="A298" s="49">
        <v>1</v>
      </c>
      <c r="B298" s="49" t="s">
        <v>208</v>
      </c>
      <c r="C298" s="49" t="s">
        <v>205</v>
      </c>
      <c r="D298" s="49">
        <f>(49.72)*10.764</f>
        <v>535.18607999999995</v>
      </c>
      <c r="E298" s="49">
        <v>0</v>
      </c>
      <c r="F298" s="49">
        <f>D298*(($F$211)+1)+(IF(E298&lt;101,E298,IF(E298&lt;201,E298/2,IF(E298&lt;=301,E298/3,E298/4))))</f>
        <v>802.77911999999992</v>
      </c>
      <c r="G298" s="83" t="str">
        <f>A297</f>
        <v>16th to 18th Floor</v>
      </c>
      <c r="H298" s="84"/>
      <c r="I298" s="50"/>
    </row>
    <row r="299" spans="1:14" s="16" customFormat="1" ht="15.75" customHeight="1">
      <c r="A299" s="49">
        <v>2</v>
      </c>
      <c r="B299" s="49" t="s">
        <v>208</v>
      </c>
      <c r="C299" s="49" t="s">
        <v>205</v>
      </c>
      <c r="D299" s="49">
        <f>(49.72)*10.764</f>
        <v>535.18607999999995</v>
      </c>
      <c r="E299" s="49">
        <v>0</v>
      </c>
      <c r="F299" s="49">
        <f>D299*(($F$211)+1)+(IF(E299&lt;101,E299,IF(E299&lt;201,E299/2,IF(E299&lt;=301,E299/3,E299/4))))</f>
        <v>802.77911999999992</v>
      </c>
      <c r="G299" s="85"/>
      <c r="H299" s="86"/>
      <c r="I299" s="50"/>
    </row>
    <row r="300" spans="1:14" s="16" customFormat="1" ht="15.75" customHeight="1">
      <c r="A300" s="49">
        <f>A299+1</f>
        <v>3</v>
      </c>
      <c r="B300" s="49" t="s">
        <v>208</v>
      </c>
      <c r="C300" s="49" t="s">
        <v>206</v>
      </c>
      <c r="D300" s="49">
        <f>(38.04)*10.764</f>
        <v>409.46255999999994</v>
      </c>
      <c r="E300" s="49">
        <v>0</v>
      </c>
      <c r="F300" s="49">
        <f>D300*(($F$211)+1)+(IF(E300&lt;101,E300,IF(E300&lt;201,E300/2,IF(E300&lt;=301,E300/3,E300/4))))</f>
        <v>614.19383999999991</v>
      </c>
      <c r="G300" s="85"/>
      <c r="H300" s="86"/>
      <c r="I300" s="50"/>
    </row>
    <row r="301" spans="1:14" s="16" customFormat="1" ht="15.75" customHeight="1">
      <c r="A301" s="49">
        <f>A300+1</f>
        <v>4</v>
      </c>
      <c r="B301" s="49" t="s">
        <v>208</v>
      </c>
      <c r="C301" s="49" t="s">
        <v>206</v>
      </c>
      <c r="D301" s="49">
        <f>(37.12)*10.764</f>
        <v>399.55967999999996</v>
      </c>
      <c r="E301" s="49">
        <v>0</v>
      </c>
      <c r="F301" s="49">
        <f>D301*(($F$211)+1)+(IF(E301&lt;101,E301,IF(E301&lt;201,E301/2,IF(E301&lt;=301,E301/3,E301/4))))</f>
        <v>599.33951999999999</v>
      </c>
      <c r="G301" s="85"/>
      <c r="H301" s="86"/>
      <c r="I301" s="50"/>
    </row>
    <row r="302" spans="1:14" s="16" customFormat="1" ht="15.75" customHeight="1">
      <c r="A302" s="49">
        <f>A301+1</f>
        <v>5</v>
      </c>
      <c r="B302" s="49" t="s">
        <v>208</v>
      </c>
      <c r="C302" s="49" t="s">
        <v>225</v>
      </c>
      <c r="D302" s="49">
        <f>(77.09)*10.764</f>
        <v>829.79675999999995</v>
      </c>
      <c r="E302" s="49">
        <v>0</v>
      </c>
      <c r="F302" s="49">
        <f>D302*(($F$211)+1)+(IF(E302&lt;101,E302,IF(E302&lt;201,E302/2,IF(E302&lt;=301,E302/3,E302/4))))</f>
        <v>1244.6951399999998</v>
      </c>
      <c r="G302" s="87"/>
      <c r="H302" s="88"/>
      <c r="I302" s="50"/>
    </row>
    <row r="303" spans="1:14" s="16" customFormat="1" ht="15.75" customHeight="1">
      <c r="A303" s="106" t="s">
        <v>214</v>
      </c>
      <c r="B303" s="106"/>
      <c r="C303" s="106"/>
      <c r="D303" s="106"/>
      <c r="E303" s="106"/>
      <c r="F303" s="106"/>
      <c r="G303" s="106"/>
      <c r="H303" s="106"/>
      <c r="I303" s="50"/>
    </row>
    <row r="304" spans="1:14" s="16" customFormat="1" ht="15.75" customHeight="1">
      <c r="A304" s="49">
        <v>1</v>
      </c>
      <c r="B304" s="49" t="s">
        <v>208</v>
      </c>
      <c r="C304" s="49" t="s">
        <v>205</v>
      </c>
      <c r="D304" s="49">
        <f>(49.72)*10.764</f>
        <v>535.18607999999995</v>
      </c>
      <c r="E304" s="49">
        <v>0</v>
      </c>
      <c r="F304" s="49">
        <f>D304*(($F$211)+1)+(IF(E304&lt;101,E304,IF(E304&lt;201,E304/2,IF(E304&lt;=301,E304/3,E304/4))))</f>
        <v>802.77911999999992</v>
      </c>
      <c r="G304" s="93" t="str">
        <f>A303</f>
        <v>19th, 20th &amp; 21st Floor</v>
      </c>
      <c r="H304" s="93"/>
      <c r="I304" s="52"/>
      <c r="J304" s="53" t="s">
        <v>215</v>
      </c>
      <c r="K304" s="53"/>
      <c r="L304" s="53" t="s">
        <v>216</v>
      </c>
      <c r="M304" s="53" t="s">
        <v>195</v>
      </c>
      <c r="N304" s="53" t="s">
        <v>197</v>
      </c>
    </row>
    <row r="305" spans="1:14" s="16" customFormat="1" ht="15.75" customHeight="1">
      <c r="A305" s="49">
        <v>2</v>
      </c>
      <c r="B305" s="49" t="s">
        <v>208</v>
      </c>
      <c r="C305" s="49" t="s">
        <v>205</v>
      </c>
      <c r="D305" s="49">
        <f>(49.72)*10.764</f>
        <v>535.18607999999995</v>
      </c>
      <c r="E305" s="49">
        <v>0</v>
      </c>
      <c r="F305" s="49">
        <f>D305*(($F$211)+1)+(IF(E305&lt;101,E305,IF(E305&lt;201,E305/2,IF(E305&lt;=301,E305/3,E305/4))))</f>
        <v>802.77911999999992</v>
      </c>
      <c r="G305" s="93"/>
      <c r="H305" s="93"/>
      <c r="I305" s="52"/>
      <c r="J305" s="53" t="s">
        <v>217</v>
      </c>
      <c r="K305" s="52"/>
      <c r="L305" s="53" t="s">
        <v>218</v>
      </c>
      <c r="M305" s="52">
        <f ca="1">7200000/D111</f>
        <v>7885714.2857142864</v>
      </c>
      <c r="N305" s="52" t="e">
        <f>45000000/D150</f>
        <v>#DIV/0!</v>
      </c>
    </row>
    <row r="306" spans="1:14" s="16" customFormat="1" ht="15.75" customHeight="1">
      <c r="A306" s="49">
        <f>A305+1</f>
        <v>3</v>
      </c>
      <c r="B306" s="49" t="s">
        <v>208</v>
      </c>
      <c r="C306" s="49" t="s">
        <v>206</v>
      </c>
      <c r="D306" s="49">
        <f>(38.04)*10.764</f>
        <v>409.46255999999994</v>
      </c>
      <c r="E306" s="49">
        <v>0</v>
      </c>
      <c r="F306" s="49">
        <f>D306*(($F$211)+1)+(IF(E306&lt;101,E306,IF(E306&lt;201,E306/2,IF(E306&lt;=301,E306/3,E306/4))))</f>
        <v>614.19383999999991</v>
      </c>
      <c r="G306" s="93"/>
      <c r="H306" s="93"/>
      <c r="I306" s="52"/>
      <c r="J306" s="52">
        <f>11000000/D306</f>
        <v>26864.483043333687</v>
      </c>
      <c r="K306" s="52"/>
      <c r="L306" s="52">
        <f>7200000/D378</f>
        <v>13474.946032841141</v>
      </c>
      <c r="M306" s="52">
        <f ca="1">M305/1.6</f>
        <v>4928571.4285714291</v>
      </c>
      <c r="N306" s="52" t="e">
        <f>N305/1.6</f>
        <v>#DIV/0!</v>
      </c>
    </row>
    <row r="307" spans="1:14" s="16" customFormat="1" ht="15.75" customHeight="1">
      <c r="A307" s="49">
        <f>A306+1</f>
        <v>4</v>
      </c>
      <c r="B307" s="49" t="s">
        <v>208</v>
      </c>
      <c r="C307" s="49" t="s">
        <v>206</v>
      </c>
      <c r="D307" s="49">
        <f>(37.12)*10.764</f>
        <v>399.55967999999996</v>
      </c>
      <c r="E307" s="49">
        <v>0</v>
      </c>
      <c r="F307" s="49">
        <f>D307*(($F$211)+1)+(IF(E307&lt;101,E307,IF(E307&lt;201,E307/2,IF(E307&lt;=301,E307/3,E307/4))))</f>
        <v>599.33951999999999</v>
      </c>
      <c r="G307" s="93"/>
      <c r="H307" s="93"/>
      <c r="I307" s="52" t="s">
        <v>149</v>
      </c>
      <c r="J307" s="52">
        <f>J306/1.5</f>
        <v>17909.655362222456</v>
      </c>
      <c r="K307" s="53"/>
      <c r="L307" s="52">
        <f>9200000/D389</f>
        <v>17217.986597519233</v>
      </c>
    </row>
    <row r="308" spans="1:14" s="16" customFormat="1" ht="15.75" customHeight="1">
      <c r="A308" s="49">
        <f>A307+1</f>
        <v>5</v>
      </c>
      <c r="B308" s="49" t="s">
        <v>208</v>
      </c>
      <c r="C308" s="49" t="s">
        <v>225</v>
      </c>
      <c r="D308" s="49">
        <f>(77.09)*10.764</f>
        <v>829.79675999999995</v>
      </c>
      <c r="E308" s="49">
        <v>0</v>
      </c>
      <c r="F308" s="49">
        <f>D308*(($F$211)+1)+(IF(E308&lt;101,E308,IF(E308&lt;201,E308/2,IF(E308&lt;=301,E308/3,E308/4))))</f>
        <v>1244.6951399999998</v>
      </c>
      <c r="G308" s="93"/>
      <c r="H308" s="93"/>
      <c r="I308" s="52"/>
      <c r="J308" s="52"/>
      <c r="K308" s="53"/>
      <c r="L308" s="52"/>
    </row>
    <row r="309" spans="1:14" s="16" customFormat="1" ht="15.75" customHeight="1">
      <c r="A309" s="106" t="s">
        <v>219</v>
      </c>
      <c r="B309" s="106"/>
      <c r="C309" s="106"/>
      <c r="D309" s="106"/>
      <c r="E309" s="106"/>
      <c r="F309" s="106"/>
      <c r="G309" s="106"/>
      <c r="H309" s="106"/>
      <c r="I309" s="50"/>
      <c r="K309" s="52"/>
      <c r="L309" s="52">
        <f>10200000/D419</f>
        <v>27634.970006304025</v>
      </c>
    </row>
    <row r="310" spans="1:14" s="16" customFormat="1" ht="15.75" customHeight="1">
      <c r="A310" s="49">
        <v>1</v>
      </c>
      <c r="B310" s="49" t="s">
        <v>208</v>
      </c>
      <c r="C310" s="49" t="s">
        <v>205</v>
      </c>
      <c r="D310" s="49">
        <f>(49.72)*10.764</f>
        <v>535.18607999999995</v>
      </c>
      <c r="E310" s="49">
        <v>0</v>
      </c>
      <c r="F310" s="49">
        <f>D310*(($F$211)+1)+(IF(E310&lt;101,E310,IF(E310&lt;201,E310/2,IF(E310&lt;=301,E310/3,E310/4))))</f>
        <v>802.77911999999992</v>
      </c>
      <c r="G310" s="93" t="str">
        <f>A309</f>
        <v>22nd Floor (Part Refuge Area)</v>
      </c>
      <c r="H310" s="93"/>
      <c r="I310" s="50"/>
      <c r="K310" s="52"/>
      <c r="L310" s="52">
        <f>13000000/D453</f>
        <v>34526.285551716239</v>
      </c>
    </row>
    <row r="311" spans="1:14" s="16" customFormat="1" ht="15.75" customHeight="1">
      <c r="A311" s="49">
        <v>2</v>
      </c>
      <c r="B311" s="49" t="s">
        <v>208</v>
      </c>
      <c r="C311" s="49" t="s">
        <v>205</v>
      </c>
      <c r="D311" s="49">
        <f>(49.72)*10.764</f>
        <v>535.18607999999995</v>
      </c>
      <c r="E311" s="49">
        <v>0</v>
      </c>
      <c r="F311" s="49">
        <f>D311*(($F$211)+1)+(IF(E311&lt;101,E311,IF(E311&lt;201,E311/2,IF(E311&lt;=301,E311/3,E311/4))))</f>
        <v>802.77911999999992</v>
      </c>
      <c r="G311" s="93"/>
      <c r="H311" s="93"/>
      <c r="I311" s="50"/>
      <c r="K311" s="52"/>
      <c r="L311" s="52">
        <f>AVERAGE(L306:L310)</f>
        <v>23213.547047095159</v>
      </c>
    </row>
    <row r="312" spans="1:14" s="16" customFormat="1" ht="15.75" customHeight="1">
      <c r="A312" s="49" t="s">
        <v>220</v>
      </c>
      <c r="B312" s="93" t="s">
        <v>221</v>
      </c>
      <c r="C312" s="93"/>
      <c r="D312" s="93"/>
      <c r="E312" s="93"/>
      <c r="F312" s="93"/>
      <c r="G312" s="93"/>
      <c r="H312" s="93"/>
      <c r="I312" s="50"/>
      <c r="K312" s="52"/>
      <c r="L312" s="52"/>
    </row>
    <row r="313" spans="1:14" s="16" customFormat="1" ht="15.75" customHeight="1">
      <c r="A313" s="49">
        <f>A311+1</f>
        <v>3</v>
      </c>
      <c r="B313" s="49" t="s">
        <v>208</v>
      </c>
      <c r="C313" s="49" t="s">
        <v>224</v>
      </c>
      <c r="D313" s="49">
        <f>(24.3)*10.764</f>
        <v>261.5652</v>
      </c>
      <c r="E313" s="49">
        <v>0</v>
      </c>
      <c r="F313" s="49">
        <f>D313*(($F$211)+1)+(IF(E313&lt;101,E313,IF(E313&lt;201,E313/2,IF(E313&lt;=301,E313/3,E313/4))))</f>
        <v>392.34780000000001</v>
      </c>
      <c r="G313" s="93"/>
      <c r="H313" s="93"/>
      <c r="I313" s="50"/>
      <c r="K313" s="52" t="s">
        <v>149</v>
      </c>
      <c r="L313" s="52">
        <f>L311/1.5</f>
        <v>15475.698031396772</v>
      </c>
    </row>
    <row r="314" spans="1:14" s="16" customFormat="1" ht="15.75" customHeight="1">
      <c r="A314" s="49">
        <f>A313+1</f>
        <v>4</v>
      </c>
      <c r="B314" s="49" t="s">
        <v>208</v>
      </c>
      <c r="C314" s="49" t="s">
        <v>206</v>
      </c>
      <c r="D314" s="49">
        <f>(37.12)*10.764</f>
        <v>399.55967999999996</v>
      </c>
      <c r="E314" s="49">
        <v>0</v>
      </c>
      <c r="F314" s="49">
        <f>D314*(($F$211)+1)+(IF(E314&lt;101,E314,IF(E314&lt;201,E314/2,IF(E314&lt;=301,E314/3,E314/4))))</f>
        <v>599.33951999999999</v>
      </c>
      <c r="G314" s="93"/>
      <c r="H314" s="93"/>
      <c r="I314" s="50"/>
    </row>
    <row r="315" spans="1:14" s="16" customFormat="1" ht="15.75" customHeight="1">
      <c r="A315" s="49">
        <f>A314+1</f>
        <v>5</v>
      </c>
      <c r="B315" s="49" t="s">
        <v>208</v>
      </c>
      <c r="C315" s="49" t="s">
        <v>225</v>
      </c>
      <c r="D315" s="49">
        <f>(77.09)*10.764</f>
        <v>829.79675999999995</v>
      </c>
      <c r="E315" s="49">
        <v>0</v>
      </c>
      <c r="F315" s="49">
        <f>D315*(($F$211)+1)+(IF(E315&lt;101,E315,IF(E315&lt;201,E315/2,IF(E315&lt;=301,E315/3,E315/4))))</f>
        <v>1244.6951399999998</v>
      </c>
      <c r="G315" s="93"/>
      <c r="H315" s="93"/>
      <c r="I315" s="50"/>
    </row>
    <row r="316" spans="1:14" s="16" customFormat="1" ht="15.75" customHeight="1">
      <c r="A316" s="103" t="s">
        <v>222</v>
      </c>
      <c r="B316" s="104"/>
      <c r="C316" s="104"/>
      <c r="D316" s="104"/>
      <c r="E316" s="104"/>
      <c r="F316" s="104"/>
      <c r="G316" s="104"/>
      <c r="H316" s="105"/>
      <c r="I316" s="50"/>
    </row>
    <row r="317" spans="1:14" s="16" customFormat="1">
      <c r="A317" s="49">
        <v>1</v>
      </c>
      <c r="B317" s="49" t="s">
        <v>208</v>
      </c>
      <c r="C317" s="49" t="s">
        <v>205</v>
      </c>
      <c r="D317" s="49">
        <f>(49.72)*10.764</f>
        <v>535.18607999999995</v>
      </c>
      <c r="E317" s="49">
        <v>0</v>
      </c>
      <c r="F317" s="49">
        <f>D317*(($F$211)+1)+(IF(E317&lt;101,E317,IF(E317&lt;201,E317/2,IF(E317&lt;=301,E317/3,E317/4))))</f>
        <v>802.77911999999992</v>
      </c>
      <c r="G317" s="83" t="str">
        <f>A316</f>
        <v>23rd Floor</v>
      </c>
      <c r="H317" s="84"/>
      <c r="I317" s="50"/>
    </row>
    <row r="318" spans="1:14" s="16" customFormat="1">
      <c r="A318" s="49">
        <v>2</v>
      </c>
      <c r="B318" s="49" t="s">
        <v>208</v>
      </c>
      <c r="C318" s="49" t="s">
        <v>205</v>
      </c>
      <c r="D318" s="49">
        <f>(49.72)*10.764</f>
        <v>535.18607999999995</v>
      </c>
      <c r="E318" s="49">
        <v>0</v>
      </c>
      <c r="F318" s="49">
        <f>D318*(($F$211)+1)+(IF(E318&lt;101,E318,IF(E318&lt;201,E318/2,IF(E318&lt;=301,E318/3,E318/4))))</f>
        <v>802.77911999999992</v>
      </c>
      <c r="G318" s="85"/>
      <c r="H318" s="86"/>
      <c r="I318" s="50"/>
    </row>
    <row r="319" spans="1:14" s="16" customFormat="1" ht="15.75" customHeight="1">
      <c r="A319" s="49">
        <f>A318+1</f>
        <v>3</v>
      </c>
      <c r="B319" s="49" t="s">
        <v>208</v>
      </c>
      <c r="C319" s="49" t="s">
        <v>206</v>
      </c>
      <c r="D319" s="49">
        <f>(38.04)*10.764</f>
        <v>409.46255999999994</v>
      </c>
      <c r="E319" s="49">
        <v>0</v>
      </c>
      <c r="F319" s="49">
        <f>D319*(($F$211)+1)+(IF(E319&lt;101,E319,IF(E319&lt;201,E319/2,IF(E319&lt;=301,E319/3,E319/4))))</f>
        <v>614.19383999999991</v>
      </c>
      <c r="G319" s="85"/>
      <c r="H319" s="86"/>
      <c r="I319" s="50"/>
    </row>
    <row r="320" spans="1:14" s="16" customFormat="1" ht="15.75" customHeight="1">
      <c r="A320" s="49">
        <f>A319+1</f>
        <v>4</v>
      </c>
      <c r="B320" s="49" t="s">
        <v>208</v>
      </c>
      <c r="C320" s="49" t="s">
        <v>206</v>
      </c>
      <c r="D320" s="49">
        <f>(37.12)*10.764</f>
        <v>399.55967999999996</v>
      </c>
      <c r="E320" s="49">
        <v>0</v>
      </c>
      <c r="F320" s="49">
        <f>D320*(($F$211)+1)+(IF(E320&lt;101,E320,IF(E320&lt;201,E320/2,IF(E320&lt;=301,E320/3,E320/4))))</f>
        <v>599.33951999999999</v>
      </c>
      <c r="G320" s="85"/>
      <c r="H320" s="86"/>
      <c r="I320" s="50"/>
    </row>
    <row r="321" spans="1:14" s="16" customFormat="1" ht="15.75" customHeight="1">
      <c r="A321" s="49">
        <f>A320+1</f>
        <v>5</v>
      </c>
      <c r="B321" s="49" t="s">
        <v>208</v>
      </c>
      <c r="C321" s="49" t="s">
        <v>225</v>
      </c>
      <c r="D321" s="49">
        <f>(77.09)*10.764</f>
        <v>829.79675999999995</v>
      </c>
      <c r="E321" s="49">
        <v>0</v>
      </c>
      <c r="F321" s="49">
        <f>D321*(($F$211)+1)+(IF(E321&lt;101,E321,IF(E321&lt;201,E321/2,IF(E321&lt;=301,E321/3,E321/4))))</f>
        <v>1244.6951399999998</v>
      </c>
      <c r="G321" s="87"/>
      <c r="H321" s="88"/>
      <c r="I321" s="50"/>
    </row>
    <row r="322" spans="1:14" s="14" customFormat="1">
      <c r="A322" s="107" t="s">
        <v>226</v>
      </c>
      <c r="B322" s="107"/>
      <c r="C322" s="107"/>
      <c r="D322" s="107"/>
      <c r="E322" s="107"/>
      <c r="F322" s="107"/>
      <c r="G322" s="107"/>
      <c r="H322" s="107"/>
    </row>
    <row r="323" spans="1:14" s="14" customFormat="1">
      <c r="A323" s="107" t="s">
        <v>227</v>
      </c>
      <c r="B323" s="107"/>
      <c r="C323" s="107"/>
      <c r="D323" s="107"/>
      <c r="E323" s="107"/>
      <c r="F323" s="107"/>
      <c r="G323" s="107"/>
      <c r="H323" s="107"/>
    </row>
    <row r="324" spans="1:14" s="16" customFormat="1">
      <c r="A324" s="103" t="s">
        <v>203</v>
      </c>
      <c r="B324" s="104"/>
      <c r="C324" s="104"/>
      <c r="D324" s="104"/>
      <c r="E324" s="104"/>
      <c r="F324" s="104"/>
      <c r="G324" s="104"/>
      <c r="H324" s="105"/>
      <c r="J324" s="50"/>
    </row>
    <row r="325" spans="1:14" s="16" customFormat="1" ht="15.75" customHeight="1">
      <c r="A325" s="49">
        <v>1</v>
      </c>
      <c r="B325" s="49" t="s">
        <v>204</v>
      </c>
      <c r="C325" s="49" t="s">
        <v>205</v>
      </c>
      <c r="D325" s="49">
        <f>(49.64)*10.764</f>
        <v>534.32495999999992</v>
      </c>
      <c r="E325" s="49">
        <v>0</v>
      </c>
      <c r="F325" s="49">
        <f>D325*(($F$211)+1)+(IF(E325&lt;101,E325,IF(E325&lt;201,E325/2,IF(E325&lt;=301,E325/3,E325/4))))</f>
        <v>801.48743999999988</v>
      </c>
      <c r="G325" s="83" t="str">
        <f>A324</f>
        <v>1st Floor for Residential</v>
      </c>
      <c r="H325" s="84"/>
      <c r="I325" s="50"/>
      <c r="L325" s="119"/>
      <c r="M325" s="119"/>
      <c r="N325" s="50"/>
    </row>
    <row r="326" spans="1:14" s="16" customFormat="1" ht="15.75" customHeight="1">
      <c r="A326" s="49">
        <v>3</v>
      </c>
      <c r="B326" s="49" t="s">
        <v>204</v>
      </c>
      <c r="C326" s="49" t="s">
        <v>205</v>
      </c>
      <c r="D326" s="49">
        <f>(49.64)*10.764</f>
        <v>534.32495999999992</v>
      </c>
      <c r="E326" s="49">
        <v>0</v>
      </c>
      <c r="F326" s="49">
        <f>D326*(($F$211)+1)+(IF(E326&lt;101,E326,IF(E326&lt;201,E326/2,IF(E326&lt;=301,E326/3,E326/4))))</f>
        <v>801.48743999999988</v>
      </c>
      <c r="G326" s="85"/>
      <c r="H326" s="86"/>
      <c r="I326" s="50"/>
      <c r="L326" s="119"/>
      <c r="M326" s="119"/>
      <c r="N326" s="50"/>
    </row>
    <row r="327" spans="1:14" s="16" customFormat="1" ht="15.75" customHeight="1">
      <c r="A327" s="49">
        <v>4</v>
      </c>
      <c r="B327" s="49" t="s">
        <v>204</v>
      </c>
      <c r="C327" s="49" t="s">
        <v>205</v>
      </c>
      <c r="D327" s="49">
        <f>(49.64)*10.764</f>
        <v>534.32495999999992</v>
      </c>
      <c r="E327" s="49">
        <v>0</v>
      </c>
      <c r="F327" s="49">
        <f>D327*(($F$211)+1)+(IF(E327&lt;101,E327,IF(E327&lt;201,E327/2,IF(E327&lt;=301,E327/3,E327/4))))</f>
        <v>801.48743999999988</v>
      </c>
      <c r="G327" s="87"/>
      <c r="H327" s="88"/>
      <c r="I327" s="50"/>
      <c r="L327" s="119"/>
      <c r="M327" s="119"/>
      <c r="N327" s="50"/>
    </row>
    <row r="328" spans="1:14" s="16" customFormat="1">
      <c r="A328" s="103" t="s">
        <v>207</v>
      </c>
      <c r="B328" s="104"/>
      <c r="C328" s="104"/>
      <c r="D328" s="104"/>
      <c r="E328" s="104"/>
      <c r="F328" s="104"/>
      <c r="G328" s="104"/>
      <c r="H328" s="105"/>
      <c r="J328" s="50"/>
    </row>
    <row r="329" spans="1:14" s="16" customFormat="1">
      <c r="A329" s="49">
        <v>1</v>
      </c>
      <c r="B329" s="49" t="s">
        <v>208</v>
      </c>
      <c r="C329" s="49" t="s">
        <v>205</v>
      </c>
      <c r="D329" s="49">
        <f>(49.64)*10.764</f>
        <v>534.32495999999992</v>
      </c>
      <c r="E329" s="49">
        <v>0</v>
      </c>
      <c r="F329" s="49">
        <f>D329*(($F$211)+1)+(IF(E329&lt;101,E329,IF(E329&lt;201,E329/2,IF(E329&lt;=301,E329/3,E329/4))))</f>
        <v>801.48743999999988</v>
      </c>
      <c r="G329" s="83" t="str">
        <f>A328</f>
        <v>2nd Floor</v>
      </c>
      <c r="H329" s="84"/>
      <c r="I329" s="50"/>
      <c r="L329" s="119"/>
      <c r="M329" s="119"/>
      <c r="N329" s="50"/>
    </row>
    <row r="330" spans="1:14" s="16" customFormat="1">
      <c r="A330" s="49">
        <v>2</v>
      </c>
      <c r="B330" s="49" t="s">
        <v>208</v>
      </c>
      <c r="C330" s="49" t="s">
        <v>205</v>
      </c>
      <c r="D330" s="49">
        <f>(49.64)*10.764</f>
        <v>534.32495999999992</v>
      </c>
      <c r="E330" s="49">
        <f>(1.8*3.13+1.05*3.2)*10.764</f>
        <v>96.811415999999994</v>
      </c>
      <c r="F330" s="49">
        <f>D330*(($F$211)+1)+(IF(E330&lt;101,E330,IF(E330&lt;201,E330/2,IF(E330&lt;=301,E330/3,E330/4))))</f>
        <v>898.29885599999989</v>
      </c>
      <c r="G330" s="85"/>
      <c r="H330" s="86"/>
      <c r="I330" s="50"/>
      <c r="L330" s="119"/>
      <c r="M330" s="119"/>
      <c r="N330" s="50"/>
    </row>
    <row r="331" spans="1:14" s="16" customFormat="1">
      <c r="A331" s="49">
        <v>3</v>
      </c>
      <c r="B331" s="49" t="s">
        <v>208</v>
      </c>
      <c r="C331" s="49" t="s">
        <v>205</v>
      </c>
      <c r="D331" s="49">
        <f>(49.64)*10.764</f>
        <v>534.32495999999992</v>
      </c>
      <c r="E331" s="49">
        <f>(1.8*3.13+1.05*3.2)*10.764</f>
        <v>96.811415999999994</v>
      </c>
      <c r="F331" s="49">
        <f>D331*(($F$211)+1)+(IF(E331&lt;101,E331,IF(E331&lt;201,E331/2,IF(E331&lt;=301,E331/3,E331/4))))</f>
        <v>898.29885599999989</v>
      </c>
      <c r="G331" s="85"/>
      <c r="H331" s="86"/>
      <c r="I331" s="50"/>
      <c r="L331" s="119"/>
      <c r="M331" s="119"/>
      <c r="N331" s="50"/>
    </row>
    <row r="332" spans="1:14" s="16" customFormat="1">
      <c r="A332" s="49">
        <v>4</v>
      </c>
      <c r="B332" s="49" t="s">
        <v>208</v>
      </c>
      <c r="C332" s="49" t="s">
        <v>205</v>
      </c>
      <c r="D332" s="49">
        <f>(49.64)*10.764</f>
        <v>534.32495999999992</v>
      </c>
      <c r="E332" s="49">
        <v>0</v>
      </c>
      <c r="F332" s="49">
        <f>D332*(($F$211)+1)+(IF(E332&lt;101,E332,IF(E332&lt;201,E332/2,IF(E332&lt;=301,E332/3,E332/4))))</f>
        <v>801.48743999999988</v>
      </c>
      <c r="G332" s="87"/>
      <c r="H332" s="88"/>
      <c r="I332" s="50"/>
      <c r="L332" s="119"/>
      <c r="M332" s="119"/>
      <c r="N332" s="50"/>
    </row>
    <row r="333" spans="1:14" s="16" customFormat="1" ht="15.75" customHeight="1">
      <c r="A333" s="103" t="s">
        <v>209</v>
      </c>
      <c r="B333" s="104"/>
      <c r="C333" s="104"/>
      <c r="D333" s="104"/>
      <c r="E333" s="104"/>
      <c r="F333" s="104"/>
      <c r="G333" s="104"/>
      <c r="H333" s="105"/>
      <c r="I333" s="50"/>
    </row>
    <row r="334" spans="1:14" s="16" customFormat="1" ht="15.75" customHeight="1">
      <c r="A334" s="49">
        <v>1</v>
      </c>
      <c r="B334" s="49" t="s">
        <v>208</v>
      </c>
      <c r="C334" s="49" t="s">
        <v>205</v>
      </c>
      <c r="D334" s="49">
        <f>(49.64)*10.764</f>
        <v>534.32495999999992</v>
      </c>
      <c r="E334" s="49">
        <v>0</v>
      </c>
      <c r="F334" s="49">
        <f>D334*(($F$211)+1)+(IF(E334&lt;101,E334,IF(E334&lt;201,E334/2,IF(E334&lt;=301,E334/3,E334/4))))</f>
        <v>801.48743999999988</v>
      </c>
      <c r="G334" s="83" t="str">
        <f>A333</f>
        <v>3rd to 7th, 9th to 14th Floor</v>
      </c>
      <c r="H334" s="84"/>
      <c r="I334" s="50"/>
    </row>
    <row r="335" spans="1:14" s="16" customFormat="1" ht="15.75" customHeight="1">
      <c r="A335" s="49">
        <v>2</v>
      </c>
      <c r="B335" s="49" t="s">
        <v>208</v>
      </c>
      <c r="C335" s="49" t="s">
        <v>205</v>
      </c>
      <c r="D335" s="49">
        <f>(49.64)*10.764</f>
        <v>534.32495999999992</v>
      </c>
      <c r="E335" s="49">
        <v>0</v>
      </c>
      <c r="F335" s="49">
        <f>D335*(($F$211)+1)+(IF(E335&lt;101,E335,IF(E335&lt;201,E335/2,IF(E335&lt;=301,E335/3,E335/4))))</f>
        <v>801.48743999999988</v>
      </c>
      <c r="G335" s="85"/>
      <c r="H335" s="86"/>
      <c r="I335" s="50"/>
    </row>
    <row r="336" spans="1:14" s="16" customFormat="1" ht="15.75" customHeight="1">
      <c r="A336" s="49">
        <v>3</v>
      </c>
      <c r="B336" s="49" t="s">
        <v>208</v>
      </c>
      <c r="C336" s="49" t="s">
        <v>205</v>
      </c>
      <c r="D336" s="49">
        <f>(49.64)*10.764</f>
        <v>534.32495999999992</v>
      </c>
      <c r="E336" s="49">
        <v>0</v>
      </c>
      <c r="F336" s="49">
        <f>D336*(($F$211)+1)+(IF(E336&lt;101,E336,IF(E336&lt;201,E336/2,IF(E336&lt;=301,E336/3,E336/4))))</f>
        <v>801.48743999999988</v>
      </c>
      <c r="G336" s="85"/>
      <c r="H336" s="86"/>
      <c r="I336" s="50"/>
    </row>
    <row r="337" spans="1:14" s="16" customFormat="1" ht="15.75" customHeight="1">
      <c r="A337" s="49">
        <v>4</v>
      </c>
      <c r="B337" s="49" t="s">
        <v>208</v>
      </c>
      <c r="C337" s="49" t="s">
        <v>205</v>
      </c>
      <c r="D337" s="49">
        <f>(49.64)*10.764</f>
        <v>534.32495999999992</v>
      </c>
      <c r="E337" s="49">
        <v>0</v>
      </c>
      <c r="F337" s="49">
        <f>D337*(($F$211)+1)+(IF(E337&lt;101,E337,IF(E337&lt;201,E337/2,IF(E337&lt;=301,E337/3,E337/4))))</f>
        <v>801.48743999999988</v>
      </c>
      <c r="G337" s="87"/>
      <c r="H337" s="88"/>
      <c r="I337" s="50"/>
    </row>
    <row r="338" spans="1:14" s="16" customFormat="1" ht="15.75" customHeight="1">
      <c r="A338" s="103" t="s">
        <v>210</v>
      </c>
      <c r="B338" s="104"/>
      <c r="C338" s="104"/>
      <c r="D338" s="104"/>
      <c r="E338" s="104"/>
      <c r="F338" s="104"/>
      <c r="G338" s="104"/>
      <c r="H338" s="105"/>
      <c r="J338" s="50"/>
    </row>
    <row r="339" spans="1:14" s="16" customFormat="1" ht="15.75" customHeight="1">
      <c r="A339" s="49">
        <v>1</v>
      </c>
      <c r="B339" s="49" t="s">
        <v>208</v>
      </c>
      <c r="C339" s="49" t="s">
        <v>205</v>
      </c>
      <c r="D339" s="49">
        <f>(49.64)*10.764</f>
        <v>534.32495999999992</v>
      </c>
      <c r="E339" s="49">
        <v>0</v>
      </c>
      <c r="F339" s="49">
        <f>D339*(($F$211)+1)+(IF(E339&lt;101,E339,IF(E339&lt;201,E339/2,IF(E339&lt;=301,E339/3,E339/4))))</f>
        <v>801.48743999999988</v>
      </c>
      <c r="G339" s="83" t="str">
        <f>A338</f>
        <v>8th Floor (Part Refuge Floor)</v>
      </c>
      <c r="H339" s="84"/>
      <c r="I339" s="50"/>
      <c r="L339" s="119"/>
      <c r="M339" s="119"/>
      <c r="N339" s="50"/>
    </row>
    <row r="340" spans="1:14" s="16" customFormat="1" ht="15.75" customHeight="1">
      <c r="A340" s="49">
        <v>2</v>
      </c>
      <c r="B340" s="49" t="s">
        <v>208</v>
      </c>
      <c r="C340" s="108" t="s">
        <v>228</v>
      </c>
      <c r="D340" s="118"/>
      <c r="E340" s="118"/>
      <c r="F340" s="109"/>
      <c r="G340" s="85"/>
      <c r="H340" s="86"/>
      <c r="I340" s="50"/>
      <c r="L340" s="119"/>
      <c r="M340" s="119"/>
      <c r="N340" s="50"/>
    </row>
    <row r="341" spans="1:14" s="16" customFormat="1" ht="15.75" customHeight="1">
      <c r="A341" s="49">
        <v>3</v>
      </c>
      <c r="B341" s="49" t="s">
        <v>208</v>
      </c>
      <c r="C341" s="49" t="s">
        <v>205</v>
      </c>
      <c r="D341" s="49">
        <f>(49.64)*10.764</f>
        <v>534.32495999999992</v>
      </c>
      <c r="E341" s="49">
        <v>0</v>
      </c>
      <c r="F341" s="49">
        <f>D341*(($F$211)+1)+(IF(E341&lt;101,E341,IF(E341&lt;201,E341/2,IF(E341&lt;=301,E341/3,E341/4))))</f>
        <v>801.48743999999988</v>
      </c>
      <c r="G341" s="85"/>
      <c r="H341" s="86"/>
      <c r="I341" s="50"/>
      <c r="L341" s="119"/>
      <c r="M341" s="119"/>
      <c r="N341" s="50"/>
    </row>
    <row r="342" spans="1:14" s="16" customFormat="1" ht="15.75" customHeight="1">
      <c r="A342" s="49">
        <v>4</v>
      </c>
      <c r="B342" s="49" t="s">
        <v>208</v>
      </c>
      <c r="C342" s="49" t="s">
        <v>205</v>
      </c>
      <c r="D342" s="49">
        <f>(49.64)*10.764</f>
        <v>534.32495999999992</v>
      </c>
      <c r="E342" s="49">
        <v>0</v>
      </c>
      <c r="F342" s="49">
        <f>D342*(($F$211)+1)+(IF(E342&lt;101,E342,IF(E342&lt;201,E342/2,IF(E342&lt;=301,E342/3,E342/4))))</f>
        <v>801.48743999999988</v>
      </c>
      <c r="G342" s="87"/>
      <c r="H342" s="88"/>
      <c r="I342" s="50"/>
      <c r="L342" s="119"/>
      <c r="M342" s="119"/>
      <c r="N342" s="50"/>
    </row>
    <row r="343" spans="1:14" s="16" customFormat="1">
      <c r="A343" s="103" t="s">
        <v>212</v>
      </c>
      <c r="B343" s="104"/>
      <c r="C343" s="104"/>
      <c r="D343" s="104"/>
      <c r="E343" s="104"/>
      <c r="F343" s="104"/>
      <c r="G343" s="104"/>
      <c r="H343" s="105"/>
      <c r="J343" s="50"/>
    </row>
    <row r="344" spans="1:14" s="16" customFormat="1" ht="15.75" customHeight="1">
      <c r="A344" s="49">
        <v>1</v>
      </c>
      <c r="B344" s="49" t="s">
        <v>208</v>
      </c>
      <c r="C344" s="49" t="s">
        <v>205</v>
      </c>
      <c r="D344" s="49">
        <f>(49.64)*10.764</f>
        <v>534.32495999999992</v>
      </c>
      <c r="E344" s="49">
        <v>0</v>
      </c>
      <c r="F344" s="49">
        <f>D344*(($F$211)+1)+(IF(E344&lt;101,E344,IF(E344&lt;201,E344/2,IF(E344&lt;=301,E344/3,E344/4))))</f>
        <v>801.48743999999988</v>
      </c>
      <c r="G344" s="83" t="str">
        <f>A343</f>
        <v>15th Floor (Part Refuge Floor)</v>
      </c>
      <c r="H344" s="84"/>
      <c r="I344" s="50"/>
      <c r="L344" s="119"/>
      <c r="M344" s="119"/>
      <c r="N344" s="50"/>
    </row>
    <row r="345" spans="1:14" s="16" customFormat="1" ht="15.75" customHeight="1">
      <c r="A345" s="49">
        <v>2</v>
      </c>
      <c r="B345" s="49" t="s">
        <v>208</v>
      </c>
      <c r="C345" s="108" t="s">
        <v>228</v>
      </c>
      <c r="D345" s="118"/>
      <c r="E345" s="118"/>
      <c r="F345" s="109"/>
      <c r="G345" s="85"/>
      <c r="H345" s="86"/>
      <c r="I345" s="50"/>
      <c r="L345" s="119"/>
      <c r="M345" s="119"/>
      <c r="N345" s="50"/>
    </row>
    <row r="346" spans="1:14" s="16" customFormat="1" ht="15.75" customHeight="1">
      <c r="A346" s="49">
        <v>3</v>
      </c>
      <c r="B346" s="49" t="s">
        <v>208</v>
      </c>
      <c r="C346" s="49" t="s">
        <v>205</v>
      </c>
      <c r="D346" s="49">
        <f>(49.64)*10.764</f>
        <v>534.32495999999992</v>
      </c>
      <c r="E346" s="49">
        <v>0</v>
      </c>
      <c r="F346" s="49">
        <f>D346*(($F$211)+1)+(IF(E346&lt;101,E346,IF(E346&lt;201,E346/2,IF(E346&lt;=301,E346/3,E346/4))))</f>
        <v>801.48743999999988</v>
      </c>
      <c r="G346" s="85"/>
      <c r="H346" s="86"/>
      <c r="I346" s="50"/>
      <c r="L346" s="119"/>
      <c r="M346" s="119"/>
      <c r="N346" s="50"/>
    </row>
    <row r="347" spans="1:14" s="16" customFormat="1" ht="15.75" customHeight="1">
      <c r="A347" s="49">
        <v>4</v>
      </c>
      <c r="B347" s="49" t="s">
        <v>208</v>
      </c>
      <c r="C347" s="49" t="s">
        <v>205</v>
      </c>
      <c r="D347" s="49">
        <f>(49.64)*10.764</f>
        <v>534.32495999999992</v>
      </c>
      <c r="E347" s="49">
        <v>0</v>
      </c>
      <c r="F347" s="49">
        <f>D347*(($F$211)+1)+(IF(E347&lt;101,E347,IF(E347&lt;201,E347/2,IF(E347&lt;=301,E347/3,E347/4))))</f>
        <v>801.48743999999988</v>
      </c>
      <c r="G347" s="87"/>
      <c r="H347" s="88"/>
      <c r="I347" s="50"/>
      <c r="L347" s="119"/>
      <c r="M347" s="119"/>
      <c r="N347" s="50"/>
    </row>
    <row r="348" spans="1:14" s="16" customFormat="1" ht="15.75" customHeight="1">
      <c r="A348" s="106" t="s">
        <v>213</v>
      </c>
      <c r="B348" s="106"/>
      <c r="C348" s="106"/>
      <c r="D348" s="106"/>
      <c r="E348" s="106"/>
      <c r="F348" s="106"/>
      <c r="G348" s="106"/>
      <c r="H348" s="106"/>
      <c r="I348" s="50"/>
    </row>
    <row r="349" spans="1:14" s="16" customFormat="1" ht="15.75" customHeight="1">
      <c r="A349" s="49">
        <v>1</v>
      </c>
      <c r="B349" s="49" t="s">
        <v>208</v>
      </c>
      <c r="C349" s="49" t="s">
        <v>205</v>
      </c>
      <c r="D349" s="49">
        <f>50.75*10.764</f>
        <v>546.27299999999991</v>
      </c>
      <c r="E349" s="49">
        <v>0</v>
      </c>
      <c r="F349" s="49">
        <f>D349*(($F$211)+1)+(IF(E349&lt;101,E349,IF(E349&lt;201,E349/2,IF(E349&lt;=301,E349/3,E349/4))))</f>
        <v>819.40949999999987</v>
      </c>
      <c r="G349" s="93" t="str">
        <f>A348</f>
        <v>16th to 18th Floor</v>
      </c>
      <c r="H349" s="93"/>
      <c r="I349" s="50"/>
    </row>
    <row r="350" spans="1:14" s="16" customFormat="1" ht="15.75" customHeight="1">
      <c r="A350" s="49">
        <v>2</v>
      </c>
      <c r="B350" s="49" t="s">
        <v>208</v>
      </c>
      <c r="C350" s="49" t="s">
        <v>205</v>
      </c>
      <c r="D350" s="49">
        <f>50.75*10.764</f>
        <v>546.27299999999991</v>
      </c>
      <c r="E350" s="49">
        <v>0</v>
      </c>
      <c r="F350" s="49">
        <f>D350*(($F$211)+1)+(IF(E350&lt;101,E350,IF(E350&lt;201,E350/2,IF(E350&lt;=301,E350/3,E350/4))))</f>
        <v>819.40949999999987</v>
      </c>
      <c r="G350" s="93"/>
      <c r="H350" s="93"/>
      <c r="I350" s="50"/>
    </row>
    <row r="351" spans="1:14" s="16" customFormat="1" ht="15.75" customHeight="1">
      <c r="A351" s="49">
        <v>3</v>
      </c>
      <c r="B351" s="49" t="s">
        <v>208</v>
      </c>
      <c r="C351" s="49" t="s">
        <v>205</v>
      </c>
      <c r="D351" s="49">
        <f>50.75*10.764</f>
        <v>546.27299999999991</v>
      </c>
      <c r="E351" s="49">
        <v>0</v>
      </c>
      <c r="F351" s="49">
        <f>D351*(($F$211)+1)+(IF(E351&lt;101,E351,IF(E351&lt;201,E351/2,IF(E351&lt;=301,E351/3,E351/4))))</f>
        <v>819.40949999999987</v>
      </c>
      <c r="G351" s="93"/>
      <c r="H351" s="93"/>
      <c r="I351" s="50"/>
    </row>
    <row r="352" spans="1:14" s="16" customFormat="1" ht="15.75" customHeight="1">
      <c r="A352" s="49">
        <v>4</v>
      </c>
      <c r="B352" s="49" t="s">
        <v>208</v>
      </c>
      <c r="C352" s="49" t="s">
        <v>205</v>
      </c>
      <c r="D352" s="49">
        <f>50.75*10.764</f>
        <v>546.27299999999991</v>
      </c>
      <c r="E352" s="49">
        <v>0</v>
      </c>
      <c r="F352" s="49">
        <f>D352*(($F$211)+1)+(IF(E352&lt;101,E352,IF(E352&lt;201,E352/2,IF(E352&lt;=301,E352/3,E352/4))))</f>
        <v>819.40949999999987</v>
      </c>
      <c r="G352" s="93"/>
      <c r="H352" s="93"/>
      <c r="I352" s="50"/>
    </row>
    <row r="353" spans="1:14" s="16" customFormat="1" ht="15.75" customHeight="1">
      <c r="A353" s="106" t="s">
        <v>214</v>
      </c>
      <c r="B353" s="106"/>
      <c r="C353" s="106"/>
      <c r="D353" s="106"/>
      <c r="E353" s="106"/>
      <c r="F353" s="106"/>
      <c r="G353" s="106"/>
      <c r="H353" s="106"/>
      <c r="I353" s="50"/>
    </row>
    <row r="354" spans="1:14" s="16" customFormat="1" ht="15.75" customHeight="1">
      <c r="A354" s="49">
        <v>1</v>
      </c>
      <c r="B354" s="49" t="s">
        <v>208</v>
      </c>
      <c r="C354" s="49" t="s">
        <v>205</v>
      </c>
      <c r="D354" s="49">
        <f>50.75*10.764</f>
        <v>546.27299999999991</v>
      </c>
      <c r="E354" s="49">
        <v>0</v>
      </c>
      <c r="F354" s="49">
        <f>D354*(($F$211)+1)+(IF(E354&lt;101,E354,IF(E354&lt;201,E354/2,IF(E354&lt;=301,E354/3,E354/4))))</f>
        <v>819.40949999999987</v>
      </c>
      <c r="G354" s="93" t="str">
        <f>A353</f>
        <v>19th, 20th &amp; 21st Floor</v>
      </c>
      <c r="H354" s="93"/>
      <c r="I354" s="52"/>
      <c r="J354" s="53" t="s">
        <v>215</v>
      </c>
      <c r="K354" s="53"/>
      <c r="L354" s="53" t="s">
        <v>216</v>
      </c>
      <c r="M354" s="53" t="s">
        <v>195</v>
      </c>
      <c r="N354" s="53" t="s">
        <v>197</v>
      </c>
    </row>
    <row r="355" spans="1:14" s="16" customFormat="1" ht="15.75" customHeight="1">
      <c r="A355" s="49">
        <v>2</v>
      </c>
      <c r="B355" s="49" t="s">
        <v>208</v>
      </c>
      <c r="C355" s="49" t="s">
        <v>225</v>
      </c>
      <c r="D355" s="49">
        <f>61.15*10.764</f>
        <v>658.21859999999992</v>
      </c>
      <c r="E355" s="49">
        <v>0</v>
      </c>
      <c r="F355" s="49">
        <f>D355*(($F$211)+1)+(IF(E355&lt;101,E355,IF(E355&lt;201,E355/2,IF(E355&lt;=301,E355/3,E355/4))))</f>
        <v>987.32789999999989</v>
      </c>
      <c r="G355" s="93"/>
      <c r="H355" s="93"/>
      <c r="I355" s="52"/>
      <c r="J355" s="53" t="s">
        <v>217</v>
      </c>
      <c r="K355" s="52"/>
      <c r="L355" s="53" t="s">
        <v>218</v>
      </c>
      <c r="M355" s="52">
        <f>7200000/D183</f>
        <v>41937.073421331297</v>
      </c>
      <c r="N355" s="52">
        <f>45000000/D206</f>
        <v>35841.155725305638</v>
      </c>
    </row>
    <row r="356" spans="1:14" s="16" customFormat="1" ht="15.75" customHeight="1">
      <c r="A356" s="49">
        <v>3</v>
      </c>
      <c r="B356" s="49" t="s">
        <v>208</v>
      </c>
      <c r="C356" s="49" t="s">
        <v>225</v>
      </c>
      <c r="D356" s="49">
        <f>61.15*10.764</f>
        <v>658.21859999999992</v>
      </c>
      <c r="E356" s="49">
        <v>0</v>
      </c>
      <c r="F356" s="49">
        <f>D356*(($F$211)+1)+(IF(E356&lt;101,E356,IF(E356&lt;201,E356/2,IF(E356&lt;=301,E356/3,E356/4))))</f>
        <v>987.32789999999989</v>
      </c>
      <c r="G356" s="93"/>
      <c r="H356" s="93"/>
      <c r="I356" s="52"/>
      <c r="J356" s="52">
        <f>11000000/D356</f>
        <v>16711.773261952792</v>
      </c>
      <c r="K356" s="52"/>
      <c r="L356" s="52">
        <f>7200000/D424</f>
        <v>18874.049691598033</v>
      </c>
      <c r="M356" s="52">
        <f>M355/1.6</f>
        <v>26210.670888332061</v>
      </c>
      <c r="N356" s="52">
        <f>N355/1.6</f>
        <v>22400.722328316024</v>
      </c>
    </row>
    <row r="357" spans="1:14" s="16" customFormat="1" ht="15.75" customHeight="1">
      <c r="A357" s="49">
        <v>4</v>
      </c>
      <c r="B357" s="49" t="s">
        <v>208</v>
      </c>
      <c r="C357" s="49" t="s">
        <v>205</v>
      </c>
      <c r="D357" s="49">
        <f>50.75*10.764</f>
        <v>546.27299999999991</v>
      </c>
      <c r="E357" s="49">
        <v>0</v>
      </c>
      <c r="F357" s="49">
        <f>D357*(($F$211)+1)+(IF(E357&lt;101,E357,IF(E357&lt;201,E357/2,IF(E357&lt;=301,E357/3,E357/4))))</f>
        <v>819.40949999999987</v>
      </c>
      <c r="G357" s="93"/>
      <c r="H357" s="93"/>
      <c r="I357" s="52" t="s">
        <v>149</v>
      </c>
      <c r="J357" s="52">
        <f>J356/1.5</f>
        <v>11141.182174635194</v>
      </c>
      <c r="K357" s="53"/>
      <c r="L357" s="52">
        <f>9200000/D435</f>
        <v>19090.928181837273</v>
      </c>
    </row>
    <row r="358" spans="1:14" s="16" customFormat="1" ht="15.75" customHeight="1">
      <c r="A358" s="103" t="s">
        <v>219</v>
      </c>
      <c r="B358" s="104"/>
      <c r="C358" s="104"/>
      <c r="D358" s="104"/>
      <c r="E358" s="104"/>
      <c r="F358" s="104"/>
      <c r="G358" s="104"/>
      <c r="H358" s="105"/>
      <c r="I358" s="50"/>
      <c r="K358" s="52"/>
      <c r="L358" s="52">
        <f>10200000/D465</f>
        <v>19089.506879858283</v>
      </c>
    </row>
    <row r="359" spans="1:14" s="16" customFormat="1" ht="15.75" customHeight="1">
      <c r="A359" s="49">
        <v>1</v>
      </c>
      <c r="B359" s="49" t="s">
        <v>208</v>
      </c>
      <c r="C359" s="49" t="s">
        <v>205</v>
      </c>
      <c r="D359" s="49">
        <f>55.17*10.764</f>
        <v>593.84987999999998</v>
      </c>
      <c r="E359" s="49">
        <v>0</v>
      </c>
      <c r="F359" s="49">
        <f>D359*(($F$211)+1)+(IF(E359&lt;101,E359,IF(E359&lt;201,E359/2,IF(E359&lt;=301,E359/3,E359/4))))</f>
        <v>890.77481999999998</v>
      </c>
      <c r="G359" s="83" t="str">
        <f>A358</f>
        <v>22nd Floor (Part Refuge Area)</v>
      </c>
      <c r="H359" s="84"/>
      <c r="I359" s="50"/>
      <c r="K359" s="52"/>
      <c r="L359" s="52">
        <f>13000000/D499</f>
        <v>19542.548035583073</v>
      </c>
    </row>
    <row r="360" spans="1:14" s="16" customFormat="1" ht="15.75" customHeight="1">
      <c r="A360" s="49">
        <v>2</v>
      </c>
      <c r="B360" s="49" t="s">
        <v>208</v>
      </c>
      <c r="C360" s="49" t="s">
        <v>224</v>
      </c>
      <c r="D360" s="49">
        <f>38.39*10.764</f>
        <v>413.22996000000001</v>
      </c>
      <c r="E360" s="49">
        <v>0</v>
      </c>
      <c r="F360" s="49">
        <f>D360*(($F$211)+1)+(IF(E360&lt;101,E360,IF(E360&lt;201,E360/2,IF(E360&lt;=301,E360/3,E360/4))))</f>
        <v>619.84493999999995</v>
      </c>
      <c r="G360" s="85"/>
      <c r="H360" s="86"/>
      <c r="I360" s="50"/>
      <c r="K360" s="52"/>
      <c r="L360" s="52">
        <f>AVERAGE(L356:L359)</f>
        <v>19149.258197219162</v>
      </c>
    </row>
    <row r="361" spans="1:14" s="16" customFormat="1" ht="15.75" customHeight="1">
      <c r="A361" s="49">
        <v>3</v>
      </c>
      <c r="B361" s="49" t="s">
        <v>208</v>
      </c>
      <c r="C361" s="49" t="s">
        <v>225</v>
      </c>
      <c r="D361" s="49">
        <f>61.8*10.764</f>
        <v>665.21519999999998</v>
      </c>
      <c r="E361" s="49">
        <v>0</v>
      </c>
      <c r="F361" s="49">
        <f>D361*(($F$211)+1)+(IF(E361&lt;101,E361,IF(E361&lt;201,E361/2,IF(E361&lt;=301,E361/3,E361/4))))</f>
        <v>997.82279999999992</v>
      </c>
      <c r="G361" s="85"/>
      <c r="H361" s="86"/>
      <c r="I361" s="50"/>
      <c r="K361" s="52" t="s">
        <v>149</v>
      </c>
      <c r="L361" s="52">
        <f>L360/1.5</f>
        <v>12766.172131479441</v>
      </c>
    </row>
    <row r="362" spans="1:14" s="16" customFormat="1" ht="15.75" customHeight="1">
      <c r="A362" s="49">
        <v>4</v>
      </c>
      <c r="B362" s="49" t="s">
        <v>208</v>
      </c>
      <c r="C362" s="49" t="s">
        <v>205</v>
      </c>
      <c r="D362" s="49">
        <f>55.17*10.764</f>
        <v>593.84987999999998</v>
      </c>
      <c r="E362" s="49">
        <v>0</v>
      </c>
      <c r="F362" s="49">
        <f>D362*(($F$211)+1)+(IF(E362&lt;101,E362,IF(E362&lt;201,E362/2,IF(E362&lt;=301,E362/3,E362/4))))</f>
        <v>890.77481999999998</v>
      </c>
      <c r="G362" s="87"/>
      <c r="H362" s="88"/>
      <c r="I362" s="50"/>
    </row>
    <row r="363" spans="1:14" s="16" customFormat="1" ht="15.75" customHeight="1">
      <c r="A363" s="103" t="s">
        <v>222</v>
      </c>
      <c r="B363" s="104"/>
      <c r="C363" s="104"/>
      <c r="D363" s="104"/>
      <c r="E363" s="104"/>
      <c r="F363" s="104"/>
      <c r="G363" s="104"/>
      <c r="H363" s="105"/>
      <c r="I363" s="50"/>
    </row>
    <row r="364" spans="1:14" s="16" customFormat="1">
      <c r="A364" s="49">
        <v>1</v>
      </c>
      <c r="B364" s="49" t="s">
        <v>208</v>
      </c>
      <c r="C364" s="49" t="s">
        <v>205</v>
      </c>
      <c r="D364" s="49">
        <f>55.17*10.764</f>
        <v>593.84987999999998</v>
      </c>
      <c r="E364" s="49">
        <v>0</v>
      </c>
      <c r="F364" s="49">
        <f>D364*(($F$211)+1)+(IF(E364&lt;101,E364,IF(E364&lt;201,E364/2,IF(E364&lt;=301,E364/3,E364/4))))</f>
        <v>890.77481999999998</v>
      </c>
      <c r="G364" s="83" t="str">
        <f>A363</f>
        <v>23rd Floor</v>
      </c>
      <c r="H364" s="84"/>
      <c r="I364" s="50"/>
    </row>
    <row r="365" spans="1:14" s="16" customFormat="1">
      <c r="A365" s="49">
        <v>2</v>
      </c>
      <c r="B365" s="49" t="s">
        <v>208</v>
      </c>
      <c r="C365" s="49" t="s">
        <v>225</v>
      </c>
      <c r="D365" s="49">
        <f>61.8*10.764</f>
        <v>665.21519999999998</v>
      </c>
      <c r="E365" s="49">
        <v>0</v>
      </c>
      <c r="F365" s="49">
        <f>D365*(($F$211)+1)+(IF(E365&lt;101,E365,IF(E365&lt;201,E365/2,IF(E365&lt;=301,E365/3,E365/4))))</f>
        <v>997.82279999999992</v>
      </c>
      <c r="G365" s="85"/>
      <c r="H365" s="86"/>
      <c r="I365" s="50"/>
    </row>
    <row r="366" spans="1:14" s="16" customFormat="1" ht="15.75" customHeight="1">
      <c r="A366" s="49">
        <v>3</v>
      </c>
      <c r="B366" s="49" t="s">
        <v>208</v>
      </c>
      <c r="C366" s="49" t="s">
        <v>225</v>
      </c>
      <c r="D366" s="49">
        <f>61.8*10.764</f>
        <v>665.21519999999998</v>
      </c>
      <c r="E366" s="49">
        <v>0</v>
      </c>
      <c r="F366" s="49">
        <f>D366*(($F$211)+1)+(IF(E366&lt;101,E366,IF(E366&lt;201,E366/2,IF(E366&lt;=301,E366/3,E366/4))))</f>
        <v>997.82279999999992</v>
      </c>
      <c r="G366" s="85"/>
      <c r="H366" s="86"/>
      <c r="I366" s="50"/>
    </row>
    <row r="367" spans="1:14" s="16" customFormat="1" ht="15.75" customHeight="1">
      <c r="A367" s="49">
        <v>4</v>
      </c>
      <c r="B367" s="49" t="s">
        <v>208</v>
      </c>
      <c r="C367" s="49" t="s">
        <v>205</v>
      </c>
      <c r="D367" s="49">
        <f>55.17*10.764</f>
        <v>593.84987999999998</v>
      </c>
      <c r="E367" s="49">
        <v>0</v>
      </c>
      <c r="F367" s="49">
        <f>D367*(($F$211)+1)+(IF(E367&lt;101,E367,IF(E367&lt;201,E367/2,IF(E367&lt;=301,E367/3,E367/4))))</f>
        <v>890.77481999999998</v>
      </c>
      <c r="G367" s="87"/>
      <c r="H367" s="88"/>
      <c r="I367" s="50"/>
    </row>
    <row r="368" spans="1:14" s="14" customFormat="1">
      <c r="A368" s="107" t="s">
        <v>229</v>
      </c>
      <c r="B368" s="107"/>
      <c r="C368" s="107"/>
      <c r="D368" s="107"/>
      <c r="E368" s="107"/>
      <c r="F368" s="107"/>
      <c r="G368" s="107"/>
      <c r="H368" s="107"/>
    </row>
    <row r="369" spans="1:14" s="16" customFormat="1">
      <c r="A369" s="103" t="s">
        <v>203</v>
      </c>
      <c r="B369" s="104"/>
      <c r="C369" s="104"/>
      <c r="D369" s="104"/>
      <c r="E369" s="104"/>
      <c r="F369" s="104"/>
      <c r="G369" s="104"/>
      <c r="H369" s="105"/>
      <c r="J369" s="50"/>
    </row>
    <row r="370" spans="1:14" s="16" customFormat="1" ht="15.75" customHeight="1">
      <c r="A370" s="49">
        <v>1</v>
      </c>
      <c r="B370" s="49" t="s">
        <v>230</v>
      </c>
      <c r="C370" s="49" t="s">
        <v>205</v>
      </c>
      <c r="D370" s="49">
        <f t="shared" ref="D370:D381" si="7">(49.64)*10.764</f>
        <v>534.32495999999992</v>
      </c>
      <c r="E370" s="49">
        <v>0</v>
      </c>
      <c r="F370" s="49">
        <f>D370*(($F$211)+1)+(IF(E370&lt;101,E370,IF(E370&lt;201,E370/2,IF(E370&lt;=301,E370/3,E370/4))))</f>
        <v>801.48743999999988</v>
      </c>
      <c r="G370" s="83" t="str">
        <f>A369</f>
        <v>1st Floor for Residential</v>
      </c>
      <c r="H370" s="84"/>
      <c r="I370" s="50"/>
      <c r="L370" s="119"/>
      <c r="M370" s="119"/>
      <c r="N370" s="50"/>
    </row>
    <row r="371" spans="1:14" s="16" customFormat="1" ht="15.75" customHeight="1">
      <c r="A371" s="49">
        <v>4</v>
      </c>
      <c r="B371" s="49" t="s">
        <v>230</v>
      </c>
      <c r="C371" s="49" t="s">
        <v>205</v>
      </c>
      <c r="D371" s="49">
        <f t="shared" si="7"/>
        <v>534.32495999999992</v>
      </c>
      <c r="E371" s="49">
        <v>0</v>
      </c>
      <c r="F371" s="49">
        <f>D371*(($F$211)+1)+(IF(E371&lt;101,E371,IF(E371&lt;201,E371/2,IF(E371&lt;=301,E371/3,E371/4))))</f>
        <v>801.48743999999988</v>
      </c>
      <c r="G371" s="87"/>
      <c r="H371" s="88"/>
      <c r="I371" s="50"/>
      <c r="L371" s="119"/>
      <c r="M371" s="119"/>
      <c r="N371" s="50"/>
    </row>
    <row r="372" spans="1:14" s="16" customFormat="1">
      <c r="A372" s="103" t="s">
        <v>207</v>
      </c>
      <c r="B372" s="104"/>
      <c r="C372" s="104"/>
      <c r="D372" s="104"/>
      <c r="E372" s="104"/>
      <c r="F372" s="104"/>
      <c r="G372" s="104"/>
      <c r="H372" s="105"/>
      <c r="J372" s="50"/>
    </row>
    <row r="373" spans="1:14" s="16" customFormat="1">
      <c r="A373" s="49">
        <v>1</v>
      </c>
      <c r="B373" s="49" t="s">
        <v>208</v>
      </c>
      <c r="C373" s="49" t="s">
        <v>205</v>
      </c>
      <c r="D373" s="49">
        <f t="shared" si="7"/>
        <v>534.32495999999992</v>
      </c>
      <c r="E373" s="49">
        <v>0</v>
      </c>
      <c r="F373" s="49">
        <f>D373*(($F$211)+1)+(IF(E373&lt;101,E373,IF(E373&lt;201,E373/2,IF(E373&lt;=301,E373/3,E373/4))))</f>
        <v>801.48743999999988</v>
      </c>
      <c r="G373" s="83" t="str">
        <f>A372</f>
        <v>2nd Floor</v>
      </c>
      <c r="H373" s="84"/>
      <c r="I373" s="50"/>
      <c r="L373" s="119"/>
      <c r="M373" s="119"/>
      <c r="N373" s="50"/>
    </row>
    <row r="374" spans="1:14" s="16" customFormat="1">
      <c r="A374" s="49">
        <v>2</v>
      </c>
      <c r="B374" s="49" t="s">
        <v>208</v>
      </c>
      <c r="C374" s="49" t="s">
        <v>205</v>
      </c>
      <c r="D374" s="49">
        <f t="shared" si="7"/>
        <v>534.32495999999992</v>
      </c>
      <c r="E374" s="49">
        <f>(1.8*3.13+1.05*3.2)*10.764</f>
        <v>96.811415999999994</v>
      </c>
      <c r="F374" s="49">
        <f>D374*(($F$211)+1)+(IF(E374&lt;101,E374,IF(E374&lt;201,E374/2,IF(E374&lt;=301,E374/3,E374/4))))</f>
        <v>898.29885599999989</v>
      </c>
      <c r="G374" s="85"/>
      <c r="H374" s="86"/>
      <c r="I374" s="50"/>
      <c r="L374" s="119"/>
      <c r="M374" s="119"/>
      <c r="N374" s="50"/>
    </row>
    <row r="375" spans="1:14" s="16" customFormat="1">
      <c r="A375" s="49">
        <v>3</v>
      </c>
      <c r="B375" s="49" t="s">
        <v>208</v>
      </c>
      <c r="C375" s="49" t="s">
        <v>205</v>
      </c>
      <c r="D375" s="49">
        <f t="shared" si="7"/>
        <v>534.32495999999992</v>
      </c>
      <c r="E375" s="49">
        <f>(1.8*3.13+1.05*3.2)*10.764</f>
        <v>96.811415999999994</v>
      </c>
      <c r="F375" s="49">
        <f>D375*(($F$211)+1)+(IF(E375&lt;101,E375,IF(E375&lt;201,E375/2,IF(E375&lt;=301,E375/3,E375/4))))</f>
        <v>898.29885599999989</v>
      </c>
      <c r="G375" s="85"/>
      <c r="H375" s="86"/>
      <c r="I375" s="50"/>
      <c r="L375" s="119"/>
      <c r="M375" s="119"/>
      <c r="N375" s="50"/>
    </row>
    <row r="376" spans="1:14" s="16" customFormat="1">
      <c r="A376" s="49">
        <v>4</v>
      </c>
      <c r="B376" s="49" t="s">
        <v>208</v>
      </c>
      <c r="C376" s="49" t="s">
        <v>205</v>
      </c>
      <c r="D376" s="49">
        <f t="shared" si="7"/>
        <v>534.32495999999992</v>
      </c>
      <c r="E376" s="49">
        <v>0</v>
      </c>
      <c r="F376" s="49">
        <f>D376*(($F$211)+1)+(IF(E376&lt;101,E376,IF(E376&lt;201,E376/2,IF(E376&lt;=301,E376/3,E376/4))))</f>
        <v>801.48743999999988</v>
      </c>
      <c r="G376" s="87"/>
      <c r="H376" s="88"/>
      <c r="I376" s="50"/>
      <c r="L376" s="119"/>
      <c r="M376" s="119"/>
      <c r="N376" s="50"/>
    </row>
    <row r="377" spans="1:14" s="16" customFormat="1" ht="15.75" customHeight="1">
      <c r="A377" s="103" t="s">
        <v>209</v>
      </c>
      <c r="B377" s="104"/>
      <c r="C377" s="104"/>
      <c r="D377" s="104"/>
      <c r="E377" s="104"/>
      <c r="F377" s="104"/>
      <c r="G377" s="104"/>
      <c r="H377" s="105"/>
      <c r="I377" s="50"/>
    </row>
    <row r="378" spans="1:14" s="16" customFormat="1" ht="15.75" customHeight="1">
      <c r="A378" s="49">
        <v>1</v>
      </c>
      <c r="B378" s="49" t="s">
        <v>208</v>
      </c>
      <c r="C378" s="49" t="s">
        <v>205</v>
      </c>
      <c r="D378" s="49">
        <f t="shared" si="7"/>
        <v>534.32495999999992</v>
      </c>
      <c r="E378" s="49">
        <v>0</v>
      </c>
      <c r="F378" s="49">
        <f>D378*(($F$211)+1)+(IF(E378&lt;101,E378,IF(E378&lt;201,E378/2,IF(E378&lt;=301,E378/3,E378/4))))</f>
        <v>801.48743999999988</v>
      </c>
      <c r="G378" s="83" t="str">
        <f>A377</f>
        <v>3rd to 7th, 9th to 14th Floor</v>
      </c>
      <c r="H378" s="84"/>
      <c r="I378" s="50"/>
    </row>
    <row r="379" spans="1:14" s="16" customFormat="1" ht="15.75" customHeight="1">
      <c r="A379" s="49">
        <v>2</v>
      </c>
      <c r="B379" s="49" t="s">
        <v>208</v>
      </c>
      <c r="C379" s="49" t="s">
        <v>205</v>
      </c>
      <c r="D379" s="49">
        <f t="shared" si="7"/>
        <v>534.32495999999992</v>
      </c>
      <c r="E379" s="49">
        <v>0</v>
      </c>
      <c r="F379" s="49">
        <f>D379*(($F$211)+1)+(IF(E379&lt;101,E379,IF(E379&lt;201,E379/2,IF(E379&lt;=301,E379/3,E379/4))))</f>
        <v>801.48743999999988</v>
      </c>
      <c r="G379" s="85"/>
      <c r="H379" s="86"/>
      <c r="I379" s="50"/>
    </row>
    <row r="380" spans="1:14" s="16" customFormat="1" ht="15.75" customHeight="1">
      <c r="A380" s="49">
        <v>3</v>
      </c>
      <c r="B380" s="49" t="s">
        <v>208</v>
      </c>
      <c r="C380" s="49" t="s">
        <v>205</v>
      </c>
      <c r="D380" s="49">
        <f t="shared" si="7"/>
        <v>534.32495999999992</v>
      </c>
      <c r="E380" s="49">
        <v>0</v>
      </c>
      <c r="F380" s="49">
        <f>D380*(($F$211)+1)+(IF(E380&lt;101,E380,IF(E380&lt;201,E380/2,IF(E380&lt;=301,E380/3,E380/4))))</f>
        <v>801.48743999999988</v>
      </c>
      <c r="G380" s="85"/>
      <c r="H380" s="86"/>
      <c r="I380" s="50"/>
    </row>
    <row r="381" spans="1:14" s="16" customFormat="1" ht="15.75" customHeight="1">
      <c r="A381" s="49">
        <v>4</v>
      </c>
      <c r="B381" s="49" t="s">
        <v>208</v>
      </c>
      <c r="C381" s="49" t="s">
        <v>205</v>
      </c>
      <c r="D381" s="49">
        <f t="shared" si="7"/>
        <v>534.32495999999992</v>
      </c>
      <c r="E381" s="49">
        <v>0</v>
      </c>
      <c r="F381" s="49">
        <f>D381*(($F$211)+1)+(IF(E381&lt;101,E381,IF(E381&lt;201,E381/2,IF(E381&lt;=301,E381/3,E381/4))))</f>
        <v>801.48743999999988</v>
      </c>
      <c r="G381" s="87"/>
      <c r="H381" s="88"/>
      <c r="I381" s="50"/>
    </row>
    <row r="382" spans="1:14" s="16" customFormat="1">
      <c r="A382" s="103" t="s">
        <v>210</v>
      </c>
      <c r="B382" s="104"/>
      <c r="C382" s="104"/>
      <c r="D382" s="104"/>
      <c r="E382" s="104"/>
      <c r="F382" s="104"/>
      <c r="G382" s="104"/>
      <c r="H382" s="105"/>
      <c r="J382" s="50"/>
    </row>
    <row r="383" spans="1:14" s="16" customFormat="1" ht="15.75" customHeight="1">
      <c r="A383" s="49">
        <v>1</v>
      </c>
      <c r="B383" s="49" t="s">
        <v>208</v>
      </c>
      <c r="C383" s="49" t="s">
        <v>205</v>
      </c>
      <c r="D383" s="49">
        <f>(49.64)*10.764</f>
        <v>534.32495999999992</v>
      </c>
      <c r="E383" s="49">
        <v>0</v>
      </c>
      <c r="F383" s="49">
        <f>D383*(($F$211)+1)+(IF(E383&lt;101,E383,IF(E383&lt;201,E383/2,IF(E383&lt;=301,E383/3,E383/4))))</f>
        <v>801.48743999999988</v>
      </c>
      <c r="G383" s="83" t="str">
        <f>A382</f>
        <v>8th Floor (Part Refuge Floor)</v>
      </c>
      <c r="H383" s="84"/>
      <c r="I383" s="50"/>
      <c r="L383" s="119"/>
      <c r="M383" s="119"/>
      <c r="N383" s="50"/>
    </row>
    <row r="384" spans="1:14" s="16" customFormat="1" ht="15.75" customHeight="1">
      <c r="A384" s="49">
        <v>2</v>
      </c>
      <c r="B384" s="49" t="s">
        <v>208</v>
      </c>
      <c r="C384" s="49" t="s">
        <v>205</v>
      </c>
      <c r="D384" s="49">
        <f>(49.64)*10.764</f>
        <v>534.32495999999992</v>
      </c>
      <c r="E384" s="49">
        <v>0</v>
      </c>
      <c r="F384" s="49">
        <f>D384*(($F$211)+1)+(IF(E384&lt;101,E384,IF(E384&lt;201,E384/2,IF(E384&lt;=301,E384/3,E384/4))))</f>
        <v>801.48743999999988</v>
      </c>
      <c r="G384" s="85"/>
      <c r="H384" s="86"/>
      <c r="I384" s="50"/>
      <c r="L384" s="119"/>
      <c r="M384" s="119"/>
      <c r="N384" s="50"/>
    </row>
    <row r="385" spans="1:14" s="16" customFormat="1" ht="15.75" customHeight="1">
      <c r="A385" s="49">
        <v>3</v>
      </c>
      <c r="B385" s="49" t="s">
        <v>208</v>
      </c>
      <c r="C385" s="108" t="s">
        <v>228</v>
      </c>
      <c r="D385" s="118"/>
      <c r="E385" s="118"/>
      <c r="F385" s="109"/>
      <c r="G385" s="85"/>
      <c r="H385" s="86"/>
      <c r="I385" s="50"/>
      <c r="L385" s="119"/>
      <c r="M385" s="119"/>
      <c r="N385" s="50"/>
    </row>
    <row r="386" spans="1:14" s="16" customFormat="1" ht="15.75" customHeight="1">
      <c r="A386" s="49">
        <v>4</v>
      </c>
      <c r="B386" s="49" t="s">
        <v>208</v>
      </c>
      <c r="C386" s="49" t="s">
        <v>205</v>
      </c>
      <c r="D386" s="49">
        <f>(49.64)*10.764</f>
        <v>534.32495999999992</v>
      </c>
      <c r="E386" s="49">
        <v>0</v>
      </c>
      <c r="F386" s="49">
        <f>D386*(($F$211)+1)+(IF(E386&lt;101,E386,IF(E386&lt;201,E386/2,IF(E386&lt;=301,E386/3,E386/4))))</f>
        <v>801.48743999999988</v>
      </c>
      <c r="G386" s="87"/>
      <c r="H386" s="88"/>
      <c r="I386" s="50"/>
      <c r="L386" s="119"/>
      <c r="M386" s="119"/>
      <c r="N386" s="50"/>
    </row>
    <row r="387" spans="1:14" s="16" customFormat="1">
      <c r="A387" s="103" t="s">
        <v>212</v>
      </c>
      <c r="B387" s="104"/>
      <c r="C387" s="104"/>
      <c r="D387" s="104"/>
      <c r="E387" s="104"/>
      <c r="F387" s="104"/>
      <c r="G387" s="104"/>
      <c r="H387" s="105"/>
      <c r="J387" s="50"/>
    </row>
    <row r="388" spans="1:14" s="16" customFormat="1" ht="15.75" customHeight="1">
      <c r="A388" s="49">
        <v>1</v>
      </c>
      <c r="B388" s="49" t="s">
        <v>208</v>
      </c>
      <c r="C388" s="49" t="s">
        <v>205</v>
      </c>
      <c r="D388" s="49">
        <f>(49.64)*10.764</f>
        <v>534.32495999999992</v>
      </c>
      <c r="E388" s="49">
        <v>0</v>
      </c>
      <c r="F388" s="49">
        <f>D388*(($F$211)+1)+(IF(E388&lt;101,E388,IF(E388&lt;201,E388/2,IF(E388&lt;=301,E388/3,E388/4))))</f>
        <v>801.48743999999988</v>
      </c>
      <c r="G388" s="83" t="str">
        <f>A387</f>
        <v>15th Floor (Part Refuge Floor)</v>
      </c>
      <c r="H388" s="84"/>
      <c r="I388" s="50"/>
      <c r="L388" s="119"/>
      <c r="M388" s="119"/>
      <c r="N388" s="50"/>
    </row>
    <row r="389" spans="1:14" s="16" customFormat="1" ht="15.75" customHeight="1">
      <c r="A389" s="49">
        <v>2</v>
      </c>
      <c r="B389" s="49" t="s">
        <v>208</v>
      </c>
      <c r="C389" s="49" t="s">
        <v>205</v>
      </c>
      <c r="D389" s="49">
        <f>(49.64)*10.764</f>
        <v>534.32495999999992</v>
      </c>
      <c r="E389" s="49">
        <v>0</v>
      </c>
      <c r="F389" s="49">
        <f>D389*(($F$211)+1)+(IF(E389&lt;101,E389,IF(E389&lt;201,E389/2,IF(E389&lt;=301,E389/3,E389/4))))</f>
        <v>801.48743999999988</v>
      </c>
      <c r="G389" s="85"/>
      <c r="H389" s="86"/>
      <c r="I389" s="50"/>
      <c r="L389" s="119"/>
      <c r="M389" s="119"/>
      <c r="N389" s="50"/>
    </row>
    <row r="390" spans="1:14" s="16" customFormat="1" ht="15.75" customHeight="1">
      <c r="A390" s="49">
        <v>3</v>
      </c>
      <c r="B390" s="49" t="s">
        <v>208</v>
      </c>
      <c r="C390" s="108" t="s">
        <v>228</v>
      </c>
      <c r="D390" s="118"/>
      <c r="E390" s="118"/>
      <c r="F390" s="109"/>
      <c r="G390" s="85"/>
      <c r="H390" s="86"/>
      <c r="I390" s="50"/>
      <c r="L390" s="119"/>
      <c r="M390" s="119"/>
      <c r="N390" s="50"/>
    </row>
    <row r="391" spans="1:14" s="16" customFormat="1" ht="15.75" customHeight="1">
      <c r="A391" s="49">
        <v>4</v>
      </c>
      <c r="B391" s="49" t="s">
        <v>208</v>
      </c>
      <c r="C391" s="49" t="s">
        <v>205</v>
      </c>
      <c r="D391" s="49">
        <f>(49.64)*10.764</f>
        <v>534.32495999999992</v>
      </c>
      <c r="E391" s="49">
        <v>0</v>
      </c>
      <c r="F391" s="49">
        <f>D391*(($F$211)+1)+(IF(E391&lt;101,E391,IF(E391&lt;201,E391/2,IF(E391&lt;=301,E391/3,E391/4))))</f>
        <v>801.48743999999988</v>
      </c>
      <c r="G391" s="87"/>
      <c r="H391" s="88"/>
      <c r="I391" s="50"/>
      <c r="L391" s="119"/>
      <c r="M391" s="119"/>
      <c r="N391" s="50"/>
    </row>
    <row r="392" spans="1:14" s="16" customFormat="1" ht="15.75" customHeight="1">
      <c r="A392" s="106" t="s">
        <v>213</v>
      </c>
      <c r="B392" s="106"/>
      <c r="C392" s="106"/>
      <c r="D392" s="106"/>
      <c r="E392" s="106"/>
      <c r="F392" s="106"/>
      <c r="G392" s="106"/>
      <c r="H392" s="106"/>
      <c r="I392" s="50"/>
    </row>
    <row r="393" spans="1:14" s="16" customFormat="1" ht="15.75" customHeight="1">
      <c r="A393" s="49">
        <v>1</v>
      </c>
      <c r="B393" s="49" t="s">
        <v>208</v>
      </c>
      <c r="C393" s="49" t="s">
        <v>205</v>
      </c>
      <c r="D393" s="49">
        <f>55.17*10.764</f>
        <v>593.84987999999998</v>
      </c>
      <c r="E393" s="49">
        <v>0</v>
      </c>
      <c r="F393" s="49">
        <f>D393*(($F$211)+1)+(IF(E393&lt;101,E393,IF(E393&lt;201,E393/2,IF(E393&lt;=301,E393/3,E393/4))))</f>
        <v>890.77481999999998</v>
      </c>
      <c r="G393" s="93" t="str">
        <f>A392</f>
        <v>16th to 18th Floor</v>
      </c>
      <c r="H393" s="93"/>
      <c r="I393" s="50"/>
    </row>
    <row r="394" spans="1:14" s="16" customFormat="1" ht="15.75" customHeight="1">
      <c r="A394" s="49">
        <v>2</v>
      </c>
      <c r="B394" s="49" t="s">
        <v>208</v>
      </c>
      <c r="C394" s="49" t="s">
        <v>205</v>
      </c>
      <c r="D394" s="49">
        <f>50.75*10.764</f>
        <v>546.27299999999991</v>
      </c>
      <c r="E394" s="49">
        <v>0</v>
      </c>
      <c r="F394" s="49">
        <f>D394*(($F$211)+1)+(IF(E394&lt;101,E394,IF(E394&lt;201,E394/2,IF(E394&lt;=301,E394/3,E394/4))))</f>
        <v>819.40949999999987</v>
      </c>
      <c r="G394" s="93"/>
      <c r="H394" s="93"/>
      <c r="I394" s="50"/>
    </row>
    <row r="395" spans="1:14" s="16" customFormat="1" ht="15.75" customHeight="1">
      <c r="A395" s="49">
        <v>3</v>
      </c>
      <c r="B395" s="49" t="s">
        <v>208</v>
      </c>
      <c r="C395" s="49" t="s">
        <v>205</v>
      </c>
      <c r="D395" s="49">
        <f>50.75*10.764</f>
        <v>546.27299999999991</v>
      </c>
      <c r="E395" s="49">
        <v>0</v>
      </c>
      <c r="F395" s="49">
        <f>D395*(($F$211)+1)+(IF(E395&lt;101,E395,IF(E395&lt;201,E395/2,IF(E395&lt;=301,E395/3,E395/4))))</f>
        <v>819.40949999999987</v>
      </c>
      <c r="G395" s="93"/>
      <c r="H395" s="93"/>
      <c r="I395" s="50"/>
    </row>
    <row r="396" spans="1:14" s="16" customFormat="1" ht="15.75" customHeight="1">
      <c r="A396" s="49">
        <v>4</v>
      </c>
      <c r="B396" s="49" t="s">
        <v>208</v>
      </c>
      <c r="C396" s="49" t="s">
        <v>205</v>
      </c>
      <c r="D396" s="49">
        <f>55.17*10.764</f>
        <v>593.84987999999998</v>
      </c>
      <c r="E396" s="49">
        <v>0</v>
      </c>
      <c r="F396" s="49">
        <f>D396*(($F$211)+1)+(IF(E396&lt;101,E396,IF(E396&lt;201,E396/2,IF(E396&lt;=301,E396/3,E396/4))))</f>
        <v>890.77481999999998</v>
      </c>
      <c r="G396" s="93"/>
      <c r="H396" s="93"/>
      <c r="I396" s="50"/>
    </row>
    <row r="397" spans="1:14" s="16" customFormat="1" ht="15.75" customHeight="1">
      <c r="A397" s="106" t="s">
        <v>214</v>
      </c>
      <c r="B397" s="106"/>
      <c r="C397" s="106"/>
      <c r="D397" s="106"/>
      <c r="E397" s="106"/>
      <c r="F397" s="106"/>
      <c r="G397" s="106"/>
      <c r="H397" s="106"/>
      <c r="I397" s="50"/>
    </row>
    <row r="398" spans="1:14" s="16" customFormat="1" ht="15.75" customHeight="1">
      <c r="A398" s="49">
        <v>1</v>
      </c>
      <c r="B398" s="49" t="s">
        <v>208</v>
      </c>
      <c r="C398" s="49" t="s">
        <v>205</v>
      </c>
      <c r="D398" s="49">
        <f>55.17*10.764</f>
        <v>593.84987999999998</v>
      </c>
      <c r="E398" s="49">
        <v>0</v>
      </c>
      <c r="F398" s="49">
        <f>D398*(($F$211)+1)+(IF(E398&lt;101,E398,IF(E398&lt;201,E398/2,IF(E398&lt;=301,E398/3,E398/4))))</f>
        <v>890.77481999999998</v>
      </c>
      <c r="G398" s="93" t="str">
        <f>A397</f>
        <v>19th, 20th &amp; 21st Floor</v>
      </c>
      <c r="H398" s="93"/>
      <c r="I398" s="50"/>
    </row>
    <row r="399" spans="1:14" s="16" customFormat="1" ht="15.75" customHeight="1">
      <c r="A399" s="49">
        <v>2</v>
      </c>
      <c r="B399" s="49" t="s">
        <v>208</v>
      </c>
      <c r="C399" s="49" t="s">
        <v>225</v>
      </c>
      <c r="D399" s="49">
        <f>61.8*10.764</f>
        <v>665.21519999999998</v>
      </c>
      <c r="E399" s="49">
        <v>0</v>
      </c>
      <c r="F399" s="49">
        <f>D399*(($F$211)+1)+(IF(E399&lt;101,E399,IF(E399&lt;201,E399/2,IF(E399&lt;=301,E399/3,E399/4))))</f>
        <v>997.82279999999992</v>
      </c>
      <c r="G399" s="93"/>
      <c r="H399" s="93"/>
      <c r="I399" s="50"/>
    </row>
    <row r="400" spans="1:14" s="16" customFormat="1" ht="15.75" customHeight="1">
      <c r="A400" s="49">
        <v>3</v>
      </c>
      <c r="B400" s="49" t="s">
        <v>208</v>
      </c>
      <c r="C400" s="49" t="s">
        <v>225</v>
      </c>
      <c r="D400" s="49">
        <f>61.8*10.764</f>
        <v>665.21519999999998</v>
      </c>
      <c r="E400" s="49">
        <v>0</v>
      </c>
      <c r="F400" s="49">
        <f>D400*(($F$211)+1)+(IF(E400&lt;101,E400,IF(E400&lt;201,E400/2,IF(E400&lt;=301,E400/3,E400/4))))</f>
        <v>997.82279999999992</v>
      </c>
      <c r="G400" s="93"/>
      <c r="H400" s="93"/>
      <c r="I400" s="50"/>
    </row>
    <row r="401" spans="1:14" s="16" customFormat="1" ht="15.75" customHeight="1">
      <c r="A401" s="49">
        <v>4</v>
      </c>
      <c r="B401" s="49" t="s">
        <v>208</v>
      </c>
      <c r="C401" s="49" t="s">
        <v>205</v>
      </c>
      <c r="D401" s="49">
        <f>55.17*10.764</f>
        <v>593.84987999999998</v>
      </c>
      <c r="E401" s="49">
        <v>0</v>
      </c>
      <c r="F401" s="49">
        <f>D401*(($F$211)+1)+(IF(E401&lt;101,E401,IF(E401&lt;201,E401/2,IF(E401&lt;=301,E401/3,E401/4))))</f>
        <v>890.77481999999998</v>
      </c>
      <c r="G401" s="93"/>
      <c r="H401" s="93"/>
      <c r="I401" s="50"/>
    </row>
    <row r="402" spans="1:14" s="16" customFormat="1" ht="15.75" customHeight="1">
      <c r="A402" s="103" t="s">
        <v>219</v>
      </c>
      <c r="B402" s="104"/>
      <c r="C402" s="104"/>
      <c r="D402" s="104"/>
      <c r="E402" s="104"/>
      <c r="F402" s="104"/>
      <c r="G402" s="104"/>
      <c r="H402" s="105"/>
      <c r="I402" s="50"/>
    </row>
    <row r="403" spans="1:14" s="16" customFormat="1" ht="15.75" customHeight="1">
      <c r="A403" s="49">
        <v>1</v>
      </c>
      <c r="B403" s="49" t="s">
        <v>208</v>
      </c>
      <c r="C403" s="49" t="s">
        <v>205</v>
      </c>
      <c r="D403" s="49">
        <f>55.17*10.764</f>
        <v>593.84987999999998</v>
      </c>
      <c r="E403" s="49">
        <v>0</v>
      </c>
      <c r="F403" s="49">
        <f>D403*(($F$211)+1)+(IF(E403&lt;101,E403,IF(E403&lt;201,E403/2,IF(E403&lt;=301,E403/3,E403/4))))</f>
        <v>890.77481999999998</v>
      </c>
      <c r="G403" s="83" t="str">
        <f>A402</f>
        <v>22nd Floor (Part Refuge Area)</v>
      </c>
      <c r="H403" s="84"/>
      <c r="I403" s="50"/>
    </row>
    <row r="404" spans="1:14" s="16" customFormat="1" ht="15.75" customHeight="1">
      <c r="A404" s="49">
        <v>2</v>
      </c>
      <c r="B404" s="49" t="s">
        <v>208</v>
      </c>
      <c r="C404" s="49" t="s">
        <v>225</v>
      </c>
      <c r="D404" s="49">
        <f>61.8*10.764</f>
        <v>665.21519999999998</v>
      </c>
      <c r="E404" s="49">
        <v>0</v>
      </c>
      <c r="F404" s="49">
        <f>D404*(($F$211)+1)+(IF(E404&lt;101,E404,IF(E404&lt;201,E404/2,IF(E404&lt;=301,E404/3,E404/4))))</f>
        <v>997.82279999999992</v>
      </c>
      <c r="G404" s="85"/>
      <c r="H404" s="86"/>
      <c r="I404" s="50"/>
    </row>
    <row r="405" spans="1:14" s="16" customFormat="1" ht="15.75" customHeight="1">
      <c r="A405" s="49">
        <v>3</v>
      </c>
      <c r="B405" s="49" t="s">
        <v>208</v>
      </c>
      <c r="C405" s="49" t="s">
        <v>224</v>
      </c>
      <c r="D405" s="49">
        <f>38.77*10.764</f>
        <v>417.32028000000003</v>
      </c>
      <c r="E405" s="49">
        <v>0</v>
      </c>
      <c r="F405" s="49">
        <f>D405*(($F$211)+1)+(IF(E405&lt;101,E405,IF(E405&lt;201,E405/2,IF(E405&lt;=301,E405/3,E405/4))))</f>
        <v>625.98042000000009</v>
      </c>
      <c r="G405" s="85"/>
      <c r="H405" s="86"/>
      <c r="I405" s="50"/>
    </row>
    <row r="406" spans="1:14" s="16" customFormat="1" ht="15.75" customHeight="1">
      <c r="A406" s="49">
        <v>4</v>
      </c>
      <c r="B406" s="49" t="s">
        <v>208</v>
      </c>
      <c r="C406" s="49" t="s">
        <v>205</v>
      </c>
      <c r="D406" s="49">
        <f>55.17*10.764</f>
        <v>593.84987999999998</v>
      </c>
      <c r="E406" s="49">
        <v>0</v>
      </c>
      <c r="F406" s="49">
        <f>D406*(($F$211)+1)+(IF(E406&lt;101,E406,IF(E406&lt;201,E406/2,IF(E406&lt;=301,E406/3,E406/4))))</f>
        <v>890.77481999999998</v>
      </c>
      <c r="G406" s="87"/>
      <c r="H406" s="88"/>
      <c r="I406" s="50"/>
    </row>
    <row r="407" spans="1:14" s="16" customFormat="1" ht="15.75" customHeight="1">
      <c r="A407" s="103" t="s">
        <v>222</v>
      </c>
      <c r="B407" s="104"/>
      <c r="C407" s="104"/>
      <c r="D407" s="104"/>
      <c r="E407" s="104"/>
      <c r="F407" s="104"/>
      <c r="G407" s="104"/>
      <c r="H407" s="105"/>
      <c r="I407" s="50"/>
    </row>
    <row r="408" spans="1:14" s="16" customFormat="1">
      <c r="A408" s="49">
        <v>1</v>
      </c>
      <c r="B408" s="49" t="s">
        <v>208</v>
      </c>
      <c r="C408" s="49" t="s">
        <v>205</v>
      </c>
      <c r="D408" s="49">
        <f>55.17*10.764</f>
        <v>593.84987999999998</v>
      </c>
      <c r="E408" s="49">
        <v>0</v>
      </c>
      <c r="F408" s="49">
        <f>D408*(($F$211)+1)+(IF(E408&lt;101,E408,IF(E408&lt;201,E408/2,IF(E408&lt;=301,E408/3,E408/4))))</f>
        <v>890.77481999999998</v>
      </c>
      <c r="G408" s="83" t="str">
        <f>A407</f>
        <v>23rd Floor</v>
      </c>
      <c r="H408" s="84"/>
      <c r="I408" s="50"/>
    </row>
    <row r="409" spans="1:14" s="16" customFormat="1">
      <c r="A409" s="49">
        <v>2</v>
      </c>
      <c r="B409" s="49" t="s">
        <v>208</v>
      </c>
      <c r="C409" s="49" t="s">
        <v>225</v>
      </c>
      <c r="D409" s="49">
        <f>61.8*10.764</f>
        <v>665.21519999999998</v>
      </c>
      <c r="E409" s="49">
        <v>0</v>
      </c>
      <c r="F409" s="49">
        <f>D409*(($F$211)+1)+(IF(E409&lt;101,E409,IF(E409&lt;201,E409/2,IF(E409&lt;=301,E409/3,E409/4))))</f>
        <v>997.82279999999992</v>
      </c>
      <c r="G409" s="85"/>
      <c r="H409" s="86"/>
      <c r="I409" s="50"/>
    </row>
    <row r="410" spans="1:14" s="16" customFormat="1" ht="15.75" customHeight="1">
      <c r="A410" s="49">
        <v>3</v>
      </c>
      <c r="B410" s="49" t="s">
        <v>208</v>
      </c>
      <c r="C410" s="49" t="s">
        <v>225</v>
      </c>
      <c r="D410" s="49">
        <f>61.8*10.764</f>
        <v>665.21519999999998</v>
      </c>
      <c r="E410" s="49">
        <v>0</v>
      </c>
      <c r="F410" s="49">
        <f>D410*(($F$211)+1)+(IF(E410&lt;101,E410,IF(E410&lt;201,E410/2,IF(E410&lt;=301,E410/3,E410/4))))</f>
        <v>997.82279999999992</v>
      </c>
      <c r="G410" s="85"/>
      <c r="H410" s="86"/>
      <c r="I410" s="50"/>
    </row>
    <row r="411" spans="1:14" s="16" customFormat="1" ht="15.75" customHeight="1">
      <c r="A411" s="49">
        <v>4</v>
      </c>
      <c r="B411" s="49" t="s">
        <v>208</v>
      </c>
      <c r="C411" s="49" t="s">
        <v>205</v>
      </c>
      <c r="D411" s="49">
        <f>55.17*10.764</f>
        <v>593.84987999999998</v>
      </c>
      <c r="E411" s="49">
        <v>0</v>
      </c>
      <c r="F411" s="49">
        <f>D411*(($F$211)+1)+(IF(E411&lt;101,E411,IF(E411&lt;201,E411/2,IF(E411&lt;=301,E411/3,E411/4))))</f>
        <v>890.77481999999998</v>
      </c>
      <c r="G411" s="87"/>
      <c r="H411" s="88"/>
      <c r="I411" s="50"/>
    </row>
    <row r="412" spans="1:14" s="14" customFormat="1">
      <c r="A412" s="107" t="s">
        <v>231</v>
      </c>
      <c r="B412" s="107"/>
      <c r="C412" s="107"/>
      <c r="D412" s="107"/>
      <c r="E412" s="107"/>
      <c r="F412" s="107"/>
      <c r="G412" s="107"/>
      <c r="H412" s="107"/>
    </row>
    <row r="413" spans="1:14" s="14" customFormat="1">
      <c r="A413" s="107" t="s">
        <v>232</v>
      </c>
      <c r="B413" s="107"/>
      <c r="C413" s="107"/>
      <c r="D413" s="107"/>
      <c r="E413" s="107"/>
      <c r="F413" s="107"/>
      <c r="G413" s="107"/>
      <c r="H413" s="107"/>
    </row>
    <row r="414" spans="1:14" s="16" customFormat="1">
      <c r="A414" s="106" t="s">
        <v>203</v>
      </c>
      <c r="B414" s="106"/>
      <c r="C414" s="106"/>
      <c r="D414" s="106"/>
      <c r="E414" s="106"/>
      <c r="F414" s="106"/>
      <c r="G414" s="106"/>
      <c r="H414" s="106"/>
      <c r="I414" s="50"/>
      <c r="L414" s="119"/>
      <c r="M414" s="119"/>
    </row>
    <row r="415" spans="1:14" s="16" customFormat="1" ht="15.75" customHeight="1">
      <c r="A415" s="49">
        <v>1</v>
      </c>
      <c r="B415" s="49" t="s">
        <v>230</v>
      </c>
      <c r="C415" s="49" t="s">
        <v>206</v>
      </c>
      <c r="D415" s="49">
        <f>(34.98)*10.764</f>
        <v>376.52471999999995</v>
      </c>
      <c r="E415" s="49">
        <v>0</v>
      </c>
      <c r="F415" s="49">
        <f>D415*(($F$211)+1)+(IF(E415&lt;101,E415,IF(E415&lt;201,E415/2,IF(E415&lt;=301,E415/3,E415/4))))</f>
        <v>564.78707999999995</v>
      </c>
      <c r="G415" s="83" t="str">
        <f>A414</f>
        <v>1st Floor for Residential</v>
      </c>
      <c r="H415" s="84"/>
      <c r="N415" s="50"/>
    </row>
    <row r="416" spans="1:14" s="16" customFormat="1" ht="15.75" customHeight="1">
      <c r="A416" s="49">
        <v>4</v>
      </c>
      <c r="B416" s="49" t="s">
        <v>230</v>
      </c>
      <c r="C416" s="49" t="s">
        <v>206</v>
      </c>
      <c r="D416" s="49">
        <f>(34.98)*10.764</f>
        <v>376.52471999999995</v>
      </c>
      <c r="E416" s="49">
        <v>0</v>
      </c>
      <c r="F416" s="49">
        <f>D416*(($F$211)+1)+(IF(E416&lt;101,E416,IF(E416&lt;201,E416/2,IF(E416&lt;=301,E416/3,E416/4))))</f>
        <v>564.78707999999995</v>
      </c>
      <c r="G416" s="87"/>
      <c r="H416" s="88"/>
      <c r="N416" s="50"/>
    </row>
    <row r="417" spans="1:14" s="16" customFormat="1">
      <c r="A417" s="103" t="s">
        <v>207</v>
      </c>
      <c r="B417" s="104"/>
      <c r="C417" s="104"/>
      <c r="D417" s="104"/>
      <c r="E417" s="104"/>
      <c r="F417" s="104"/>
      <c r="G417" s="104"/>
      <c r="H417" s="105"/>
      <c r="K417" s="50"/>
    </row>
    <row r="418" spans="1:14" s="16" customFormat="1">
      <c r="A418" s="49">
        <v>1</v>
      </c>
      <c r="B418" s="49" t="s">
        <v>208</v>
      </c>
      <c r="C418" s="49" t="s">
        <v>206</v>
      </c>
      <c r="D418" s="49">
        <f>(34.29)*10.764</f>
        <v>369.09755999999999</v>
      </c>
      <c r="E418" s="49">
        <v>0</v>
      </c>
      <c r="F418" s="49">
        <f>D418*(($F$211)+1)+(IF(E418&lt;101,E418,IF(E418&lt;201,E418/2,IF(E418&lt;=301,E418/3,E418/4))))</f>
        <v>553.64634000000001</v>
      </c>
      <c r="G418" s="83" t="str">
        <f>A417</f>
        <v>2nd Floor</v>
      </c>
      <c r="H418" s="84"/>
      <c r="K418" s="50"/>
      <c r="L418" s="119"/>
      <c r="M418" s="119"/>
      <c r="N418" s="50"/>
    </row>
    <row r="419" spans="1:14" s="16" customFormat="1">
      <c r="A419" s="49">
        <v>2</v>
      </c>
      <c r="B419" s="49" t="s">
        <v>208</v>
      </c>
      <c r="C419" s="49" t="s">
        <v>206</v>
      </c>
      <c r="D419" s="49">
        <f>(34.29)*10.764</f>
        <v>369.09755999999999</v>
      </c>
      <c r="E419" s="49">
        <f>(1.8*(5.2+3.2))*10.764</f>
        <v>162.75167999999999</v>
      </c>
      <c r="F419" s="49">
        <f>D419*(($F$211)+1)+(IF(E419&lt;101,E419,IF(E419&lt;201,E419/2,IF(E419&lt;=301,E419/3,E419/4))))</f>
        <v>635.02218000000005</v>
      </c>
      <c r="G419" s="85"/>
      <c r="H419" s="86"/>
      <c r="K419" s="50"/>
      <c r="L419" s="119"/>
      <c r="M419" s="119"/>
      <c r="N419" s="50"/>
    </row>
    <row r="420" spans="1:14" s="16" customFormat="1">
      <c r="A420" s="49">
        <v>3</v>
      </c>
      <c r="B420" s="49" t="s">
        <v>208</v>
      </c>
      <c r="C420" s="49" t="s">
        <v>233</v>
      </c>
      <c r="D420" s="49">
        <f>(44.77)*10.764</f>
        <v>481.90428000000003</v>
      </c>
      <c r="E420" s="49">
        <f>(1.8*(3.05+5.7))*10.7</f>
        <v>168.52499999999998</v>
      </c>
      <c r="F420" s="49">
        <f>D420*(($F$211)+1)+(IF(E420&lt;101,E420,IF(E420&lt;201,E420/2,IF(E420&lt;=301,E420/3,E420/4))))</f>
        <v>807.11892000000012</v>
      </c>
      <c r="G420" s="85"/>
      <c r="H420" s="86"/>
      <c r="L420" s="119"/>
      <c r="M420" s="119"/>
      <c r="N420" s="50"/>
    </row>
    <row r="421" spans="1:14" s="16" customFormat="1">
      <c r="A421" s="49">
        <v>4</v>
      </c>
      <c r="B421" s="49" t="s">
        <v>208</v>
      </c>
      <c r="C421" s="49" t="s">
        <v>206</v>
      </c>
      <c r="D421" s="49">
        <f>(34.29)*10.764</f>
        <v>369.09755999999999</v>
      </c>
      <c r="E421" s="49">
        <v>0</v>
      </c>
      <c r="F421" s="49">
        <f>D421*(($F$211)+1)+(IF(E421&lt;101,E421,IF(E421&lt;201,E421/2,IF(E421&lt;=301,E421/3,E421/4))))</f>
        <v>553.64634000000001</v>
      </c>
      <c r="G421" s="87"/>
      <c r="H421" s="88"/>
      <c r="L421" s="119"/>
      <c r="M421" s="119"/>
      <c r="N421" s="50"/>
    </row>
    <row r="422" spans="1:14" s="16" customFormat="1" ht="15.75" customHeight="1">
      <c r="A422" s="103" t="s">
        <v>209</v>
      </c>
      <c r="B422" s="104"/>
      <c r="C422" s="104"/>
      <c r="D422" s="104"/>
      <c r="E422" s="104"/>
      <c r="F422" s="104"/>
      <c r="G422" s="104"/>
      <c r="H422" s="105"/>
      <c r="I422" s="50"/>
      <c r="J422" s="50"/>
    </row>
    <row r="423" spans="1:14" s="16" customFormat="1" ht="15.75" customHeight="1">
      <c r="A423" s="49">
        <v>1</v>
      </c>
      <c r="B423" s="49" t="s">
        <v>208</v>
      </c>
      <c r="C423" s="49" t="s">
        <v>206</v>
      </c>
      <c r="D423" s="49">
        <f>(34.98)*10.764</f>
        <v>376.52471999999995</v>
      </c>
      <c r="E423" s="49">
        <v>0</v>
      </c>
      <c r="F423" s="49">
        <f>D423*(($F$211)+1)+(IF(E423&lt;101,E423,IF(E423&lt;201,E423/2,IF(E423&lt;=301,E423/3,E423/4))))</f>
        <v>564.78707999999995</v>
      </c>
      <c r="G423" s="83" t="str">
        <f>A422</f>
        <v>3rd to 7th, 9th to 14th Floor</v>
      </c>
      <c r="H423" s="84"/>
      <c r="I423" s="50"/>
    </row>
    <row r="424" spans="1:14" s="16" customFormat="1" ht="15.75" customHeight="1">
      <c r="A424" s="49">
        <v>2</v>
      </c>
      <c r="B424" s="49" t="s">
        <v>208</v>
      </c>
      <c r="C424" s="49" t="s">
        <v>206</v>
      </c>
      <c r="D424" s="49">
        <f>(35.44)*10.764</f>
        <v>381.47615999999994</v>
      </c>
      <c r="E424" s="49">
        <v>0</v>
      </c>
      <c r="F424" s="49">
        <f>D424*(($F$211)+1)+(IF(E424&lt;101,E424,IF(E424&lt;201,E424/2,IF(E424&lt;=301,E424/3,E424/4))))</f>
        <v>572.2142399999999</v>
      </c>
      <c r="G424" s="85"/>
      <c r="H424" s="86"/>
      <c r="I424" s="50"/>
    </row>
    <row r="425" spans="1:14" s="16" customFormat="1" ht="15.75" customHeight="1">
      <c r="A425" s="49">
        <v>3</v>
      </c>
      <c r="B425" s="49" t="s">
        <v>208</v>
      </c>
      <c r="C425" s="49" t="s">
        <v>233</v>
      </c>
      <c r="D425" s="49">
        <f>(44.77)*10.764</f>
        <v>481.90428000000003</v>
      </c>
      <c r="E425" s="49">
        <v>0</v>
      </c>
      <c r="F425" s="49">
        <f>D425*(($F$211)+1)+(IF(E425&lt;101,E425,IF(E425&lt;201,E425/2,IF(E425&lt;=301,E425/3,E425/4))))</f>
        <v>722.85642000000007</v>
      </c>
      <c r="G425" s="85"/>
      <c r="H425" s="86"/>
      <c r="I425" s="50"/>
    </row>
    <row r="426" spans="1:14" s="16" customFormat="1" ht="15.75" customHeight="1">
      <c r="A426" s="49">
        <v>4</v>
      </c>
      <c r="B426" s="49" t="s">
        <v>208</v>
      </c>
      <c r="C426" s="49" t="s">
        <v>206</v>
      </c>
      <c r="D426" s="49">
        <f>(34.98)*10.764</f>
        <v>376.52471999999995</v>
      </c>
      <c r="E426" s="49">
        <v>0</v>
      </c>
      <c r="F426" s="49">
        <f>D426*(($F$211)+1)+(IF(E426&lt;101,E426,IF(E426&lt;201,E426/2,IF(E426&lt;=301,E426/3,E426/4))))</f>
        <v>564.78707999999995</v>
      </c>
      <c r="G426" s="87"/>
      <c r="H426" s="88"/>
      <c r="I426" s="50"/>
    </row>
    <row r="427" spans="1:14" s="16" customFormat="1">
      <c r="A427" s="103" t="s">
        <v>210</v>
      </c>
      <c r="B427" s="104"/>
      <c r="C427" s="104"/>
      <c r="D427" s="104"/>
      <c r="E427" s="104"/>
      <c r="F427" s="104"/>
      <c r="G427" s="104"/>
      <c r="H427" s="105"/>
      <c r="J427" s="50"/>
    </row>
    <row r="428" spans="1:14" s="16" customFormat="1" ht="15.75" customHeight="1">
      <c r="A428" s="49">
        <v>1</v>
      </c>
      <c r="B428" s="49" t="s">
        <v>208</v>
      </c>
      <c r="C428" s="49" t="s">
        <v>206</v>
      </c>
      <c r="D428" s="49">
        <f>(34.98)*10.764</f>
        <v>376.52471999999995</v>
      </c>
      <c r="E428" s="49">
        <v>0</v>
      </c>
      <c r="F428" s="49">
        <f>D428*(($F$211)+1)+(IF(E428&lt;101,E428,IF(E428&lt;201,E428/2,IF(E428&lt;=301,E428/3,E428/4))))</f>
        <v>564.78707999999995</v>
      </c>
      <c r="G428" s="83" t="str">
        <f>A427</f>
        <v>8th Floor (Part Refuge Floor)</v>
      </c>
      <c r="H428" s="84"/>
      <c r="I428" s="50"/>
      <c r="L428" s="119"/>
      <c r="M428" s="119"/>
      <c r="N428" s="50"/>
    </row>
    <row r="429" spans="1:14" s="16" customFormat="1" ht="15.75" customHeight="1">
      <c r="A429" s="49">
        <v>2</v>
      </c>
      <c r="B429" s="49" t="s">
        <v>208</v>
      </c>
      <c r="C429" s="108" t="s">
        <v>228</v>
      </c>
      <c r="D429" s="118"/>
      <c r="E429" s="118"/>
      <c r="F429" s="109"/>
      <c r="G429" s="85"/>
      <c r="H429" s="86"/>
      <c r="I429" s="50"/>
      <c r="L429" s="119"/>
      <c r="M429" s="119"/>
      <c r="N429" s="50"/>
    </row>
    <row r="430" spans="1:14" s="16" customFormat="1" ht="15.75" customHeight="1">
      <c r="A430" s="49">
        <v>3</v>
      </c>
      <c r="B430" s="49" t="s">
        <v>208</v>
      </c>
      <c r="C430" s="49" t="s">
        <v>233</v>
      </c>
      <c r="D430" s="49">
        <f>(44.77)*10.764</f>
        <v>481.90428000000003</v>
      </c>
      <c r="E430" s="49">
        <v>0</v>
      </c>
      <c r="F430" s="49">
        <f>D430*(($F$211)+1)+(IF(E430&lt;101,E430,IF(E430&lt;201,E430/2,IF(E430&lt;=301,E430/3,E430/4))))</f>
        <v>722.85642000000007</v>
      </c>
      <c r="G430" s="85"/>
      <c r="H430" s="86"/>
      <c r="I430" s="50"/>
      <c r="L430" s="119"/>
      <c r="M430" s="119"/>
      <c r="N430" s="50"/>
    </row>
    <row r="431" spans="1:14" s="16" customFormat="1" ht="15.75" customHeight="1">
      <c r="A431" s="49">
        <v>4</v>
      </c>
      <c r="B431" s="49" t="s">
        <v>208</v>
      </c>
      <c r="C431" s="49" t="s">
        <v>206</v>
      </c>
      <c r="D431" s="49">
        <f>(34.98)*10.764</f>
        <v>376.52471999999995</v>
      </c>
      <c r="E431" s="49">
        <v>0</v>
      </c>
      <c r="F431" s="49">
        <f>D431*(($F$211)+1)+(IF(E431&lt;101,E431,IF(E431&lt;201,E431/2,IF(E431&lt;=301,E431/3,E431/4))))</f>
        <v>564.78707999999995</v>
      </c>
      <c r="G431" s="87"/>
      <c r="H431" s="88"/>
      <c r="I431" s="50"/>
      <c r="L431" s="119"/>
      <c r="M431" s="119"/>
      <c r="N431" s="50"/>
    </row>
    <row r="432" spans="1:14" s="16" customFormat="1">
      <c r="A432" s="106" t="s">
        <v>212</v>
      </c>
      <c r="B432" s="106"/>
      <c r="C432" s="106"/>
      <c r="D432" s="106"/>
      <c r="E432" s="106"/>
      <c r="F432" s="106"/>
      <c r="G432" s="106"/>
      <c r="H432" s="106"/>
      <c r="J432" s="50"/>
    </row>
    <row r="433" spans="1:14" s="16" customFormat="1" ht="15.75" customHeight="1">
      <c r="A433" s="49">
        <v>1</v>
      </c>
      <c r="B433" s="49" t="s">
        <v>208</v>
      </c>
      <c r="C433" s="49" t="s">
        <v>206</v>
      </c>
      <c r="D433" s="49">
        <f>(34.98)*10.764</f>
        <v>376.52471999999995</v>
      </c>
      <c r="E433" s="49">
        <v>0</v>
      </c>
      <c r="F433" s="49">
        <f>D433*(($F$211)+1)+(IF(E433&lt;101,E433,IF(E433&lt;201,E433/2,IF(E433&lt;=301,E433/3,E433/4))))</f>
        <v>564.78707999999995</v>
      </c>
      <c r="G433" s="93" t="str">
        <f>A432</f>
        <v>15th Floor (Part Refuge Floor)</v>
      </c>
      <c r="H433" s="93"/>
      <c r="I433" s="50"/>
      <c r="L433" s="119"/>
      <c r="M433" s="119"/>
      <c r="N433" s="50"/>
    </row>
    <row r="434" spans="1:14" s="16" customFormat="1" ht="15.75" customHeight="1">
      <c r="A434" s="49">
        <v>2</v>
      </c>
      <c r="B434" s="49" t="s">
        <v>208</v>
      </c>
      <c r="C434" s="93" t="s">
        <v>228</v>
      </c>
      <c r="D434" s="93"/>
      <c r="E434" s="93"/>
      <c r="F434" s="93"/>
      <c r="G434" s="93"/>
      <c r="H434" s="93"/>
      <c r="I434" s="50"/>
      <c r="L434" s="119"/>
      <c r="M434" s="119"/>
      <c r="N434" s="50"/>
    </row>
    <row r="435" spans="1:14" s="16" customFormat="1" ht="15.75" customHeight="1">
      <c r="A435" s="49">
        <v>3</v>
      </c>
      <c r="B435" s="49" t="s">
        <v>208</v>
      </c>
      <c r="C435" s="49" t="s">
        <v>233</v>
      </c>
      <c r="D435" s="49">
        <f>(44.77)*10.764</f>
        <v>481.90428000000003</v>
      </c>
      <c r="E435" s="49">
        <v>0</v>
      </c>
      <c r="F435" s="49">
        <f>D435*(($F$211)+1)+(IF(E435&lt;101,E435,IF(E435&lt;201,E435/2,IF(E435&lt;=301,E435/3,E435/4))))</f>
        <v>722.85642000000007</v>
      </c>
      <c r="G435" s="93"/>
      <c r="H435" s="93"/>
      <c r="I435" s="50"/>
      <c r="L435" s="119"/>
      <c r="M435" s="119"/>
      <c r="N435" s="50"/>
    </row>
    <row r="436" spans="1:14" s="16" customFormat="1" ht="15.75" customHeight="1">
      <c r="A436" s="49">
        <v>4</v>
      </c>
      <c r="B436" s="49" t="s">
        <v>208</v>
      </c>
      <c r="C436" s="49" t="s">
        <v>206</v>
      </c>
      <c r="D436" s="49">
        <f>(34.98)*10.764</f>
        <v>376.52471999999995</v>
      </c>
      <c r="E436" s="49">
        <v>0</v>
      </c>
      <c r="F436" s="49">
        <f>D436*(($F$211)+1)+(IF(E436&lt;101,E436,IF(E436&lt;201,E436/2,IF(E436&lt;=301,E436/3,E436/4))))</f>
        <v>564.78707999999995</v>
      </c>
      <c r="G436" s="93"/>
      <c r="H436" s="93"/>
      <c r="I436" s="50"/>
      <c r="L436" s="119"/>
      <c r="M436" s="119"/>
      <c r="N436" s="50"/>
    </row>
    <row r="437" spans="1:14" s="16" customFormat="1" ht="15.75" customHeight="1">
      <c r="A437" s="106" t="s">
        <v>213</v>
      </c>
      <c r="B437" s="106"/>
      <c r="C437" s="106"/>
      <c r="D437" s="106"/>
      <c r="E437" s="106"/>
      <c r="F437" s="106"/>
      <c r="G437" s="106"/>
      <c r="H437" s="106"/>
      <c r="I437" s="50"/>
    </row>
    <row r="438" spans="1:14" s="16" customFormat="1" ht="15.75" customHeight="1">
      <c r="A438" s="49">
        <v>1</v>
      </c>
      <c r="B438" s="49" t="s">
        <v>208</v>
      </c>
      <c r="C438" s="49" t="s">
        <v>206</v>
      </c>
      <c r="D438" s="49">
        <f>34.98*10.764</f>
        <v>376.52471999999995</v>
      </c>
      <c r="E438" s="49">
        <v>0</v>
      </c>
      <c r="F438" s="49">
        <f>D438*(($F$211)+1)+(IF(E438&lt;101,E438,IF(E438&lt;201,E438/2,IF(E438&lt;=301,E438/3,E438/4))))</f>
        <v>564.78707999999995</v>
      </c>
      <c r="G438" s="93" t="str">
        <f>A437</f>
        <v>16th to 18th Floor</v>
      </c>
      <c r="H438" s="93"/>
      <c r="I438" s="50"/>
    </row>
    <row r="439" spans="1:14" s="16" customFormat="1" ht="15.75" customHeight="1">
      <c r="A439" s="49">
        <v>2</v>
      </c>
      <c r="B439" s="49" t="s">
        <v>208</v>
      </c>
      <c r="C439" s="49" t="s">
        <v>206</v>
      </c>
      <c r="D439" s="49">
        <f>35.44*10.764</f>
        <v>381.47615999999994</v>
      </c>
      <c r="E439" s="49">
        <v>0</v>
      </c>
      <c r="F439" s="49">
        <f>D439*(($F$211)+1)+(IF(E439&lt;101,E439,IF(E439&lt;201,E439/2,IF(E439&lt;=301,E439/3,E439/4))))</f>
        <v>572.2142399999999</v>
      </c>
      <c r="G439" s="93"/>
      <c r="H439" s="93"/>
      <c r="I439" s="50"/>
    </row>
    <row r="440" spans="1:14" s="16" customFormat="1" ht="15.75" customHeight="1">
      <c r="A440" s="49">
        <v>3</v>
      </c>
      <c r="B440" s="49" t="s">
        <v>208</v>
      </c>
      <c r="C440" s="49" t="s">
        <v>233</v>
      </c>
      <c r="D440" s="49">
        <f>44.77*10.764</f>
        <v>481.90428000000003</v>
      </c>
      <c r="E440" s="49">
        <v>0</v>
      </c>
      <c r="F440" s="49">
        <f>D440*(($F$211)+1)+(IF(E440&lt;101,E440,IF(E440&lt;201,E440/2,IF(E440&lt;=301,E440/3,E440/4))))</f>
        <v>722.85642000000007</v>
      </c>
      <c r="G440" s="93"/>
      <c r="H440" s="93"/>
      <c r="I440" s="50"/>
    </row>
    <row r="441" spans="1:14" s="16" customFormat="1" ht="15.75" customHeight="1">
      <c r="A441" s="49">
        <v>4</v>
      </c>
      <c r="B441" s="49" t="s">
        <v>208</v>
      </c>
      <c r="C441" s="49" t="s">
        <v>206</v>
      </c>
      <c r="D441" s="49">
        <f>34.98*10.764</f>
        <v>376.52471999999995</v>
      </c>
      <c r="E441" s="49">
        <v>0</v>
      </c>
      <c r="F441" s="49">
        <f>D441*(($F$211)+1)+(IF(E441&lt;101,E441,IF(E441&lt;201,E441/2,IF(E441&lt;=301,E441/3,E441/4))))</f>
        <v>564.78707999999995</v>
      </c>
      <c r="G441" s="93"/>
      <c r="H441" s="93"/>
      <c r="I441" s="50"/>
    </row>
    <row r="442" spans="1:14" s="16" customFormat="1" ht="15.75" customHeight="1">
      <c r="A442" s="103" t="s">
        <v>214</v>
      </c>
      <c r="B442" s="104"/>
      <c r="C442" s="104"/>
      <c r="D442" s="104"/>
      <c r="E442" s="104"/>
      <c r="F442" s="104"/>
      <c r="G442" s="104"/>
      <c r="H442" s="105"/>
      <c r="I442" s="50"/>
    </row>
    <row r="443" spans="1:14" s="16" customFormat="1" ht="15.75" customHeight="1">
      <c r="A443" s="49">
        <v>1</v>
      </c>
      <c r="B443" s="49" t="s">
        <v>208</v>
      </c>
      <c r="C443" s="49" t="s">
        <v>206</v>
      </c>
      <c r="D443" s="49">
        <f>34.98*10.764</f>
        <v>376.52471999999995</v>
      </c>
      <c r="E443" s="49">
        <v>0</v>
      </c>
      <c r="F443" s="49">
        <f>D443*(($F$211)+1)+(IF(E443&lt;101,E443,IF(E443&lt;201,E443/2,IF(E443&lt;=301,E443/3,E443/4))))</f>
        <v>564.78707999999995</v>
      </c>
      <c r="G443" s="83" t="str">
        <f>A442</f>
        <v>19th, 20th &amp; 21st Floor</v>
      </c>
      <c r="H443" s="84"/>
      <c r="I443" s="50"/>
    </row>
    <row r="444" spans="1:14" s="16" customFormat="1" ht="15.75" customHeight="1">
      <c r="A444" s="49">
        <v>2</v>
      </c>
      <c r="B444" s="49" t="s">
        <v>208</v>
      </c>
      <c r="C444" s="49" t="s">
        <v>206</v>
      </c>
      <c r="D444" s="49">
        <f>35.44*10.764</f>
        <v>381.47615999999994</v>
      </c>
      <c r="E444" s="49">
        <v>0</v>
      </c>
      <c r="F444" s="49">
        <f>D444*(($F$211)+1)+(IF(E444&lt;101,E444,IF(E444&lt;201,E444/2,IF(E444&lt;=301,E444/3,E444/4))))</f>
        <v>572.2142399999999</v>
      </c>
      <c r="G444" s="85"/>
      <c r="H444" s="86"/>
      <c r="I444" s="50"/>
    </row>
    <row r="445" spans="1:14" s="16" customFormat="1" ht="15.75" customHeight="1">
      <c r="A445" s="49">
        <v>3</v>
      </c>
      <c r="B445" s="49" t="s">
        <v>208</v>
      </c>
      <c r="C445" s="49" t="s">
        <v>233</v>
      </c>
      <c r="D445" s="49">
        <f>44.77*10.764</f>
        <v>481.90428000000003</v>
      </c>
      <c r="E445" s="49">
        <v>0</v>
      </c>
      <c r="F445" s="49">
        <f>D445*(($F$211)+1)+(IF(E445&lt;101,E445,IF(E445&lt;201,E445/2,IF(E445&lt;=301,E445/3,E445/4))))</f>
        <v>722.85642000000007</v>
      </c>
      <c r="G445" s="85"/>
      <c r="H445" s="86"/>
      <c r="I445" s="50"/>
    </row>
    <row r="446" spans="1:14" s="16" customFormat="1" ht="15.75" customHeight="1">
      <c r="A446" s="49">
        <v>4</v>
      </c>
      <c r="B446" s="49" t="s">
        <v>208</v>
      </c>
      <c r="C446" s="49" t="s">
        <v>206</v>
      </c>
      <c r="D446" s="49">
        <f>34.98*10.764</f>
        <v>376.52471999999995</v>
      </c>
      <c r="E446" s="49">
        <v>0</v>
      </c>
      <c r="F446" s="49">
        <f>D446*(($F$211)+1)+(IF(E446&lt;101,E446,IF(E446&lt;201,E446/2,IF(E446&lt;=301,E446/3,E446/4))))</f>
        <v>564.78707999999995</v>
      </c>
      <c r="G446" s="87"/>
      <c r="H446" s="88"/>
      <c r="I446" s="50"/>
    </row>
    <row r="447" spans="1:14" s="16" customFormat="1" ht="15.75" customHeight="1">
      <c r="A447" s="103" t="s">
        <v>219</v>
      </c>
      <c r="B447" s="104"/>
      <c r="C447" s="104"/>
      <c r="D447" s="104"/>
      <c r="E447" s="104"/>
      <c r="F447" s="104"/>
      <c r="G447" s="104"/>
      <c r="H447" s="105"/>
      <c r="I447" s="50"/>
    </row>
    <row r="448" spans="1:14" s="16" customFormat="1" ht="15.75" customHeight="1">
      <c r="A448" s="49">
        <v>1</v>
      </c>
      <c r="B448" s="49" t="s">
        <v>208</v>
      </c>
      <c r="C448" s="49" t="s">
        <v>206</v>
      </c>
      <c r="D448" s="49">
        <f>34.98*10.764</f>
        <v>376.52471999999995</v>
      </c>
      <c r="E448" s="49">
        <v>0</v>
      </c>
      <c r="F448" s="49">
        <f>D448*(($F$211)+1)+(IF(E448&lt;101,E448,IF(E448&lt;201,E448/2,IF(E448&lt;=301,E448/3,E448/4))))</f>
        <v>564.78707999999995</v>
      </c>
      <c r="G448" s="83" t="str">
        <f>A447</f>
        <v>22nd Floor (Part Refuge Area)</v>
      </c>
      <c r="H448" s="84"/>
      <c r="I448" s="50"/>
    </row>
    <row r="449" spans="1:14" s="16" customFormat="1" ht="15.75" customHeight="1">
      <c r="A449" s="49">
        <v>2</v>
      </c>
      <c r="B449" s="49" t="s">
        <v>208</v>
      </c>
      <c r="C449" s="49" t="s">
        <v>234</v>
      </c>
      <c r="D449" s="49">
        <f>26.73*10.764</f>
        <v>287.72172</v>
      </c>
      <c r="E449" s="49">
        <v>0</v>
      </c>
      <c r="F449" s="49">
        <f>D449*(($F$211)+1)+(IF(E449&lt;101,E449,IF(E449&lt;201,E449/2,IF(E449&lt;=301,E449/3,E449/4))))</f>
        <v>431.58258000000001</v>
      </c>
      <c r="G449" s="85"/>
      <c r="H449" s="86"/>
      <c r="I449" s="50"/>
    </row>
    <row r="450" spans="1:14" s="16" customFormat="1" ht="15.75" customHeight="1">
      <c r="A450" s="49">
        <v>3</v>
      </c>
      <c r="B450" s="49" t="s">
        <v>208</v>
      </c>
      <c r="C450" s="49" t="s">
        <v>233</v>
      </c>
      <c r="D450" s="49">
        <f>44.77*10.764</f>
        <v>481.90428000000003</v>
      </c>
      <c r="E450" s="49">
        <v>0</v>
      </c>
      <c r="F450" s="49">
        <f>D450*(($F$211)+1)+(IF(E450&lt;101,E450,IF(E450&lt;201,E450/2,IF(E450&lt;=301,E450/3,E450/4))))</f>
        <v>722.85642000000007</v>
      </c>
      <c r="G450" s="85"/>
      <c r="H450" s="86"/>
      <c r="I450" s="50"/>
    </row>
    <row r="451" spans="1:14" s="16" customFormat="1" ht="15.75" customHeight="1">
      <c r="A451" s="49">
        <v>4</v>
      </c>
      <c r="B451" s="49" t="s">
        <v>208</v>
      </c>
      <c r="C451" s="49" t="s">
        <v>206</v>
      </c>
      <c r="D451" s="49">
        <f>34.98*10.764</f>
        <v>376.52471999999995</v>
      </c>
      <c r="E451" s="49">
        <v>0</v>
      </c>
      <c r="F451" s="49">
        <f>D451*(($F$211)+1)+(IF(E451&lt;101,E451,IF(E451&lt;201,E451/2,IF(E451&lt;=301,E451/3,E451/4))))</f>
        <v>564.78707999999995</v>
      </c>
      <c r="G451" s="87"/>
      <c r="H451" s="88"/>
      <c r="I451" s="50"/>
    </row>
    <row r="452" spans="1:14" s="16" customFormat="1" ht="15.75" customHeight="1">
      <c r="A452" s="103" t="s">
        <v>222</v>
      </c>
      <c r="B452" s="104"/>
      <c r="C452" s="104"/>
      <c r="D452" s="104"/>
      <c r="E452" s="104"/>
      <c r="F452" s="104"/>
      <c r="G452" s="104"/>
      <c r="H452" s="105"/>
      <c r="I452" s="50"/>
    </row>
    <row r="453" spans="1:14" s="16" customFormat="1">
      <c r="A453" s="49">
        <v>1</v>
      </c>
      <c r="B453" s="49" t="s">
        <v>208</v>
      </c>
      <c r="C453" s="49" t="s">
        <v>206</v>
      </c>
      <c r="D453" s="49">
        <f>34.98*10.764</f>
        <v>376.52471999999995</v>
      </c>
      <c r="E453" s="49">
        <v>0</v>
      </c>
      <c r="F453" s="49">
        <f>D453*(($F$211)+1)+(IF(E453&lt;101,E453,IF(E453&lt;201,E453/2,IF(E453&lt;=301,E453/3,E453/4))))</f>
        <v>564.78707999999995</v>
      </c>
      <c r="G453" s="83" t="str">
        <f>A452</f>
        <v>23rd Floor</v>
      </c>
      <c r="H453" s="84"/>
      <c r="I453" s="50"/>
    </row>
    <row r="454" spans="1:14" s="16" customFormat="1">
      <c r="A454" s="49">
        <v>2</v>
      </c>
      <c r="B454" s="49" t="s">
        <v>208</v>
      </c>
      <c r="C454" s="49" t="s">
        <v>233</v>
      </c>
      <c r="D454" s="49">
        <f>44.77*10.764</f>
        <v>481.90428000000003</v>
      </c>
      <c r="E454" s="49">
        <v>0</v>
      </c>
      <c r="F454" s="49">
        <f>D454*(($F$211)+1)+(IF(E454&lt;101,E454,IF(E454&lt;201,E454/2,IF(E454&lt;=301,E454/3,E454/4))))</f>
        <v>722.85642000000007</v>
      </c>
      <c r="G454" s="85"/>
      <c r="H454" s="86"/>
      <c r="I454" s="50"/>
    </row>
    <row r="455" spans="1:14" s="16" customFormat="1" ht="15.75" customHeight="1">
      <c r="A455" s="49">
        <v>3</v>
      </c>
      <c r="B455" s="49" t="s">
        <v>208</v>
      </c>
      <c r="C455" s="49" t="s">
        <v>233</v>
      </c>
      <c r="D455" s="49">
        <f>44.77*10.764</f>
        <v>481.90428000000003</v>
      </c>
      <c r="E455" s="49">
        <v>0</v>
      </c>
      <c r="F455" s="49">
        <f>D455*(($F$211)+1)+(IF(E455&lt;101,E455,IF(E455&lt;201,E455/2,IF(E455&lt;=301,E455/3,E455/4))))</f>
        <v>722.85642000000007</v>
      </c>
      <c r="G455" s="85"/>
      <c r="H455" s="86"/>
      <c r="I455" s="50"/>
    </row>
    <row r="456" spans="1:14" s="16" customFormat="1" ht="15.75" customHeight="1">
      <c r="A456" s="49">
        <v>4</v>
      </c>
      <c r="B456" s="49" t="s">
        <v>208</v>
      </c>
      <c r="C456" s="49" t="s">
        <v>206</v>
      </c>
      <c r="D456" s="49">
        <f>34.98*10.764</f>
        <v>376.52471999999995</v>
      </c>
      <c r="E456" s="49">
        <v>0</v>
      </c>
      <c r="F456" s="49">
        <f>D456*(($F$211)+1)+(IF(E456&lt;101,E456,IF(E456&lt;201,E456/2,IF(E456&lt;=301,E456/3,E456/4))))</f>
        <v>564.78707999999995</v>
      </c>
      <c r="G456" s="87"/>
      <c r="H456" s="88"/>
      <c r="I456" s="50"/>
    </row>
    <row r="457" spans="1:14" s="14" customFormat="1">
      <c r="A457" s="107" t="s">
        <v>235</v>
      </c>
      <c r="B457" s="107"/>
      <c r="C457" s="107"/>
      <c r="D457" s="107"/>
      <c r="E457" s="107"/>
      <c r="F457" s="107"/>
      <c r="G457" s="107"/>
      <c r="H457" s="107"/>
    </row>
    <row r="458" spans="1:14" s="16" customFormat="1">
      <c r="A458" s="106" t="s">
        <v>203</v>
      </c>
      <c r="B458" s="106"/>
      <c r="C458" s="106"/>
      <c r="D458" s="106"/>
      <c r="E458" s="106"/>
      <c r="F458" s="106"/>
      <c r="G458" s="106"/>
      <c r="H458" s="106"/>
      <c r="I458" s="50"/>
      <c r="L458" s="119"/>
      <c r="M458" s="119"/>
    </row>
    <row r="459" spans="1:14" s="16" customFormat="1" ht="15.75" customHeight="1">
      <c r="A459" s="49">
        <v>1</v>
      </c>
      <c r="B459" s="49" t="s">
        <v>230</v>
      </c>
      <c r="C459" s="49" t="s">
        <v>205</v>
      </c>
      <c r="D459" s="49">
        <f>(49.64)*10.764</f>
        <v>534.32495999999992</v>
      </c>
      <c r="E459" s="49">
        <v>0</v>
      </c>
      <c r="F459" s="49">
        <f>D459*(($F$211)+1)+(IF(E459&lt;101,E459,IF(E459&lt;201,E459/2,IF(E459&lt;=301,E459/3,E459/4))))</f>
        <v>801.48743999999988</v>
      </c>
      <c r="G459" s="83" t="str">
        <f>A458</f>
        <v>1st Floor for Residential</v>
      </c>
      <c r="H459" s="84"/>
      <c r="I459" s="50"/>
      <c r="N459" s="50"/>
    </row>
    <row r="460" spans="1:14" s="16" customFormat="1" ht="15.75" customHeight="1">
      <c r="A460" s="49">
        <v>2</v>
      </c>
      <c r="B460" s="49" t="s">
        <v>230</v>
      </c>
      <c r="C460" s="49" t="s">
        <v>205</v>
      </c>
      <c r="D460" s="49">
        <f>(49.64)*10.764</f>
        <v>534.32495999999992</v>
      </c>
      <c r="E460" s="49">
        <v>0</v>
      </c>
      <c r="F460" s="49">
        <f>D460*(($F$211)+1)+(IF(E460&lt;101,E460,IF(E460&lt;201,E460/2,IF(E460&lt;=301,E460/3,E460/4))))</f>
        <v>801.48743999999988</v>
      </c>
      <c r="G460" s="85"/>
      <c r="H460" s="86"/>
      <c r="I460" s="50"/>
      <c r="N460" s="50"/>
    </row>
    <row r="461" spans="1:14" s="16" customFormat="1" ht="15.75" customHeight="1">
      <c r="A461" s="49">
        <v>4</v>
      </c>
      <c r="B461" s="49" t="s">
        <v>230</v>
      </c>
      <c r="C461" s="49" t="s">
        <v>205</v>
      </c>
      <c r="D461" s="49">
        <f>(49.64)*10.764</f>
        <v>534.32495999999992</v>
      </c>
      <c r="E461" s="49">
        <v>0</v>
      </c>
      <c r="F461" s="49">
        <f>D461*(($F$211)+1)+(IF(E461&lt;101,E461,IF(E461&lt;201,E461/2,IF(E461&lt;=301,E461/3,E461/4))))</f>
        <v>801.48743999999988</v>
      </c>
      <c r="G461" s="87"/>
      <c r="H461" s="88"/>
      <c r="I461" s="50"/>
      <c r="N461" s="50"/>
    </row>
    <row r="462" spans="1:14" s="16" customFormat="1">
      <c r="A462" s="103" t="s">
        <v>207</v>
      </c>
      <c r="B462" s="104"/>
      <c r="C462" s="104"/>
      <c r="D462" s="104"/>
      <c r="E462" s="104"/>
      <c r="F462" s="104"/>
      <c r="G462" s="104"/>
      <c r="H462" s="105"/>
      <c r="J462" s="50"/>
    </row>
    <row r="463" spans="1:14" s="16" customFormat="1">
      <c r="A463" s="49">
        <v>1</v>
      </c>
      <c r="B463" s="49" t="s">
        <v>208</v>
      </c>
      <c r="C463" s="49" t="s">
        <v>205</v>
      </c>
      <c r="D463" s="49">
        <f>(49.64)*10.764</f>
        <v>534.32495999999992</v>
      </c>
      <c r="E463" s="49">
        <v>0</v>
      </c>
      <c r="F463" s="49">
        <f>D463*(($F$211)+1)+(IF(E463&lt;101,E463,IF(E463&lt;201,E463/2,IF(E463&lt;=301,E463/3,E463/4))))</f>
        <v>801.48743999999988</v>
      </c>
      <c r="G463" s="83" t="str">
        <f>A462</f>
        <v>2nd Floor</v>
      </c>
      <c r="H463" s="84"/>
      <c r="I463" s="50"/>
      <c r="L463" s="119"/>
      <c r="M463" s="119"/>
      <c r="N463" s="50"/>
    </row>
    <row r="464" spans="1:14" s="16" customFormat="1">
      <c r="A464" s="49">
        <v>2</v>
      </c>
      <c r="B464" s="49" t="s">
        <v>208</v>
      </c>
      <c r="C464" s="49" t="s">
        <v>205</v>
      </c>
      <c r="D464" s="49">
        <f>(49.64)*10.764</f>
        <v>534.32495999999992</v>
      </c>
      <c r="E464" s="49">
        <v>0</v>
      </c>
      <c r="F464" s="49">
        <f>D464*(($F$211)+1)+(IF(E464&lt;101,E464,IF(E464&lt;201,E464/2,IF(E464&lt;=301,E464/3,E464/4))))</f>
        <v>801.48743999999988</v>
      </c>
      <c r="G464" s="85"/>
      <c r="H464" s="86"/>
      <c r="I464" s="50"/>
      <c r="L464" s="119"/>
      <c r="M464" s="119"/>
      <c r="N464" s="50"/>
    </row>
    <row r="465" spans="1:14" s="16" customFormat="1">
      <c r="A465" s="49">
        <v>3</v>
      </c>
      <c r="B465" s="49" t="s">
        <v>208</v>
      </c>
      <c r="C465" s="49" t="s">
        <v>205</v>
      </c>
      <c r="D465" s="49">
        <f>(49.64)*10.764</f>
        <v>534.32495999999992</v>
      </c>
      <c r="E465" s="49">
        <f>(1.8*3.13+1.05*3.2)*10.764</f>
        <v>96.811415999999994</v>
      </c>
      <c r="F465" s="49">
        <f>D465*(($F$211)+1)+(IF(E465&lt;101,E465,IF(E465&lt;201,E465/2,IF(E465&lt;=301,E465/3,E465/4))))</f>
        <v>898.29885599999989</v>
      </c>
      <c r="G465" s="85"/>
      <c r="H465" s="86"/>
      <c r="I465" s="50"/>
      <c r="L465" s="119"/>
      <c r="M465" s="119"/>
      <c r="N465" s="50"/>
    </row>
    <row r="466" spans="1:14" s="16" customFormat="1">
      <c r="A466" s="49">
        <v>4</v>
      </c>
      <c r="B466" s="49" t="s">
        <v>208</v>
      </c>
      <c r="C466" s="49" t="s">
        <v>205</v>
      </c>
      <c r="D466" s="49">
        <f>(49.64)*10.764</f>
        <v>534.32495999999992</v>
      </c>
      <c r="E466" s="49">
        <v>0</v>
      </c>
      <c r="F466" s="49">
        <f>D466*(($F$211)+1)+(IF(E466&lt;101,E466,IF(E466&lt;201,E466/2,IF(E466&lt;=301,E466/3,E466/4))))</f>
        <v>801.48743999999988</v>
      </c>
      <c r="G466" s="87"/>
      <c r="H466" s="88"/>
      <c r="I466" s="50"/>
      <c r="L466" s="119"/>
      <c r="M466" s="119"/>
      <c r="N466" s="50"/>
    </row>
    <row r="467" spans="1:14" s="16" customFormat="1" ht="15.75" customHeight="1">
      <c r="A467" s="103" t="s">
        <v>209</v>
      </c>
      <c r="B467" s="104"/>
      <c r="C467" s="104"/>
      <c r="D467" s="104"/>
      <c r="E467" s="104"/>
      <c r="F467" s="104"/>
      <c r="G467" s="104"/>
      <c r="H467" s="105"/>
      <c r="I467" s="50"/>
    </row>
    <row r="468" spans="1:14" s="16" customFormat="1" ht="15.75" customHeight="1">
      <c r="A468" s="49">
        <v>1</v>
      </c>
      <c r="B468" s="49" t="s">
        <v>208</v>
      </c>
      <c r="C468" s="49" t="s">
        <v>205</v>
      </c>
      <c r="D468" s="49">
        <f>(49.64)*10.764</f>
        <v>534.32495999999992</v>
      </c>
      <c r="E468" s="49">
        <v>0</v>
      </c>
      <c r="F468" s="49">
        <f>D468*(($F$211)+1)+(IF(E468&lt;101,E468,IF(E468&lt;201,E468/2,IF(E468&lt;=301,E468/3,E468/4))))</f>
        <v>801.48743999999988</v>
      </c>
      <c r="G468" s="83" t="str">
        <f>A467</f>
        <v>3rd to 7th, 9th to 14th Floor</v>
      </c>
      <c r="H468" s="84"/>
      <c r="I468" s="50"/>
    </row>
    <row r="469" spans="1:14" s="16" customFormat="1" ht="15.75" customHeight="1">
      <c r="A469" s="49">
        <v>2</v>
      </c>
      <c r="B469" s="49" t="s">
        <v>208</v>
      </c>
      <c r="C469" s="49" t="s">
        <v>205</v>
      </c>
      <c r="D469" s="49">
        <f>(49.64)*10.764</f>
        <v>534.32495999999992</v>
      </c>
      <c r="E469" s="49">
        <v>0</v>
      </c>
      <c r="F469" s="49">
        <f>D469*(($F$211)+1)+(IF(E469&lt;101,E469,IF(E469&lt;201,E469/2,IF(E469&lt;=301,E469/3,E469/4))))</f>
        <v>801.48743999999988</v>
      </c>
      <c r="G469" s="85"/>
      <c r="H469" s="86"/>
      <c r="I469" s="50"/>
    </row>
    <row r="470" spans="1:14" s="16" customFormat="1" ht="15.75" customHeight="1">
      <c r="A470" s="49">
        <v>3</v>
      </c>
      <c r="B470" s="49" t="s">
        <v>208</v>
      </c>
      <c r="C470" s="49" t="s">
        <v>205</v>
      </c>
      <c r="D470" s="49">
        <f>(49.64)*10.764</f>
        <v>534.32495999999992</v>
      </c>
      <c r="E470" s="49">
        <v>0</v>
      </c>
      <c r="F470" s="49">
        <f>D470*(($F$211)+1)+(IF(E470&lt;101,E470,IF(E470&lt;201,E470/2,IF(E470&lt;=301,E470/3,E470/4))))</f>
        <v>801.48743999999988</v>
      </c>
      <c r="G470" s="85"/>
      <c r="H470" s="86"/>
      <c r="I470" s="50"/>
    </row>
    <row r="471" spans="1:14" s="16" customFormat="1" ht="15.75" customHeight="1">
      <c r="A471" s="49">
        <v>4</v>
      </c>
      <c r="B471" s="49" t="s">
        <v>208</v>
      </c>
      <c r="C471" s="49" t="s">
        <v>205</v>
      </c>
      <c r="D471" s="49">
        <f>(49.64)*10.764</f>
        <v>534.32495999999992</v>
      </c>
      <c r="E471" s="49">
        <v>0</v>
      </c>
      <c r="F471" s="49">
        <f>D471*(($F$211)+1)+(IF(E471&lt;101,E471,IF(E471&lt;201,E471/2,IF(E471&lt;=301,E471/3,E471/4))))</f>
        <v>801.48743999999988</v>
      </c>
      <c r="G471" s="87"/>
      <c r="H471" s="88"/>
      <c r="I471" s="50"/>
    </row>
    <row r="472" spans="1:14" s="16" customFormat="1">
      <c r="A472" s="103" t="s">
        <v>210</v>
      </c>
      <c r="B472" s="104"/>
      <c r="C472" s="104"/>
      <c r="D472" s="104"/>
      <c r="E472" s="104"/>
      <c r="F472" s="104"/>
      <c r="G472" s="104"/>
      <c r="H472" s="105"/>
      <c r="J472" s="50"/>
    </row>
    <row r="473" spans="1:14" s="16" customFormat="1" ht="15.75" customHeight="1">
      <c r="A473" s="49">
        <v>1</v>
      </c>
      <c r="B473" s="49" t="s">
        <v>208</v>
      </c>
      <c r="C473" s="49" t="s">
        <v>205</v>
      </c>
      <c r="D473" s="49">
        <f>(49.64)*10.764</f>
        <v>534.32495999999992</v>
      </c>
      <c r="E473" s="49">
        <v>0</v>
      </c>
      <c r="F473" s="49">
        <f>D473*(($F$211)+1)+(IF(E473&lt;101,E473,IF(E473&lt;201,E473/2,IF(E473&lt;=301,E473/3,E473/4))))</f>
        <v>801.48743999999988</v>
      </c>
      <c r="G473" s="83" t="str">
        <f>A472</f>
        <v>8th Floor (Part Refuge Floor)</v>
      </c>
      <c r="H473" s="84"/>
      <c r="I473" s="50"/>
      <c r="L473" s="119"/>
      <c r="M473" s="119"/>
      <c r="N473" s="50"/>
    </row>
    <row r="474" spans="1:14" s="16" customFormat="1" ht="15.75" customHeight="1">
      <c r="A474" s="49">
        <v>2</v>
      </c>
      <c r="B474" s="49" t="s">
        <v>208</v>
      </c>
      <c r="C474" s="49" t="s">
        <v>205</v>
      </c>
      <c r="D474" s="49">
        <f>(49.64)*10.764</f>
        <v>534.32495999999992</v>
      </c>
      <c r="E474" s="49">
        <v>0</v>
      </c>
      <c r="F474" s="49">
        <f>D474*(($F$211)+1)+(IF(E474&lt;101,E474,IF(E474&lt;201,E474/2,IF(E474&lt;=301,E474/3,E474/4))))</f>
        <v>801.48743999999988</v>
      </c>
      <c r="G474" s="85"/>
      <c r="H474" s="86"/>
      <c r="I474" s="50"/>
      <c r="L474" s="119"/>
      <c r="M474" s="119"/>
      <c r="N474" s="50"/>
    </row>
    <row r="475" spans="1:14" s="16" customFormat="1" ht="15.75" customHeight="1">
      <c r="A475" s="49">
        <v>3</v>
      </c>
      <c r="B475" s="49" t="s">
        <v>208</v>
      </c>
      <c r="C475" s="108" t="s">
        <v>228</v>
      </c>
      <c r="D475" s="118"/>
      <c r="E475" s="118"/>
      <c r="F475" s="109"/>
      <c r="G475" s="85"/>
      <c r="H475" s="86"/>
      <c r="I475" s="50"/>
      <c r="L475" s="119"/>
      <c r="M475" s="119"/>
      <c r="N475" s="50"/>
    </row>
    <row r="476" spans="1:14" s="16" customFormat="1" ht="15.75" customHeight="1">
      <c r="A476" s="49">
        <v>4</v>
      </c>
      <c r="B476" s="49" t="s">
        <v>208</v>
      </c>
      <c r="C476" s="49" t="s">
        <v>205</v>
      </c>
      <c r="D476" s="49">
        <f>(49.64)*10.764</f>
        <v>534.32495999999992</v>
      </c>
      <c r="E476" s="49">
        <v>0</v>
      </c>
      <c r="F476" s="49">
        <f>D476*(($F$211)+1)+(IF(E476&lt;101,E476,IF(E476&lt;201,E476/2,IF(E476&lt;=301,E476/3,E476/4))))</f>
        <v>801.48743999999988</v>
      </c>
      <c r="G476" s="87"/>
      <c r="H476" s="88"/>
      <c r="I476" s="50"/>
      <c r="L476" s="119"/>
      <c r="M476" s="119"/>
      <c r="N476" s="50"/>
    </row>
    <row r="477" spans="1:14" s="16" customFormat="1">
      <c r="A477" s="106" t="s">
        <v>212</v>
      </c>
      <c r="B477" s="106"/>
      <c r="C477" s="106"/>
      <c r="D477" s="106"/>
      <c r="E477" s="106"/>
      <c r="F477" s="106"/>
      <c r="G477" s="106"/>
      <c r="H477" s="106"/>
      <c r="J477" s="50"/>
    </row>
    <row r="478" spans="1:14" s="16" customFormat="1" ht="15.75" customHeight="1">
      <c r="A478" s="49">
        <v>1</v>
      </c>
      <c r="B478" s="49" t="s">
        <v>208</v>
      </c>
      <c r="C478" s="49" t="s">
        <v>205</v>
      </c>
      <c r="D478" s="49">
        <f>(49.64)*10.764</f>
        <v>534.32495999999992</v>
      </c>
      <c r="E478" s="49">
        <v>0</v>
      </c>
      <c r="F478" s="49">
        <f>D478*(($F$211)+1)+(IF(E478&lt;101,E478,IF(E478&lt;201,E478/2,IF(E478&lt;=301,E478/3,E478/4))))</f>
        <v>801.48743999999988</v>
      </c>
      <c r="G478" s="93" t="str">
        <f>A477</f>
        <v>15th Floor (Part Refuge Floor)</v>
      </c>
      <c r="H478" s="93"/>
      <c r="I478" s="50"/>
      <c r="L478" s="119"/>
      <c r="M478" s="119"/>
      <c r="N478" s="50"/>
    </row>
    <row r="479" spans="1:14" s="16" customFormat="1" ht="15.75" customHeight="1">
      <c r="A479" s="49">
        <v>2</v>
      </c>
      <c r="B479" s="49" t="s">
        <v>208</v>
      </c>
      <c r="C479" s="49" t="s">
        <v>205</v>
      </c>
      <c r="D479" s="49">
        <f>(49.64)*10.764</f>
        <v>534.32495999999992</v>
      </c>
      <c r="E479" s="49">
        <v>0</v>
      </c>
      <c r="F479" s="49">
        <f>D479*(($F$211)+1)+(IF(E479&lt;101,E479,IF(E479&lt;201,E479/2,IF(E479&lt;=301,E479/3,E479/4))))</f>
        <v>801.48743999999988</v>
      </c>
      <c r="G479" s="93"/>
      <c r="H479" s="93"/>
      <c r="I479" s="50"/>
      <c r="L479" s="119"/>
      <c r="M479" s="119"/>
      <c r="N479" s="50"/>
    </row>
    <row r="480" spans="1:14" s="16" customFormat="1" ht="15.75" customHeight="1">
      <c r="A480" s="49">
        <v>3</v>
      </c>
      <c r="B480" s="49" t="s">
        <v>208</v>
      </c>
      <c r="C480" s="93" t="s">
        <v>228</v>
      </c>
      <c r="D480" s="93"/>
      <c r="E480" s="93"/>
      <c r="F480" s="93"/>
      <c r="G480" s="93"/>
      <c r="H480" s="93"/>
      <c r="I480" s="50"/>
      <c r="L480" s="119"/>
      <c r="M480" s="119"/>
      <c r="N480" s="50"/>
    </row>
    <row r="481" spans="1:14" s="16" customFormat="1" ht="15.75" customHeight="1">
      <c r="A481" s="49">
        <v>4</v>
      </c>
      <c r="B481" s="49" t="s">
        <v>208</v>
      </c>
      <c r="C481" s="49" t="s">
        <v>205</v>
      </c>
      <c r="D481" s="49">
        <f>(49.64)*10.764</f>
        <v>534.32495999999992</v>
      </c>
      <c r="E481" s="49">
        <v>0</v>
      </c>
      <c r="F481" s="49">
        <f>D481*(($F$211)+1)+(IF(E481&lt;101,E481,IF(E481&lt;201,E481/2,IF(E481&lt;=301,E481/3,E481/4))))</f>
        <v>801.48743999999988</v>
      </c>
      <c r="G481" s="93"/>
      <c r="H481" s="93"/>
      <c r="I481" s="50"/>
      <c r="L481" s="119"/>
      <c r="M481" s="119"/>
      <c r="N481" s="50"/>
    </row>
    <row r="482" spans="1:14" s="16" customFormat="1" ht="15.75" customHeight="1">
      <c r="A482" s="106" t="s">
        <v>213</v>
      </c>
      <c r="B482" s="106"/>
      <c r="C482" s="106"/>
      <c r="D482" s="106"/>
      <c r="E482" s="106"/>
      <c r="F482" s="106"/>
      <c r="G482" s="106"/>
      <c r="H482" s="106"/>
      <c r="I482" s="50"/>
    </row>
    <row r="483" spans="1:14" s="16" customFormat="1" ht="15.75" customHeight="1">
      <c r="A483" s="49">
        <v>1</v>
      </c>
      <c r="B483" s="49" t="s">
        <v>208</v>
      </c>
      <c r="C483" s="49" t="s">
        <v>205</v>
      </c>
      <c r="D483" s="49">
        <f>55.17*10.764</f>
        <v>593.84987999999998</v>
      </c>
      <c r="E483" s="49">
        <v>0</v>
      </c>
      <c r="F483" s="49">
        <f>D483*(($F$211)+1)+(IF(E483&lt;101,E483,IF(E483&lt;201,E483/2,IF(E483&lt;=301,E483/3,E483/4))))</f>
        <v>890.77481999999998</v>
      </c>
      <c r="G483" s="93" t="str">
        <f>A482</f>
        <v>16th to 18th Floor</v>
      </c>
      <c r="H483" s="93"/>
      <c r="I483" s="50"/>
    </row>
    <row r="484" spans="1:14" s="16" customFormat="1" ht="15.75" customHeight="1">
      <c r="A484" s="49">
        <v>2</v>
      </c>
      <c r="B484" s="49" t="s">
        <v>208</v>
      </c>
      <c r="C484" s="49" t="s">
        <v>205</v>
      </c>
      <c r="D484" s="49">
        <f>55.17*10.764</f>
        <v>593.84987999999998</v>
      </c>
      <c r="E484" s="49">
        <v>0</v>
      </c>
      <c r="F484" s="49">
        <f>D484*(($F$211)+1)+(IF(E484&lt;101,E484,IF(E484&lt;201,E484/2,IF(E484&lt;=301,E484/3,E484/4))))</f>
        <v>890.77481999999998</v>
      </c>
      <c r="G484" s="93"/>
      <c r="H484" s="93"/>
      <c r="I484" s="50"/>
    </row>
    <row r="485" spans="1:14" s="16" customFormat="1" ht="15.75" customHeight="1">
      <c r="A485" s="49">
        <v>3</v>
      </c>
      <c r="B485" s="49" t="s">
        <v>208</v>
      </c>
      <c r="C485" s="49" t="s">
        <v>205</v>
      </c>
      <c r="D485" s="49">
        <f>55.17*10.764</f>
        <v>593.84987999999998</v>
      </c>
      <c r="E485" s="49">
        <v>0</v>
      </c>
      <c r="F485" s="49">
        <f>D485*(($F$211)+1)+(IF(E485&lt;101,E485,IF(E485&lt;201,E485/2,IF(E485&lt;=301,E485/3,E485/4))))</f>
        <v>890.77481999999998</v>
      </c>
      <c r="G485" s="93"/>
      <c r="H485" s="93"/>
      <c r="I485" s="50"/>
    </row>
    <row r="486" spans="1:14" s="16" customFormat="1" ht="15.75" customHeight="1">
      <c r="A486" s="49">
        <v>4</v>
      </c>
      <c r="B486" s="49" t="s">
        <v>208</v>
      </c>
      <c r="C486" s="49" t="s">
        <v>205</v>
      </c>
      <c r="D486" s="49">
        <f>55.17*10.764</f>
        <v>593.84987999999998</v>
      </c>
      <c r="E486" s="49">
        <v>0</v>
      </c>
      <c r="F486" s="49">
        <f>D486*(($F$211)+1)+(IF(E486&lt;101,E486,IF(E486&lt;201,E486/2,IF(E486&lt;=301,E486/3,E486/4))))</f>
        <v>890.77481999999998</v>
      </c>
      <c r="G486" s="93"/>
      <c r="H486" s="93"/>
      <c r="I486" s="50"/>
    </row>
    <row r="487" spans="1:14" s="16" customFormat="1" ht="15.75" customHeight="1">
      <c r="A487" s="106" t="s">
        <v>214</v>
      </c>
      <c r="B487" s="106"/>
      <c r="C487" s="106"/>
      <c r="D487" s="106"/>
      <c r="E487" s="106"/>
      <c r="F487" s="106"/>
      <c r="G487" s="106"/>
      <c r="H487" s="106"/>
      <c r="I487" s="50"/>
    </row>
    <row r="488" spans="1:14" s="16" customFormat="1" ht="15.75" customHeight="1">
      <c r="A488" s="49">
        <v>1</v>
      </c>
      <c r="B488" s="49" t="s">
        <v>208</v>
      </c>
      <c r="C488" s="49" t="s">
        <v>205</v>
      </c>
      <c r="D488" s="49">
        <f>55.17*10.764</f>
        <v>593.84987999999998</v>
      </c>
      <c r="E488" s="49">
        <v>0</v>
      </c>
      <c r="F488" s="49">
        <f>D488*(($F$211)+1)+(IF(E488&lt;101,E488,IF(E488&lt;201,E488/2,IF(E488&lt;=301,E488/3,E488/4))))</f>
        <v>890.77481999999998</v>
      </c>
      <c r="G488" s="83" t="str">
        <f>A487</f>
        <v>19th, 20th &amp; 21st Floor</v>
      </c>
      <c r="H488" s="84"/>
      <c r="I488" s="50"/>
    </row>
    <row r="489" spans="1:14" s="16" customFormat="1" ht="15.75" customHeight="1">
      <c r="A489" s="49">
        <v>2</v>
      </c>
      <c r="B489" s="49" t="s">
        <v>208</v>
      </c>
      <c r="C489" s="49" t="s">
        <v>225</v>
      </c>
      <c r="D489" s="49">
        <f>61.8*10.764</f>
        <v>665.21519999999998</v>
      </c>
      <c r="E489" s="49">
        <v>0</v>
      </c>
      <c r="F489" s="49">
        <f>D489*(($F$211)+1)+(IF(E489&lt;101,E489,IF(E489&lt;201,E489/2,IF(E489&lt;=301,E489/3,E489/4))))</f>
        <v>997.82279999999992</v>
      </c>
      <c r="G489" s="85"/>
      <c r="H489" s="86"/>
      <c r="I489" s="50"/>
    </row>
    <row r="490" spans="1:14" s="16" customFormat="1" ht="15.75" customHeight="1">
      <c r="A490" s="49">
        <v>3</v>
      </c>
      <c r="B490" s="49" t="s">
        <v>208</v>
      </c>
      <c r="C490" s="49" t="s">
        <v>225</v>
      </c>
      <c r="D490" s="49">
        <f>61.8*10.764</f>
        <v>665.21519999999998</v>
      </c>
      <c r="E490" s="49">
        <v>0</v>
      </c>
      <c r="F490" s="49">
        <f>D490*(($F$211)+1)+(IF(E490&lt;101,E490,IF(E490&lt;201,E490/2,IF(E490&lt;=301,E490/3,E490/4))))</f>
        <v>997.82279999999992</v>
      </c>
      <c r="G490" s="85"/>
      <c r="H490" s="86"/>
      <c r="I490" s="50"/>
    </row>
    <row r="491" spans="1:14" s="16" customFormat="1" ht="15.75" customHeight="1">
      <c r="A491" s="49">
        <v>4</v>
      </c>
      <c r="B491" s="49" t="s">
        <v>208</v>
      </c>
      <c r="C491" s="49" t="s">
        <v>205</v>
      </c>
      <c r="D491" s="49">
        <f>55.17*10.764</f>
        <v>593.84987999999998</v>
      </c>
      <c r="E491" s="49">
        <v>0</v>
      </c>
      <c r="F491" s="49">
        <f>D491*(($F$211)+1)+(IF(E491&lt;101,E491,IF(E491&lt;201,E491/2,IF(E491&lt;=301,E491/3,E491/4))))</f>
        <v>890.77481999999998</v>
      </c>
      <c r="G491" s="87"/>
      <c r="H491" s="88"/>
      <c r="I491" s="50"/>
    </row>
    <row r="492" spans="1:14" s="16" customFormat="1" ht="15.75" customHeight="1">
      <c r="A492" s="103" t="s">
        <v>236</v>
      </c>
      <c r="B492" s="104"/>
      <c r="C492" s="104"/>
      <c r="D492" s="104"/>
      <c r="E492" s="104"/>
      <c r="F492" s="104"/>
      <c r="G492" s="104"/>
      <c r="H492" s="105"/>
      <c r="I492" s="50"/>
    </row>
    <row r="493" spans="1:14" s="16" customFormat="1">
      <c r="A493" s="49">
        <v>1</v>
      </c>
      <c r="B493" s="49" t="s">
        <v>208</v>
      </c>
      <c r="C493" s="49" t="s">
        <v>205</v>
      </c>
      <c r="D493" s="49">
        <f>55.17*10.764</f>
        <v>593.84987999999998</v>
      </c>
      <c r="E493" s="49">
        <v>0</v>
      </c>
      <c r="F493" s="49">
        <f>D493*(($F$211)+1)+(IF(E493&lt;101,E493,IF(E493&lt;201,E493/2,IF(E493&lt;=301,E493/3,E493/4))))</f>
        <v>890.77481999999998</v>
      </c>
      <c r="G493" s="83" t="str">
        <f>A492</f>
        <v>22nd Floor</v>
      </c>
      <c r="H493" s="84"/>
      <c r="I493" s="50"/>
    </row>
    <row r="494" spans="1:14" s="16" customFormat="1">
      <c r="A494" s="49">
        <v>2</v>
      </c>
      <c r="B494" s="49" t="s">
        <v>208</v>
      </c>
      <c r="C494" s="49" t="s">
        <v>225</v>
      </c>
      <c r="D494" s="49">
        <f>61.8*10.764</f>
        <v>665.21519999999998</v>
      </c>
      <c r="E494" s="49">
        <v>0</v>
      </c>
      <c r="F494" s="49">
        <f>D494*(($F$211)+1)+(IF(E494&lt;101,E494,IF(E494&lt;201,E494/2,IF(E494&lt;=301,E494/3,E494/4))))</f>
        <v>997.82279999999992</v>
      </c>
      <c r="G494" s="85"/>
      <c r="H494" s="86"/>
      <c r="I494" s="50"/>
    </row>
    <row r="495" spans="1:14" s="16" customFormat="1" ht="15.75" customHeight="1">
      <c r="A495" s="49">
        <v>3</v>
      </c>
      <c r="B495" s="49" t="s">
        <v>208</v>
      </c>
      <c r="C495" s="49" t="s">
        <v>224</v>
      </c>
      <c r="D495" s="49">
        <f>38.77*10.764</f>
        <v>417.32028000000003</v>
      </c>
      <c r="E495" s="49">
        <v>0</v>
      </c>
      <c r="F495" s="49">
        <f>D495*(($F$211)+1)+(IF(E495&lt;101,E495,IF(E495&lt;201,E495/2,IF(E495&lt;=301,E495/3,E495/4))))</f>
        <v>625.98042000000009</v>
      </c>
      <c r="G495" s="85"/>
      <c r="H495" s="86"/>
      <c r="I495" s="50"/>
    </row>
    <row r="496" spans="1:14" s="16" customFormat="1" ht="15.75" customHeight="1">
      <c r="A496" s="49">
        <v>4</v>
      </c>
      <c r="B496" s="49" t="s">
        <v>208</v>
      </c>
      <c r="C496" s="49" t="s">
        <v>205</v>
      </c>
      <c r="D496" s="49">
        <f>55.17*10.764</f>
        <v>593.84987999999998</v>
      </c>
      <c r="E496" s="49">
        <v>0</v>
      </c>
      <c r="F496" s="49">
        <f>D496*(($F$211)+1)+(IF(E496&lt;101,E496,IF(E496&lt;201,E496/2,IF(E496&lt;=301,E496/3,E496/4))))</f>
        <v>890.77481999999998</v>
      </c>
      <c r="G496" s="87"/>
      <c r="H496" s="88"/>
      <c r="I496" s="50"/>
    </row>
    <row r="497" spans="1:9" s="16" customFormat="1" ht="15.75" customHeight="1">
      <c r="A497" s="103" t="s">
        <v>222</v>
      </c>
      <c r="B497" s="104"/>
      <c r="C497" s="104"/>
      <c r="D497" s="104"/>
      <c r="E497" s="104"/>
      <c r="F497" s="104"/>
      <c r="G497" s="104"/>
      <c r="H497" s="105"/>
      <c r="I497" s="50"/>
    </row>
    <row r="498" spans="1:9" s="16" customFormat="1">
      <c r="A498" s="49">
        <v>1</v>
      </c>
      <c r="B498" s="49" t="s">
        <v>208</v>
      </c>
      <c r="C498" s="49" t="s">
        <v>205</v>
      </c>
      <c r="D498" s="49">
        <f>55.17*10.764</f>
        <v>593.84987999999998</v>
      </c>
      <c r="E498" s="49">
        <v>0</v>
      </c>
      <c r="F498" s="49">
        <f>D498*(($F$211)+1)+(IF(E498&lt;101,E498,IF(E498&lt;201,E498/2,IF(E498&lt;=301,E498/3,E498/4))))</f>
        <v>890.77481999999998</v>
      </c>
      <c r="G498" s="83" t="str">
        <f>A497</f>
        <v>23rd Floor</v>
      </c>
      <c r="H498" s="84"/>
      <c r="I498" s="50"/>
    </row>
    <row r="499" spans="1:9" s="16" customFormat="1">
      <c r="A499" s="49">
        <v>2</v>
      </c>
      <c r="B499" s="49" t="s">
        <v>208</v>
      </c>
      <c r="C499" s="49" t="s">
        <v>225</v>
      </c>
      <c r="D499" s="49">
        <f>61.8*10.764</f>
        <v>665.21519999999998</v>
      </c>
      <c r="E499" s="49">
        <v>0</v>
      </c>
      <c r="F499" s="49">
        <f>D499*(($F$211)+1)+(IF(E499&lt;101,E499,IF(E499&lt;201,E499/2,IF(E499&lt;=301,E499/3,E499/4))))</f>
        <v>997.82279999999992</v>
      </c>
      <c r="G499" s="85"/>
      <c r="H499" s="86"/>
      <c r="I499" s="50"/>
    </row>
    <row r="500" spans="1:9" s="16" customFormat="1" ht="15.75" customHeight="1">
      <c r="A500" s="49">
        <v>3</v>
      </c>
      <c r="B500" s="49" t="s">
        <v>208</v>
      </c>
      <c r="C500" s="49" t="s">
        <v>225</v>
      </c>
      <c r="D500" s="49">
        <f>61.8*10.764</f>
        <v>665.21519999999998</v>
      </c>
      <c r="E500" s="49">
        <v>0</v>
      </c>
      <c r="F500" s="49">
        <f>D500*(($F$211)+1)+(IF(E500&lt;101,E500,IF(E500&lt;201,E500/2,IF(E500&lt;=301,E500/3,E500/4))))</f>
        <v>997.82279999999992</v>
      </c>
      <c r="G500" s="85"/>
      <c r="H500" s="86"/>
      <c r="I500" s="50"/>
    </row>
    <row r="501" spans="1:9" s="16" customFormat="1" ht="15.75" customHeight="1">
      <c r="A501" s="49">
        <v>4</v>
      </c>
      <c r="B501" s="49" t="s">
        <v>208</v>
      </c>
      <c r="C501" s="49" t="s">
        <v>205</v>
      </c>
      <c r="D501" s="49">
        <f>55.17*10.764</f>
        <v>593.84987999999998</v>
      </c>
      <c r="E501" s="49">
        <v>0</v>
      </c>
      <c r="F501" s="49">
        <f>D501*(($F$211)+1)+(IF(E501&lt;101,E501,IF(E501&lt;201,E501/2,IF(E501&lt;=301,E501/3,E501/4))))</f>
        <v>890.77481999999998</v>
      </c>
      <c r="G501" s="87"/>
      <c r="H501" s="88"/>
      <c r="I501" s="50"/>
    </row>
    <row r="502" spans="1:9" s="15" customFormat="1">
      <c r="A502" s="117" t="s">
        <v>237</v>
      </c>
      <c r="B502" s="117"/>
      <c r="C502" s="117"/>
      <c r="D502" s="117"/>
      <c r="E502" s="117"/>
      <c r="F502" s="117"/>
      <c r="G502" s="117"/>
      <c r="H502" s="117"/>
    </row>
    <row r="503" spans="1:9" s="15" customFormat="1" ht="31.5" customHeight="1">
      <c r="A503" s="46" t="s">
        <v>238</v>
      </c>
      <c r="B503" s="69" t="s">
        <v>282</v>
      </c>
      <c r="C503" s="70"/>
      <c r="D503" s="70"/>
      <c r="E503" s="70"/>
      <c r="F503" s="70"/>
      <c r="G503" s="70"/>
      <c r="H503" s="71"/>
    </row>
    <row r="504" spans="1:9" s="15" customFormat="1">
      <c r="A504" s="46" t="s">
        <v>238</v>
      </c>
      <c r="B504" s="69" t="str">
        <f>(IF(F210="Saleable area Loading :","We have considered Saleable area of Flats as per our Calculation.","We considered Saleable area of Flat as per Builder area Sheet."))</f>
        <v>We have considered Saleable area of Flats as per our Calculation.</v>
      </c>
      <c r="C504" s="70"/>
      <c r="D504" s="70"/>
      <c r="E504" s="70"/>
      <c r="F504" s="70"/>
      <c r="G504" s="70"/>
      <c r="H504" s="71"/>
    </row>
    <row r="505" spans="1:9" s="15" customFormat="1">
      <c r="A505" s="46" t="s">
        <v>238</v>
      </c>
      <c r="B505" s="69" t="str">
        <f>(IF(F165="Saleable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505" s="70"/>
      <c r="D505" s="70"/>
      <c r="E505" s="70"/>
      <c r="F505" s="70"/>
      <c r="G505" s="70"/>
      <c r="H505" s="71"/>
    </row>
    <row r="506" spans="1:9" s="15" customFormat="1">
      <c r="A506" s="46" t="s">
        <v>238</v>
      </c>
      <c r="B506" s="69" t="s">
        <v>239</v>
      </c>
      <c r="C506" s="70"/>
      <c r="D506" s="70"/>
      <c r="E506" s="70"/>
      <c r="F506" s="70"/>
      <c r="G506" s="70"/>
      <c r="H506" s="71"/>
    </row>
    <row r="507" spans="1:9" s="15" customFormat="1">
      <c r="A507" s="46" t="s">
        <v>238</v>
      </c>
      <c r="B507" s="69" t="s">
        <v>240</v>
      </c>
      <c r="C507" s="70"/>
      <c r="D507" s="70"/>
      <c r="E507" s="70"/>
      <c r="F507" s="70"/>
      <c r="G507" s="70"/>
      <c r="H507" s="71"/>
    </row>
    <row r="508" spans="1:9" s="15" customFormat="1">
      <c r="A508" s="46" t="s">
        <v>238</v>
      </c>
      <c r="B508" s="69" t="s">
        <v>241</v>
      </c>
      <c r="C508" s="70"/>
      <c r="D508" s="70"/>
      <c r="E508" s="70"/>
      <c r="F508" s="70"/>
      <c r="G508" s="70"/>
      <c r="H508" s="71"/>
    </row>
    <row r="509" spans="1:9" s="15" customFormat="1">
      <c r="A509" s="46" t="s">
        <v>238</v>
      </c>
      <c r="B509" s="69" t="s">
        <v>242</v>
      </c>
      <c r="C509" s="70"/>
      <c r="D509" s="70"/>
      <c r="E509" s="70"/>
      <c r="F509" s="70"/>
      <c r="G509" s="70"/>
      <c r="H509" s="71"/>
    </row>
    <row r="510" spans="1:9" s="15" customFormat="1" ht="34.5" customHeight="1">
      <c r="A510" s="46" t="s">
        <v>238</v>
      </c>
      <c r="B510" s="69" t="s">
        <v>243</v>
      </c>
      <c r="C510" s="70"/>
      <c r="D510" s="70"/>
      <c r="E510" s="70"/>
      <c r="F510" s="70"/>
      <c r="G510" s="70"/>
      <c r="H510" s="71"/>
    </row>
    <row r="511" spans="1:9" s="15" customFormat="1">
      <c r="A511" s="46" t="s">
        <v>238</v>
      </c>
      <c r="B511" s="69" t="s">
        <v>244</v>
      </c>
      <c r="C511" s="70"/>
      <c r="D511" s="70"/>
      <c r="E511" s="70"/>
      <c r="F511" s="70"/>
      <c r="G511" s="70"/>
      <c r="H511" s="71"/>
    </row>
    <row r="512" spans="1:9" s="15" customFormat="1" hidden="1">
      <c r="A512" s="46" t="s">
        <v>238</v>
      </c>
      <c r="B512" s="69" t="s">
        <v>245</v>
      </c>
      <c r="C512" s="70"/>
      <c r="D512" s="70"/>
      <c r="E512" s="70"/>
      <c r="F512" s="70"/>
      <c r="G512" s="70"/>
      <c r="H512" s="71"/>
    </row>
    <row r="513" spans="1:8" s="15" customFormat="1" hidden="1">
      <c r="A513" s="46" t="s">
        <v>238</v>
      </c>
      <c r="B513" s="69" t="s">
        <v>246</v>
      </c>
      <c r="C513" s="70"/>
      <c r="D513" s="70"/>
      <c r="E513" s="70"/>
      <c r="F513" s="70"/>
      <c r="G513" s="70"/>
      <c r="H513" s="71"/>
    </row>
    <row r="514" spans="1:8" s="15" customFormat="1">
      <c r="A514" s="46" t="s">
        <v>238</v>
      </c>
      <c r="B514" s="69" t="s">
        <v>247</v>
      </c>
      <c r="C514" s="70"/>
      <c r="D514" s="70"/>
      <c r="E514" s="70"/>
      <c r="F514" s="70"/>
      <c r="G514" s="70"/>
      <c r="H514" s="71"/>
    </row>
    <row r="515" spans="1:8" s="15" customFormat="1" ht="31.5" customHeight="1">
      <c r="A515" s="46" t="s">
        <v>238</v>
      </c>
      <c r="B515" s="69" t="s">
        <v>248</v>
      </c>
      <c r="C515" s="70"/>
      <c r="D515" s="70"/>
      <c r="E515" s="70"/>
      <c r="F515" s="70"/>
      <c r="G515" s="70"/>
      <c r="H515" s="71"/>
    </row>
    <row r="516" spans="1:8" s="15" customFormat="1">
      <c r="A516" s="46" t="s">
        <v>238</v>
      </c>
      <c r="B516" s="69" t="s">
        <v>249</v>
      </c>
      <c r="C516" s="70"/>
      <c r="D516" s="70"/>
      <c r="E516" s="70"/>
      <c r="F516" s="70"/>
      <c r="G516" s="70"/>
      <c r="H516" s="71"/>
    </row>
    <row r="517" spans="1:8" s="15" customFormat="1">
      <c r="A517" s="46" t="s">
        <v>238</v>
      </c>
      <c r="B517" s="69" t="s">
        <v>283</v>
      </c>
      <c r="C517" s="70"/>
      <c r="D517" s="70"/>
      <c r="E517" s="70"/>
      <c r="F517" s="70"/>
      <c r="G517" s="70"/>
      <c r="H517" s="71"/>
    </row>
    <row r="518" spans="1:8" s="15" customFormat="1">
      <c r="A518" s="46" t="s">
        <v>238</v>
      </c>
      <c r="B518" s="69" t="s">
        <v>279</v>
      </c>
      <c r="C518" s="70"/>
      <c r="D518" s="70"/>
      <c r="E518" s="70"/>
      <c r="F518" s="70"/>
      <c r="G518" s="70"/>
      <c r="H518" s="71"/>
    </row>
    <row r="519" spans="1:8">
      <c r="A519" s="115" t="s">
        <v>250</v>
      </c>
      <c r="B519" s="115"/>
      <c r="C519" s="115"/>
      <c r="D519" s="115"/>
      <c r="E519" s="115"/>
      <c r="F519" s="115"/>
      <c r="G519" s="115"/>
      <c r="H519" s="115"/>
    </row>
    <row r="520" spans="1:8">
      <c r="A520" s="73" t="s">
        <v>251</v>
      </c>
      <c r="B520" s="73"/>
      <c r="C520" s="73"/>
      <c r="D520" s="73"/>
      <c r="E520" s="73"/>
      <c r="F520" s="73"/>
      <c r="G520" s="73"/>
      <c r="H520" s="73"/>
    </row>
    <row r="521" spans="1:8" ht="15.75" customHeight="1">
      <c r="A521" s="116" t="s">
        <v>252</v>
      </c>
      <c r="B521" s="116"/>
      <c r="C521" s="116"/>
      <c r="D521" s="116"/>
      <c r="E521" s="116"/>
      <c r="F521" s="116"/>
      <c r="G521" s="116"/>
      <c r="H521" s="116"/>
    </row>
    <row r="522" spans="1:8">
      <c r="A522" s="73" t="s">
        <v>253</v>
      </c>
      <c r="B522" s="73"/>
      <c r="C522" s="73"/>
      <c r="D522" s="73"/>
      <c r="E522" s="73"/>
      <c r="F522" s="73"/>
      <c r="G522" s="73"/>
      <c r="H522" s="73"/>
    </row>
    <row r="523" spans="1:8">
      <c r="A523" s="73" t="s">
        <v>254</v>
      </c>
      <c r="B523" s="73"/>
      <c r="C523" s="73"/>
      <c r="D523" s="73"/>
      <c r="E523" s="73"/>
      <c r="F523" s="73"/>
      <c r="G523" s="73"/>
      <c r="H523" s="73"/>
    </row>
    <row r="524" spans="1:8">
      <c r="A524" s="73" t="s">
        <v>255</v>
      </c>
      <c r="B524" s="73"/>
      <c r="C524" s="73"/>
      <c r="D524" s="73"/>
      <c r="E524" s="73"/>
      <c r="F524" s="73"/>
      <c r="G524" s="73"/>
      <c r="H524" s="73"/>
    </row>
    <row r="525" spans="1:8" ht="35.25" customHeight="1">
      <c r="A525" s="72" t="s">
        <v>256</v>
      </c>
      <c r="B525" s="72"/>
      <c r="C525" s="72"/>
      <c r="D525" s="72"/>
      <c r="E525" s="72"/>
      <c r="F525" s="72"/>
      <c r="G525" s="72"/>
      <c r="H525" s="72"/>
    </row>
    <row r="526" spans="1:8">
      <c r="A526" s="110" t="s">
        <v>257</v>
      </c>
      <c r="B526" s="110"/>
      <c r="C526" s="110" t="s">
        <v>258</v>
      </c>
      <c r="D526" s="110"/>
      <c r="E526" s="110" t="s">
        <v>259</v>
      </c>
      <c r="F526" s="110"/>
      <c r="G526" s="110" t="s">
        <v>281</v>
      </c>
      <c r="H526" s="110"/>
    </row>
    <row r="527" spans="1:8">
      <c r="A527" s="63" t="s">
        <v>260</v>
      </c>
      <c r="B527" s="63"/>
      <c r="C527" s="63"/>
      <c r="D527" s="63"/>
      <c r="E527" s="63"/>
      <c r="F527" s="63"/>
      <c r="G527" s="63"/>
      <c r="H527" s="63"/>
    </row>
    <row r="528" spans="1:8">
      <c r="A528" s="63"/>
      <c r="B528" s="63"/>
      <c r="C528" s="63"/>
      <c r="D528" s="63"/>
      <c r="E528" s="63"/>
      <c r="F528" s="63"/>
      <c r="G528" s="63"/>
      <c r="H528" s="63"/>
    </row>
    <row r="529" spans="1:8">
      <c r="A529" s="63"/>
      <c r="B529" s="63"/>
      <c r="C529" s="63"/>
      <c r="D529" s="63"/>
      <c r="E529" s="63"/>
      <c r="F529" s="63"/>
      <c r="G529" s="63"/>
      <c r="H529" s="63"/>
    </row>
    <row r="530" spans="1:8">
      <c r="A530" s="63"/>
      <c r="B530" s="63"/>
      <c r="C530" s="63"/>
      <c r="D530" s="63"/>
      <c r="E530" s="63"/>
      <c r="F530" s="63"/>
      <c r="G530" s="63"/>
      <c r="H530" s="63"/>
    </row>
    <row r="531" spans="1:8">
      <c r="A531" s="54" t="s">
        <v>261</v>
      </c>
      <c r="B531" s="55"/>
      <c r="C531" s="55"/>
      <c r="D531" s="54" t="str">
        <f>E8</f>
        <v>Eastern Groves Phase 1A, 1B &amp; 2</v>
      </c>
      <c r="F531" s="55"/>
      <c r="G531" s="55"/>
      <c r="H531" s="55"/>
    </row>
    <row r="532" spans="1:8">
      <c r="A532" s="55"/>
      <c r="B532" s="55"/>
      <c r="C532" s="55"/>
      <c r="D532" s="55"/>
      <c r="E532" s="55"/>
      <c r="F532" s="55"/>
      <c r="G532" s="55"/>
      <c r="H532" s="55"/>
    </row>
    <row r="533" spans="1:8">
      <c r="A533" s="55"/>
      <c r="B533" s="55"/>
      <c r="C533" s="55"/>
      <c r="D533" s="55"/>
      <c r="E533" s="55"/>
      <c r="F533" s="55"/>
      <c r="G533" s="55"/>
      <c r="H533" s="55"/>
    </row>
    <row r="534" spans="1:8" ht="15" customHeight="1"/>
    <row r="573" spans="1:8">
      <c r="A573" s="54" t="s">
        <v>262</v>
      </c>
      <c r="B573" s="55"/>
      <c r="C573" s="55"/>
      <c r="D573" s="54"/>
      <c r="F573" s="55"/>
      <c r="G573" s="55"/>
      <c r="H573" s="55"/>
    </row>
    <row r="574" spans="1:8">
      <c r="A574" s="55"/>
      <c r="B574" s="55"/>
      <c r="C574" s="55"/>
      <c r="D574" s="55"/>
      <c r="E574" s="55"/>
      <c r="F574" s="55"/>
      <c r="G574" s="55"/>
      <c r="H574" s="55"/>
    </row>
    <row r="575" spans="1:8">
      <c r="A575" s="55"/>
      <c r="B575" s="55"/>
      <c r="C575" s="55"/>
      <c r="D575" s="55"/>
      <c r="E575" s="55"/>
      <c r="F575" s="55"/>
      <c r="G575" s="55"/>
      <c r="H575" s="55"/>
    </row>
    <row r="576" spans="1:8" ht="15" customHeight="1"/>
    <row r="611" spans="1:1">
      <c r="A611" s="56" t="s">
        <v>263</v>
      </c>
    </row>
  </sheetData>
  <mergeCells count="680">
    <mergeCell ref="A1:H1"/>
    <mergeCell ref="A2:H2"/>
    <mergeCell ref="A3:D3"/>
    <mergeCell ref="E3:H3"/>
    <mergeCell ref="A4:D4"/>
    <mergeCell ref="E4:H4"/>
    <mergeCell ref="A5:D5"/>
    <mergeCell ref="E5:H5"/>
    <mergeCell ref="A6:D6"/>
    <mergeCell ref="E6:H6"/>
    <mergeCell ref="A7:D7"/>
    <mergeCell ref="E7:H7"/>
    <mergeCell ref="A8:D8"/>
    <mergeCell ref="E8:H8"/>
    <mergeCell ref="A9:D9"/>
    <mergeCell ref="E9:H9"/>
    <mergeCell ref="A10:D10"/>
    <mergeCell ref="E10:H10"/>
    <mergeCell ref="A11:D11"/>
    <mergeCell ref="E11:H11"/>
    <mergeCell ref="A12:D12"/>
    <mergeCell ref="E12:H12"/>
    <mergeCell ref="A13:D13"/>
    <mergeCell ref="E13:H13"/>
    <mergeCell ref="A14:B14"/>
    <mergeCell ref="C14:H14"/>
    <mergeCell ref="A15:B15"/>
    <mergeCell ref="C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2:D22"/>
    <mergeCell ref="E22:H22"/>
    <mergeCell ref="A23:D23"/>
    <mergeCell ref="E23:H23"/>
    <mergeCell ref="A24:D24"/>
    <mergeCell ref="E24:H24"/>
    <mergeCell ref="A25:D25"/>
    <mergeCell ref="E25:H25"/>
    <mergeCell ref="A26:D26"/>
    <mergeCell ref="E26:H26"/>
    <mergeCell ref="A27:D27"/>
    <mergeCell ref="E27:H27"/>
    <mergeCell ref="A28:D28"/>
    <mergeCell ref="E28:H28"/>
    <mergeCell ref="A29:D29"/>
    <mergeCell ref="E29:H29"/>
    <mergeCell ref="A30:B30"/>
    <mergeCell ref="C30:E30"/>
    <mergeCell ref="F30:H30"/>
    <mergeCell ref="A31:B31"/>
    <mergeCell ref="C31:E31"/>
    <mergeCell ref="F31:H31"/>
    <mergeCell ref="A32:B32"/>
    <mergeCell ref="C32:E32"/>
    <mergeCell ref="F32:H32"/>
    <mergeCell ref="A33:B33"/>
    <mergeCell ref="C33:E33"/>
    <mergeCell ref="F33:H33"/>
    <mergeCell ref="A34:B34"/>
    <mergeCell ref="C34:E34"/>
    <mergeCell ref="F34:H34"/>
    <mergeCell ref="A35:H35"/>
    <mergeCell ref="A36:B36"/>
    <mergeCell ref="C36:H36"/>
    <mergeCell ref="A37:B37"/>
    <mergeCell ref="C37:H37"/>
    <mergeCell ref="A38:H38"/>
    <mergeCell ref="A39:D39"/>
    <mergeCell ref="E39:H39"/>
    <mergeCell ref="A40:D40"/>
    <mergeCell ref="E40:H40"/>
    <mergeCell ref="A41:D41"/>
    <mergeCell ref="E41:H41"/>
    <mergeCell ref="A42:D42"/>
    <mergeCell ref="E42:H42"/>
    <mergeCell ref="A43:D43"/>
    <mergeCell ref="E43:H43"/>
    <mergeCell ref="A44:D44"/>
    <mergeCell ref="E44:H44"/>
    <mergeCell ref="A45:H45"/>
    <mergeCell ref="A46:B46"/>
    <mergeCell ref="C46:H46"/>
    <mergeCell ref="A47:B47"/>
    <mergeCell ref="C47:E47"/>
    <mergeCell ref="G47:H47"/>
    <mergeCell ref="A48:B48"/>
    <mergeCell ref="C48:E48"/>
    <mergeCell ref="G48:H48"/>
    <mergeCell ref="C49:E49"/>
    <mergeCell ref="G49:H49"/>
    <mergeCell ref="C50:H50"/>
    <mergeCell ref="C51:E51"/>
    <mergeCell ref="G51:H51"/>
    <mergeCell ref="C52:H52"/>
    <mergeCell ref="C53:E53"/>
    <mergeCell ref="G53:H53"/>
    <mergeCell ref="C54:H54"/>
    <mergeCell ref="A56:B56"/>
    <mergeCell ref="C56:E56"/>
    <mergeCell ref="G56:H56"/>
    <mergeCell ref="A57:H57"/>
    <mergeCell ref="A58:C58"/>
    <mergeCell ref="D58:H58"/>
    <mergeCell ref="A59:C59"/>
    <mergeCell ref="D59:H59"/>
    <mergeCell ref="A60:C60"/>
    <mergeCell ref="D60:H60"/>
    <mergeCell ref="D61:H61"/>
    <mergeCell ref="D62:H62"/>
    <mergeCell ref="D63:H63"/>
    <mergeCell ref="A64:C64"/>
    <mergeCell ref="D64:H64"/>
    <mergeCell ref="A65:C65"/>
    <mergeCell ref="D65:H65"/>
    <mergeCell ref="A66:C66"/>
    <mergeCell ref="D66:H66"/>
    <mergeCell ref="A67:C67"/>
    <mergeCell ref="D67:H67"/>
    <mergeCell ref="A68:C68"/>
    <mergeCell ref="D68:H68"/>
    <mergeCell ref="A69:C69"/>
    <mergeCell ref="D69:H69"/>
    <mergeCell ref="A70:C70"/>
    <mergeCell ref="D70:H70"/>
    <mergeCell ref="A71:B71"/>
    <mergeCell ref="C71:H71"/>
    <mergeCell ref="A73:B73"/>
    <mergeCell ref="C73:H73"/>
    <mergeCell ref="A75:B75"/>
    <mergeCell ref="E75:F75"/>
    <mergeCell ref="G75:H75"/>
    <mergeCell ref="A76:B76"/>
    <mergeCell ref="A77:B77"/>
    <mergeCell ref="A78:B78"/>
    <mergeCell ref="A79:B79"/>
    <mergeCell ref="A74:B74"/>
    <mergeCell ref="C74:D74"/>
    <mergeCell ref="E74:F74"/>
    <mergeCell ref="G74:H74"/>
    <mergeCell ref="A80:B80"/>
    <mergeCell ref="A81:B81"/>
    <mergeCell ref="A82:B82"/>
    <mergeCell ref="A83:B83"/>
    <mergeCell ref="A84:B84"/>
    <mergeCell ref="A85:B85"/>
    <mergeCell ref="A86:B86"/>
    <mergeCell ref="C86:H86"/>
    <mergeCell ref="A88:B88"/>
    <mergeCell ref="C88:H88"/>
    <mergeCell ref="A90:B90"/>
    <mergeCell ref="E90:F90"/>
    <mergeCell ref="G90:H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C101:H101"/>
    <mergeCell ref="A103:B103"/>
    <mergeCell ref="C103:H103"/>
    <mergeCell ref="A104:B104"/>
    <mergeCell ref="E104:F104"/>
    <mergeCell ref="G104:H104"/>
    <mergeCell ref="E91:F100"/>
    <mergeCell ref="G91:H100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C115:H115"/>
    <mergeCell ref="A117:B117"/>
    <mergeCell ref="C117:H117"/>
    <mergeCell ref="A118:B118"/>
    <mergeCell ref="E118:F118"/>
    <mergeCell ref="G118:H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E129"/>
    <mergeCell ref="F129:H129"/>
    <mergeCell ref="A130:E130"/>
    <mergeCell ref="F130:H130"/>
    <mergeCell ref="A131:E131"/>
    <mergeCell ref="F131:H131"/>
    <mergeCell ref="A132:E132"/>
    <mergeCell ref="F132:H132"/>
    <mergeCell ref="A133:E133"/>
    <mergeCell ref="F133:H133"/>
    <mergeCell ref="A134:E134"/>
    <mergeCell ref="F134:H134"/>
    <mergeCell ref="A135:E135"/>
    <mergeCell ref="F135:H135"/>
    <mergeCell ref="A136:E136"/>
    <mergeCell ref="F136:H136"/>
    <mergeCell ref="A137:E137"/>
    <mergeCell ref="F137:H137"/>
    <mergeCell ref="A138:H138"/>
    <mergeCell ref="A139:B139"/>
    <mergeCell ref="C139:D139"/>
    <mergeCell ref="E139:F139"/>
    <mergeCell ref="G139:H139"/>
    <mergeCell ref="A140:B140"/>
    <mergeCell ref="C140:D140"/>
    <mergeCell ref="E140:F140"/>
    <mergeCell ref="G140:H140"/>
    <mergeCell ref="A141:H141"/>
    <mergeCell ref="A142:B142"/>
    <mergeCell ref="C142:D142"/>
    <mergeCell ref="E142:F142"/>
    <mergeCell ref="G142:H142"/>
    <mergeCell ref="A143:B143"/>
    <mergeCell ref="C143:D143"/>
    <mergeCell ref="E143:F143"/>
    <mergeCell ref="G143:H143"/>
    <mergeCell ref="A144:H144"/>
    <mergeCell ref="A145:B145"/>
    <mergeCell ref="C145:D145"/>
    <mergeCell ref="E145:F145"/>
    <mergeCell ref="G145:H145"/>
    <mergeCell ref="A146:B146"/>
    <mergeCell ref="C146:D146"/>
    <mergeCell ref="E146:F146"/>
    <mergeCell ref="G146:H146"/>
    <mergeCell ref="A147:B147"/>
    <mergeCell ref="C147:D147"/>
    <mergeCell ref="E147:F147"/>
    <mergeCell ref="G147:H147"/>
    <mergeCell ref="A148:B148"/>
    <mergeCell ref="C148:D148"/>
    <mergeCell ref="E148:F148"/>
    <mergeCell ref="G148:H148"/>
    <mergeCell ref="A149:B149"/>
    <mergeCell ref="C149:D149"/>
    <mergeCell ref="E149:F149"/>
    <mergeCell ref="G149:H149"/>
    <mergeCell ref="A150:B150"/>
    <mergeCell ref="C150:D150"/>
    <mergeCell ref="E150:F150"/>
    <mergeCell ref="G150:H150"/>
    <mergeCell ref="A151:B151"/>
    <mergeCell ref="C151:D151"/>
    <mergeCell ref="E151:F151"/>
    <mergeCell ref="G151:H151"/>
    <mergeCell ref="A152:B152"/>
    <mergeCell ref="C152:D152"/>
    <mergeCell ref="E152:F152"/>
    <mergeCell ref="G152:H152"/>
    <mergeCell ref="A153:H153"/>
    <mergeCell ref="A154:B154"/>
    <mergeCell ref="C154:D154"/>
    <mergeCell ref="E154:F154"/>
    <mergeCell ref="G154:H154"/>
    <mergeCell ref="A155:B155"/>
    <mergeCell ref="C155:D155"/>
    <mergeCell ref="E155:F155"/>
    <mergeCell ref="G155:H155"/>
    <mergeCell ref="A156:B156"/>
    <mergeCell ref="C156:D156"/>
    <mergeCell ref="E156:F156"/>
    <mergeCell ref="G156:H156"/>
    <mergeCell ref="A157:B157"/>
    <mergeCell ref="C157:D157"/>
    <mergeCell ref="E157:F157"/>
    <mergeCell ref="G157:H157"/>
    <mergeCell ref="A158:B158"/>
    <mergeCell ref="C158:D158"/>
    <mergeCell ref="E158:F158"/>
    <mergeCell ref="G158:H158"/>
    <mergeCell ref="A159:B159"/>
    <mergeCell ref="C159:D159"/>
    <mergeCell ref="E159:F159"/>
    <mergeCell ref="G159:H159"/>
    <mergeCell ref="A160:B160"/>
    <mergeCell ref="C160:D160"/>
    <mergeCell ref="E160:F160"/>
    <mergeCell ref="G160:H160"/>
    <mergeCell ref="A161:B161"/>
    <mergeCell ref="C161:D161"/>
    <mergeCell ref="E161:F161"/>
    <mergeCell ref="G161:H161"/>
    <mergeCell ref="A162:B162"/>
    <mergeCell ref="C162:D162"/>
    <mergeCell ref="E162:F162"/>
    <mergeCell ref="G162:H162"/>
    <mergeCell ref="A163:H163"/>
    <mergeCell ref="A164:H164"/>
    <mergeCell ref="A167:H167"/>
    <mergeCell ref="A168:H168"/>
    <mergeCell ref="A169:H169"/>
    <mergeCell ref="A170:B170"/>
    <mergeCell ref="L170:M170"/>
    <mergeCell ref="A171:B171"/>
    <mergeCell ref="L171:M171"/>
    <mergeCell ref="L172:M172"/>
    <mergeCell ref="A173:B173"/>
    <mergeCell ref="L173:M173"/>
    <mergeCell ref="A174:B174"/>
    <mergeCell ref="L174:M174"/>
    <mergeCell ref="A175:B175"/>
    <mergeCell ref="L175:M175"/>
    <mergeCell ref="A176:B176"/>
    <mergeCell ref="L176:M176"/>
    <mergeCell ref="L177:M177"/>
    <mergeCell ref="A178:B178"/>
    <mergeCell ref="L178:M178"/>
    <mergeCell ref="A179:B179"/>
    <mergeCell ref="L179:M179"/>
    <mergeCell ref="A180:B180"/>
    <mergeCell ref="L180:M180"/>
    <mergeCell ref="A181:B181"/>
    <mergeCell ref="L181:M181"/>
    <mergeCell ref="L182:M182"/>
    <mergeCell ref="A183:B183"/>
    <mergeCell ref="L183:M183"/>
    <mergeCell ref="A184:B184"/>
    <mergeCell ref="L184:M184"/>
    <mergeCell ref="A185:B185"/>
    <mergeCell ref="L185:M185"/>
    <mergeCell ref="A186:B186"/>
    <mergeCell ref="L186:M186"/>
    <mergeCell ref="L187:M187"/>
    <mergeCell ref="A188:B188"/>
    <mergeCell ref="L188:M188"/>
    <mergeCell ref="A189:B189"/>
    <mergeCell ref="L189:M189"/>
    <mergeCell ref="A190:B190"/>
    <mergeCell ref="L190:M190"/>
    <mergeCell ref="A191:B191"/>
    <mergeCell ref="L191:M191"/>
    <mergeCell ref="L192:M192"/>
    <mergeCell ref="A193:B193"/>
    <mergeCell ref="L193:M193"/>
    <mergeCell ref="A194:B194"/>
    <mergeCell ref="L194:M194"/>
    <mergeCell ref="A195:B195"/>
    <mergeCell ref="L195:M195"/>
    <mergeCell ref="A196:B196"/>
    <mergeCell ref="L196:M196"/>
    <mergeCell ref="A192:B192"/>
    <mergeCell ref="L205:M205"/>
    <mergeCell ref="A206:B206"/>
    <mergeCell ref="L206:M206"/>
    <mergeCell ref="A207:B207"/>
    <mergeCell ref="L207:M207"/>
    <mergeCell ref="A197:B197"/>
    <mergeCell ref="L197:M197"/>
    <mergeCell ref="A198:B198"/>
    <mergeCell ref="L198:M198"/>
    <mergeCell ref="A199:B199"/>
    <mergeCell ref="L199:M199"/>
    <mergeCell ref="A200:B200"/>
    <mergeCell ref="L200:M200"/>
    <mergeCell ref="A201:B201"/>
    <mergeCell ref="L201:M201"/>
    <mergeCell ref="L219:M219"/>
    <mergeCell ref="L220:M220"/>
    <mergeCell ref="L221:M221"/>
    <mergeCell ref="L222:M222"/>
    <mergeCell ref="L223:M223"/>
    <mergeCell ref="A224:H224"/>
    <mergeCell ref="A230:H230"/>
    <mergeCell ref="L231:M231"/>
    <mergeCell ref="A208:B208"/>
    <mergeCell ref="L208:M208"/>
    <mergeCell ref="A209:H209"/>
    <mergeCell ref="A212:H212"/>
    <mergeCell ref="A213:H213"/>
    <mergeCell ref="A214:H214"/>
    <mergeCell ref="L215:M215"/>
    <mergeCell ref="L216:M216"/>
    <mergeCell ref="L217:M217"/>
    <mergeCell ref="G215:H217"/>
    <mergeCell ref="L232:M232"/>
    <mergeCell ref="B233:F233"/>
    <mergeCell ref="L233:M233"/>
    <mergeCell ref="L234:M234"/>
    <mergeCell ref="A236:H236"/>
    <mergeCell ref="L237:M237"/>
    <mergeCell ref="L238:M238"/>
    <mergeCell ref="B239:F239"/>
    <mergeCell ref="L239:M239"/>
    <mergeCell ref="L240:M240"/>
    <mergeCell ref="A242:H242"/>
    <mergeCell ref="A248:H248"/>
    <mergeCell ref="A254:H254"/>
    <mergeCell ref="B258:F258"/>
    <mergeCell ref="A261:H261"/>
    <mergeCell ref="A267:H267"/>
    <mergeCell ref="A268:H268"/>
    <mergeCell ref="L269:M269"/>
    <mergeCell ref="G255:H260"/>
    <mergeCell ref="G243:H247"/>
    <mergeCell ref="G249:H253"/>
    <mergeCell ref="L270:M270"/>
    <mergeCell ref="L271:M271"/>
    <mergeCell ref="L272:M272"/>
    <mergeCell ref="A273:H273"/>
    <mergeCell ref="L274:M274"/>
    <mergeCell ref="L275:M275"/>
    <mergeCell ref="L276:M276"/>
    <mergeCell ref="L277:M277"/>
    <mergeCell ref="L278:M278"/>
    <mergeCell ref="G274:H278"/>
    <mergeCell ref="G269:H272"/>
    <mergeCell ref="L286:M286"/>
    <mergeCell ref="L287:M287"/>
    <mergeCell ref="L288:M288"/>
    <mergeCell ref="L289:M289"/>
    <mergeCell ref="A291:H291"/>
    <mergeCell ref="L292:M292"/>
    <mergeCell ref="L293:M293"/>
    <mergeCell ref="G280:H284"/>
    <mergeCell ref="G286:H290"/>
    <mergeCell ref="B288:F289"/>
    <mergeCell ref="L294:M294"/>
    <mergeCell ref="L295:M295"/>
    <mergeCell ref="A297:H297"/>
    <mergeCell ref="A303:H303"/>
    <mergeCell ref="A309:H309"/>
    <mergeCell ref="B312:F312"/>
    <mergeCell ref="A316:H316"/>
    <mergeCell ref="A322:H322"/>
    <mergeCell ref="A323:H323"/>
    <mergeCell ref="B294:F295"/>
    <mergeCell ref="G292:H296"/>
    <mergeCell ref="G304:H308"/>
    <mergeCell ref="G298:H302"/>
    <mergeCell ref="L325:M325"/>
    <mergeCell ref="L326:M326"/>
    <mergeCell ref="L327:M327"/>
    <mergeCell ref="A328:H328"/>
    <mergeCell ref="L329:M329"/>
    <mergeCell ref="L330:M330"/>
    <mergeCell ref="L331:M331"/>
    <mergeCell ref="L332:M332"/>
    <mergeCell ref="G325:H327"/>
    <mergeCell ref="G329:H332"/>
    <mergeCell ref="L339:M339"/>
    <mergeCell ref="C340:F340"/>
    <mergeCell ref="L340:M340"/>
    <mergeCell ref="L341:M341"/>
    <mergeCell ref="L342:M342"/>
    <mergeCell ref="A343:H343"/>
    <mergeCell ref="L344:M344"/>
    <mergeCell ref="G334:H337"/>
    <mergeCell ref="G339:H342"/>
    <mergeCell ref="L345:M345"/>
    <mergeCell ref="L346:M346"/>
    <mergeCell ref="L347:M347"/>
    <mergeCell ref="A348:H348"/>
    <mergeCell ref="A353:H353"/>
    <mergeCell ref="A358:H358"/>
    <mergeCell ref="A363:H363"/>
    <mergeCell ref="A368:H368"/>
    <mergeCell ref="G354:H357"/>
    <mergeCell ref="G359:H362"/>
    <mergeCell ref="G364:H367"/>
    <mergeCell ref="G344:H347"/>
    <mergeCell ref="G349:H352"/>
    <mergeCell ref="C345:F345"/>
    <mergeCell ref="L383:M383"/>
    <mergeCell ref="L384:M384"/>
    <mergeCell ref="C385:F385"/>
    <mergeCell ref="L385:M385"/>
    <mergeCell ref="L386:M386"/>
    <mergeCell ref="A387:H387"/>
    <mergeCell ref="L388:M388"/>
    <mergeCell ref="L389:M389"/>
    <mergeCell ref="A369:H369"/>
    <mergeCell ref="L370:M370"/>
    <mergeCell ref="L371:M371"/>
    <mergeCell ref="A372:H372"/>
    <mergeCell ref="L373:M373"/>
    <mergeCell ref="L374:M374"/>
    <mergeCell ref="L375:M375"/>
    <mergeCell ref="L376:M376"/>
    <mergeCell ref="A377:H377"/>
    <mergeCell ref="G370:H371"/>
    <mergeCell ref="A382:H382"/>
    <mergeCell ref="G383:H386"/>
    <mergeCell ref="L414:M414"/>
    <mergeCell ref="A417:H417"/>
    <mergeCell ref="L418:M418"/>
    <mergeCell ref="L419:M419"/>
    <mergeCell ref="L420:M420"/>
    <mergeCell ref="L421:M421"/>
    <mergeCell ref="A422:H422"/>
    <mergeCell ref="A427:H427"/>
    <mergeCell ref="C390:F390"/>
    <mergeCell ref="L390:M390"/>
    <mergeCell ref="L391:M391"/>
    <mergeCell ref="A392:H392"/>
    <mergeCell ref="A397:H397"/>
    <mergeCell ref="A402:H402"/>
    <mergeCell ref="A407:H407"/>
    <mergeCell ref="A412:H412"/>
    <mergeCell ref="A413:H413"/>
    <mergeCell ref="A414:H414"/>
    <mergeCell ref="G388:H391"/>
    <mergeCell ref="G393:H396"/>
    <mergeCell ref="G398:H401"/>
    <mergeCell ref="G423:H426"/>
    <mergeCell ref="L428:M428"/>
    <mergeCell ref="C429:F429"/>
    <mergeCell ref="L429:M429"/>
    <mergeCell ref="L430:M430"/>
    <mergeCell ref="L431:M431"/>
    <mergeCell ref="A432:H432"/>
    <mergeCell ref="L433:M433"/>
    <mergeCell ref="C434:F434"/>
    <mergeCell ref="L434:M434"/>
    <mergeCell ref="G428:H431"/>
    <mergeCell ref="L463:M463"/>
    <mergeCell ref="L464:M464"/>
    <mergeCell ref="L465:M465"/>
    <mergeCell ref="L466:M466"/>
    <mergeCell ref="A467:H467"/>
    <mergeCell ref="A472:H472"/>
    <mergeCell ref="L473:M473"/>
    <mergeCell ref="L474:M474"/>
    <mergeCell ref="L435:M435"/>
    <mergeCell ref="L436:M436"/>
    <mergeCell ref="A437:H437"/>
    <mergeCell ref="A442:H442"/>
    <mergeCell ref="A447:H447"/>
    <mergeCell ref="A452:H452"/>
    <mergeCell ref="A457:H457"/>
    <mergeCell ref="A458:H458"/>
    <mergeCell ref="L458:M458"/>
    <mergeCell ref="G453:H456"/>
    <mergeCell ref="G459:H461"/>
    <mergeCell ref="G463:H466"/>
    <mergeCell ref="G468:H471"/>
    <mergeCell ref="G443:H446"/>
    <mergeCell ref="A462:H462"/>
    <mergeCell ref="A502:H502"/>
    <mergeCell ref="B503:H503"/>
    <mergeCell ref="B504:H504"/>
    <mergeCell ref="B505:H505"/>
    <mergeCell ref="B506:H506"/>
    <mergeCell ref="C475:F475"/>
    <mergeCell ref="L475:M475"/>
    <mergeCell ref="L476:M476"/>
    <mergeCell ref="A477:H477"/>
    <mergeCell ref="L478:M478"/>
    <mergeCell ref="L479:M479"/>
    <mergeCell ref="C480:F480"/>
    <mergeCell ref="L480:M480"/>
    <mergeCell ref="L481:M481"/>
    <mergeCell ref="G473:H476"/>
    <mergeCell ref="G478:H481"/>
    <mergeCell ref="G483:H486"/>
    <mergeCell ref="G488:H491"/>
    <mergeCell ref="G493:H496"/>
    <mergeCell ref="A482:H482"/>
    <mergeCell ref="A487:H487"/>
    <mergeCell ref="A492:H492"/>
    <mergeCell ref="B507:H507"/>
    <mergeCell ref="B508:H508"/>
    <mergeCell ref="B509:H509"/>
    <mergeCell ref="B510:H510"/>
    <mergeCell ref="B511:H511"/>
    <mergeCell ref="B512:H512"/>
    <mergeCell ref="B513:H513"/>
    <mergeCell ref="B514:H514"/>
    <mergeCell ref="B515:H515"/>
    <mergeCell ref="B516:H516"/>
    <mergeCell ref="B518:H518"/>
    <mergeCell ref="A519:H519"/>
    <mergeCell ref="A520:H520"/>
    <mergeCell ref="A521:H521"/>
    <mergeCell ref="A522:H522"/>
    <mergeCell ref="A523:H523"/>
    <mergeCell ref="A524:H524"/>
    <mergeCell ref="A525:H525"/>
    <mergeCell ref="B165:B166"/>
    <mergeCell ref="B210:B211"/>
    <mergeCell ref="C165:C166"/>
    <mergeCell ref="C210:C211"/>
    <mergeCell ref="D165:D166"/>
    <mergeCell ref="D210:D211"/>
    <mergeCell ref="E165:E166"/>
    <mergeCell ref="E210:E211"/>
    <mergeCell ref="G498:H501"/>
    <mergeCell ref="G448:H451"/>
    <mergeCell ref="G433:H436"/>
    <mergeCell ref="G438:H441"/>
    <mergeCell ref="G403:H406"/>
    <mergeCell ref="G408:H411"/>
    <mergeCell ref="G415:H416"/>
    <mergeCell ref="G418:H421"/>
    <mergeCell ref="G373:H376"/>
    <mergeCell ref="G378:H381"/>
    <mergeCell ref="A497:H497"/>
    <mergeCell ref="A187:B187"/>
    <mergeCell ref="A182:B182"/>
    <mergeCell ref="A177:B177"/>
    <mergeCell ref="A172:B172"/>
    <mergeCell ref="A20:D21"/>
    <mergeCell ref="E20:H21"/>
    <mergeCell ref="E119:F128"/>
    <mergeCell ref="G119:H128"/>
    <mergeCell ref="G205:H208"/>
    <mergeCell ref="G210:H211"/>
    <mergeCell ref="G225:H229"/>
    <mergeCell ref="G231:H235"/>
    <mergeCell ref="G237:H241"/>
    <mergeCell ref="A49:B50"/>
    <mergeCell ref="A61:C63"/>
    <mergeCell ref="E76:F85"/>
    <mergeCell ref="G76:H85"/>
    <mergeCell ref="G165:H166"/>
    <mergeCell ref="E105:F114"/>
    <mergeCell ref="G105:H114"/>
    <mergeCell ref="G170:H201"/>
    <mergeCell ref="A51:B52"/>
    <mergeCell ref="A53:B54"/>
    <mergeCell ref="A218:H218"/>
    <mergeCell ref="A202:H202"/>
    <mergeCell ref="A203:H203"/>
    <mergeCell ref="A204:H204"/>
    <mergeCell ref="A205:B205"/>
    <mergeCell ref="A89:B89"/>
    <mergeCell ref="C89:D89"/>
    <mergeCell ref="E89:F89"/>
    <mergeCell ref="G89:H89"/>
    <mergeCell ref="A527:H530"/>
    <mergeCell ref="A55:B55"/>
    <mergeCell ref="C55:E55"/>
    <mergeCell ref="G55:H55"/>
    <mergeCell ref="B517:H517"/>
    <mergeCell ref="A333:H333"/>
    <mergeCell ref="A338:H338"/>
    <mergeCell ref="A324:H324"/>
    <mergeCell ref="A279:H279"/>
    <mergeCell ref="A285:H285"/>
    <mergeCell ref="G262:H266"/>
    <mergeCell ref="G317:H321"/>
    <mergeCell ref="G310:H315"/>
    <mergeCell ref="G219:H223"/>
    <mergeCell ref="A526:B526"/>
    <mergeCell ref="C526:D526"/>
    <mergeCell ref="E526:F526"/>
    <mergeCell ref="G526:H526"/>
    <mergeCell ref="A165:A166"/>
    <mergeCell ref="A210:A211"/>
  </mergeCells>
  <hyperlinks>
    <hyperlink ref="C37" r:id="rId1"/>
  </hyperlinks>
  <printOptions horizontalCentered="1"/>
  <pageMargins left="0.39370078740157499" right="0.39370078740157499" top="0.82677165354330695" bottom="0.78740157480314998" header="0.15748031496063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8" manualBreakCount="8">
    <brk id="50" max="7" man="1"/>
    <brk id="70" max="7" man="1"/>
    <brk id="140" max="7" man="1"/>
    <brk id="486" max="7" man="1"/>
    <brk id="526" max="7" man="1"/>
    <brk id="530" max="16383" man="1"/>
    <brk id="572" max="16383" man="1"/>
    <brk id="610" max="16383" man="1"/>
  </rowBreaks>
  <ignoredErrors>
    <ignoredError sqref="D243:D247 A249:H253 G255 B254:H254 A262:F266 A267:H269 A272:H273 A270:C270 E270:H270 A279:H279 A274:C275 E274:H274 F275:H276 A276:B278 E277:H278 A271:B271 D271:H271 G280 G262" unlockedFormula="1"/>
  </ignoredError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5703125" defaultRowHeight="15"/>
  <cols>
    <col min="1" max="1" width="8.570312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5703125" style="1"/>
  </cols>
  <sheetData>
    <row r="1" spans="1:9" ht="15" customHeight="1"/>
    <row r="2" spans="1:9" ht="15" customHeight="1">
      <c r="A2" s="2"/>
      <c r="B2" s="2"/>
      <c r="C2" s="2"/>
      <c r="D2" s="2"/>
      <c r="E2" s="2"/>
      <c r="F2" s="2"/>
      <c r="G2" s="2"/>
      <c r="H2" s="2"/>
    </row>
    <row r="3" spans="1:9" ht="15.75" customHeight="1">
      <c r="A3" s="2"/>
      <c r="B3" s="175" t="s">
        <v>264</v>
      </c>
      <c r="C3" s="175"/>
      <c r="D3" s="175"/>
      <c r="E3" s="175"/>
      <c r="F3" s="175"/>
      <c r="G3" s="175"/>
      <c r="H3" s="175"/>
    </row>
    <row r="4" spans="1:9">
      <c r="A4" s="2"/>
      <c r="B4" s="3" t="s">
        <v>265</v>
      </c>
      <c r="C4" s="3" t="s">
        <v>266</v>
      </c>
      <c r="D4" s="3" t="s">
        <v>267</v>
      </c>
      <c r="E4" s="3" t="s">
        <v>268</v>
      </c>
      <c r="F4" s="3" t="s">
        <v>269</v>
      </c>
      <c r="G4" s="3" t="s">
        <v>270</v>
      </c>
      <c r="H4" s="3" t="s">
        <v>271</v>
      </c>
    </row>
    <row r="5" spans="1:9" ht="15" customHeight="1">
      <c r="A5" s="2"/>
      <c r="B5" s="4" t="s">
        <v>272</v>
      </c>
      <c r="C5" s="5"/>
      <c r="D5" s="4"/>
      <c r="E5" s="4"/>
      <c r="F5" s="6">
        <f>E5*1.6</f>
        <v>0</v>
      </c>
      <c r="G5" s="6" t="e">
        <f>H5/F5</f>
        <v>#DIV/0!</v>
      </c>
      <c r="H5" s="7"/>
    </row>
    <row r="6" spans="1:9">
      <c r="A6" s="2"/>
      <c r="B6" s="4" t="s">
        <v>272</v>
      </c>
      <c r="C6" s="8"/>
      <c r="D6" s="4"/>
      <c r="E6" s="4"/>
      <c r="F6" s="6">
        <f t="shared" ref="F6:F11" si="0">E6*1.6</f>
        <v>0</v>
      </c>
      <c r="G6" s="6" t="e">
        <f t="shared" ref="G6:G11" si="1">H6/F6</f>
        <v>#DIV/0!</v>
      </c>
      <c r="H6" s="7"/>
    </row>
    <row r="7" spans="1:9" ht="15" customHeight="1">
      <c r="A7" s="2"/>
      <c r="B7" s="4" t="s">
        <v>272</v>
      </c>
      <c r="C7" s="5"/>
      <c r="D7" s="4"/>
      <c r="E7" s="4"/>
      <c r="F7" s="6">
        <f t="shared" si="0"/>
        <v>0</v>
      </c>
      <c r="G7" s="6" t="e">
        <f t="shared" si="1"/>
        <v>#DIV/0!</v>
      </c>
      <c r="H7" s="7"/>
    </row>
    <row r="8" spans="1:9">
      <c r="A8" s="2"/>
      <c r="B8" s="4" t="s">
        <v>272</v>
      </c>
      <c r="C8" s="8"/>
      <c r="D8" s="4"/>
      <c r="E8" s="4"/>
      <c r="F8" s="6">
        <f t="shared" si="0"/>
        <v>0</v>
      </c>
      <c r="G8" s="6" t="e">
        <f t="shared" si="1"/>
        <v>#DIV/0!</v>
      </c>
      <c r="H8" s="7"/>
    </row>
    <row r="9" spans="1:9" ht="15" customHeight="1">
      <c r="A9" s="2"/>
      <c r="B9" s="4" t="s">
        <v>272</v>
      </c>
      <c r="C9" s="8"/>
      <c r="D9" s="4"/>
      <c r="E9" s="4"/>
      <c r="F9" s="6">
        <f t="shared" si="0"/>
        <v>0</v>
      </c>
      <c r="G9" s="6" t="e">
        <f t="shared" si="1"/>
        <v>#DIV/0!</v>
      </c>
      <c r="H9" s="7"/>
    </row>
    <row r="10" spans="1:9" ht="15" customHeight="1">
      <c r="A10" s="2"/>
      <c r="B10" s="4" t="s">
        <v>273</v>
      </c>
      <c r="C10" s="5"/>
      <c r="D10" s="4"/>
      <c r="E10" s="4"/>
      <c r="F10" s="6">
        <f t="shared" si="0"/>
        <v>0</v>
      </c>
      <c r="G10" s="6" t="e">
        <f t="shared" si="1"/>
        <v>#DIV/0!</v>
      </c>
      <c r="H10" s="7"/>
    </row>
    <row r="11" spans="1:9" ht="15" customHeight="1">
      <c r="A11" s="2"/>
      <c r="B11" s="4" t="s">
        <v>273</v>
      </c>
      <c r="C11" s="5"/>
      <c r="D11" s="4"/>
      <c r="E11" s="4"/>
      <c r="F11" s="6">
        <f t="shared" si="0"/>
        <v>0</v>
      </c>
      <c r="G11" s="6" t="e">
        <f t="shared" si="1"/>
        <v>#DIV/0!</v>
      </c>
      <c r="H11" s="7"/>
    </row>
    <row r="12" spans="1:9" ht="15" customHeight="1">
      <c r="A12" s="2"/>
      <c r="B12" s="9" t="s">
        <v>274</v>
      </c>
      <c r="C12" s="4"/>
      <c r="D12" s="4"/>
      <c r="E12" s="4"/>
      <c r="F12" s="4"/>
      <c r="G12" s="10" t="e">
        <f>AVERAGE(G5:G11)</f>
        <v>#DIV/0!</v>
      </c>
      <c r="H12" s="4"/>
    </row>
    <row r="13" spans="1:9" ht="15" customHeight="1">
      <c r="B13" s="9" t="s">
        <v>275</v>
      </c>
      <c r="C13" s="4"/>
      <c r="D13" s="4"/>
      <c r="E13" s="4"/>
      <c r="F13" s="11"/>
      <c r="G13" s="9"/>
      <c r="H13" s="9"/>
      <c r="I13" s="12"/>
    </row>
    <row r="14" spans="1:9" ht="15" customHeight="1"/>
    <row r="15" spans="1:9" ht="15" customHeight="1"/>
    <row r="16" spans="1:9" ht="15" customHeight="1"/>
  </sheetData>
  <mergeCells count="1">
    <mergeCell ref="B3:H3"/>
  </mergeCells>
  <pageMargins left="0.7" right="0.7" top="0.75" bottom="0.75" header="0.3" footer="0.3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S16" sqref="S16"/>
    </sheetView>
  </sheetViews>
  <sheetFormatPr defaultColWidth="9" defaultRowHeight="15"/>
  <sheetData/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Welcome</cp:lastModifiedBy>
  <cp:lastPrinted>2025-09-14T12:47:47Z</cp:lastPrinted>
  <dcterms:created xsi:type="dcterms:W3CDTF">2019-07-16T09:29:00Z</dcterms:created>
  <dcterms:modified xsi:type="dcterms:W3CDTF">2025-09-14T12:49:26Z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1D9735659B1444379D4D806026F77C0D_12</vt:lpwstr>
  </property>
  <property fmtid="{D5CDD505-2E9C-101B-9397-08002B2CF9AE}" pid="3" name="KSOProductBuildVer">
    <vt:lpwstr>1033-12.2.0.20326</vt:lpwstr>
  </property>
</Properties>
</file>