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bookViews>
  <sheets>
    <sheet name="Sheet1" sheetId="1" r:id="rId1"/>
    <sheet name="VALUATION" sheetId="16" r:id="rId2"/>
    <sheet name="C %" sheetId="14" r:id="rId3"/>
    <sheet name="C % (2)" sheetId="15" r:id="rId4"/>
    <sheet name="Wing A" sheetId="11" r:id="rId5"/>
    <sheet name="Wing C" sheetId="13" r:id="rId6"/>
  </sheets>
  <definedNames>
    <definedName name="_xlnm.Print_Area" localSheetId="0">Sheet1!$A$1:$J$614</definedName>
  </definedNames>
  <calcPr calcId="152511"/>
</workbook>
</file>

<file path=xl/calcChain.xml><?xml version="1.0" encoding="utf-8"?>
<calcChain xmlns="http://schemas.openxmlformats.org/spreadsheetml/2006/main">
  <c r="C112" i="1" l="1"/>
  <c r="C58" i="1"/>
  <c r="C48" i="1"/>
  <c r="C143" i="1" l="1"/>
  <c r="D457" i="1" l="1"/>
  <c r="D455" i="1"/>
  <c r="D453" i="1"/>
  <c r="D452" i="1"/>
  <c r="D451" i="1"/>
  <c r="D449" i="1"/>
  <c r="D448" i="1"/>
  <c r="D447" i="1"/>
  <c r="D77" i="1" l="1"/>
  <c r="F37" i="1" l="1"/>
  <c r="F457" i="1" l="1"/>
  <c r="H457" i="1" s="1"/>
  <c r="I455" i="1"/>
  <c r="F455" i="1"/>
  <c r="H455" i="1" s="1"/>
  <c r="F449" i="1"/>
  <c r="H449" i="1" s="1"/>
  <c r="F448" i="1"/>
  <c r="H448" i="1" s="1"/>
  <c r="F447" i="1"/>
  <c r="H447" i="1" s="1"/>
  <c r="I447" i="1"/>
  <c r="D444" i="1"/>
  <c r="D445" i="1" l="1"/>
  <c r="D443" i="1"/>
  <c r="F443" i="1" s="1"/>
  <c r="H443" i="1" s="1"/>
  <c r="D441" i="1"/>
  <c r="F441" i="1" s="1"/>
  <c r="H441" i="1" s="1"/>
  <c r="D439" i="1"/>
  <c r="F453" i="1"/>
  <c r="H453" i="1" s="1"/>
  <c r="F452" i="1"/>
  <c r="H452" i="1" s="1"/>
  <c r="I451" i="1"/>
  <c r="F451" i="1"/>
  <c r="H451" i="1" s="1"/>
  <c r="F445" i="1"/>
  <c r="H445" i="1" s="1"/>
  <c r="F444" i="1"/>
  <c r="H444" i="1" s="1"/>
  <c r="I443" i="1"/>
  <c r="I439" i="1"/>
  <c r="D170" i="1"/>
  <c r="D169" i="1"/>
  <c r="L168" i="1"/>
  <c r="D168" i="1"/>
  <c r="L167" i="1"/>
  <c r="D167" i="1"/>
  <c r="L166" i="1"/>
  <c r="D166" i="1"/>
  <c r="D165" i="1"/>
  <c r="D164" i="1"/>
  <c r="L163" i="1"/>
  <c r="L164" i="1" s="1"/>
  <c r="L169" i="1" s="1"/>
  <c r="D163" i="1"/>
  <c r="L162" i="1"/>
  <c r="C161" i="1" s="1"/>
  <c r="L161" i="1"/>
  <c r="L160" i="1"/>
  <c r="C67" i="1"/>
  <c r="H67" i="1"/>
  <c r="D231" i="1"/>
  <c r="F231" i="1" s="1"/>
  <c r="H231" i="1" s="1"/>
  <c r="D230" i="1"/>
  <c r="F230" i="1" s="1"/>
  <c r="H230" i="1" s="1"/>
  <c r="D229" i="1"/>
  <c r="F229" i="1" s="1"/>
  <c r="H229" i="1" s="1"/>
  <c r="D228" i="1"/>
  <c r="F228" i="1" s="1"/>
  <c r="H228" i="1" s="1"/>
  <c r="D227" i="1"/>
  <c r="F227" i="1" s="1"/>
  <c r="H227" i="1" s="1"/>
  <c r="D226" i="1"/>
  <c r="F226" i="1" s="1"/>
  <c r="H226" i="1" s="1"/>
  <c r="D225" i="1"/>
  <c r="F225" i="1" s="1"/>
  <c r="H225" i="1" s="1"/>
  <c r="D224" i="1"/>
  <c r="F224" i="1" s="1"/>
  <c r="H224" i="1" s="1"/>
  <c r="D223" i="1"/>
  <c r="F223" i="1" s="1"/>
  <c r="H223" i="1" s="1"/>
  <c r="D222" i="1"/>
  <c r="F222" i="1" s="1"/>
  <c r="H222" i="1" s="1"/>
  <c r="D221" i="1"/>
  <c r="F221" i="1" s="1"/>
  <c r="H221" i="1" s="1"/>
  <c r="I220" i="1"/>
  <c r="D220" i="1"/>
  <c r="F220" i="1" s="1"/>
  <c r="H220" i="1" s="1"/>
  <c r="D218" i="1"/>
  <c r="D217" i="1"/>
  <c r="D216" i="1"/>
  <c r="D215" i="1"/>
  <c r="D214" i="1"/>
  <c r="D213" i="1"/>
  <c r="D212" i="1"/>
  <c r="D211" i="1"/>
  <c r="D210" i="1"/>
  <c r="D209" i="1"/>
  <c r="D208" i="1"/>
  <c r="D207" i="1"/>
  <c r="D250" i="1"/>
  <c r="D249" i="1"/>
  <c r="D248" i="1"/>
  <c r="D247" i="1"/>
  <c r="L244" i="1"/>
  <c r="G244" i="1"/>
  <c r="D244" i="1"/>
  <c r="F244" i="1" s="1"/>
  <c r="G243" i="1"/>
  <c r="D243" i="1"/>
  <c r="F243" i="1" s="1"/>
  <c r="K242" i="1"/>
  <c r="G242" i="1"/>
  <c r="D242" i="1"/>
  <c r="F242" i="1" s="1"/>
  <c r="G241" i="1"/>
  <c r="D241" i="1"/>
  <c r="F241" i="1" s="1"/>
  <c r="I240" i="1"/>
  <c r="G240" i="1"/>
  <c r="D240" i="1"/>
  <c r="F240" i="1" s="1"/>
  <c r="L238" i="1"/>
  <c r="D238" i="1"/>
  <c r="D237" i="1"/>
  <c r="D236" i="1"/>
  <c r="D235" i="1"/>
  <c r="D234" i="1"/>
  <c r="F439" i="1" l="1"/>
  <c r="C198" i="1"/>
  <c r="H240" i="1"/>
  <c r="D161" i="1"/>
  <c r="L165" i="1"/>
  <c r="L170" i="1" s="1"/>
  <c r="C162" i="1" s="1"/>
  <c r="H244" i="1"/>
  <c r="H243" i="1"/>
  <c r="H241" i="1"/>
  <c r="G186" i="1"/>
  <c r="D186" i="1"/>
  <c r="H242" i="1"/>
  <c r="D95" i="1"/>
  <c r="D94" i="1"/>
  <c r="L93" i="1"/>
  <c r="D93" i="1"/>
  <c r="L92" i="1"/>
  <c r="D92" i="1"/>
  <c r="L91" i="1"/>
  <c r="D91" i="1"/>
  <c r="D90" i="1"/>
  <c r="D89" i="1"/>
  <c r="L88" i="1"/>
  <c r="L89" i="1" s="1"/>
  <c r="L94" i="1" s="1"/>
  <c r="D88" i="1"/>
  <c r="L87" i="1"/>
  <c r="C86" i="1" s="1"/>
  <c r="L86" i="1"/>
  <c r="L85" i="1"/>
  <c r="K236" i="1"/>
  <c r="F247" i="1"/>
  <c r="G250" i="1"/>
  <c r="F250" i="1"/>
  <c r="G249" i="1"/>
  <c r="F249" i="1"/>
  <c r="G248" i="1"/>
  <c r="F248" i="1"/>
  <c r="G247" i="1"/>
  <c r="I246" i="1"/>
  <c r="F238" i="1"/>
  <c r="F237" i="1"/>
  <c r="F236" i="1"/>
  <c r="F235" i="1"/>
  <c r="F234" i="1"/>
  <c r="G238" i="1"/>
  <c r="G237" i="1"/>
  <c r="G236" i="1"/>
  <c r="G235" i="1"/>
  <c r="I234" i="1"/>
  <c r="G234" i="1"/>
  <c r="F218" i="1"/>
  <c r="H218" i="1" s="1"/>
  <c r="F217" i="1"/>
  <c r="H217" i="1" s="1"/>
  <c r="F216" i="1"/>
  <c r="H216" i="1" s="1"/>
  <c r="F215" i="1"/>
  <c r="H215" i="1" s="1"/>
  <c r="F214" i="1"/>
  <c r="H214" i="1" s="1"/>
  <c r="F213" i="1"/>
  <c r="H213" i="1" s="1"/>
  <c r="F212" i="1"/>
  <c r="H212" i="1" s="1"/>
  <c r="F211" i="1"/>
  <c r="H211" i="1" s="1"/>
  <c r="F210" i="1"/>
  <c r="H210" i="1" s="1"/>
  <c r="F209" i="1"/>
  <c r="H209" i="1" s="1"/>
  <c r="F208" i="1"/>
  <c r="H208" i="1" s="1"/>
  <c r="F207" i="1"/>
  <c r="H207" i="1" s="1"/>
  <c r="I207" i="1"/>
  <c r="H43" i="1"/>
  <c r="C43" i="1"/>
  <c r="H439" i="1" l="1"/>
  <c r="G198" i="1" s="1"/>
  <c r="D198" i="1"/>
  <c r="D162" i="1"/>
  <c r="F161" i="1"/>
  <c r="K157" i="1" s="1"/>
  <c r="C159" i="1" s="1"/>
  <c r="H161" i="1"/>
  <c r="H236" i="1"/>
  <c r="H235" i="1"/>
  <c r="H250" i="1"/>
  <c r="H248" i="1"/>
  <c r="D193" i="1"/>
  <c r="G185" i="1"/>
  <c r="L90" i="1"/>
  <c r="L95" i="1" s="1"/>
  <c r="C87" i="1" s="1"/>
  <c r="D86" i="1"/>
  <c r="H237" i="1"/>
  <c r="H238" i="1"/>
  <c r="C193" i="1"/>
  <c r="H247" i="1"/>
  <c r="H234" i="1"/>
  <c r="D185" i="1"/>
  <c r="H249" i="1"/>
  <c r="C185" i="1"/>
  <c r="H55" i="1"/>
  <c r="C55" i="1"/>
  <c r="D87" i="1" l="1"/>
  <c r="F86" i="1"/>
  <c r="K82" i="1" s="1"/>
  <c r="C84" i="1" s="1"/>
  <c r="H86" i="1"/>
  <c r="G193" i="1"/>
  <c r="K255" i="1"/>
  <c r="D272" i="1"/>
  <c r="D271" i="1"/>
  <c r="D269" i="1"/>
  <c r="D267" i="1"/>
  <c r="D266" i="1"/>
  <c r="D265" i="1"/>
  <c r="D264" i="1"/>
  <c r="D262" i="1"/>
  <c r="D261" i="1"/>
  <c r="D260" i="1"/>
  <c r="D259" i="1"/>
  <c r="D256" i="1"/>
  <c r="D255" i="1"/>
  <c r="F271" i="1" l="1"/>
  <c r="F266" i="1"/>
  <c r="F267" i="1"/>
  <c r="F261" i="1"/>
  <c r="F256" i="1"/>
  <c r="F255" i="1"/>
  <c r="G272" i="1"/>
  <c r="F272" i="1"/>
  <c r="G271" i="1"/>
  <c r="I269" i="1"/>
  <c r="G269" i="1"/>
  <c r="F269" i="1"/>
  <c r="G267" i="1"/>
  <c r="G266" i="1"/>
  <c r="G265" i="1"/>
  <c r="F265" i="1"/>
  <c r="I264" i="1"/>
  <c r="G264" i="1"/>
  <c r="F264" i="1"/>
  <c r="F262" i="1"/>
  <c r="I259" i="1"/>
  <c r="F260" i="1"/>
  <c r="F259" i="1"/>
  <c r="I255" i="1"/>
  <c r="G262" i="1"/>
  <c r="G261" i="1"/>
  <c r="G260" i="1"/>
  <c r="G259" i="1"/>
  <c r="G256" i="1"/>
  <c r="G255" i="1"/>
  <c r="F38" i="1"/>
  <c r="H264" i="1" l="1"/>
  <c r="H267" i="1"/>
  <c r="H255" i="1"/>
  <c r="H266" i="1"/>
  <c r="H265" i="1"/>
  <c r="H269" i="1"/>
  <c r="H272" i="1"/>
  <c r="H271" i="1"/>
  <c r="C194" i="1"/>
  <c r="D194" i="1"/>
  <c r="H256" i="1"/>
  <c r="H262" i="1"/>
  <c r="H260" i="1"/>
  <c r="H261" i="1"/>
  <c r="H259" i="1"/>
  <c r="G194" i="1" l="1"/>
  <c r="D109" i="1"/>
  <c r="D108" i="1"/>
  <c r="L107" i="1"/>
  <c r="D107" i="1"/>
  <c r="L106" i="1"/>
  <c r="D106" i="1"/>
  <c r="L105" i="1"/>
  <c r="D105" i="1"/>
  <c r="D104" i="1"/>
  <c r="D103" i="1"/>
  <c r="L102" i="1"/>
  <c r="L103" i="1" s="1"/>
  <c r="L108" i="1" s="1"/>
  <c r="D102" i="1"/>
  <c r="L101" i="1"/>
  <c r="C100" i="1" s="1"/>
  <c r="L100" i="1"/>
  <c r="L99" i="1"/>
  <c r="D100" i="1" l="1"/>
  <c r="L104" i="1"/>
  <c r="L109" i="1" s="1"/>
  <c r="C101" i="1" s="1"/>
  <c r="C127" i="1"/>
  <c r="D101" i="1" l="1"/>
  <c r="F100" i="1"/>
  <c r="K96" i="1" s="1"/>
  <c r="C98" i="1" s="1"/>
  <c r="H100" i="1"/>
  <c r="F3" i="1"/>
  <c r="L411" i="1" l="1"/>
  <c r="K423" i="1"/>
  <c r="M409" i="1" s="1"/>
  <c r="I432" i="1" l="1"/>
  <c r="I425" i="1"/>
  <c r="I418" i="1"/>
  <c r="I411" i="1"/>
  <c r="I404" i="1"/>
  <c r="I397" i="1"/>
  <c r="I390" i="1"/>
  <c r="I383" i="1"/>
  <c r="I377" i="1"/>
  <c r="I368" i="1"/>
  <c r="D435" i="1"/>
  <c r="F435" i="1" s="1"/>
  <c r="H435" i="1" s="1"/>
  <c r="D416" i="1"/>
  <c r="F416" i="1" s="1"/>
  <c r="H416" i="1" s="1"/>
  <c r="D423" i="1"/>
  <c r="F423" i="1" s="1"/>
  <c r="H423" i="1" s="1"/>
  <c r="L412" i="1" s="1"/>
  <c r="D430" i="1"/>
  <c r="F430" i="1" s="1"/>
  <c r="H430" i="1" s="1"/>
  <c r="D402" i="1"/>
  <c r="D394" i="1"/>
  <c r="D395" i="1"/>
  <c r="D388" i="1"/>
  <c r="F388" i="1" s="1"/>
  <c r="H388" i="1" s="1"/>
  <c r="D429" i="1"/>
  <c r="F429" i="1" s="1"/>
  <c r="H429" i="1" s="1"/>
  <c r="D422" i="1"/>
  <c r="F422" i="1" s="1"/>
  <c r="H422" i="1" s="1"/>
  <c r="D415" i="1"/>
  <c r="F415" i="1" s="1"/>
  <c r="H415" i="1" s="1"/>
  <c r="D408" i="1"/>
  <c r="D401" i="1"/>
  <c r="D387" i="1"/>
  <c r="F387" i="1" s="1"/>
  <c r="H387" i="1" s="1"/>
  <c r="D381" i="1"/>
  <c r="F381" i="1" s="1"/>
  <c r="H381" i="1" s="1"/>
  <c r="D393" i="1"/>
  <c r="D428" i="1"/>
  <c r="F428" i="1" s="1"/>
  <c r="H428" i="1" s="1"/>
  <c r="D421" i="1"/>
  <c r="F421" i="1" s="1"/>
  <c r="H421" i="1" s="1"/>
  <c r="D414" i="1"/>
  <c r="F414" i="1" s="1"/>
  <c r="H414" i="1" s="1"/>
  <c r="D407" i="1"/>
  <c r="D400" i="1"/>
  <c r="D386" i="1"/>
  <c r="F386" i="1" s="1"/>
  <c r="H386" i="1" s="1"/>
  <c r="D380" i="1"/>
  <c r="F380" i="1" s="1"/>
  <c r="H380" i="1" s="1"/>
  <c r="D375" i="1"/>
  <c r="F375" i="1" s="1"/>
  <c r="D434" i="1"/>
  <c r="F434" i="1" s="1"/>
  <c r="H434" i="1" s="1"/>
  <c r="D427" i="1"/>
  <c r="F427" i="1" s="1"/>
  <c r="H427" i="1" s="1"/>
  <c r="D420" i="1"/>
  <c r="F420" i="1" s="1"/>
  <c r="H420" i="1" s="1"/>
  <c r="D413" i="1"/>
  <c r="F413" i="1" s="1"/>
  <c r="H413" i="1" s="1"/>
  <c r="D406" i="1"/>
  <c r="D392" i="1"/>
  <c r="D399" i="1"/>
  <c r="D385" i="1"/>
  <c r="F385" i="1" s="1"/>
  <c r="H385" i="1" s="1"/>
  <c r="D379" i="1"/>
  <c r="F379" i="1" s="1"/>
  <c r="H379" i="1" s="1"/>
  <c r="D374" i="1"/>
  <c r="F374" i="1" s="1"/>
  <c r="D433" i="1"/>
  <c r="F433" i="1" s="1"/>
  <c r="H433" i="1" s="1"/>
  <c r="D426" i="1"/>
  <c r="F426" i="1" s="1"/>
  <c r="H426" i="1" s="1"/>
  <c r="D419" i="1"/>
  <c r="F419" i="1" s="1"/>
  <c r="H419" i="1" s="1"/>
  <c r="D412" i="1"/>
  <c r="F412" i="1" s="1"/>
  <c r="H412" i="1" s="1"/>
  <c r="D405" i="1"/>
  <c r="D398" i="1"/>
  <c r="D391" i="1"/>
  <c r="D384" i="1"/>
  <c r="F384" i="1" s="1"/>
  <c r="H384" i="1" s="1"/>
  <c r="D378" i="1"/>
  <c r="F378" i="1" s="1"/>
  <c r="H378" i="1" s="1"/>
  <c r="D373" i="1"/>
  <c r="F373" i="1" s="1"/>
  <c r="D418" i="1"/>
  <c r="F418" i="1" s="1"/>
  <c r="H418" i="1" s="1"/>
  <c r="D425" i="1"/>
  <c r="F425" i="1" s="1"/>
  <c r="H425" i="1" s="1"/>
  <c r="D432" i="1"/>
  <c r="F432" i="1" s="1"/>
  <c r="H432" i="1" s="1"/>
  <c r="D411" i="1"/>
  <c r="F411" i="1" s="1"/>
  <c r="H411" i="1" s="1"/>
  <c r="D390" i="1"/>
  <c r="D397" i="1"/>
  <c r="D383" i="1"/>
  <c r="F383" i="1" s="1"/>
  <c r="H383" i="1" s="1"/>
  <c r="D377" i="1"/>
  <c r="F377" i="1" s="1"/>
  <c r="H377" i="1" s="1"/>
  <c r="D372" i="1"/>
  <c r="G375" i="1"/>
  <c r="G374" i="1"/>
  <c r="G373" i="1"/>
  <c r="D371" i="1"/>
  <c r="D370" i="1"/>
  <c r="D369" i="1"/>
  <c r="D368" i="1"/>
  <c r="I362" i="1"/>
  <c r="I357" i="1"/>
  <c r="I352" i="1"/>
  <c r="I346" i="1"/>
  <c r="I340" i="1"/>
  <c r="I334" i="1"/>
  <c r="I328" i="1"/>
  <c r="I322" i="1"/>
  <c r="D360" i="1"/>
  <c r="F360" i="1" s="1"/>
  <c r="H360" i="1" s="1"/>
  <c r="D355" i="1"/>
  <c r="F355" i="1" s="1"/>
  <c r="H355" i="1" s="1"/>
  <c r="D350" i="1"/>
  <c r="F350" i="1" s="1"/>
  <c r="H350" i="1" s="1"/>
  <c r="D344" i="1"/>
  <c r="D338" i="1"/>
  <c r="D332" i="1"/>
  <c r="D326" i="1"/>
  <c r="D320" i="1"/>
  <c r="D354" i="1"/>
  <c r="F354" i="1" s="1"/>
  <c r="H354" i="1" s="1"/>
  <c r="D349" i="1"/>
  <c r="F349" i="1" s="1"/>
  <c r="H349" i="1" s="1"/>
  <c r="D343" i="1"/>
  <c r="D337" i="1"/>
  <c r="D331" i="1"/>
  <c r="D325" i="1"/>
  <c r="D319" i="1"/>
  <c r="D364" i="1"/>
  <c r="F364" i="1" s="1"/>
  <c r="H364" i="1" s="1"/>
  <c r="D358" i="1"/>
  <c r="F358" i="1" s="1"/>
  <c r="H358" i="1" s="1"/>
  <c r="D353" i="1"/>
  <c r="F353" i="1" s="1"/>
  <c r="H353" i="1" s="1"/>
  <c r="D348" i="1"/>
  <c r="F348" i="1" s="1"/>
  <c r="H348" i="1" s="1"/>
  <c r="D336" i="1"/>
  <c r="D330" i="1"/>
  <c r="D324" i="1"/>
  <c r="D318" i="1"/>
  <c r="D314" i="1"/>
  <c r="D310" i="1"/>
  <c r="D363" i="1"/>
  <c r="F363" i="1" s="1"/>
  <c r="H363" i="1" s="1"/>
  <c r="D352" i="1"/>
  <c r="F352" i="1" s="1"/>
  <c r="H352" i="1" s="1"/>
  <c r="D347" i="1"/>
  <c r="F347" i="1" s="1"/>
  <c r="H347" i="1" s="1"/>
  <c r="D329" i="1"/>
  <c r="D323" i="1"/>
  <c r="D341" i="1"/>
  <c r="D335" i="1"/>
  <c r="D317" i="1"/>
  <c r="D313" i="1"/>
  <c r="D309" i="1"/>
  <c r="D362" i="1"/>
  <c r="F362" i="1" s="1"/>
  <c r="H362" i="1" s="1"/>
  <c r="D328" i="1"/>
  <c r="D322" i="1"/>
  <c r="D346" i="1"/>
  <c r="F346" i="1" s="1"/>
  <c r="H346" i="1" s="1"/>
  <c r="D340" i="1"/>
  <c r="D334" i="1"/>
  <c r="D316" i="1"/>
  <c r="D312" i="1"/>
  <c r="D308" i="1"/>
  <c r="M408" i="1" l="1"/>
  <c r="L421" i="1"/>
  <c r="C189" i="1"/>
  <c r="D189" i="1"/>
  <c r="H373" i="1"/>
  <c r="H374" i="1"/>
  <c r="H375" i="1"/>
  <c r="D302" i="1"/>
  <c r="F302" i="1" s="1"/>
  <c r="H302" i="1" s="1"/>
  <c r="D304" i="1"/>
  <c r="F304" i="1" s="1"/>
  <c r="H304" i="1" s="1"/>
  <c r="D303" i="1"/>
  <c r="F303" i="1" s="1"/>
  <c r="H303" i="1" s="1"/>
  <c r="D300" i="1"/>
  <c r="F300" i="1" s="1"/>
  <c r="H300" i="1" s="1"/>
  <c r="I299" i="1"/>
  <c r="D299" i="1"/>
  <c r="F299" i="1" s="1"/>
  <c r="H299" i="1" s="1"/>
  <c r="D296" i="1"/>
  <c r="F296" i="1" s="1"/>
  <c r="H296" i="1" s="1"/>
  <c r="D295" i="1"/>
  <c r="F295" i="1" s="1"/>
  <c r="H295" i="1" s="1"/>
  <c r="D294" i="1"/>
  <c r="F294" i="1" s="1"/>
  <c r="H294" i="1" s="1"/>
  <c r="D297" i="1"/>
  <c r="F297" i="1" s="1"/>
  <c r="H297" i="1" s="1"/>
  <c r="D293" i="1"/>
  <c r="F293" i="1" s="1"/>
  <c r="H293" i="1" s="1"/>
  <c r="D292" i="1"/>
  <c r="F292" i="1" s="1"/>
  <c r="H292" i="1" s="1"/>
  <c r="D290" i="1"/>
  <c r="F290" i="1" s="1"/>
  <c r="H290" i="1" s="1"/>
  <c r="D289" i="1"/>
  <c r="D288" i="1"/>
  <c r="F288" i="1" s="1"/>
  <c r="H288" i="1" s="1"/>
  <c r="D287" i="1"/>
  <c r="F287" i="1" s="1"/>
  <c r="H287" i="1" s="1"/>
  <c r="D286" i="1"/>
  <c r="F286" i="1" s="1"/>
  <c r="H286" i="1" s="1"/>
  <c r="D285" i="1"/>
  <c r="F285" i="1" s="1"/>
  <c r="H285" i="1" s="1"/>
  <c r="D284" i="1"/>
  <c r="F284" i="1" s="1"/>
  <c r="H284" i="1" s="1"/>
  <c r="D283" i="1"/>
  <c r="F283" i="1" s="1"/>
  <c r="H283" i="1" s="1"/>
  <c r="D281" i="1"/>
  <c r="F281" i="1" s="1"/>
  <c r="H281" i="1" s="1"/>
  <c r="D280" i="1"/>
  <c r="F280" i="1" s="1"/>
  <c r="H280" i="1" s="1"/>
  <c r="D279" i="1"/>
  <c r="F279" i="1" s="1"/>
  <c r="H279" i="1" s="1"/>
  <c r="D278" i="1"/>
  <c r="F278" i="1" s="1"/>
  <c r="H278" i="1" s="1"/>
  <c r="D277" i="1"/>
  <c r="F277" i="1" s="1"/>
  <c r="H277" i="1" s="1"/>
  <c r="D276" i="1"/>
  <c r="I292" i="1"/>
  <c r="I283" i="1"/>
  <c r="I276" i="1"/>
  <c r="I316" i="1"/>
  <c r="I312" i="1"/>
  <c r="I308" i="1"/>
  <c r="D123" i="1"/>
  <c r="L122" i="1"/>
  <c r="D122" i="1"/>
  <c r="L121" i="1"/>
  <c r="D121" i="1"/>
  <c r="L120" i="1"/>
  <c r="D120" i="1"/>
  <c r="L119" i="1"/>
  <c r="D119" i="1"/>
  <c r="D118" i="1"/>
  <c r="D117" i="1"/>
  <c r="L116" i="1"/>
  <c r="L117" i="1" s="1"/>
  <c r="D116" i="1"/>
  <c r="L115" i="1"/>
  <c r="C114" i="1" s="1"/>
  <c r="L114" i="1"/>
  <c r="L113" i="1"/>
  <c r="H48" i="1"/>
  <c r="D195" i="1" l="1"/>
  <c r="C187" i="1"/>
  <c r="F276" i="1"/>
  <c r="H276" i="1" s="1"/>
  <c r="G187" i="1" s="1"/>
  <c r="D188" i="1"/>
  <c r="D187" i="1"/>
  <c r="C195" i="1"/>
  <c r="F289" i="1"/>
  <c r="H289" i="1" s="1"/>
  <c r="G195" i="1" s="1"/>
  <c r="G188" i="1"/>
  <c r="C188" i="1"/>
  <c r="L118" i="1"/>
  <c r="L123" i="1" s="1"/>
  <c r="D114" i="1"/>
  <c r="C115" i="1" l="1"/>
  <c r="L124" i="1"/>
  <c r="C190" i="1"/>
  <c r="D190" i="1"/>
  <c r="L185" i="1"/>
  <c r="D115" i="1"/>
  <c r="F114" i="1"/>
  <c r="H114" i="1"/>
  <c r="H124" i="1" s="1"/>
  <c r="D154" i="1"/>
  <c r="L153" i="1"/>
  <c r="D153" i="1"/>
  <c r="L152" i="1"/>
  <c r="D152" i="1"/>
  <c r="L151" i="1"/>
  <c r="D151" i="1"/>
  <c r="L150" i="1"/>
  <c r="D150" i="1"/>
  <c r="D149" i="1"/>
  <c r="D148" i="1"/>
  <c r="L147" i="1"/>
  <c r="L148" i="1" s="1"/>
  <c r="D147" i="1"/>
  <c r="L146" i="1"/>
  <c r="C145" i="1" s="1"/>
  <c r="D145" i="1" s="1"/>
  <c r="L145" i="1"/>
  <c r="L144" i="1"/>
  <c r="L138" i="1"/>
  <c r="L137" i="1"/>
  <c r="L136" i="1"/>
  <c r="K110" i="1" l="1"/>
  <c r="D124" i="1"/>
  <c r="L149" i="1"/>
  <c r="L154" i="1" s="1"/>
  <c r="C146" i="1" s="1"/>
  <c r="D133" i="1"/>
  <c r="L131" i="1"/>
  <c r="D140" i="1"/>
  <c r="D138" i="1"/>
  <c r="D136" i="1"/>
  <c r="D134" i="1"/>
  <c r="L132" i="1"/>
  <c r="C131" i="1" s="1"/>
  <c r="L130" i="1"/>
  <c r="D139" i="1"/>
  <c r="D137" i="1"/>
  <c r="L133" i="1"/>
  <c r="L134" i="1" s="1"/>
  <c r="D135" i="1"/>
  <c r="C6" i="14"/>
  <c r="G5" i="16"/>
  <c r="G8" i="16"/>
  <c r="G7" i="16"/>
  <c r="G6" i="16"/>
  <c r="P6" i="15"/>
  <c r="D19" i="15" s="1"/>
  <c r="O6" i="15"/>
  <c r="D18" i="15" s="1"/>
  <c r="N6" i="15"/>
  <c r="D17" i="15" s="1"/>
  <c r="D7" i="15"/>
  <c r="M6" i="15"/>
  <c r="D16" i="15" s="1"/>
  <c r="M7" i="15"/>
  <c r="E16" i="15" s="1"/>
  <c r="L6" i="15"/>
  <c r="D15" i="15" s="1"/>
  <c r="F7" i="1"/>
  <c r="J6" i="15"/>
  <c r="J7" i="15" s="1"/>
  <c r="E13" i="15" s="1"/>
  <c r="B4" i="15"/>
  <c r="K7" i="15" s="1"/>
  <c r="E14" i="15" s="1"/>
  <c r="D3" i="15"/>
  <c r="D3" i="14"/>
  <c r="B9" i="14"/>
  <c r="D9" i="14" s="1"/>
  <c r="B8" i="14"/>
  <c r="O6" i="14" s="1"/>
  <c r="D18" i="14" s="1"/>
  <c r="B7" i="14"/>
  <c r="D7" i="14" s="1"/>
  <c r="B6" i="14"/>
  <c r="M7" i="14" s="1"/>
  <c r="E16" i="14" s="1"/>
  <c r="B5" i="14"/>
  <c r="D5" i="14" s="1"/>
  <c r="J6" i="14"/>
  <c r="J7" i="14" s="1"/>
  <c r="E13" i="14" s="1"/>
  <c r="B4" i="14"/>
  <c r="D4" i="14" s="1"/>
  <c r="D13" i="15"/>
  <c r="F408" i="1"/>
  <c r="H408" i="1" s="1"/>
  <c r="F407" i="1"/>
  <c r="H407" i="1" s="1"/>
  <c r="F406" i="1"/>
  <c r="H406" i="1" s="1"/>
  <c r="F402" i="1"/>
  <c r="H402" i="1" s="1"/>
  <c r="F401" i="1"/>
  <c r="H401" i="1" s="1"/>
  <c r="F400" i="1"/>
  <c r="H400" i="1" s="1"/>
  <c r="F399" i="1"/>
  <c r="H399" i="1" s="1"/>
  <c r="F398" i="1"/>
  <c r="H398" i="1" s="1"/>
  <c r="F397" i="1"/>
  <c r="H397" i="1" s="1"/>
  <c r="F395" i="1"/>
  <c r="H395" i="1" s="1"/>
  <c r="F394" i="1"/>
  <c r="H394" i="1" s="1"/>
  <c r="F393" i="1"/>
  <c r="H393" i="1" s="1"/>
  <c r="F392" i="1"/>
  <c r="H392" i="1" s="1"/>
  <c r="F391" i="1"/>
  <c r="F390" i="1"/>
  <c r="H390" i="1" s="1"/>
  <c r="G370" i="1"/>
  <c r="G371" i="1"/>
  <c r="G372" i="1"/>
  <c r="F372" i="1"/>
  <c r="F371" i="1"/>
  <c r="F370" i="1"/>
  <c r="G369" i="1"/>
  <c r="F369" i="1"/>
  <c r="G368" i="1"/>
  <c r="F368" i="1"/>
  <c r="F344" i="1"/>
  <c r="H344" i="1" s="1"/>
  <c r="F343" i="1"/>
  <c r="H343" i="1" s="1"/>
  <c r="F341" i="1"/>
  <c r="H341" i="1" s="1"/>
  <c r="F340" i="1"/>
  <c r="H340" i="1" s="1"/>
  <c r="F338" i="1"/>
  <c r="H338" i="1" s="1"/>
  <c r="F337" i="1"/>
  <c r="H337" i="1" s="1"/>
  <c r="F336" i="1"/>
  <c r="H336" i="1" s="1"/>
  <c r="F335" i="1"/>
  <c r="H335" i="1" s="1"/>
  <c r="F334" i="1"/>
  <c r="H334" i="1" s="1"/>
  <c r="F332" i="1"/>
  <c r="H332" i="1" s="1"/>
  <c r="F331" i="1"/>
  <c r="H331" i="1" s="1"/>
  <c r="F330" i="1"/>
  <c r="H330" i="1" s="1"/>
  <c r="F329" i="1"/>
  <c r="H329" i="1" s="1"/>
  <c r="F328" i="1"/>
  <c r="H328" i="1" s="1"/>
  <c r="F326" i="1"/>
  <c r="H326" i="1" s="1"/>
  <c r="F325" i="1"/>
  <c r="H325" i="1" s="1"/>
  <c r="F324" i="1"/>
  <c r="H324" i="1" s="1"/>
  <c r="F323" i="1"/>
  <c r="H323" i="1" s="1"/>
  <c r="F322" i="1"/>
  <c r="H322" i="1" s="1"/>
  <c r="F320" i="1"/>
  <c r="H320" i="1" s="1"/>
  <c r="F319" i="1"/>
  <c r="H319" i="1" s="1"/>
  <c r="F318" i="1"/>
  <c r="H318" i="1" s="1"/>
  <c r="F317" i="1"/>
  <c r="H317" i="1" s="1"/>
  <c r="F316" i="1"/>
  <c r="H316" i="1" s="1"/>
  <c r="F314" i="1"/>
  <c r="H314" i="1" s="1"/>
  <c r="F313" i="1"/>
  <c r="H313" i="1" s="1"/>
  <c r="F312" i="1"/>
  <c r="H312" i="1" s="1"/>
  <c r="F310" i="1"/>
  <c r="H310" i="1" s="1"/>
  <c r="F309" i="1"/>
  <c r="H309" i="1" s="1"/>
  <c r="F308" i="1"/>
  <c r="H59" i="1"/>
  <c r="G182"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P7" i="15"/>
  <c r="E19" i="15" s="1"/>
  <c r="N7" i="15"/>
  <c r="E17" i="15" s="1"/>
  <c r="D8" i="15"/>
  <c r="O7" i="14"/>
  <c r="E18" i="14" s="1"/>
  <c r="D8" i="14"/>
  <c r="L7" i="15"/>
  <c r="E15" i="15" s="1"/>
  <c r="D9" i="15"/>
  <c r="D6" i="15"/>
  <c r="K6" i="15"/>
  <c r="D14" i="15" s="1"/>
  <c r="D5" i="15"/>
  <c r="O7" i="15"/>
  <c r="E18" i="15" s="1"/>
  <c r="L7" i="14" l="1"/>
  <c r="E15" i="14" s="1"/>
  <c r="L6" i="14"/>
  <c r="D15" i="14" s="1"/>
  <c r="M6" i="14"/>
  <c r="D16" i="14" s="1"/>
  <c r="H391" i="1"/>
  <c r="G9" i="16"/>
  <c r="P7" i="14"/>
  <c r="E19" i="14" s="1"/>
  <c r="D6" i="14"/>
  <c r="P6" i="14"/>
  <c r="D19" i="14" s="1"/>
  <c r="G35" i="13"/>
  <c r="F35" i="13" s="1"/>
  <c r="F34" i="11"/>
  <c r="E34" i="11" s="1"/>
  <c r="K7" i="14"/>
  <c r="E14" i="14" s="1"/>
  <c r="E20" i="14" s="1"/>
  <c r="D20" i="15"/>
  <c r="N7" i="14"/>
  <c r="E17" i="14" s="1"/>
  <c r="K35" i="13"/>
  <c r="J35" i="13" s="1"/>
  <c r="M34" i="11"/>
  <c r="L34" i="11" s="1"/>
  <c r="J34" i="11"/>
  <c r="I34" i="11" s="1"/>
  <c r="N35" i="13"/>
  <c r="M35" i="13" s="1"/>
  <c r="D13" i="14"/>
  <c r="D4" i="15"/>
  <c r="N6" i="14"/>
  <c r="D17" i="14" s="1"/>
  <c r="E20" i="15"/>
  <c r="K6" i="14"/>
  <c r="D14" i="14" s="1"/>
  <c r="D196" i="1"/>
  <c r="C196" i="1"/>
  <c r="F405" i="1"/>
  <c r="H405" i="1" s="1"/>
  <c r="H369" i="1"/>
  <c r="H371" i="1"/>
  <c r="H368" i="1"/>
  <c r="H372" i="1"/>
  <c r="H370" i="1"/>
  <c r="H308" i="1"/>
  <c r="G196" i="1" s="1"/>
  <c r="D146" i="1"/>
  <c r="F145" i="1"/>
  <c r="K141" i="1" s="1"/>
  <c r="H145" i="1"/>
  <c r="L139" i="1"/>
  <c r="L135" i="1"/>
  <c r="D131" i="1"/>
  <c r="D20" i="14" l="1"/>
  <c r="G197" i="1"/>
  <c r="G199" i="1" s="1"/>
  <c r="G189" i="1"/>
  <c r="G190" i="1" s="1"/>
  <c r="D197" i="1"/>
  <c r="D199" i="1" s="1"/>
  <c r="D200" i="1" s="1"/>
  <c r="C197" i="1"/>
  <c r="C199" i="1" s="1"/>
  <c r="C200" i="1" s="1"/>
  <c r="L140" i="1"/>
  <c r="C132" i="1" s="1"/>
  <c r="G200" i="1" l="1"/>
  <c r="F131" i="1"/>
  <c r="K125" i="1" s="1"/>
  <c r="D132" i="1"/>
  <c r="H131" i="1"/>
  <c r="F39" i="1" l="1"/>
</calcChain>
</file>

<file path=xl/sharedStrings.xml><?xml version="1.0" encoding="utf-8"?>
<sst xmlns="http://schemas.openxmlformats.org/spreadsheetml/2006/main" count="994" uniqueCount="381">
  <si>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</si>
  <si>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</si>
  <si>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</si>
  <si>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</si>
  <si>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</si>
  <si>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</si>
  <si>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</si>
  <si>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</si>
  <si>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</si>
  <si>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</si>
  <si>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</si>
  <si>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</si>
  <si>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</si>
  <si>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</si>
  <si>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</si>
  <si>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</si>
  <si>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</si>
  <si>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</si>
  <si>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</si>
  <si>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</si>
  <si>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</si>
  <si>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</si>
  <si>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</si>
  <si>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</si>
  <si>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</si>
  <si>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</si>
  <si>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</si>
  <si>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</si>
  <si>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</si>
  <si>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</si>
  <si>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</si>
  <si>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</si>
  <si>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</si>
  <si>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</si>
  <si>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</si>
  <si>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</si>
  <si>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</si>
  <si>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</si>
  <si>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</si>
  <si>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</si>
  <si>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</si>
  <si>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</si>
  <si>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</si>
  <si>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</si>
  <si>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</si>
  <si>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</si>
  <si>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</si>
  <si>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</si>
  <si>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</si>
  <si>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</si>
  <si>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</si>
  <si>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</si>
  <si>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</si>
  <si>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</si>
  <si>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</si>
  <si>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</si>
  <si>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</si>
  <si>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</si>
  <si>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</si>
  <si>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</si>
  <si>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</si>
  <si>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</si>
  <si>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</si>
  <si>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</si>
  <si>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</si>
  <si>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</si>
  <si>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</si>
  <si>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</si>
  <si>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</si>
  <si>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</si>
  <si>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</si>
  <si>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</si>
  <si>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</si>
  <si>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</si>
  <si>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</si>
  <si>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</si>
  <si>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</si>
  <si>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 xml:space="preserve">Layout Approval No     </t>
  </si>
  <si>
    <t xml:space="preserve">Building plan approval No    </t>
  </si>
  <si>
    <t xml:space="preserve">C.certificate No  </t>
  </si>
  <si>
    <t>Expected Completion</t>
  </si>
  <si>
    <t>Approved no of Floors</t>
  </si>
  <si>
    <t>Development charges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</si>
  <si>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</si>
  <si>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</si>
  <si>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</si>
  <si>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</si>
  <si>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</si>
  <si>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</si>
  <si>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</si>
  <si>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</si>
  <si>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</si>
  <si>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</si>
  <si>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</si>
  <si>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</si>
  <si>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</si>
  <si>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</si>
  <si>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</si>
  <si>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</si>
  <si>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</si>
  <si>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</si>
  <si>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</si>
  <si>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</si>
  <si>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</si>
  <si>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</si>
  <si>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</si>
  <si>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</si>
  <si>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</si>
  <si>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</si>
  <si>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</si>
  <si>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</si>
  <si>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Middle class</t>
  </si>
  <si>
    <t xml:space="preserve"> Saleable area</t>
  </si>
  <si>
    <t>H. No.</t>
  </si>
  <si>
    <t xml:space="preserve">Date of approval: </t>
  </si>
  <si>
    <t>Axis Kalina</t>
  </si>
  <si>
    <t>CHE/107/BP(SPL-CELL)/AMW/337</t>
  </si>
  <si>
    <t>Mumbai</t>
  </si>
  <si>
    <t>400 071</t>
  </si>
  <si>
    <t>28/07/2017.</t>
  </si>
  <si>
    <t>R.C. Chemburkar Marg</t>
  </si>
  <si>
    <t xml:space="preserve">Dreamland Society, Borla, Union Park, Chembur </t>
  </si>
  <si>
    <t xml:space="preserve">1st and 2nd Basment for parking </t>
  </si>
  <si>
    <t>3BHK</t>
  </si>
  <si>
    <t>2BHK</t>
  </si>
  <si>
    <t>1st Floor</t>
  </si>
  <si>
    <t>2nd Floor</t>
  </si>
  <si>
    <t>3rd &amp; 7th Floor</t>
  </si>
  <si>
    <t>5th &amp; 9th Floor</t>
  </si>
  <si>
    <t>4th, 6th &amp; 10th Floor</t>
  </si>
  <si>
    <t>8th Floor</t>
  </si>
  <si>
    <t>Refuge Area</t>
  </si>
  <si>
    <t>4BHK</t>
  </si>
  <si>
    <t>3rd, 5th, 7th &amp; 9th Floor</t>
  </si>
  <si>
    <t>Particulars</t>
  </si>
  <si>
    <t xml:space="preserve">totla floor </t>
  </si>
  <si>
    <t>plinth</t>
  </si>
  <si>
    <t>slab</t>
  </si>
  <si>
    <t>p</t>
  </si>
  <si>
    <t>rcc</t>
  </si>
  <si>
    <t>Bricks</t>
  </si>
  <si>
    <t>Wood &amp; painting</t>
  </si>
  <si>
    <t>Progress</t>
  </si>
  <si>
    <t xml:space="preserve">Bricks </t>
  </si>
  <si>
    <t xml:space="preserve">Recommended </t>
  </si>
  <si>
    <t>plaster</t>
  </si>
  <si>
    <t>Recommended</t>
  </si>
  <si>
    <t xml:space="preserve"> </t>
  </si>
  <si>
    <t>total</t>
  </si>
  <si>
    <t>Google Map :</t>
  </si>
  <si>
    <t>M/s.Joynest Premises Private Limited</t>
  </si>
  <si>
    <t xml:space="preserve">PHOTOGRAPHS OF PROPERTY : Hubtown Seasons. </t>
  </si>
  <si>
    <t>Recommended rate of the flat Per Sq. Ft. ( on Saleable area)</t>
  </si>
  <si>
    <t>Hubtown Seasons</t>
  </si>
  <si>
    <t>Building &amp; Wing</t>
  </si>
  <si>
    <t>No. of Flats</t>
  </si>
  <si>
    <t>Total Gross Carpet Area</t>
  </si>
  <si>
    <t>Total Saleable Area</t>
  </si>
  <si>
    <t>Approved no of units</t>
  </si>
  <si>
    <t>Proposed no of Floors</t>
  </si>
  <si>
    <t>Market Research Data</t>
  </si>
  <si>
    <t>Source</t>
  </si>
  <si>
    <t>Distance from proposed property</t>
  </si>
  <si>
    <t>Net Carpet</t>
  </si>
  <si>
    <t>Saleable Area</t>
  </si>
  <si>
    <t>Rate on Saleable</t>
  </si>
  <si>
    <t>Market Value</t>
  </si>
  <si>
    <t>Magic Brick</t>
  </si>
  <si>
    <t>Average</t>
  </si>
  <si>
    <t xml:space="preserve">Valuation Adopted </t>
  </si>
  <si>
    <t>5BHK</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</si>
  <si>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</si>
  <si>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</si>
  <si>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</si>
  <si>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</si>
  <si>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</si>
  <si>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</si>
  <si>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</si>
  <si>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</si>
  <si>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</si>
  <si>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</si>
  <si>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</si>
  <si>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</si>
  <si>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</si>
  <si>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</si>
  <si>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</si>
  <si>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</si>
  <si>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</si>
  <si>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</si>
  <si>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</si>
  <si>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</si>
  <si>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</si>
  <si>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External Plaster &amp; Plumbing</t>
  </si>
  <si>
    <t>Basement 2</t>
  </si>
  <si>
    <t>Flooring &amp; Fitting</t>
  </si>
  <si>
    <t>Basement 3</t>
  </si>
  <si>
    <t>Painting &amp; Wooden</t>
  </si>
  <si>
    <t>Basement 4</t>
  </si>
  <si>
    <t>Building Common Amenities</t>
  </si>
  <si>
    <t>Plinth in process</t>
  </si>
  <si>
    <t>Possession</t>
  </si>
  <si>
    <t>Plinth completed</t>
  </si>
  <si>
    <t>Ext. Plaster &amp; Plumb</t>
  </si>
  <si>
    <t>RERA No.</t>
  </si>
  <si>
    <t xml:space="preserve">Approval Detail :  D &amp; E Wing </t>
  </si>
  <si>
    <t>Name of the Project as Per RERA</t>
  </si>
  <si>
    <t xml:space="preserve">Valid Up to: </t>
  </si>
  <si>
    <t>Floor</t>
  </si>
  <si>
    <t xml:space="preserve">Dated Valid Up to: </t>
  </si>
  <si>
    <t xml:space="preserve">Residential Area Details : </t>
  </si>
  <si>
    <t>C Wing</t>
  </si>
  <si>
    <t>D Wing</t>
  </si>
  <si>
    <t>C-13</t>
  </si>
  <si>
    <t>C-14</t>
  </si>
  <si>
    <t>C-15</t>
  </si>
  <si>
    <t>C-16</t>
  </si>
  <si>
    <t>C-17</t>
  </si>
  <si>
    <t>C-18</t>
  </si>
  <si>
    <t>Shop</t>
  </si>
  <si>
    <t>Ground Floor For Commercial, Fitness Center &amp; Parking</t>
  </si>
  <si>
    <t>Office</t>
  </si>
  <si>
    <t>1st Floor For Residential, Commercial &amp; Fitness Center</t>
  </si>
  <si>
    <t>Health Care Center</t>
  </si>
  <si>
    <t>GYM</t>
  </si>
  <si>
    <t>2nd to 6th &amp; 8th to 13th Floor</t>
  </si>
  <si>
    <t>7th Floor (Part Refuge Area)</t>
  </si>
  <si>
    <t>Multipurpose</t>
  </si>
  <si>
    <t xml:space="preserve">Commercial Area Details : </t>
  </si>
  <si>
    <t>E Wing</t>
  </si>
  <si>
    <t>Ground Floor Residential &amp; Parking</t>
  </si>
  <si>
    <t>11th Floor</t>
  </si>
  <si>
    <t>12th Floor</t>
  </si>
  <si>
    <t>6BHK 
(Duplex with 13th Floor)</t>
  </si>
  <si>
    <t>4BHK
(Duplex with 13th Floor)</t>
  </si>
  <si>
    <t>13th Floor</t>
  </si>
  <si>
    <t>6BHK 
(Duplex with 12th Floor)</t>
  </si>
  <si>
    <t>4BHK
(Duplex with 12th Floor)</t>
  </si>
  <si>
    <t xml:space="preserve">4BHK </t>
  </si>
  <si>
    <t>14th Floor</t>
  </si>
  <si>
    <t>Flat No. (As per Plan)</t>
  </si>
  <si>
    <t>Ground Floor  For Residential, Commercial &amp; Parking</t>
  </si>
  <si>
    <t>2.5BHK</t>
  </si>
  <si>
    <t>4.5BHK</t>
  </si>
  <si>
    <t>C Wing - Shops</t>
  </si>
  <si>
    <t>C Wing - Offices</t>
  </si>
  <si>
    <t>E Wing - Shops</t>
  </si>
  <si>
    <t>Chembur</t>
  </si>
  <si>
    <t>15500 to 17500</t>
  </si>
  <si>
    <t>sanket</t>
  </si>
  <si>
    <t>cost sheet</t>
  </si>
  <si>
    <t xml:space="preserve">17600 to 18500 </t>
  </si>
  <si>
    <t>verbal</t>
  </si>
  <si>
    <t>2.5 Km from Chembur  Railway Station</t>
  </si>
  <si>
    <t>Recommended rate of the Shop Per Sq. Ft. ( on Saleable area)</t>
  </si>
  <si>
    <t>Recommended rate of the Office Per Sq. Ft. ( on Saleable area)</t>
  </si>
  <si>
    <t>O. Certificate No.:
 D Wing</t>
  </si>
  <si>
    <t>CHE/107/BP (SPL CELL)/AMW/337/OCC/1/New
Approved up to: wing D comprising of part Ground floor + Part 1st floor + 2nd floor to 14th upper floors for residential use</t>
  </si>
  <si>
    <t>Location Link</t>
  </si>
  <si>
    <t>https://goo.gl/maps/iGTsmhncdzV9XAUbA?coh=178572&amp;entry=tt</t>
  </si>
  <si>
    <t>Part O. Certificate No.:</t>
  </si>
  <si>
    <t>CHE/107/BP (SPL CELL)/AMW/337/OCC/1/New
Approved up to: Wing ‘E’ comprising of Part Ground floor (flat no. 1 &amp; 2 only) in continuation to earlier granted Part OCC to building u/r i.e. 2 level basement for parking.</t>
  </si>
  <si>
    <t>Office No. 1031, Wing J, Akshar Business Park, Plot No. 03 Sector 25, Near APMC Market,
Vashi, Navi Mumbai, Maharashtra 400703 TEL: 022-46090378/79/80                                                                                                                            E mail : vsjcapf@gmail.com. Web site : www.vsjadon.com</t>
  </si>
  <si>
    <t>Layout :</t>
  </si>
  <si>
    <t>19.059500,72.896028</t>
  </si>
  <si>
    <t>27.45 M.Ramkrishna Chembukar Marg</t>
  </si>
  <si>
    <t>Ramakrishna Chemburkar Road</t>
  </si>
  <si>
    <t>Postal Colony Road</t>
  </si>
  <si>
    <t>As per Layout</t>
  </si>
  <si>
    <t>18.30 M. D.P Road</t>
  </si>
  <si>
    <t>Other Plot</t>
  </si>
  <si>
    <t>Open Plot</t>
  </si>
  <si>
    <t>Re-endorsement C.C. for Wing ‘A’ &amp; ‘C’ up to top of 13th floor +LMR+OHT i.e. total height 48.82 mtr. &amp; 48.22 mtr. AGL respectively and further CC of wing ‘B’ up to top of 12th floor i.e. height 43.15 mtr. AGL</t>
  </si>
  <si>
    <t xml:space="preserve">Wing E = 2B + Gr + 1st to 14th Floor </t>
  </si>
  <si>
    <t>Commencement date of construction</t>
  </si>
  <si>
    <t>Wing B</t>
  </si>
  <si>
    <t>Wing C</t>
  </si>
  <si>
    <t>Wing D</t>
  </si>
  <si>
    <t>Wing E</t>
  </si>
  <si>
    <t xml:space="preserve">Expected Completion </t>
  </si>
  <si>
    <t>B Wing</t>
  </si>
  <si>
    <t>8th Floor (Part Refuge Area)</t>
  </si>
  <si>
    <t>-</t>
  </si>
  <si>
    <t xml:space="preserve"> B Wing </t>
  </si>
  <si>
    <t>Completed</t>
  </si>
  <si>
    <t>Approved Plans &amp; CC</t>
  </si>
  <si>
    <t>Plot No</t>
  </si>
  <si>
    <t>469A, 469-1 to 152 of Sub Plot E</t>
  </si>
  <si>
    <t>Chembur West</t>
  </si>
  <si>
    <t>Site Person - Contact Details (Name &amp; Contact No.)</t>
  </si>
  <si>
    <t>Total Approved Builtup area of the project in Sq. Mt.</t>
  </si>
  <si>
    <t xml:space="preserve">1st Basment For parking </t>
  </si>
  <si>
    <t xml:space="preserve">B Wing  = 1B + Gr + 1st to 14th Floor </t>
  </si>
  <si>
    <t>3rd, 5th, 7th, 9th, 11th &amp; 13th Floor</t>
  </si>
  <si>
    <t>Ground Floor  For Entrance Lobby, Fitness Center &amp; Meter Room</t>
  </si>
  <si>
    <t>2nd, 4th, 6th, 10th, 12th &amp; 14th Floor For Residential</t>
  </si>
  <si>
    <t>1st Floor For Residential &amp; (Part BMS Room &amp; Society Office)</t>
  </si>
  <si>
    <t>BMS Room &amp; Society Office</t>
  </si>
  <si>
    <t>P-4399/2019/(469)/M/W
Ward/CHEMBURW/337/1/Amend</t>
  </si>
  <si>
    <t>P-4399/2019/(469)/M/W
Ward/CHEMBUR-W/337/1/Amend</t>
  </si>
  <si>
    <t xml:space="preserve">Approval Detail :  C Wing </t>
  </si>
  <si>
    <t>P-4399/2019/(469)/M/W
Ward/CHEMBUR-W/337/1/New</t>
  </si>
  <si>
    <t>18500 to 23000</t>
  </si>
  <si>
    <t>Viraj</t>
  </si>
  <si>
    <t>8L to 10L</t>
  </si>
  <si>
    <t>CHE/107/BP (SPL CELL)/AMW/337/OCC/3/New
Approved up to: Wing ‘E’ comprising of Part Ground Floor (Flat no.03) + 1st to 13th floors + 14th floor part (i.e. excluding flat no.01 &amp; 03) + LMR/OHT for Residential use</t>
  </si>
  <si>
    <t>CHE/107/BP (SPL CELL)/AMW/337/FCC/6/Amend</t>
  </si>
  <si>
    <t>CC is re-endorsed for building u/r up to top of 14th floor +LMR + OHT+ Parapet Wall i.e. top of ht. 48.75 mt. AGL as per last approved plans dated 25.10.2022.</t>
  </si>
  <si>
    <t>P-4399/2019/469/M/W Ward/CHEMBUR-W/337/1/New</t>
  </si>
  <si>
    <t>P-4399/2019/(469)/M/W Ward/CHEMBUR-W/FCC/3/Amend</t>
  </si>
  <si>
    <t>Wing A</t>
  </si>
  <si>
    <t>A Wing</t>
  </si>
  <si>
    <t xml:space="preserve">2nd to 1st Basement Floor For parking </t>
  </si>
  <si>
    <t>A-1</t>
  </si>
  <si>
    <t>A-2</t>
  </si>
  <si>
    <t>A-3</t>
  </si>
  <si>
    <t>A-4</t>
  </si>
  <si>
    <t>A-5</t>
  </si>
  <si>
    <t>A-6</t>
  </si>
  <si>
    <t>A-7</t>
  </si>
  <si>
    <t>A-8</t>
  </si>
  <si>
    <t>A-9</t>
  </si>
  <si>
    <t>A-10</t>
  </si>
  <si>
    <t>A-11</t>
  </si>
  <si>
    <t>A-12</t>
  </si>
  <si>
    <t>Ground Floor For Commercial &amp; Meter Room</t>
  </si>
  <si>
    <t>Service Floor between 1st &amp; 2nd Floor</t>
  </si>
  <si>
    <t>A Wing - Shops</t>
  </si>
  <si>
    <t xml:space="preserve"> A Wing </t>
  </si>
  <si>
    <t xml:space="preserve">2nd to 1st Basment for parking </t>
  </si>
  <si>
    <t>Building Names as per approved plans</t>
  </si>
  <si>
    <t>Building Names as per Rera</t>
  </si>
  <si>
    <t>Hubtown Seasons - Ardennes</t>
  </si>
  <si>
    <t>Hubtown Seasons Czarnowo</t>
  </si>
  <si>
    <t>Hubtown Seasons - Daintree</t>
  </si>
  <si>
    <t>Hubtown Seasons - Ecuador Cloud</t>
  </si>
  <si>
    <t xml:space="preserve">Approval Detail : A &amp; B Wing </t>
  </si>
  <si>
    <t>2nd, 4th, 6th, 8th, 10th, 12th Floor for Residential</t>
  </si>
  <si>
    <t>3rd, 5th, 9th, 11th &amp; 13th Floor for Residential</t>
  </si>
  <si>
    <t>1st Floor For Commercial</t>
  </si>
  <si>
    <t>C-19</t>
  </si>
  <si>
    <t>C-20</t>
  </si>
  <si>
    <t>C-21</t>
  </si>
  <si>
    <t>C-22</t>
  </si>
  <si>
    <t>C-23</t>
  </si>
  <si>
    <t>C-24</t>
  </si>
  <si>
    <t>A Wing - Offices</t>
  </si>
  <si>
    <t>Re endorsement of the C.C. upto 13th floor &amp; C.C. upto top of 14th floor + LMR +OHT for wing
‘F’ (i.e. ht. 49.32 mt. AGL) as per approved plans dated 29/04/2024.</t>
  </si>
  <si>
    <t>06 Wings</t>
  </si>
  <si>
    <t>Approved Builtup Area of the building in Sq.Mt A to F</t>
  </si>
  <si>
    <t>Ground Floor For Entrance Lobby, Fitness Center, Society Office, Meter Room &amp; Parking</t>
  </si>
  <si>
    <t>1st Floor For Residential</t>
  </si>
  <si>
    <t>Entrance Lobby Below</t>
  </si>
  <si>
    <t>4th, 6th, 10th, 12th &amp; 14th Floor</t>
  </si>
  <si>
    <t>A Wing = P51800032784
B Wing = P51800008552
C Wing = P51800003012
D Wing = P51800002373
E Wing = P51800004432
F Wing = P51800052444</t>
  </si>
  <si>
    <t>18. As per latest approved floor plans, In Wing A, @1st floor office &amp; clinic numberings are no mentioned. So we have not drafted commercial area.
13. Please check for Environment Clearance Certificate.
8. On site, we meet Mr. Tejas - 865786975.</t>
  </si>
  <si>
    <t>F Wing</t>
  </si>
  <si>
    <t>Flats - 372, Shops - 22, Offices - 12</t>
  </si>
  <si>
    <t>Mr. Ranjan 75064 27081 (Sales Manager)</t>
  </si>
  <si>
    <t>Hubtown Seasons, Plot No.469-A, 496-1 to 152, Of Sub Plot-E, R.C. Chemburkar Marg, Chembur (East), Mumbai.</t>
  </si>
  <si>
    <t>A Wing = Hubtown Seasons - Ardennes
B Wing = Hubtown Seasons 
C Wing = Hubtown Seasons Czarnowo
D Wing = Hubtown Seasons - Daintree
E Wing = Hubtown Seasons - Ecuador Cloud
F Wing = Seasons Wing F (Friston)</t>
  </si>
  <si>
    <t>Wing F</t>
  </si>
  <si>
    <t>Seasons Wing F (Friston)</t>
  </si>
  <si>
    <t xml:space="preserve">Commencement-CC No
Valid Up to: 
</t>
  </si>
  <si>
    <t xml:space="preserve"> P-12262/2022/(. 469-A And Other)/M/W Ward/CHEMBUR-W/337/2/Amend</t>
  </si>
  <si>
    <t>P-12262/2022/(. 469-A And Other)/M/W
Ward/CHEMBUR-W/FCC/1/Amend</t>
  </si>
  <si>
    <t>Bldg No.1 (A Wing) = 2B + Gr/Stilt + 1st Floor + Service Floor + 2nd to 13th Floor
Bldg No.1 (B Wing)  = 1B + Gr + 1st to 14th Floor 
Bldg No.1 (C Wing) = 2B + Gr  + 1st to 13th Floor 
Bldg No.2 (D &amp; E Wing) = 2B + Gr + 1st to 14th Floor 
Bldg No.3 (F Wing) = G + 1st to 14th Floor</t>
  </si>
  <si>
    <t xml:space="preserve">Approval Detail : F Wing </t>
  </si>
  <si>
    <t xml:space="preserve">Wing F  = G + 1st to 14th Floor </t>
  </si>
  <si>
    <t xml:space="preserve">Wing F </t>
  </si>
  <si>
    <t>21. Building Names clarifications :</t>
  </si>
  <si>
    <t>Hubtown Seasons (Wing A to F)</t>
  </si>
  <si>
    <t>Grand Total</t>
  </si>
  <si>
    <t>A Wing = 2B + Gr/Stilt + 1st Floor + Service Floor + 2nd to 13th Floor</t>
  </si>
  <si>
    <t>P-4399/2019/(469)/M/W Ward/CHEMBUR-W/FCC/4/Amend</t>
  </si>
  <si>
    <t>Further CC to Wing B up to top of 14th floor ( ht. 47.05mt AGL) + LMR/OHT ( total ht. 49.72mt) i.e. full C.C. to Building no. 1 as per last approved plans dated 28.04.2023.</t>
  </si>
  <si>
    <t xml:space="preserve">Bldg No.1 (A Wing) = 2B + Gr/Stilt + 1st Floor + Service Floor + 2nd to 13th Floor
Bldg No.1 (B Wing)  = 1B + Gr + 1st to 14th Floor 
Bldg No.1 (C Wing) = 2B + Gr + 1st to 13th Floor
Bldg No.2 (D &amp; E Wing)  = 2B + Gr + 1st to 14th Floor
Bldg No. 3 (F Wing) = G + 1st to 14th Floor </t>
  </si>
  <si>
    <t xml:space="preserve">Wing C =  2B + Gr + 1st to 13th Floor </t>
  </si>
  <si>
    <t xml:space="preserve">Part O. Certificate No.:
</t>
  </si>
  <si>
    <t>P-4399/2019/(469)/M/W Ward/CHEMBUR-W/OCC/1/New
Wing ‘C’ comprising of balance Ground floor (pt) for fitness center + balance 1st floor + Service floor + 2nd to 13th floor for residential use including LMR+OHT with total height 48.22 m AGL in continuation to earlier granted OCC to the Ground floor (pt) + First floor (pt) of commercial area of wing A &amp; C.</t>
  </si>
  <si>
    <t xml:space="preserve">Wing D = 2B + Gr + 1st to 14th Floor 
Wing E = 2B + Gr + 1st to 14th Floor </t>
  </si>
  <si>
    <r>
      <t>Remarks:  
1. Wing A, B &amp; F = Construction work was in process at the time of visit.(Internal photographs was not allowed.)
    Wing C, D &amp; E = All work Completed. OC Received.
2. We considered saleable area as per our calculation.
3. Car parking is subjected to authentic documentation.
4.We have considered rate by verifying it from market inquire.
5. Wing D &amp; E - We have considered construction percent as per proposed no of floors (1stB + 2nd B + Gr.+14th Floor) because construction work goes beyond approved no of floors(1stB + 2nd B + Gr.+10th Floor).
6. We have updated revised approved floor plan of C, D &amp; E Wings (on 01/07/2022).
7.  We have updated revised CC of C Wing (on 19/09/2022).
8.  We have updated OC For D wing refered from MCGM site (on 06/02/2023).
9. We have updated latest CC from MCGM site for Wing C &amp; E (On 04/10/2023).
10. We have updated Part OC from MCGM site for Wing E (On 04/10/2023). 
11. We have added Wing B from MCGM Site on 16/04/2024.
12. We have we have updated revised approved CC from MCGM site on 16/04/2024.
13. Recommended Rates/Other Charges of the Property have been revised on 27/04/2024.
14. We have updated Part OC for Wing E (On 03/07/2024).
15. We have updated latest CC for Wing D &amp; E (On 03/07/2024).
16. We have updated latest approved floor plans for Wing A (On 03/08/2024).
17. We have added Wing F on 30/12/2024.
18. We have referred latest approved plan of Wing F from MCGM site on 31/12/2024
19. Please check for Environment Clearance Certificate &amp; Fire NOC.
20. We have updated OC of Wing C from MCGM Site on 07/06/2025.
21. We have updated CC of Wing B from MCGM Site on 07/06/2025.
22. Validity of CC for Wing A is expired on 26/02/2025. Please provide latest CC.
20</t>
    </r>
    <r>
      <rPr>
        <b/>
        <sz val="11"/>
        <color rgb="FFFF0000"/>
        <rFont val="Times New Roman"/>
        <family val="1"/>
      </rPr>
      <t>As per RERA, completion period of project Hubtown Seasons - Ecuador Cloud is expired on 30/12/2024 but still project work is pending</t>
    </r>
    <r>
      <rPr>
        <b/>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</si>
</sst>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rgb="FFFF0000"/>
      <name val="Calibri"/>
      <family val="2"/>
    </font>
    <font>
      <b/>
      <sz val="14"/>
      <color rgb="FFFF0000"/>
      <name val="Calibri"/>
      <family val="2"/>
      <scheme val="minor"/>
    </font>
    <font>
      <sz val="14"/>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
      <sz val="11"/>
      <name val="Calibri"/>
      <family val="2"/>
      <scheme val="minor"/>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1" fillId="0" borderId="0"/>
    <xf numFmtId="0" fontId="11" fillId="0" borderId="0"/>
    <xf numFmtId="0" fontId="23" fillId="0" borderId="0" applyNumberFormat="0" applyFill="0" applyBorder="0" applyAlignment="0" applyProtection="0"/>
  </cellStyleXfs>
  <cellXfs count="362">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10" fillId="0" borderId="2" xfId="0" applyNumberFormat="1" applyFont="1" applyBorder="1" applyAlignment="1">
      <alignment horizontal="center" vertical="center" wrapText="1"/>
    </xf>
    <xf numFmtId="0" fontId="9" fillId="0" borderId="1" xfId="0" applyFont="1" applyBorder="1" applyAlignment="1">
      <alignment vertical="top"/>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0" fillId="0" borderId="0" xfId="0" applyNumberFormat="1"/>
    <xf numFmtId="0" fontId="14" fillId="0" borderId="0" xfId="0" applyFont="1"/>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 fillId="0" borderId="0" xfId="3"/>
    <xf numFmtId="0" fontId="11" fillId="0" borderId="0" xfId="4"/>
    <xf numFmtId="0" fontId="12" fillId="0" borderId="2" xfId="4" applyFont="1" applyBorder="1" applyAlignment="1">
      <alignment horizontal="center" vertical="top" wrapText="1"/>
    </xf>
    <xf numFmtId="0" fontId="11" fillId="0" borderId="2" xfId="4" applyBorder="1" applyAlignment="1">
      <alignment horizontal="center" vertical="center"/>
    </xf>
    <xf numFmtId="1" fontId="11" fillId="0" borderId="2" xfId="4" applyNumberFormat="1" applyBorder="1" applyAlignment="1">
      <alignment horizontal="center" vertical="center"/>
    </xf>
    <xf numFmtId="165" fontId="11" fillId="0" borderId="2" xfId="1" applyNumberFormat="1" applyFont="1" applyBorder="1" applyAlignment="1">
      <alignment horizontal="right" vertical="center"/>
    </xf>
    <xf numFmtId="0" fontId="12" fillId="0" borderId="2" xfId="4" applyFont="1" applyBorder="1" applyAlignment="1">
      <alignment horizontal="center" vertical="center"/>
    </xf>
    <xf numFmtId="1" fontId="13" fillId="0" borderId="2" xfId="4" applyNumberFormat="1" applyFont="1" applyBorder="1" applyAlignment="1">
      <alignment horizontal="center" vertical="center"/>
    </xf>
    <xf numFmtId="0" fontId="1" fillId="0" borderId="2" xfId="3" applyBorder="1" applyAlignment="1">
      <alignment horizontal="center" vertical="center"/>
    </xf>
    <xf numFmtId="0" fontId="16" fillId="0" borderId="0" xfId="3" applyFont="1"/>
    <xf numFmtId="0" fontId="11" fillId="0" borderId="2" xfId="4" applyBorder="1" applyAlignment="1">
      <alignment horizontal="left" vertical="center"/>
    </xf>
    <xf numFmtId="0" fontId="19" fillId="0" borderId="19" xfId="5" applyFont="1" applyBorder="1" applyProtection="1">
      <protection hidden="1"/>
    </xf>
    <xf numFmtId="0" fontId="19" fillId="0" borderId="20" xfId="5" applyFont="1" applyBorder="1" applyProtection="1">
      <protection hidden="1"/>
    </xf>
    <xf numFmtId="0" fontId="20" fillId="0" borderId="21"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0" fontId="19" fillId="0" borderId="0" xfId="5" applyFont="1" applyProtection="1">
      <protection hidden="1"/>
    </xf>
    <xf numFmtId="0" fontId="19" fillId="0" borderId="23" xfId="5" applyFont="1" applyBorder="1" applyProtection="1">
      <protection hidden="1"/>
    </xf>
    <xf numFmtId="0" fontId="22" fillId="0" borderId="0" xfId="0" applyFont="1" applyProtection="1">
      <protection hidden="1"/>
    </xf>
    <xf numFmtId="0" fontId="19" fillId="0" borderId="23" xfId="5" applyFont="1" applyBorder="1"/>
    <xf numFmtId="0" fontId="22"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2" fillId="0" borderId="32" xfId="0" applyFont="1" applyBorder="1" applyProtection="1">
      <protection hidden="1"/>
    </xf>
    <xf numFmtId="1" fontId="0" fillId="0" borderId="33" xfId="0" applyNumberFormat="1" applyBorder="1"/>
    <xf numFmtId="0" fontId="20" fillId="0" borderId="2" xfId="5" applyFont="1" applyBorder="1" applyAlignment="1" applyProtection="1">
      <alignment horizontal="center" vertical="top" wrapText="1"/>
      <protection locked="0"/>
    </xf>
    <xf numFmtId="0" fontId="20" fillId="0" borderId="2" xfId="5" applyFont="1" applyBorder="1" applyAlignment="1" applyProtection="1">
      <alignment horizontal="center" wrapText="1"/>
      <protection locked="0"/>
    </xf>
    <xf numFmtId="1" fontId="20" fillId="0" borderId="2" xfId="5" applyNumberFormat="1" applyFont="1" applyBorder="1" applyAlignment="1" applyProtection="1">
      <alignment horizontal="center" wrapText="1"/>
      <protection locked="0"/>
    </xf>
    <xf numFmtId="0" fontId="20" fillId="0" borderId="28" xfId="5" applyFont="1" applyBorder="1" applyAlignment="1" applyProtection="1">
      <alignment horizontal="center" wrapText="1"/>
      <protection locked="0"/>
    </xf>
    <xf numFmtId="1" fontId="10" fillId="0" borderId="1"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4" fillId="2" borderId="2" xfId="0" applyFont="1" applyFill="1" applyBorder="1" applyAlignment="1">
      <alignment vertical="top" wrapText="1"/>
    </xf>
    <xf numFmtId="1" fontId="10" fillId="0" borderId="13" xfId="0" applyNumberFormat="1" applyFont="1" applyBorder="1" applyAlignment="1">
      <alignment horizontal="center" vertical="center" wrapText="1"/>
    </xf>
    <xf numFmtId="1" fontId="15" fillId="0" borderId="2" xfId="0" applyNumberFormat="1" applyFont="1" applyBorder="1" applyAlignment="1">
      <alignment horizontal="center" vertical="center"/>
    </xf>
    <xf numFmtId="1" fontId="14" fillId="0" borderId="2" xfId="0" applyNumberFormat="1" applyFont="1" applyBorder="1" applyAlignment="1">
      <alignment horizontal="center" vertical="center"/>
    </xf>
    <xf numFmtId="0" fontId="0" fillId="3" borderId="0" xfId="0" applyFill="1"/>
    <xf numFmtId="14" fontId="0" fillId="3" borderId="0" xfId="0" applyNumberFormat="1" applyFill="1"/>
    <xf numFmtId="0" fontId="3" fillId="2" borderId="2" xfId="0" applyFont="1" applyFill="1" applyBorder="1" applyAlignment="1">
      <alignment vertical="top"/>
    </xf>
    <xf numFmtId="0" fontId="12" fillId="0" borderId="0" xfId="0" applyFont="1"/>
    <xf numFmtId="0" fontId="21" fillId="0" borderId="22" xfId="5" applyFont="1" applyBorder="1" applyAlignment="1" applyProtection="1">
      <alignment horizontal="left" vertical="top" wrapText="1"/>
      <protection locked="0"/>
    </xf>
    <xf numFmtId="0" fontId="4" fillId="0" borderId="6" xfId="0" applyFont="1" applyBorder="1" applyAlignment="1">
      <alignment horizontal="left" vertical="top"/>
    </xf>
    <xf numFmtId="0" fontId="17" fillId="0" borderId="0" xfId="0" applyFont="1"/>
    <xf numFmtId="0" fontId="9" fillId="0" borderId="2" xfId="0" applyFont="1" applyBorder="1" applyAlignment="1">
      <alignment vertical="top" wrapText="1"/>
    </xf>
    <xf numFmtId="0" fontId="9" fillId="0" borderId="6" xfId="0" applyFont="1" applyBorder="1" applyAlignment="1">
      <alignment horizontal="center" vertical="top"/>
    </xf>
    <xf numFmtId="1" fontId="10" fillId="0" borderId="9" xfId="0" applyNumberFormat="1" applyFont="1" applyBorder="1" applyAlignment="1">
      <alignment vertical="center" wrapText="1"/>
    </xf>
    <xf numFmtId="1" fontId="10" fillId="0" borderId="11" xfId="0" applyNumberFormat="1" applyFont="1" applyBorder="1" applyAlignment="1">
      <alignment vertical="center" wrapText="1"/>
    </xf>
    <xf numFmtId="1" fontId="19" fillId="0" borderId="2" xfId="0" applyNumberFormat="1" applyFont="1" applyBorder="1" applyAlignment="1">
      <alignment horizontal="center" vertical="center"/>
    </xf>
    <xf numFmtId="1" fontId="19" fillId="0" borderId="2" xfId="0" applyNumberFormat="1" applyFont="1" applyBorder="1" applyAlignment="1">
      <alignment horizontal="center"/>
    </xf>
    <xf numFmtId="0" fontId="1" fillId="0" borderId="0" xfId="2" applyFont="1"/>
    <xf numFmtId="14" fontId="2" fillId="0" borderId="0" xfId="2" applyNumberFormat="1"/>
    <xf numFmtId="0" fontId="4" fillId="0" borderId="6" xfId="0" applyFont="1" applyBorder="1" applyAlignment="1">
      <alignment vertical="top"/>
    </xf>
    <xf numFmtId="0" fontId="3" fillId="2" borderId="9" xfId="0" applyFont="1" applyFill="1" applyBorder="1" applyAlignment="1">
      <alignment horizontal="left" vertical="top"/>
    </xf>
    <xf numFmtId="0" fontId="9" fillId="0" borderId="2" xfId="0" applyFont="1" applyBorder="1" applyAlignment="1">
      <alignment horizontal="left" vertical="center" wrapText="1"/>
    </xf>
    <xf numFmtId="2" fontId="0" fillId="0" borderId="0" xfId="0" applyNumberFormat="1"/>
    <xf numFmtId="1" fontId="2" fillId="0" borderId="0" xfId="2" applyNumberFormat="1"/>
    <xf numFmtId="0" fontId="9" fillId="0" borderId="6" xfId="0" applyFont="1" applyBorder="1" applyAlignment="1">
      <alignment vertical="top"/>
    </xf>
    <xf numFmtId="0" fontId="4" fillId="0" borderId="5" xfId="0" applyFont="1" applyBorder="1" applyAlignment="1">
      <alignment horizontal="center" vertical="top"/>
    </xf>
    <xf numFmtId="0" fontId="20" fillId="0" borderId="2" xfId="5" applyFont="1" applyBorder="1" applyAlignment="1" applyProtection="1">
      <alignment horizontal="center" vertical="top" wrapText="1"/>
      <protection locked="0"/>
    </xf>
    <xf numFmtId="0" fontId="20" fillId="0" borderId="21"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1" fontId="10" fillId="0" borderId="2" xfId="0" applyNumberFormat="1" applyFont="1" applyBorder="1" applyAlignment="1">
      <alignment horizontal="center" vertical="center" wrapText="1"/>
    </xf>
    <xf numFmtId="0" fontId="4" fillId="0" borderId="2" xfId="0" applyFont="1" applyFill="1" applyBorder="1" applyAlignment="1">
      <alignment vertical="top"/>
    </xf>
    <xf numFmtId="0" fontId="4" fillId="0" borderId="2" xfId="0" applyFont="1" applyFill="1" applyBorder="1" applyAlignment="1">
      <alignment vertical="top" wrapText="1"/>
    </xf>
    <xf numFmtId="0" fontId="9" fillId="0" borderId="2" xfId="0" applyFont="1" applyBorder="1" applyAlignment="1">
      <alignment horizontal="center" vertical="center"/>
    </xf>
    <xf numFmtId="0" fontId="15" fillId="0" borderId="2" xfId="0" applyFont="1" applyBorder="1" applyAlignment="1">
      <alignment horizontal="left" vertical="center" wrapText="1"/>
    </xf>
    <xf numFmtId="0" fontId="21" fillId="0" borderId="22" xfId="5" applyFont="1" applyBorder="1" applyAlignment="1" applyProtection="1">
      <alignment horizontal="left" vertical="top" wrapText="1"/>
      <protection locked="0"/>
    </xf>
    <xf numFmtId="9" fontId="20" fillId="2" borderId="23" xfId="5" applyNumberFormat="1" applyFont="1" applyFill="1" applyBorder="1" applyAlignment="1" applyProtection="1">
      <alignment horizontal="center" vertical="center" wrapText="1"/>
      <protection hidden="1"/>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1" fontId="15" fillId="0" borderId="1" xfId="0" applyNumberFormat="1" applyFont="1" applyBorder="1" applyAlignment="1">
      <alignment horizontal="center" vertical="top" wrapText="1"/>
    </xf>
    <xf numFmtId="1" fontId="15" fillId="0" borderId="5"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 fontId="4" fillId="0" borderId="5"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1" fontId="6"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6" fillId="4" borderId="1" xfId="0" applyNumberFormat="1" applyFont="1" applyFill="1" applyBorder="1" applyAlignment="1">
      <alignment horizontal="center" vertical="center" wrapText="1"/>
    </xf>
    <xf numFmtId="1" fontId="6" fillId="4" borderId="5" xfId="0" applyNumberFormat="1" applyFont="1" applyFill="1" applyBorder="1" applyAlignment="1">
      <alignment horizontal="center" vertical="center" wrapText="1"/>
    </xf>
    <xf numFmtId="1" fontId="6" fillId="4" borderId="6" xfId="0" applyNumberFormat="1" applyFont="1" applyFill="1" applyBorder="1" applyAlignment="1">
      <alignment horizontal="center" vertical="center"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5" xfId="0" applyNumberFormat="1" applyFont="1" applyFill="1" applyBorder="1" applyAlignment="1">
      <alignment horizontal="center" vertical="top" wrapText="1"/>
    </xf>
    <xf numFmtId="1" fontId="6" fillId="4" borderId="6" xfId="0" applyNumberFormat="1" applyFont="1" applyFill="1" applyBorder="1" applyAlignment="1">
      <alignment horizontal="center" vertical="top" wrapText="1"/>
    </xf>
    <xf numFmtId="1" fontId="10" fillId="0" borderId="2" xfId="0" applyNumberFormat="1" applyFont="1" applyBorder="1" applyAlignment="1">
      <alignment horizontal="center" vertic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3" fillId="0" borderId="1"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14" fontId="15" fillId="0" borderId="1" xfId="0" applyNumberFormat="1" applyFont="1" applyBorder="1" applyAlignment="1">
      <alignment horizontal="left" vertical="top"/>
    </xf>
    <xf numFmtId="14" fontId="15" fillId="0" borderId="5" xfId="0" applyNumberFormat="1" applyFont="1" applyBorder="1" applyAlignment="1">
      <alignment horizontal="left" vertical="top"/>
    </xf>
    <xf numFmtId="14" fontId="15" fillId="0" borderId="6" xfId="0" applyNumberFormat="1" applyFont="1" applyBorder="1" applyAlignment="1">
      <alignment horizontal="left" vertical="top"/>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5" fillId="0" borderId="5" xfId="0" applyFont="1" applyBorder="1" applyAlignment="1">
      <alignment vertical="top"/>
    </xf>
    <xf numFmtId="0" fontId="5" fillId="0" borderId="6" xfId="0" applyFont="1" applyBorder="1" applyAlignment="1">
      <alignmen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9" fillId="0" borderId="2" xfId="0" applyFont="1" applyBorder="1" applyAlignment="1">
      <alignment horizontal="left" vertical="top"/>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5" xfId="0" applyFont="1" applyBorder="1" applyAlignment="1">
      <alignment horizontal="left" vertical="top"/>
    </xf>
    <xf numFmtId="0" fontId="4" fillId="0" borderId="2" xfId="0" applyFont="1" applyBorder="1" applyAlignment="1">
      <alignment horizontal="left" vertical="top"/>
    </xf>
    <xf numFmtId="0" fontId="15" fillId="0" borderId="6" xfId="0" applyFont="1" applyBorder="1" applyAlignment="1">
      <alignment horizontal="left" vertical="top"/>
    </xf>
    <xf numFmtId="0" fontId="23" fillId="0" borderId="1" xfId="6" applyBorder="1" applyAlignment="1">
      <alignment horizontal="left" vertical="top"/>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166" fontId="9" fillId="0" borderId="1" xfId="0" applyNumberFormat="1" applyFont="1" applyBorder="1" applyAlignment="1">
      <alignment horizontal="left" vertical="top"/>
    </xf>
    <xf numFmtId="166" fontId="9" fillId="0" borderId="5" xfId="0" applyNumberFormat="1" applyFont="1" applyBorder="1" applyAlignment="1">
      <alignment horizontal="left" vertical="top"/>
    </xf>
    <xf numFmtId="166" fontId="9" fillId="0" borderId="6" xfId="0" applyNumberFormat="1" applyFont="1" applyBorder="1" applyAlignment="1">
      <alignment horizontal="left" vertical="top"/>
    </xf>
    <xf numFmtId="14" fontId="4" fillId="2" borderId="1" xfId="0" applyNumberFormat="1" applyFont="1" applyFill="1" applyBorder="1" applyAlignment="1">
      <alignment horizontal="left" vertical="top"/>
    </xf>
    <xf numFmtId="14" fontId="4" fillId="2" borderId="5" xfId="0" applyNumberFormat="1" applyFont="1" applyFill="1" applyBorder="1" applyAlignment="1">
      <alignment horizontal="left" vertical="top"/>
    </xf>
    <xf numFmtId="14" fontId="4" fillId="2" borderId="6" xfId="0" applyNumberFormat="1" applyFont="1" applyFill="1" applyBorder="1" applyAlignment="1">
      <alignment horizontal="left" vertical="top"/>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14" fontId="9" fillId="0" borderId="1" xfId="0" applyNumberFormat="1" applyFont="1" applyBorder="1" applyAlignment="1">
      <alignment horizontal="center" vertical="center"/>
    </xf>
    <xf numFmtId="14" fontId="9" fillId="0" borderId="6" xfId="0" applyNumberFormat="1"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14" fontId="3" fillId="2" borderId="1" xfId="0" applyNumberFormat="1"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20" fillId="0" borderId="2" xfId="5" applyFont="1" applyBorder="1" applyAlignment="1" applyProtection="1">
      <alignment horizontal="center" vertical="top" wrapText="1"/>
      <protection locked="0"/>
    </xf>
    <xf numFmtId="0" fontId="20" fillId="0" borderId="25" xfId="5" applyFont="1" applyBorder="1" applyAlignment="1" applyProtection="1">
      <alignment horizontal="center" vertical="top" wrapText="1"/>
      <protection locked="0"/>
    </xf>
    <xf numFmtId="9" fontId="20" fillId="2" borderId="7" xfId="5" applyNumberFormat="1" applyFont="1" applyFill="1" applyBorder="1" applyAlignment="1" applyProtection="1">
      <alignment horizontal="center" vertical="center" wrapText="1"/>
      <protection hidden="1"/>
    </xf>
    <xf numFmtId="9" fontId="20" fillId="2" borderId="8" xfId="5" applyNumberFormat="1" applyFont="1" applyFill="1" applyBorder="1" applyAlignment="1" applyProtection="1">
      <alignment horizontal="center" vertical="center" wrapText="1"/>
      <protection hidden="1"/>
    </xf>
    <xf numFmtId="9" fontId="20" fillId="2" borderId="26" xfId="5" applyNumberFormat="1" applyFont="1" applyFill="1" applyBorder="1" applyAlignment="1" applyProtection="1">
      <alignment horizontal="center" vertical="center" wrapText="1"/>
      <protection hidden="1"/>
    </xf>
    <xf numFmtId="9" fontId="20" fillId="2" borderId="10" xfId="5" applyNumberFormat="1" applyFont="1" applyFill="1" applyBorder="1" applyAlignment="1" applyProtection="1">
      <alignment horizontal="center" vertical="center" wrapText="1"/>
      <protection hidden="1"/>
    </xf>
    <xf numFmtId="9" fontId="20" fillId="2" borderId="0" xfId="5" applyNumberFormat="1" applyFont="1" applyFill="1" applyAlignment="1" applyProtection="1">
      <alignment horizontal="center" vertical="center" wrapText="1"/>
      <protection hidden="1"/>
    </xf>
    <xf numFmtId="9" fontId="20" fillId="2" borderId="23" xfId="5" applyNumberFormat="1" applyFont="1" applyFill="1" applyBorder="1" applyAlignment="1" applyProtection="1">
      <alignment horizontal="center" vertical="center" wrapText="1"/>
      <protection hidden="1"/>
    </xf>
    <xf numFmtId="9" fontId="20" fillId="2" borderId="31" xfId="5" applyNumberFormat="1" applyFont="1" applyFill="1" applyBorder="1" applyAlignment="1" applyProtection="1">
      <alignment horizontal="center" vertical="center" wrapText="1"/>
      <protection hidden="1"/>
    </xf>
    <xf numFmtId="9" fontId="20" fillId="2" borderId="32" xfId="5" applyNumberFormat="1" applyFont="1" applyFill="1" applyBorder="1" applyAlignment="1" applyProtection="1">
      <alignment horizontal="center" vertical="center" wrapText="1"/>
      <protection hidden="1"/>
    </xf>
    <xf numFmtId="9" fontId="20" fillId="2" borderId="33" xfId="5" applyNumberFormat="1" applyFont="1" applyFill="1" applyBorder="1" applyAlignment="1" applyProtection="1">
      <alignment horizontal="center" vertical="center" wrapText="1"/>
      <protection hidden="1"/>
    </xf>
    <xf numFmtId="9" fontId="20" fillId="2" borderId="29" xfId="5" applyNumberFormat="1" applyFont="1" applyFill="1" applyBorder="1" applyAlignment="1" applyProtection="1">
      <alignment horizontal="center" vertical="center" wrapText="1"/>
      <protection hidden="1"/>
    </xf>
    <xf numFmtId="9" fontId="20" fillId="2" borderId="30" xfId="5" applyNumberFormat="1" applyFont="1" applyFill="1" applyBorder="1" applyAlignment="1" applyProtection="1">
      <alignment horizontal="center" vertical="center" wrapText="1"/>
      <protection hidden="1"/>
    </xf>
    <xf numFmtId="0" fontId="20" fillId="0" borderId="21" xfId="5" applyFont="1" applyBorder="1" applyAlignment="1" applyProtection="1">
      <alignment horizontal="center" vertical="top" wrapText="1"/>
      <protection locked="0"/>
    </xf>
    <xf numFmtId="9" fontId="20" fillId="2" borderId="1" xfId="5" applyNumberFormat="1" applyFont="1" applyFill="1" applyBorder="1" applyAlignment="1" applyProtection="1">
      <alignment horizontal="center" vertical="center" wrapText="1"/>
      <protection hidden="1"/>
    </xf>
    <xf numFmtId="9" fontId="20" fillId="2" borderId="6" xfId="5" applyNumberFormat="1" applyFont="1" applyFill="1" applyBorder="1" applyAlignment="1" applyProtection="1">
      <alignment horizontal="center" vertical="center" wrapText="1"/>
      <protection hidden="1"/>
    </xf>
    <xf numFmtId="9" fontId="20" fillId="2" borderId="2" xfId="5" applyNumberFormat="1" applyFont="1" applyFill="1" applyBorder="1" applyAlignment="1" applyProtection="1">
      <alignment horizontal="center" vertical="center" wrapText="1"/>
      <protection hidden="1"/>
    </xf>
    <xf numFmtId="9" fontId="20" fillId="2" borderId="28" xfId="5" applyNumberFormat="1" applyFont="1" applyFill="1" applyBorder="1" applyAlignment="1" applyProtection="1">
      <alignment horizontal="center" vertical="center" wrapText="1"/>
      <protection hidden="1"/>
    </xf>
    <xf numFmtId="1" fontId="3" fillId="0" borderId="1"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5"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17" fillId="0" borderId="0" xfId="0" applyFont="1" applyAlignment="1">
      <alignment horizontal="center"/>
    </xf>
    <xf numFmtId="0" fontId="0" fillId="0" borderId="0" xfId="0"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8" fillId="0" borderId="1"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14" fontId="9" fillId="0" borderId="7"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25" fillId="0" borderId="6" xfId="0" applyFont="1" applyBorder="1" applyAlignment="1">
      <alignment horizontal="left"/>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14" fontId="4" fillId="2" borderId="1"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 xfId="0" applyFont="1" applyFill="1" applyBorder="1" applyAlignment="1">
      <alignment horizontal="left" vertical="top" wrapText="1"/>
    </xf>
    <xf numFmtId="1" fontId="9" fillId="0" borderId="1"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1" fontId="9" fillId="0" borderId="6" xfId="0" applyNumberFormat="1" applyFont="1" applyBorder="1" applyAlignment="1">
      <alignment horizontal="center" vertical="top" wrapText="1"/>
    </xf>
    <xf numFmtId="0" fontId="14" fillId="0" borderId="1"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3" fontId="4" fillId="2" borderId="1" xfId="0" applyNumberFormat="1" applyFont="1" applyFill="1" applyBorder="1" applyAlignment="1">
      <alignment horizontal="left" vertical="top" wrapText="1"/>
    </xf>
    <xf numFmtId="1" fontId="9" fillId="0" borderId="1"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4" fontId="9" fillId="0" borderId="8" xfId="0" applyNumberFormat="1" applyFont="1" applyBorder="1" applyAlignment="1">
      <alignment horizontal="center" vertical="center"/>
    </xf>
    <xf numFmtId="14" fontId="4" fillId="0" borderId="1" xfId="0" applyNumberFormat="1"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14" fontId="4" fillId="0" borderId="5" xfId="0" applyNumberFormat="1" applyFont="1" applyFill="1" applyBorder="1" applyAlignment="1">
      <alignment horizontal="left" vertical="top"/>
    </xf>
    <xf numFmtId="14" fontId="4" fillId="0" borderId="6" xfId="0" applyNumberFormat="1" applyFont="1" applyFill="1" applyBorder="1" applyAlignment="1">
      <alignment horizontal="left" vertical="top"/>
    </xf>
    <xf numFmtId="0" fontId="26" fillId="0" borderId="21" xfId="5" applyFont="1" applyBorder="1" applyAlignment="1" applyProtection="1">
      <alignment horizontal="left" vertical="top"/>
      <protection locked="0"/>
    </xf>
    <xf numFmtId="0" fontId="26" fillId="0" borderId="2" xfId="5" applyFont="1" applyBorder="1" applyAlignment="1" applyProtection="1">
      <alignment horizontal="left" vertical="top"/>
      <protection locked="0"/>
    </xf>
    <xf numFmtId="0" fontId="26" fillId="0" borderId="1" xfId="5" applyFont="1" applyBorder="1" applyAlignment="1" applyProtection="1">
      <alignment horizontal="left" vertical="top" wrapText="1"/>
      <protection locked="0"/>
    </xf>
    <xf numFmtId="0" fontId="26" fillId="0" borderId="5" xfId="5" applyFont="1" applyBorder="1" applyAlignment="1" applyProtection="1">
      <alignment horizontal="left" vertical="top" wrapText="1"/>
      <protection locked="0"/>
    </xf>
    <xf numFmtId="0" fontId="26" fillId="0" borderId="22" xfId="5" applyFont="1" applyBorder="1" applyAlignment="1" applyProtection="1">
      <alignment horizontal="left" vertical="top" wrapText="1"/>
      <protection locked="0"/>
    </xf>
    <xf numFmtId="0" fontId="20" fillId="0" borderId="24" xfId="5" applyFont="1" applyBorder="1" applyAlignment="1" applyProtection="1">
      <alignment horizontal="center" vertical="top" wrapText="1"/>
      <protection locked="0"/>
    </xf>
    <xf numFmtId="0" fontId="20" fillId="0" borderId="6" xfId="5" applyFont="1" applyBorder="1" applyAlignment="1" applyProtection="1">
      <alignment horizontal="center" vertical="top" wrapText="1"/>
      <protection locked="0"/>
    </xf>
    <xf numFmtId="0" fontId="21" fillId="0" borderId="16" xfId="5" applyFont="1" applyBorder="1" applyAlignment="1" applyProtection="1">
      <alignment horizontal="left" vertical="top" wrapText="1"/>
      <protection locked="0"/>
    </xf>
    <xf numFmtId="0" fontId="21" fillId="0" borderId="17" xfId="5" applyFont="1" applyBorder="1" applyAlignment="1" applyProtection="1">
      <alignment horizontal="left" vertical="top" wrapText="1"/>
      <protection locked="0"/>
    </xf>
    <xf numFmtId="0" fontId="21" fillId="0" borderId="18" xfId="5" applyFont="1" applyBorder="1" applyAlignment="1" applyProtection="1">
      <alignment horizontal="left" vertical="top" wrapText="1"/>
      <protection locked="0"/>
    </xf>
    <xf numFmtId="0" fontId="20" fillId="0" borderId="1" xfId="5" applyFont="1" applyBorder="1" applyAlignment="1" applyProtection="1">
      <alignment horizontal="center" vertical="top"/>
      <protection locked="0"/>
    </xf>
    <xf numFmtId="0" fontId="20" fillId="0" borderId="6" xfId="5" applyFont="1" applyBorder="1" applyAlignment="1" applyProtection="1">
      <alignment horizontal="center" vertical="top"/>
      <protection locked="0"/>
    </xf>
    <xf numFmtId="0" fontId="20" fillId="0" borderId="22" xfId="5" applyFont="1" applyBorder="1" applyAlignment="1" applyProtection="1">
      <alignment horizontal="center" vertical="top"/>
      <protection locked="0"/>
    </xf>
    <xf numFmtId="0" fontId="21" fillId="0" borderId="1" xfId="5" applyFont="1" applyBorder="1" applyAlignment="1" applyProtection="1">
      <alignment horizontal="left" vertical="top" wrapText="1"/>
      <protection locked="0"/>
    </xf>
    <xf numFmtId="0" fontId="21" fillId="0" borderId="5" xfId="5" applyFont="1" applyBorder="1" applyAlignment="1" applyProtection="1">
      <alignment horizontal="left" vertical="top" wrapText="1"/>
      <protection locked="0"/>
    </xf>
    <xf numFmtId="0" fontId="21" fillId="0" borderId="22" xfId="5" applyFont="1" applyBorder="1" applyAlignment="1" applyProtection="1">
      <alignment horizontal="left" vertical="top" wrapText="1"/>
      <protection locked="0"/>
    </xf>
    <xf numFmtId="0" fontId="21" fillId="0" borderId="21" xfId="5" applyFont="1" applyBorder="1" applyAlignment="1" applyProtection="1">
      <alignment horizontal="left" vertical="top"/>
      <protection locked="0"/>
    </xf>
    <xf numFmtId="0" fontId="21" fillId="0" borderId="2" xfId="5" applyFont="1" applyBorder="1" applyAlignment="1" applyProtection="1">
      <alignment horizontal="left" vertical="top"/>
      <protection locked="0"/>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1" fontId="4" fillId="0" borderId="2" xfId="0" applyNumberFormat="1" applyFont="1" applyBorder="1" applyAlignment="1">
      <alignment horizontal="center" vertical="center" wrapText="1"/>
    </xf>
    <xf numFmtId="0" fontId="21" fillId="0" borderId="14" xfId="5" applyFont="1" applyBorder="1" applyAlignment="1" applyProtection="1">
      <alignment horizontal="center" vertical="top"/>
      <protection locked="0"/>
    </xf>
    <xf numFmtId="0" fontId="21" fillId="0" borderId="15" xfId="5" applyFont="1" applyBorder="1" applyAlignment="1" applyProtection="1">
      <alignment horizontal="center" vertical="top"/>
      <protection locked="0"/>
    </xf>
    <xf numFmtId="3" fontId="4" fillId="2" borderId="1" xfId="0" applyNumberFormat="1" applyFont="1" applyFill="1" applyBorder="1" applyAlignment="1">
      <alignment horizontal="left" vertical="top"/>
    </xf>
    <xf numFmtId="0" fontId="20" fillId="0" borderId="21" xfId="5" applyFont="1" applyBorder="1" applyAlignment="1" applyProtection="1">
      <alignment horizontal="center" vertical="top"/>
      <protection locked="0"/>
    </xf>
    <xf numFmtId="0" fontId="20" fillId="0" borderId="2" xfId="5" applyFont="1" applyBorder="1" applyAlignment="1" applyProtection="1">
      <alignment horizontal="center" vertical="top"/>
      <protection locked="0"/>
    </xf>
    <xf numFmtId="3" fontId="3" fillId="2" borderId="1" xfId="0" applyNumberFormat="1" applyFont="1" applyFill="1" applyBorder="1" applyAlignment="1">
      <alignment horizontal="left" vertical="top"/>
    </xf>
    <xf numFmtId="0" fontId="21" fillId="6" borderId="2" xfId="5" applyFont="1" applyFill="1" applyBorder="1" applyAlignment="1" applyProtection="1">
      <alignment horizontal="center" vertical="center" wrapText="1"/>
      <protection locked="0"/>
    </xf>
    <xf numFmtId="9" fontId="21" fillId="6" borderId="2" xfId="5" applyNumberFormat="1" applyFont="1" applyFill="1" applyBorder="1" applyAlignment="1" applyProtection="1">
      <alignment horizontal="center" vertical="center" wrapText="1"/>
      <protection locked="0"/>
    </xf>
    <xf numFmtId="0" fontId="20" fillId="0" borderId="27" xfId="5" applyFont="1" applyBorder="1" applyAlignment="1" applyProtection="1">
      <alignment horizontal="center" vertical="top" wrapText="1"/>
      <protection locked="0"/>
    </xf>
    <xf numFmtId="0" fontId="20" fillId="0" borderId="28" xfId="5" applyFont="1" applyBorder="1" applyAlignment="1" applyProtection="1">
      <alignment horizontal="center" vertical="top" wrapText="1"/>
      <protection locked="0"/>
    </xf>
    <xf numFmtId="0" fontId="21" fillId="6" borderId="2" xfId="5" applyFont="1" applyFill="1" applyBorder="1" applyAlignment="1" applyProtection="1">
      <alignment horizontal="center" vertical="center"/>
      <protection locked="0"/>
    </xf>
    <xf numFmtId="0" fontId="18" fillId="0" borderId="0" xfId="0" applyFont="1" applyAlignment="1">
      <alignment horizontal="center"/>
    </xf>
    <xf numFmtId="1" fontId="6" fillId="0" borderId="10" xfId="0" applyNumberFormat="1" applyFont="1" applyBorder="1" applyAlignment="1">
      <alignment horizontal="center" vertical="center" wrapText="1"/>
    </xf>
    <xf numFmtId="1" fontId="6" fillId="0" borderId="0" xfId="0" applyNumberFormat="1" applyFont="1" applyAlignment="1">
      <alignment horizontal="center" vertical="center" wrapText="1"/>
    </xf>
    <xf numFmtId="0" fontId="3" fillId="0" borderId="2" xfId="0" applyFont="1" applyBorder="1" applyAlignment="1">
      <alignment horizontal="center" vertical="top"/>
    </xf>
    <xf numFmtId="1" fontId="10" fillId="0" borderId="4" xfId="0" applyNumberFormat="1" applyFont="1" applyBorder="1" applyAlignment="1">
      <alignment horizontal="center" vertical="center" wrapText="1"/>
    </xf>
    <xf numFmtId="1" fontId="10" fillId="0" borderId="34" xfId="0" applyNumberFormat="1" applyFont="1" applyBorder="1" applyAlignment="1">
      <alignment horizontal="center" vertical="center" wrapText="1"/>
    </xf>
    <xf numFmtId="1" fontId="10" fillId="0" borderId="35"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5" fillId="0" borderId="1" xfId="0" applyFont="1" applyBorder="1" applyAlignment="1">
      <alignment vertical="top"/>
    </xf>
    <xf numFmtId="0" fontId="8" fillId="0" borderId="1" xfId="2" applyFont="1" applyBorder="1" applyAlignment="1">
      <alignment horizontal="left" vertical="top"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26" fillId="0" borderId="16" xfId="5" applyFont="1" applyBorder="1" applyAlignment="1" applyProtection="1">
      <alignment horizontal="left" vertical="top" wrapText="1"/>
      <protection locked="0"/>
    </xf>
    <xf numFmtId="0" fontId="26" fillId="0" borderId="17" xfId="5" applyFont="1" applyBorder="1" applyAlignment="1" applyProtection="1">
      <alignment horizontal="left" vertical="top" wrapText="1"/>
      <protection locked="0"/>
    </xf>
    <xf numFmtId="0" fontId="26" fillId="0" borderId="18" xfId="5" applyFont="1" applyBorder="1" applyAlignment="1" applyProtection="1">
      <alignment horizontal="left" vertical="top" wrapText="1"/>
      <protection locked="0"/>
    </xf>
    <xf numFmtId="0" fontId="3" fillId="5" borderId="2" xfId="0" applyFont="1" applyFill="1" applyBorder="1" applyAlignment="1">
      <alignment horizontal="center" vertical="top"/>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8" fillId="0" borderId="1" xfId="0" applyFont="1" applyBorder="1" applyAlignment="1">
      <alignment horizontal="center" vertical="top"/>
    </xf>
    <xf numFmtId="0" fontId="8" fillId="0" borderId="6" xfId="0" applyFont="1" applyBorder="1" applyAlignment="1">
      <alignment horizontal="center" vertical="top"/>
    </xf>
    <xf numFmtId="14" fontId="15" fillId="0" borderId="7"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15" fillId="0" borderId="8" xfId="0" applyNumberFormat="1" applyFont="1" applyBorder="1" applyAlignment="1">
      <alignment horizontal="center" vertical="center"/>
    </xf>
    <xf numFmtId="0" fontId="9" fillId="0" borderId="1" xfId="0" applyFont="1" applyBorder="1" applyAlignment="1">
      <alignment horizontal="center" vertical="top" wrapText="1"/>
    </xf>
    <xf numFmtId="0" fontId="9" fillId="0" borderId="5" xfId="0" applyFont="1" applyBorder="1" applyAlignment="1">
      <alignment horizontal="left" vertical="center"/>
    </xf>
    <xf numFmtId="0" fontId="25" fillId="0" borderId="6" xfId="0" applyFont="1" applyBorder="1" applyAlignment="1">
      <alignment horizontal="left" vertical="center"/>
    </xf>
    <xf numFmtId="0" fontId="12" fillId="0" borderId="2" xfId="4" applyFont="1" applyBorder="1" applyAlignment="1">
      <alignment horizontal="left"/>
    </xf>
    <xf numFmtId="0" fontId="0" fillId="3" borderId="2" xfId="0" applyFill="1" applyBorder="1" applyAlignment="1">
      <alignment horizontal="center" wrapText="1"/>
    </xf>
    <xf numFmtId="0" fontId="12" fillId="0" borderId="2" xfId="0" applyFont="1" applyBorder="1" applyAlignment="1">
      <alignment horizontal="center"/>
    </xf>
    <xf numFmtId="0" fontId="21" fillId="0" borderId="36" xfId="5" applyFont="1" applyBorder="1" applyAlignment="1" applyProtection="1">
      <alignment horizontal="center" vertical="center" wrapText="1"/>
      <protection locked="0"/>
    </xf>
    <xf numFmtId="0" fontId="21" fillId="0" borderId="37" xfId="5" applyFont="1" applyBorder="1" applyAlignment="1" applyProtection="1">
      <alignment horizontal="center" vertical="center" wrapText="1"/>
      <protection locked="0"/>
    </xf>
    <xf numFmtId="0" fontId="21" fillId="0" borderId="38" xfId="5" applyFont="1" applyBorder="1" applyAlignment="1" applyProtection="1">
      <alignment horizontal="center" vertical="center" wrapText="1"/>
      <protection locked="0"/>
    </xf>
    <xf numFmtId="9" fontId="21" fillId="2" borderId="36" xfId="5" applyNumberFormat="1" applyFont="1" applyFill="1" applyBorder="1" applyAlignment="1" applyProtection="1">
      <alignment horizontal="center" vertical="center" wrapText="1"/>
      <protection hidden="1"/>
    </xf>
    <xf numFmtId="9" fontId="21" fillId="2" borderId="38" xfId="5" applyNumberFormat="1" applyFont="1" applyFill="1" applyBorder="1" applyAlignment="1" applyProtection="1">
      <alignment horizontal="center" vertical="center" wrapText="1"/>
      <protection hidden="1"/>
    </xf>
    <xf numFmtId="14" fontId="9" fillId="0" borderId="9" xfId="0" applyNumberFormat="1" applyFont="1" applyBorder="1" applyAlignment="1">
      <alignment vertical="center"/>
    </xf>
    <xf numFmtId="14" fontId="9" fillId="0" borderId="13" xfId="0" applyNumberFormat="1" applyFont="1" applyBorder="1" applyAlignment="1">
      <alignment vertical="center"/>
    </xf>
    <xf numFmtId="14" fontId="9" fillId="0" borderId="2" xfId="0" applyNumberFormat="1" applyFont="1" applyBorder="1" applyAlignment="1">
      <alignment horizontal="center" vertic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12</xdr:col>
      <xdr:colOff>551898</xdr:colOff>
      <xdr:row>184</xdr:row>
      <xdr:rowOff>134869</xdr:rowOff>
    </xdr:from>
    <xdr:to>
      <xdr:col>14</xdr:col>
      <xdr:colOff>275847</xdr:colOff>
      <xdr:row>201</xdr:row>
      <xdr:rowOff>109918</xdr:rowOff>
    </xdr:to>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
        <a:stretch>
          <a:fillRect/>
        </a:stretch>
      </xdr:blipFill>
      <xdr:spPr>
        <a:xfrm>
          <a:off x="8718550" y="43800782"/>
          <a:ext cx="1223101" cy="3221831"/>
        </a:xfrm>
        <a:prstGeom prst="rect">
          <a:avLst/>
        </a:prstGeom>
        <a:ln>
          <a:solidFill>
            <a:schemeClr val="tx1"/>
          </a:solidFill>
        </a:ln>
      </xdr:spPr>
    </xdr:pic>
    <xdr:clientData/>
  </xdr:twoCellAnchor>
  <xdr:twoCellAnchor editAs="oneCell">
    <xdr:from>
      <xdr:col>10</xdr:col>
      <xdr:colOff>200025</xdr:colOff>
      <xdr:row>11</xdr:row>
      <xdr:rowOff>571500</xdr:rowOff>
    </xdr:from>
    <xdr:to>
      <xdr:col>19</xdr:col>
      <xdr:colOff>524782</xdr:colOff>
      <xdr:row>14</xdr:row>
      <xdr:rowOff>95402</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2"/>
        <a:stretch>
          <a:fillRect/>
        </a:stretch>
      </xdr:blipFill>
      <xdr:spPr>
        <a:xfrm>
          <a:off x="6743700" y="4019550"/>
          <a:ext cx="6496957" cy="1086002"/>
        </a:xfrm>
        <a:prstGeom prst="rect">
          <a:avLst/>
        </a:prstGeom>
      </xdr:spPr>
    </xdr:pic>
    <xdr:clientData/>
  </xdr:twoCellAnchor>
  <xdr:twoCellAnchor editAs="oneCell">
    <xdr:from>
      <xdr:col>11</xdr:col>
      <xdr:colOff>0</xdr:colOff>
      <xdr:row>258</xdr:row>
      <xdr:rowOff>85725</xdr:rowOff>
    </xdr:from>
    <xdr:to>
      <xdr:col>17</xdr:col>
      <xdr:colOff>48238</xdr:colOff>
      <xdr:row>272</xdr:row>
      <xdr:rowOff>114695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stretch>
          <a:fillRect/>
        </a:stretch>
      </xdr:blipFill>
      <xdr:spPr>
        <a:xfrm>
          <a:off x="7153275" y="35737800"/>
          <a:ext cx="4391638" cy="2829320"/>
        </a:xfrm>
        <a:prstGeom prst="rect">
          <a:avLst/>
        </a:prstGeom>
        <a:ln>
          <a:solidFill>
            <a:schemeClr val="tx1"/>
          </a:solidFill>
        </a:ln>
      </xdr:spPr>
    </xdr:pic>
    <xdr:clientData/>
  </xdr:twoCellAnchor>
  <xdr:twoCellAnchor editAs="oneCell">
    <xdr:from>
      <xdr:col>11</xdr:col>
      <xdr:colOff>265339</xdr:colOff>
      <xdr:row>250</xdr:row>
      <xdr:rowOff>65314</xdr:rowOff>
    </xdr:from>
    <xdr:to>
      <xdr:col>16</xdr:col>
      <xdr:colOff>535318</xdr:colOff>
      <xdr:row>258</xdr:row>
      <xdr:rowOff>2933</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4"/>
        <a:stretch>
          <a:fillRect/>
        </a:stretch>
      </xdr:blipFill>
      <xdr:spPr>
        <a:xfrm>
          <a:off x="7436303" y="56711850"/>
          <a:ext cx="4011944" cy="1556870"/>
        </a:xfrm>
        <a:prstGeom prst="rect">
          <a:avLst/>
        </a:prstGeom>
        <a:ln>
          <a:solidFill>
            <a:schemeClr val="tx1"/>
          </a:solidFill>
        </a:ln>
      </xdr:spPr>
    </xdr:pic>
    <xdr:clientData/>
  </xdr:twoCellAnchor>
  <xdr:twoCellAnchor editAs="oneCell">
    <xdr:from>
      <xdr:col>11</xdr:col>
      <xdr:colOff>58511</xdr:colOff>
      <xdr:row>273</xdr:row>
      <xdr:rowOff>178254</xdr:rowOff>
    </xdr:from>
    <xdr:to>
      <xdr:col>16</xdr:col>
      <xdr:colOff>499964</xdr:colOff>
      <xdr:row>281</xdr:row>
      <xdr:rowOff>182571</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5"/>
        <a:stretch>
          <a:fillRect/>
        </a:stretch>
      </xdr:blipFill>
      <xdr:spPr>
        <a:xfrm>
          <a:off x="7229475" y="61519254"/>
          <a:ext cx="4183418" cy="1718817"/>
        </a:xfrm>
        <a:prstGeom prst="rect">
          <a:avLst/>
        </a:prstGeom>
        <a:ln>
          <a:solidFill>
            <a:schemeClr val="tx1"/>
          </a:solidFill>
        </a:ln>
      </xdr:spPr>
    </xdr:pic>
    <xdr:clientData/>
  </xdr:twoCellAnchor>
  <xdr:oneCellAnchor>
    <xdr:from>
      <xdr:col>11</xdr:col>
      <xdr:colOff>0</xdr:colOff>
      <xdr:row>478</xdr:row>
      <xdr:rowOff>0</xdr:rowOff>
    </xdr:from>
    <xdr:ext cx="693460" cy="269304"/>
    <xdr:sp macro="" textlink="">
      <xdr:nvSpPr>
        <xdr:cNvPr id="34" name="TextBox 33">
          <a:extLst>
            <a:ext uri="{FF2B5EF4-FFF2-40B4-BE49-F238E27FC236}">
              <a16:creationId xmlns:a16="http://schemas.microsoft.com/office/drawing/2014/main" xmlns="" id="{00000000-0008-0000-0000-000022000000}"/>
            </a:ext>
          </a:extLst>
        </xdr:cNvPr>
        <xdr:cNvSpPr txBox="1"/>
      </xdr:nvSpPr>
      <xdr:spPr>
        <a:xfrm>
          <a:off x="7467600" y="78600300"/>
          <a:ext cx="693460" cy="269304"/>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a:latin typeface="Times New Roman" panose="02020603050405020304" pitchFamily="18" charset="0"/>
              <a:cs typeface="Times New Roman" panose="02020603050405020304" pitchFamily="18" charset="0"/>
            </a:rPr>
            <a:t>Wing</a:t>
          </a:r>
          <a:r>
            <a:rPr lang="en-IN" sz="1200" b="1" baseline="0">
              <a:latin typeface="Times New Roman" panose="02020603050405020304" pitchFamily="18" charset="0"/>
              <a:cs typeface="Times New Roman" panose="02020603050405020304" pitchFamily="18" charset="0"/>
            </a:rPr>
            <a:t> C</a:t>
          </a:r>
          <a:endParaRPr lang="en-IN" sz="1200" b="1">
            <a:latin typeface="Times New Roman" panose="02020603050405020304" pitchFamily="18" charset="0"/>
            <a:cs typeface="Times New Roman" panose="02020603050405020304" pitchFamily="18" charset="0"/>
          </a:endParaRPr>
        </a:p>
      </xdr:txBody>
    </xdr:sp>
    <xdr:clientData/>
  </xdr:oneCellAnchor>
  <xdr:twoCellAnchor editAs="oneCell">
    <xdr:from>
      <xdr:col>11</xdr:col>
      <xdr:colOff>447675</xdr:colOff>
      <xdr:row>434</xdr:row>
      <xdr:rowOff>104775</xdr:rowOff>
    </xdr:from>
    <xdr:to>
      <xdr:col>17</xdr:col>
      <xdr:colOff>244275</xdr:colOff>
      <xdr:row>445</xdr:row>
      <xdr:rowOff>107761</xdr:rowOff>
    </xdr:to>
    <xdr:pic>
      <xdr:nvPicPr>
        <xdr:cNvPr id="12" name="Picture 11">
          <a:extLst>
            <a:ext uri="{FF2B5EF4-FFF2-40B4-BE49-F238E27FC236}">
              <a16:creationId xmlns:a16="http://schemas.microsoft.com/office/drawing/2014/main" xmlns="" id="{783B6A67-0B64-49E2-B8E7-96DFB62BC808}"/>
            </a:ext>
          </a:extLst>
        </xdr:cNvPr>
        <xdr:cNvPicPr>
          <a:picLocks noChangeAspect="1"/>
        </xdr:cNvPicPr>
      </xdr:nvPicPr>
      <xdr:blipFill>
        <a:blip xmlns:r="http://schemas.openxmlformats.org/officeDocument/2006/relationships" r:embed="rId6"/>
        <a:stretch>
          <a:fillRect/>
        </a:stretch>
      </xdr:blipFill>
      <xdr:spPr>
        <a:xfrm>
          <a:off x="7600950" y="94992825"/>
          <a:ext cx="4140000" cy="2203262"/>
        </a:xfrm>
        <a:prstGeom prst="rect">
          <a:avLst/>
        </a:prstGeom>
        <a:ln>
          <a:solidFill>
            <a:schemeClr val="tx1"/>
          </a:solidFill>
        </a:ln>
      </xdr:spPr>
    </xdr:pic>
    <xdr:clientData/>
  </xdr:twoCellAnchor>
  <xdr:twoCellAnchor editAs="oneCell">
    <xdr:from>
      <xdr:col>11</xdr:col>
      <xdr:colOff>457200</xdr:colOff>
      <xdr:row>445</xdr:row>
      <xdr:rowOff>161925</xdr:rowOff>
    </xdr:from>
    <xdr:to>
      <xdr:col>17</xdr:col>
      <xdr:colOff>253800</xdr:colOff>
      <xdr:row>456</xdr:row>
      <xdr:rowOff>77777</xdr:rowOff>
    </xdr:to>
    <xdr:pic>
      <xdr:nvPicPr>
        <xdr:cNvPr id="16" name="Picture 15">
          <a:extLst>
            <a:ext uri="{FF2B5EF4-FFF2-40B4-BE49-F238E27FC236}">
              <a16:creationId xmlns:a16="http://schemas.microsoft.com/office/drawing/2014/main" xmlns="" id="{4D6F539D-73AF-BEAE-4A16-B77B2EF3ECCE}"/>
            </a:ext>
          </a:extLst>
        </xdr:cNvPr>
        <xdr:cNvPicPr>
          <a:picLocks noChangeAspect="1"/>
        </xdr:cNvPicPr>
      </xdr:nvPicPr>
      <xdr:blipFill>
        <a:blip xmlns:r="http://schemas.openxmlformats.org/officeDocument/2006/relationships" r:embed="rId7"/>
        <a:stretch>
          <a:fillRect/>
        </a:stretch>
      </xdr:blipFill>
      <xdr:spPr>
        <a:xfrm>
          <a:off x="7610475" y="97250250"/>
          <a:ext cx="4140000" cy="2128373"/>
        </a:xfrm>
        <a:prstGeom prst="rect">
          <a:avLst/>
        </a:prstGeom>
        <a:ln>
          <a:solidFill>
            <a:schemeClr val="tx1"/>
          </a:solidFill>
        </a:ln>
      </xdr:spPr>
    </xdr:pic>
    <xdr:clientData/>
  </xdr:twoCellAnchor>
  <xdr:twoCellAnchor editAs="oneCell">
    <xdr:from>
      <xdr:col>11</xdr:col>
      <xdr:colOff>476250</xdr:colOff>
      <xdr:row>457</xdr:row>
      <xdr:rowOff>885825</xdr:rowOff>
    </xdr:from>
    <xdr:to>
      <xdr:col>17</xdr:col>
      <xdr:colOff>272850</xdr:colOff>
      <xdr:row>457</xdr:row>
      <xdr:rowOff>2876209</xdr:rowOff>
    </xdr:to>
    <xdr:pic>
      <xdr:nvPicPr>
        <xdr:cNvPr id="17" name="Picture 16">
          <a:extLst>
            <a:ext uri="{FF2B5EF4-FFF2-40B4-BE49-F238E27FC236}">
              <a16:creationId xmlns:a16="http://schemas.microsoft.com/office/drawing/2014/main" xmlns="" id="{3AE1E850-C4CA-9D85-3E96-A2245F97AEB2}"/>
            </a:ext>
          </a:extLst>
        </xdr:cNvPr>
        <xdr:cNvPicPr>
          <a:picLocks noChangeAspect="1"/>
        </xdr:cNvPicPr>
      </xdr:nvPicPr>
      <xdr:blipFill>
        <a:blip xmlns:r="http://schemas.openxmlformats.org/officeDocument/2006/relationships" r:embed="rId8"/>
        <a:stretch>
          <a:fillRect/>
        </a:stretch>
      </xdr:blipFill>
      <xdr:spPr>
        <a:xfrm>
          <a:off x="7629525" y="99574350"/>
          <a:ext cx="4140000" cy="1990384"/>
        </a:xfrm>
        <a:prstGeom prst="rect">
          <a:avLst/>
        </a:prstGeom>
        <a:ln>
          <a:solidFill>
            <a:schemeClr val="tx1"/>
          </a:solidFill>
        </a:ln>
      </xdr:spPr>
    </xdr:pic>
    <xdr:clientData/>
  </xdr:twoCellAnchor>
  <xdr:twoCellAnchor editAs="oneCell">
    <xdr:from>
      <xdr:col>1</xdr:col>
      <xdr:colOff>729261</xdr:colOff>
      <xdr:row>524</xdr:row>
      <xdr:rowOff>84350</xdr:rowOff>
    </xdr:from>
    <xdr:to>
      <xdr:col>7</xdr:col>
      <xdr:colOff>60671</xdr:colOff>
      <xdr:row>543</xdr:row>
      <xdr:rowOff>156474</xdr:rowOff>
    </xdr:to>
    <xdr:pic>
      <xdr:nvPicPr>
        <xdr:cNvPr id="20" name="Picture 19">
          <a:extLst>
            <a:ext uri="{FF2B5EF4-FFF2-40B4-BE49-F238E27FC236}">
              <a16:creationId xmlns:a16="http://schemas.microsoft.com/office/drawing/2014/main" xmlns="" id="{4670A98F-CE90-69A2-FFFA-82474FE89711}"/>
            </a:ext>
          </a:extLst>
        </xdr:cNvPr>
        <xdr:cNvPicPr>
          <a:picLocks noChangeAspect="1"/>
        </xdr:cNvPicPr>
      </xdr:nvPicPr>
      <xdr:blipFill>
        <a:blip xmlns:r="http://schemas.openxmlformats.org/officeDocument/2006/relationships" r:embed="rId9"/>
        <a:stretch>
          <a:fillRect/>
        </a:stretch>
      </xdr:blipFill>
      <xdr:spPr>
        <a:xfrm>
          <a:off x="1310286" y="115708325"/>
          <a:ext cx="3874835" cy="3739249"/>
        </a:xfrm>
        <a:prstGeom prst="rect">
          <a:avLst/>
        </a:prstGeom>
        <a:ln>
          <a:solidFill>
            <a:schemeClr val="tx1"/>
          </a:solidFill>
        </a:ln>
      </xdr:spPr>
    </xdr:pic>
    <xdr:clientData/>
  </xdr:twoCellAnchor>
  <xdr:twoCellAnchor>
    <xdr:from>
      <xdr:col>0</xdr:col>
      <xdr:colOff>395844</xdr:colOff>
      <xdr:row>544</xdr:row>
      <xdr:rowOff>173181</xdr:rowOff>
    </xdr:from>
    <xdr:to>
      <xdr:col>8</xdr:col>
      <xdr:colOff>340178</xdr:colOff>
      <xdr:row>568</xdr:row>
      <xdr:rowOff>54428</xdr:rowOff>
    </xdr:to>
    <xdr:grpSp>
      <xdr:nvGrpSpPr>
        <xdr:cNvPr id="21" name="Group 20">
          <a:extLst>
            <a:ext uri="{FF2B5EF4-FFF2-40B4-BE49-F238E27FC236}">
              <a16:creationId xmlns:a16="http://schemas.microsoft.com/office/drawing/2014/main" xmlns="" id="{86A67C84-AF7B-923F-5FC3-F7AF76F0F892}"/>
            </a:ext>
          </a:extLst>
        </xdr:cNvPr>
        <xdr:cNvGrpSpPr/>
      </xdr:nvGrpSpPr>
      <xdr:grpSpPr>
        <a:xfrm>
          <a:off x="395844" y="120054831"/>
          <a:ext cx="5726009" cy="4500872"/>
          <a:chOff x="3500436" y="2214036"/>
          <a:chExt cx="5220000" cy="4140000"/>
        </a:xfrm>
      </xdr:grpSpPr>
      <xdr:pic>
        <xdr:nvPicPr>
          <xdr:cNvPr id="22" name="Picture 21">
            <a:extLst>
              <a:ext uri="{FF2B5EF4-FFF2-40B4-BE49-F238E27FC236}">
                <a16:creationId xmlns:a16="http://schemas.microsoft.com/office/drawing/2014/main" xmlns="" id="{35FF228F-A280-FFB0-5C53-5D6F6D604A3A}"/>
              </a:ext>
            </a:extLst>
          </xdr:cNvPr>
          <xdr:cNvPicPr>
            <a:picLocks noChangeAspect="1"/>
          </xdr:cNvPicPr>
        </xdr:nvPicPr>
        <xdr:blipFill>
          <a:blip xmlns:r="http://schemas.openxmlformats.org/officeDocument/2006/relationships" r:embed="rId10"/>
          <a:stretch>
            <a:fillRect/>
          </a:stretch>
        </xdr:blipFill>
        <xdr:spPr>
          <a:xfrm>
            <a:off x="3500436" y="2214036"/>
            <a:ext cx="5220000" cy="4140000"/>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xmlns="" id="{105D0787-24BE-6B1A-A7FC-28FA18010FDF}"/>
              </a:ext>
            </a:extLst>
          </xdr:cNvPr>
          <xdr:cNvSpPr/>
        </xdr:nvSpPr>
        <xdr:spPr>
          <a:xfrm>
            <a:off x="4892040" y="5455920"/>
            <a:ext cx="929640" cy="35814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38">
            <a:extLst>
              <a:ext uri="{FF2B5EF4-FFF2-40B4-BE49-F238E27FC236}">
                <a16:creationId xmlns:a16="http://schemas.microsoft.com/office/drawing/2014/main" xmlns="" id="{595AF39F-A587-2DB3-EA7C-F444CD4E8E05}"/>
              </a:ext>
            </a:extLst>
          </xdr:cNvPr>
          <xdr:cNvSpPr txBox="1"/>
        </xdr:nvSpPr>
        <xdr:spPr>
          <a:xfrm>
            <a:off x="5091993" y="5148143"/>
            <a:ext cx="729687"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F</a:t>
            </a:r>
            <a:endParaRPr lang="en-IN" sz="1400" b="1"/>
          </a:p>
        </xdr:txBody>
      </xdr:sp>
      <xdr:sp macro="" textlink="">
        <xdr:nvSpPr>
          <xdr:cNvPr id="25" name="Rectangle 24">
            <a:extLst>
              <a:ext uri="{FF2B5EF4-FFF2-40B4-BE49-F238E27FC236}">
                <a16:creationId xmlns:a16="http://schemas.microsoft.com/office/drawing/2014/main" xmlns="" id="{57F5D9DA-8408-459F-ABD1-F6300C266994}"/>
              </a:ext>
            </a:extLst>
          </xdr:cNvPr>
          <xdr:cNvSpPr/>
        </xdr:nvSpPr>
        <xdr:spPr>
          <a:xfrm>
            <a:off x="6021634" y="5090161"/>
            <a:ext cx="929640" cy="72390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40">
            <a:extLst>
              <a:ext uri="{FF2B5EF4-FFF2-40B4-BE49-F238E27FC236}">
                <a16:creationId xmlns:a16="http://schemas.microsoft.com/office/drawing/2014/main" xmlns="" id="{22B8A685-9F95-E458-F347-D3F3ED765D5A}"/>
              </a:ext>
            </a:extLst>
          </xdr:cNvPr>
          <xdr:cNvSpPr txBox="1"/>
        </xdr:nvSpPr>
        <xdr:spPr>
          <a:xfrm>
            <a:off x="6046906" y="4669157"/>
            <a:ext cx="736099"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sp macro="" textlink="">
        <xdr:nvSpPr>
          <xdr:cNvPr id="29" name="TextBox 41">
            <a:extLst>
              <a:ext uri="{FF2B5EF4-FFF2-40B4-BE49-F238E27FC236}">
                <a16:creationId xmlns:a16="http://schemas.microsoft.com/office/drawing/2014/main" xmlns="" id="{CE2E4DDF-658A-A874-2F0B-E9E4160B0AF6}"/>
              </a:ext>
            </a:extLst>
          </xdr:cNvPr>
          <xdr:cNvSpPr txBox="1"/>
        </xdr:nvSpPr>
        <xdr:spPr>
          <a:xfrm>
            <a:off x="6909375" y="4840366"/>
            <a:ext cx="76014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D</a:t>
            </a:r>
            <a:endParaRPr lang="en-IN" sz="1400" b="1"/>
          </a:p>
        </xdr:txBody>
      </xdr:sp>
      <xdr:sp macro="" textlink="">
        <xdr:nvSpPr>
          <xdr:cNvPr id="30" name="Rectangle 29">
            <a:extLst>
              <a:ext uri="{FF2B5EF4-FFF2-40B4-BE49-F238E27FC236}">
                <a16:creationId xmlns:a16="http://schemas.microsoft.com/office/drawing/2014/main" xmlns="" id="{F9EFD8A4-F60B-059C-19F2-2084270A449F}"/>
              </a:ext>
            </a:extLst>
          </xdr:cNvPr>
          <xdr:cNvSpPr/>
        </xdr:nvSpPr>
        <xdr:spPr>
          <a:xfrm>
            <a:off x="6951274" y="5134391"/>
            <a:ext cx="676346" cy="67966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Rectangle 30">
            <a:extLst>
              <a:ext uri="{FF2B5EF4-FFF2-40B4-BE49-F238E27FC236}">
                <a16:creationId xmlns:a16="http://schemas.microsoft.com/office/drawing/2014/main" xmlns="" id="{A68E4307-2211-1214-E777-2C3DD4CE5271}"/>
              </a:ext>
            </a:extLst>
          </xdr:cNvPr>
          <xdr:cNvSpPr/>
        </xdr:nvSpPr>
        <xdr:spPr>
          <a:xfrm rot="974030">
            <a:off x="7291937" y="4116525"/>
            <a:ext cx="651680" cy="752446"/>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TextBox 44">
            <a:extLst>
              <a:ext uri="{FF2B5EF4-FFF2-40B4-BE49-F238E27FC236}">
                <a16:creationId xmlns:a16="http://schemas.microsoft.com/office/drawing/2014/main" xmlns="" id="{6C5413C8-CB4F-F33D-B922-A7195808A444}"/>
              </a:ext>
            </a:extLst>
          </xdr:cNvPr>
          <xdr:cNvSpPr txBox="1"/>
        </xdr:nvSpPr>
        <xdr:spPr>
          <a:xfrm>
            <a:off x="7325915" y="4434003"/>
            <a:ext cx="76014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sp macro="" textlink="">
        <xdr:nvSpPr>
          <xdr:cNvPr id="33" name="Rectangle 32">
            <a:extLst>
              <a:ext uri="{FF2B5EF4-FFF2-40B4-BE49-F238E27FC236}">
                <a16:creationId xmlns:a16="http://schemas.microsoft.com/office/drawing/2014/main" xmlns="" id="{98ECEA0B-6C96-9985-126B-67A72171715E}"/>
              </a:ext>
            </a:extLst>
          </xdr:cNvPr>
          <xdr:cNvSpPr/>
        </xdr:nvSpPr>
        <xdr:spPr>
          <a:xfrm rot="974030">
            <a:off x="7141098" y="3598985"/>
            <a:ext cx="651680" cy="3701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0" name="TextBox 46">
            <a:extLst>
              <a:ext uri="{FF2B5EF4-FFF2-40B4-BE49-F238E27FC236}">
                <a16:creationId xmlns:a16="http://schemas.microsoft.com/office/drawing/2014/main" xmlns="" id="{07C386CE-BB52-11A1-03B1-FDDCC41AC2CF}"/>
              </a:ext>
            </a:extLst>
          </xdr:cNvPr>
          <xdr:cNvSpPr txBox="1"/>
        </xdr:nvSpPr>
        <xdr:spPr>
          <a:xfrm>
            <a:off x="7113226" y="3687791"/>
            <a:ext cx="74411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43" name="Rectangle 42">
            <a:extLst>
              <a:ext uri="{FF2B5EF4-FFF2-40B4-BE49-F238E27FC236}">
                <a16:creationId xmlns:a16="http://schemas.microsoft.com/office/drawing/2014/main" xmlns="" id="{F7EC684D-BA87-E394-509D-8252B19DD4D5}"/>
              </a:ext>
            </a:extLst>
          </xdr:cNvPr>
          <xdr:cNvSpPr/>
        </xdr:nvSpPr>
        <xdr:spPr>
          <a:xfrm rot="974030">
            <a:off x="7758229" y="3561555"/>
            <a:ext cx="422547" cy="64107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4" name="TextBox 48">
            <a:extLst>
              <a:ext uri="{FF2B5EF4-FFF2-40B4-BE49-F238E27FC236}">
                <a16:creationId xmlns:a16="http://schemas.microsoft.com/office/drawing/2014/main" xmlns="" id="{985039E6-1104-B43C-B952-B2DA7720FC98}"/>
              </a:ext>
            </a:extLst>
          </xdr:cNvPr>
          <xdr:cNvSpPr txBox="1"/>
        </xdr:nvSpPr>
        <xdr:spPr>
          <a:xfrm>
            <a:off x="7933120" y="3300966"/>
            <a:ext cx="74411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sp macro="" textlink="">
        <xdr:nvSpPr>
          <xdr:cNvPr id="45" name="TextBox 49">
            <a:extLst>
              <a:ext uri="{FF2B5EF4-FFF2-40B4-BE49-F238E27FC236}">
                <a16:creationId xmlns:a16="http://schemas.microsoft.com/office/drawing/2014/main" xmlns="" id="{EA5E5E0E-F7AB-0633-E296-87F6932E51FA}"/>
              </a:ext>
            </a:extLst>
          </xdr:cNvPr>
          <xdr:cNvSpPr txBox="1"/>
        </xdr:nvSpPr>
        <xdr:spPr>
          <a:xfrm>
            <a:off x="6218002" y="2653012"/>
            <a:ext cx="848374" cy="276999"/>
          </a:xfrm>
          <a:prstGeom prst="rect">
            <a:avLst/>
          </a:prstGeom>
          <a:solidFill>
            <a:schemeClr val="bg2"/>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200" b="1"/>
              <a:t>Bldg No.1</a:t>
            </a:r>
            <a:endParaRPr lang="en-IN" sz="1200" b="1"/>
          </a:p>
        </xdr:txBody>
      </xdr:sp>
      <xdr:sp macro="" textlink="">
        <xdr:nvSpPr>
          <xdr:cNvPr id="46" name="TextBox 50">
            <a:extLst>
              <a:ext uri="{FF2B5EF4-FFF2-40B4-BE49-F238E27FC236}">
                <a16:creationId xmlns:a16="http://schemas.microsoft.com/office/drawing/2014/main" xmlns="" id="{D7BC6228-111A-FCC2-B98F-E609680E7076}"/>
              </a:ext>
            </a:extLst>
          </xdr:cNvPr>
          <xdr:cNvSpPr txBox="1"/>
        </xdr:nvSpPr>
        <xdr:spPr>
          <a:xfrm>
            <a:off x="5722828" y="4335544"/>
            <a:ext cx="848374" cy="276999"/>
          </a:xfrm>
          <a:prstGeom prst="rect">
            <a:avLst/>
          </a:prstGeom>
          <a:solidFill>
            <a:schemeClr val="bg2"/>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200" b="1"/>
              <a:t>Bldg No.2</a:t>
            </a:r>
            <a:endParaRPr lang="en-IN" sz="1200" b="1"/>
          </a:p>
        </xdr:txBody>
      </xdr:sp>
      <xdr:sp macro="" textlink="">
        <xdr:nvSpPr>
          <xdr:cNvPr id="47" name="TextBox 51">
            <a:extLst>
              <a:ext uri="{FF2B5EF4-FFF2-40B4-BE49-F238E27FC236}">
                <a16:creationId xmlns:a16="http://schemas.microsoft.com/office/drawing/2014/main" xmlns="" id="{E3F9CE72-0321-03C3-E517-B6DAB2409D04}"/>
              </a:ext>
            </a:extLst>
          </xdr:cNvPr>
          <xdr:cNvSpPr txBox="1"/>
        </xdr:nvSpPr>
        <xdr:spPr>
          <a:xfrm>
            <a:off x="4000324" y="4706075"/>
            <a:ext cx="848374" cy="276999"/>
          </a:xfrm>
          <a:prstGeom prst="rect">
            <a:avLst/>
          </a:prstGeom>
          <a:solidFill>
            <a:schemeClr val="bg2"/>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200" b="1"/>
              <a:t>Bldg No.3</a:t>
            </a:r>
            <a:endParaRPr lang="en-IN" sz="1200" b="1"/>
          </a:p>
        </xdr:txBody>
      </xdr:sp>
      <xdr:sp macro="" textlink="">
        <xdr:nvSpPr>
          <xdr:cNvPr id="48" name="Rectangle 47">
            <a:extLst>
              <a:ext uri="{FF2B5EF4-FFF2-40B4-BE49-F238E27FC236}">
                <a16:creationId xmlns:a16="http://schemas.microsoft.com/office/drawing/2014/main" xmlns="" id="{829D162D-A9E9-3EE7-6CE1-1D69EBEF2A3D}"/>
              </a:ext>
            </a:extLst>
          </xdr:cNvPr>
          <xdr:cNvSpPr/>
        </xdr:nvSpPr>
        <xdr:spPr>
          <a:xfrm>
            <a:off x="3962399" y="5455920"/>
            <a:ext cx="929640" cy="35814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53">
            <a:extLst>
              <a:ext uri="{FF2B5EF4-FFF2-40B4-BE49-F238E27FC236}">
                <a16:creationId xmlns:a16="http://schemas.microsoft.com/office/drawing/2014/main" xmlns="" id="{DB8B800A-BE8A-B009-EA52-4C16E3C76DD5}"/>
              </a:ext>
            </a:extLst>
          </xdr:cNvPr>
          <xdr:cNvSpPr txBox="1"/>
        </xdr:nvSpPr>
        <xdr:spPr>
          <a:xfrm>
            <a:off x="4107113" y="5184693"/>
            <a:ext cx="761747"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t>Wing G</a:t>
            </a:r>
            <a:endParaRPr lang="en-IN" sz="1400" b="1"/>
          </a:p>
        </xdr:txBody>
      </xdr:sp>
      <xdr:cxnSp macro="">
        <xdr:nvCxnSpPr>
          <xdr:cNvPr id="54" name="Straight Arrow Connector 53">
            <a:extLst>
              <a:ext uri="{FF2B5EF4-FFF2-40B4-BE49-F238E27FC236}">
                <a16:creationId xmlns:a16="http://schemas.microsoft.com/office/drawing/2014/main" xmlns="" id="{43E4EE7C-FEC6-7479-FAF5-ECB7E15FC5D0}"/>
              </a:ext>
            </a:extLst>
          </xdr:cNvPr>
          <xdr:cNvCxnSpPr/>
        </xdr:nvCxnSpPr>
        <xdr:spPr>
          <a:xfrm flipH="1">
            <a:off x="3962399" y="4994254"/>
            <a:ext cx="462112" cy="45785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5" name="Straight Arrow Connector 54">
            <a:extLst>
              <a:ext uri="{FF2B5EF4-FFF2-40B4-BE49-F238E27FC236}">
                <a16:creationId xmlns:a16="http://schemas.microsoft.com/office/drawing/2014/main" xmlns="" id="{DA8EC4D5-F150-0589-6B94-A2F6CEC693B4}"/>
              </a:ext>
            </a:extLst>
          </xdr:cNvPr>
          <xdr:cNvCxnSpPr>
            <a:cxnSpLocks/>
          </xdr:cNvCxnSpPr>
        </xdr:nvCxnSpPr>
        <xdr:spPr>
          <a:xfrm>
            <a:off x="4438538" y="4990568"/>
            <a:ext cx="906750" cy="461543"/>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6" name="Straight Arrow Connector 55">
            <a:extLst>
              <a:ext uri="{FF2B5EF4-FFF2-40B4-BE49-F238E27FC236}">
                <a16:creationId xmlns:a16="http://schemas.microsoft.com/office/drawing/2014/main" xmlns="" id="{36A89CCC-688E-53AA-AC93-F7D6B068C6B3}"/>
              </a:ext>
            </a:extLst>
          </xdr:cNvPr>
          <xdr:cNvCxnSpPr>
            <a:cxnSpLocks/>
          </xdr:cNvCxnSpPr>
        </xdr:nvCxnSpPr>
        <xdr:spPr>
          <a:xfrm>
            <a:off x="6571202" y="4591813"/>
            <a:ext cx="502689" cy="55633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7" name="Straight Arrow Connector 56">
            <a:extLst>
              <a:ext uri="{FF2B5EF4-FFF2-40B4-BE49-F238E27FC236}">
                <a16:creationId xmlns:a16="http://schemas.microsoft.com/office/drawing/2014/main" xmlns="" id="{AC3A4D1E-5C5A-6B21-F108-21C27D44B462}"/>
              </a:ext>
            </a:extLst>
          </xdr:cNvPr>
          <xdr:cNvCxnSpPr>
            <a:cxnSpLocks/>
          </xdr:cNvCxnSpPr>
        </xdr:nvCxnSpPr>
        <xdr:spPr>
          <a:xfrm flipH="1">
            <a:off x="6017473" y="4610155"/>
            <a:ext cx="99270" cy="48000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8" name="Straight Arrow Connector 57">
            <a:extLst>
              <a:ext uri="{FF2B5EF4-FFF2-40B4-BE49-F238E27FC236}">
                <a16:creationId xmlns:a16="http://schemas.microsoft.com/office/drawing/2014/main" xmlns="" id="{9999B469-5AD7-1FB1-B6C0-624C0A83B93D}"/>
              </a:ext>
            </a:extLst>
          </xdr:cNvPr>
          <xdr:cNvCxnSpPr>
            <a:cxnSpLocks/>
            <a:stCxn id="45" idx="2"/>
            <a:endCxn id="33" idx="0"/>
          </xdr:cNvCxnSpPr>
        </xdr:nvCxnSpPr>
        <xdr:spPr>
          <a:xfrm>
            <a:off x="6642189" y="2930011"/>
            <a:ext cx="876482" cy="676352"/>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59" name="Straight Arrow Connector 58">
            <a:extLst>
              <a:ext uri="{FF2B5EF4-FFF2-40B4-BE49-F238E27FC236}">
                <a16:creationId xmlns:a16="http://schemas.microsoft.com/office/drawing/2014/main" xmlns="" id="{4655015A-CC5C-B76E-4228-D130335BD292}"/>
              </a:ext>
            </a:extLst>
          </xdr:cNvPr>
          <xdr:cNvCxnSpPr>
            <a:cxnSpLocks/>
            <a:stCxn id="45" idx="2"/>
          </xdr:cNvCxnSpPr>
        </xdr:nvCxnSpPr>
        <xdr:spPr>
          <a:xfrm>
            <a:off x="6642189" y="2930011"/>
            <a:ext cx="1189331" cy="58526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60" name="Straight Arrow Connector 59">
            <a:extLst>
              <a:ext uri="{FF2B5EF4-FFF2-40B4-BE49-F238E27FC236}">
                <a16:creationId xmlns:a16="http://schemas.microsoft.com/office/drawing/2014/main" xmlns="" id="{987EBAB6-2420-6160-5F87-566FF94E154C}"/>
              </a:ext>
            </a:extLst>
          </xdr:cNvPr>
          <xdr:cNvCxnSpPr>
            <a:cxnSpLocks/>
          </xdr:cNvCxnSpPr>
        </xdr:nvCxnSpPr>
        <xdr:spPr>
          <a:xfrm>
            <a:off x="6624172" y="2919401"/>
            <a:ext cx="670058" cy="149353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editAs="oneCell">
    <xdr:from>
      <xdr:col>10</xdr:col>
      <xdr:colOff>544167</xdr:colOff>
      <xdr:row>182</xdr:row>
      <xdr:rowOff>160682</xdr:rowOff>
    </xdr:from>
    <xdr:to>
      <xdr:col>12</xdr:col>
      <xdr:colOff>401107</xdr:colOff>
      <xdr:row>202</xdr:row>
      <xdr:rowOff>45920</xdr:rowOff>
    </xdr:to>
    <xdr:pic>
      <xdr:nvPicPr>
        <xdr:cNvPr id="62" name="Picture 61">
          <a:extLst>
            <a:ext uri="{FF2B5EF4-FFF2-40B4-BE49-F238E27FC236}">
              <a16:creationId xmlns:a16="http://schemas.microsoft.com/office/drawing/2014/main" xmlns="" id="{38AAA248-44E6-7738-7655-31168E828E45}"/>
            </a:ext>
          </a:extLst>
        </xdr:cNvPr>
        <xdr:cNvPicPr>
          <a:picLocks noChangeAspect="1"/>
        </xdr:cNvPicPr>
      </xdr:nvPicPr>
      <xdr:blipFill>
        <a:blip xmlns:r="http://schemas.openxmlformats.org/officeDocument/2006/relationships" r:embed="rId11"/>
        <a:stretch>
          <a:fillRect/>
        </a:stretch>
      </xdr:blipFill>
      <xdr:spPr>
        <a:xfrm>
          <a:off x="7087428" y="43445595"/>
          <a:ext cx="1480331" cy="3703520"/>
        </a:xfrm>
        <a:prstGeom prst="rect">
          <a:avLst/>
        </a:prstGeom>
        <a:ln>
          <a:solidFill>
            <a:schemeClr val="tx1"/>
          </a:solidFill>
        </a:ln>
      </xdr:spPr>
    </xdr:pic>
    <xdr:clientData/>
  </xdr:twoCellAnchor>
  <xdr:twoCellAnchor editAs="oneCell">
    <xdr:from>
      <xdr:col>10</xdr:col>
      <xdr:colOff>285750</xdr:colOff>
      <xdr:row>60</xdr:row>
      <xdr:rowOff>266700</xdr:rowOff>
    </xdr:from>
    <xdr:to>
      <xdr:col>16</xdr:col>
      <xdr:colOff>442350</xdr:colOff>
      <xdr:row>62</xdr:row>
      <xdr:rowOff>357581</xdr:rowOff>
    </xdr:to>
    <xdr:pic>
      <xdr:nvPicPr>
        <xdr:cNvPr id="63" name="Picture 62">
          <a:extLst>
            <a:ext uri="{FF2B5EF4-FFF2-40B4-BE49-F238E27FC236}">
              <a16:creationId xmlns:a16="http://schemas.microsoft.com/office/drawing/2014/main" xmlns="" id="{A8632B74-6580-5694-2817-D066B9A7581F}"/>
            </a:ext>
          </a:extLst>
        </xdr:cNvPr>
        <xdr:cNvPicPr>
          <a:picLocks noChangeAspect="1"/>
        </xdr:cNvPicPr>
      </xdr:nvPicPr>
      <xdr:blipFill>
        <a:blip xmlns:r="http://schemas.openxmlformats.org/officeDocument/2006/relationships" r:embed="rId12"/>
        <a:stretch>
          <a:fillRect/>
        </a:stretch>
      </xdr:blipFill>
      <xdr:spPr>
        <a:xfrm>
          <a:off x="6829425" y="15459075"/>
          <a:ext cx="4500000" cy="1390764"/>
        </a:xfrm>
        <a:prstGeom prst="rect">
          <a:avLst/>
        </a:prstGeom>
        <a:ln>
          <a:solidFill>
            <a:schemeClr val="tx1"/>
          </a:solidFill>
        </a:ln>
      </xdr:spPr>
    </xdr:pic>
    <xdr:clientData/>
  </xdr:twoCellAnchor>
  <xdr:twoCellAnchor editAs="oneCell">
    <xdr:from>
      <xdr:col>10</xdr:col>
      <xdr:colOff>304800</xdr:colOff>
      <xdr:row>65</xdr:row>
      <xdr:rowOff>295275</xdr:rowOff>
    </xdr:from>
    <xdr:to>
      <xdr:col>16</xdr:col>
      <xdr:colOff>461400</xdr:colOff>
      <xdr:row>68</xdr:row>
      <xdr:rowOff>216829</xdr:rowOff>
    </xdr:to>
    <xdr:pic>
      <xdr:nvPicPr>
        <xdr:cNvPr id="1920" name="Picture 1919">
          <a:extLst>
            <a:ext uri="{FF2B5EF4-FFF2-40B4-BE49-F238E27FC236}">
              <a16:creationId xmlns:a16="http://schemas.microsoft.com/office/drawing/2014/main" xmlns="" id="{9CB42F95-03EC-C1BE-D120-7A1B6FABCE32}"/>
            </a:ext>
          </a:extLst>
        </xdr:cNvPr>
        <xdr:cNvPicPr>
          <a:picLocks noChangeAspect="1"/>
        </xdr:cNvPicPr>
      </xdr:nvPicPr>
      <xdr:blipFill>
        <a:blip xmlns:r="http://schemas.openxmlformats.org/officeDocument/2006/relationships" r:embed="rId13"/>
        <a:stretch>
          <a:fillRect/>
        </a:stretch>
      </xdr:blipFill>
      <xdr:spPr>
        <a:xfrm>
          <a:off x="6848475" y="18878550"/>
          <a:ext cx="4500000" cy="1188380"/>
        </a:xfrm>
        <a:prstGeom prst="rect">
          <a:avLst/>
        </a:prstGeom>
        <a:ln>
          <a:solidFill>
            <a:schemeClr val="tx1"/>
          </a:solidFill>
        </a:ln>
      </xdr:spPr>
    </xdr:pic>
    <xdr:clientData/>
  </xdr:twoCellAnchor>
  <xdr:twoCellAnchor editAs="oneCell">
    <xdr:from>
      <xdr:col>11</xdr:col>
      <xdr:colOff>876300</xdr:colOff>
      <xdr:row>68</xdr:row>
      <xdr:rowOff>190500</xdr:rowOff>
    </xdr:from>
    <xdr:to>
      <xdr:col>16</xdr:col>
      <xdr:colOff>22500</xdr:colOff>
      <xdr:row>76</xdr:row>
      <xdr:rowOff>196111</xdr:rowOff>
    </xdr:to>
    <xdr:pic>
      <xdr:nvPicPr>
        <xdr:cNvPr id="1921" name="Picture 1920">
          <a:extLst>
            <a:ext uri="{FF2B5EF4-FFF2-40B4-BE49-F238E27FC236}">
              <a16:creationId xmlns:a16="http://schemas.microsoft.com/office/drawing/2014/main" xmlns="" id="{1A503D19-F330-C3ED-5C3F-93469CF314F1}"/>
            </a:ext>
          </a:extLst>
        </xdr:cNvPr>
        <xdr:cNvPicPr>
          <a:picLocks noChangeAspect="1"/>
        </xdr:cNvPicPr>
      </xdr:nvPicPr>
      <xdr:blipFill>
        <a:blip xmlns:r="http://schemas.openxmlformats.org/officeDocument/2006/relationships" r:embed="rId14"/>
        <a:stretch>
          <a:fillRect/>
        </a:stretch>
      </xdr:blipFill>
      <xdr:spPr>
        <a:xfrm>
          <a:off x="8029575" y="20116800"/>
          <a:ext cx="2880000" cy="2472585"/>
        </a:xfrm>
        <a:prstGeom prst="rect">
          <a:avLst/>
        </a:prstGeom>
        <a:ln>
          <a:solidFill>
            <a:schemeClr val="tx1"/>
          </a:solidFill>
        </a:ln>
      </xdr:spPr>
    </xdr:pic>
    <xdr:clientData/>
  </xdr:twoCellAnchor>
  <xdr:twoCellAnchor editAs="oneCell">
    <xdr:from>
      <xdr:col>1</xdr:col>
      <xdr:colOff>473872</xdr:colOff>
      <xdr:row>571</xdr:row>
      <xdr:rowOff>66675</xdr:rowOff>
    </xdr:from>
    <xdr:to>
      <xdr:col>7</xdr:col>
      <xdr:colOff>475639</xdr:colOff>
      <xdr:row>591</xdr:row>
      <xdr:rowOff>163285</xdr:rowOff>
    </xdr:to>
    <xdr:pic>
      <xdr:nvPicPr>
        <xdr:cNvPr id="1965" name="Picture 1964" descr="A screenshot of a computer screen&#10;&#10;Description automatically generated">
          <a:extLst>
            <a:ext uri="{FF2B5EF4-FFF2-40B4-BE49-F238E27FC236}">
              <a16:creationId xmlns:a16="http://schemas.microsoft.com/office/drawing/2014/main" xmlns="" id="{59FEE2BE-E284-42F5-50B8-8603A9CF477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058979" y="127198211"/>
          <a:ext cx="4560160" cy="3906610"/>
        </a:xfrm>
        <a:prstGeom prst="rect">
          <a:avLst/>
        </a:prstGeom>
        <a:ln>
          <a:solidFill>
            <a:schemeClr val="tx1"/>
          </a:solidFill>
        </a:ln>
      </xdr:spPr>
    </xdr:pic>
    <xdr:clientData/>
  </xdr:twoCellAnchor>
  <xdr:twoCellAnchor>
    <xdr:from>
      <xdr:col>0</xdr:col>
      <xdr:colOff>491217</xdr:colOff>
      <xdr:row>592</xdr:row>
      <xdr:rowOff>116692</xdr:rowOff>
    </xdr:from>
    <xdr:to>
      <xdr:col>8</xdr:col>
      <xdr:colOff>489856</xdr:colOff>
      <xdr:row>612</xdr:row>
      <xdr:rowOff>54427</xdr:rowOff>
    </xdr:to>
    <xdr:grpSp>
      <xdr:nvGrpSpPr>
        <xdr:cNvPr id="1966" name="Group 1965">
          <a:extLst>
            <a:ext uri="{FF2B5EF4-FFF2-40B4-BE49-F238E27FC236}">
              <a16:creationId xmlns:a16="http://schemas.microsoft.com/office/drawing/2014/main" xmlns="" id="{CBA66D77-51B3-208B-540E-2F7F2B0A4705}"/>
            </a:ext>
          </a:extLst>
        </xdr:cNvPr>
        <xdr:cNvGrpSpPr/>
      </xdr:nvGrpSpPr>
      <xdr:grpSpPr>
        <a:xfrm>
          <a:off x="491217" y="129189967"/>
          <a:ext cx="5780314" cy="3747735"/>
          <a:chOff x="1557675" y="4831568"/>
          <a:chExt cx="5400000" cy="3214664"/>
        </a:xfrm>
      </xdr:grpSpPr>
      <xdr:pic>
        <xdr:nvPicPr>
          <xdr:cNvPr id="1967" name="Picture 1966" descr="A map of a city&#10;&#10;Description automatically generated">
            <a:extLst>
              <a:ext uri="{FF2B5EF4-FFF2-40B4-BE49-F238E27FC236}">
                <a16:creationId xmlns:a16="http://schemas.microsoft.com/office/drawing/2014/main" xmlns="" id="{C60DCAFB-B2B5-A8F3-0180-3B1BE21A785C}"/>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557675" y="4831568"/>
            <a:ext cx="5400000" cy="3214664"/>
          </a:xfrm>
          <a:prstGeom prst="rect">
            <a:avLst/>
          </a:prstGeom>
          <a:ln>
            <a:solidFill>
              <a:schemeClr val="tx1"/>
            </a:solidFill>
          </a:ln>
        </xdr:spPr>
      </xdr:pic>
      <xdr:sp macro="" textlink="">
        <xdr:nvSpPr>
          <xdr:cNvPr id="1968" name="Freeform: Shape 1967">
            <a:extLst>
              <a:ext uri="{FF2B5EF4-FFF2-40B4-BE49-F238E27FC236}">
                <a16:creationId xmlns:a16="http://schemas.microsoft.com/office/drawing/2014/main" xmlns="" id="{96E0A9BA-CC9F-CFDD-F1A1-C960F0779941}"/>
              </a:ext>
            </a:extLst>
          </xdr:cNvPr>
          <xdr:cNvSpPr/>
        </xdr:nvSpPr>
        <xdr:spPr>
          <a:xfrm>
            <a:off x="2057400" y="5181600"/>
            <a:ext cx="2667000" cy="2042160"/>
          </a:xfrm>
          <a:custGeom>
            <a:avLst/>
            <a:gdLst>
              <a:gd name="connsiteX0" fmla="*/ 289560 w 2667000"/>
              <a:gd name="connsiteY0" fmla="*/ 0 h 2042160"/>
              <a:gd name="connsiteX1" fmla="*/ 0 w 2667000"/>
              <a:gd name="connsiteY1" fmla="*/ 1836420 h 2042160"/>
              <a:gd name="connsiteX2" fmla="*/ 1897380 w 2667000"/>
              <a:gd name="connsiteY2" fmla="*/ 2042160 h 2042160"/>
              <a:gd name="connsiteX3" fmla="*/ 2667000 w 2667000"/>
              <a:gd name="connsiteY3" fmla="*/ 777240 h 2042160"/>
              <a:gd name="connsiteX4" fmla="*/ 289560 w 2667000"/>
              <a:gd name="connsiteY4" fmla="*/ 0 h 204216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67000" h="2042160">
                <a:moveTo>
                  <a:pt x="289560" y="0"/>
                </a:moveTo>
                <a:lnTo>
                  <a:pt x="0" y="1836420"/>
                </a:lnTo>
                <a:lnTo>
                  <a:pt x="1897380" y="2042160"/>
                </a:lnTo>
                <a:lnTo>
                  <a:pt x="2667000" y="777240"/>
                </a:lnTo>
                <a:lnTo>
                  <a:pt x="289560" y="0"/>
                </a:lnTo>
                <a:close/>
              </a:path>
            </a:pathLst>
          </a:cu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69" name="TextBox 39">
            <a:extLst>
              <a:ext uri="{FF2B5EF4-FFF2-40B4-BE49-F238E27FC236}">
                <a16:creationId xmlns:a16="http://schemas.microsoft.com/office/drawing/2014/main" xmlns="" id="{6612EEAD-B1F8-E9BE-9109-A474F432F8F9}"/>
              </a:ext>
            </a:extLst>
          </xdr:cNvPr>
          <xdr:cNvSpPr txBox="1"/>
        </xdr:nvSpPr>
        <xdr:spPr>
          <a:xfrm>
            <a:off x="2941320" y="6515100"/>
            <a:ext cx="295274"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600" b="1">
                <a:solidFill>
                  <a:srgbClr val="FFFF00"/>
                </a:solidFill>
              </a:rPr>
              <a:t>F</a:t>
            </a:r>
            <a:endParaRPr lang="en-IN" sz="1600" b="1">
              <a:solidFill>
                <a:srgbClr val="FFFF00"/>
              </a:solidFill>
            </a:endParaRPr>
          </a:p>
        </xdr:txBody>
      </xdr:sp>
      <xdr:sp macro="" textlink="">
        <xdr:nvSpPr>
          <xdr:cNvPr id="1970" name="TextBox 40">
            <a:extLst>
              <a:ext uri="{FF2B5EF4-FFF2-40B4-BE49-F238E27FC236}">
                <a16:creationId xmlns:a16="http://schemas.microsoft.com/office/drawing/2014/main" xmlns="" id="{6C287040-02EA-62AA-9C67-066CED7EDD98}"/>
              </a:ext>
            </a:extLst>
          </xdr:cNvPr>
          <xdr:cNvSpPr txBox="1"/>
        </xdr:nvSpPr>
        <xdr:spPr>
          <a:xfrm>
            <a:off x="2535005" y="6545877"/>
            <a:ext cx="312906"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G</a:t>
            </a:r>
            <a:endParaRPr lang="en-IN" sz="1400" b="1">
              <a:solidFill>
                <a:srgbClr val="FFFF00"/>
              </a:solidFill>
            </a:endParaRPr>
          </a:p>
        </xdr:txBody>
      </xdr:sp>
      <xdr:sp macro="" textlink="">
        <xdr:nvSpPr>
          <xdr:cNvPr id="1971" name="TextBox 41">
            <a:extLst>
              <a:ext uri="{FF2B5EF4-FFF2-40B4-BE49-F238E27FC236}">
                <a16:creationId xmlns:a16="http://schemas.microsoft.com/office/drawing/2014/main" xmlns="" id="{898B6077-9164-ECC5-95DB-D42418F15A02}"/>
              </a:ext>
            </a:extLst>
          </xdr:cNvPr>
          <xdr:cNvSpPr txBox="1"/>
        </xdr:nvSpPr>
        <xdr:spPr>
          <a:xfrm>
            <a:off x="3325516" y="6532422"/>
            <a:ext cx="287258"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E</a:t>
            </a:r>
            <a:endParaRPr lang="en-IN" sz="1400" b="1">
              <a:solidFill>
                <a:srgbClr val="FFFF00"/>
              </a:solidFill>
            </a:endParaRPr>
          </a:p>
        </xdr:txBody>
      </xdr:sp>
      <xdr:sp macro="" textlink="">
        <xdr:nvSpPr>
          <xdr:cNvPr id="1972" name="TextBox 42">
            <a:extLst>
              <a:ext uri="{FF2B5EF4-FFF2-40B4-BE49-F238E27FC236}">
                <a16:creationId xmlns:a16="http://schemas.microsoft.com/office/drawing/2014/main" xmlns="" id="{CD410628-3C70-B3A8-F0FB-52B32DD6FDC9}"/>
              </a:ext>
            </a:extLst>
          </xdr:cNvPr>
          <xdr:cNvSpPr txBox="1"/>
        </xdr:nvSpPr>
        <xdr:spPr>
          <a:xfrm>
            <a:off x="2411497" y="7016948"/>
            <a:ext cx="947695"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C000"/>
                </a:solidFill>
              </a:rPr>
              <a:t>Bldg No 3</a:t>
            </a:r>
            <a:endParaRPr lang="en-IN" sz="1400" b="1">
              <a:solidFill>
                <a:srgbClr val="FFC000"/>
              </a:solidFill>
            </a:endParaRPr>
          </a:p>
        </xdr:txBody>
      </xdr:sp>
      <xdr:sp macro="" textlink="">
        <xdr:nvSpPr>
          <xdr:cNvPr id="1973" name="TextBox 43">
            <a:extLst>
              <a:ext uri="{FF2B5EF4-FFF2-40B4-BE49-F238E27FC236}">
                <a16:creationId xmlns:a16="http://schemas.microsoft.com/office/drawing/2014/main" xmlns="" id="{2B92F360-5476-FF96-AA81-4CDD2BBB73E8}"/>
              </a:ext>
            </a:extLst>
          </xdr:cNvPr>
          <xdr:cNvSpPr txBox="1"/>
        </xdr:nvSpPr>
        <xdr:spPr>
          <a:xfrm>
            <a:off x="3280643" y="6963440"/>
            <a:ext cx="947695"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C000"/>
                </a:solidFill>
              </a:rPr>
              <a:t>Bldg No 2</a:t>
            </a:r>
            <a:endParaRPr lang="en-IN" sz="1400" b="1">
              <a:solidFill>
                <a:srgbClr val="FFC000"/>
              </a:solidFill>
            </a:endParaRPr>
          </a:p>
        </xdr:txBody>
      </xdr:sp>
      <xdr:sp macro="" textlink="">
        <xdr:nvSpPr>
          <xdr:cNvPr id="1974" name="TextBox 44">
            <a:extLst>
              <a:ext uri="{FF2B5EF4-FFF2-40B4-BE49-F238E27FC236}">
                <a16:creationId xmlns:a16="http://schemas.microsoft.com/office/drawing/2014/main" xmlns="" id="{55341FD7-DE4F-4CAA-EBE0-5D0BFF8062B6}"/>
              </a:ext>
            </a:extLst>
          </xdr:cNvPr>
          <xdr:cNvSpPr txBox="1"/>
        </xdr:nvSpPr>
        <xdr:spPr>
          <a:xfrm>
            <a:off x="3390900" y="5751372"/>
            <a:ext cx="947695"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C000"/>
                </a:solidFill>
              </a:rPr>
              <a:t>Bldg No 1</a:t>
            </a:r>
            <a:endParaRPr lang="en-IN" sz="1400" b="1">
              <a:solidFill>
                <a:srgbClr val="FFC000"/>
              </a:solidFill>
            </a:endParaRPr>
          </a:p>
        </xdr:txBody>
      </xdr:sp>
      <xdr:sp macro="" textlink="">
        <xdr:nvSpPr>
          <xdr:cNvPr id="1975" name="TextBox 45">
            <a:extLst>
              <a:ext uri="{FF2B5EF4-FFF2-40B4-BE49-F238E27FC236}">
                <a16:creationId xmlns:a16="http://schemas.microsoft.com/office/drawing/2014/main" xmlns="" id="{8FC076B7-8E6E-BD6E-6403-DA87295F11D2}"/>
              </a:ext>
            </a:extLst>
          </xdr:cNvPr>
          <xdr:cNvSpPr txBox="1"/>
        </xdr:nvSpPr>
        <xdr:spPr>
          <a:xfrm>
            <a:off x="3760607" y="6535992"/>
            <a:ext cx="31130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D</a:t>
            </a:r>
            <a:endParaRPr lang="en-IN" sz="1400" b="1">
              <a:solidFill>
                <a:srgbClr val="FFFF00"/>
              </a:solidFill>
            </a:endParaRPr>
          </a:p>
        </xdr:txBody>
      </xdr:sp>
      <xdr:sp macro="" textlink="">
        <xdr:nvSpPr>
          <xdr:cNvPr id="1976" name="TextBox 46">
            <a:extLst>
              <a:ext uri="{FF2B5EF4-FFF2-40B4-BE49-F238E27FC236}">
                <a16:creationId xmlns:a16="http://schemas.microsoft.com/office/drawing/2014/main" xmlns="" id="{C41018C2-ACDB-8FC8-92B6-65A95F76A21B}"/>
              </a:ext>
            </a:extLst>
          </xdr:cNvPr>
          <xdr:cNvSpPr txBox="1"/>
        </xdr:nvSpPr>
        <xdr:spPr>
          <a:xfrm>
            <a:off x="3800771" y="6178820"/>
            <a:ext cx="53782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C</a:t>
            </a:r>
            <a:endParaRPr lang="en-IN" sz="1400" b="1">
              <a:solidFill>
                <a:srgbClr val="FFFF00"/>
              </a:solidFill>
            </a:endParaRPr>
          </a:p>
        </xdr:txBody>
      </xdr:sp>
      <xdr:sp macro="" textlink="">
        <xdr:nvSpPr>
          <xdr:cNvPr id="1977" name="TextBox 47">
            <a:extLst>
              <a:ext uri="{FF2B5EF4-FFF2-40B4-BE49-F238E27FC236}">
                <a16:creationId xmlns:a16="http://schemas.microsoft.com/office/drawing/2014/main" xmlns="" id="{D8325953-0BFE-C6C7-76AE-222C753216BB}"/>
              </a:ext>
            </a:extLst>
          </xdr:cNvPr>
          <xdr:cNvSpPr txBox="1"/>
        </xdr:nvSpPr>
        <xdr:spPr>
          <a:xfrm>
            <a:off x="3980433" y="5942111"/>
            <a:ext cx="29527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B</a:t>
            </a:r>
            <a:endParaRPr lang="en-IN" sz="1400" b="1">
              <a:solidFill>
                <a:srgbClr val="FFFF00"/>
              </a:solidFill>
            </a:endParaRPr>
          </a:p>
        </xdr:txBody>
      </xdr:sp>
      <xdr:sp macro="" textlink="">
        <xdr:nvSpPr>
          <xdr:cNvPr id="1978" name="TextBox 48">
            <a:extLst>
              <a:ext uri="{FF2B5EF4-FFF2-40B4-BE49-F238E27FC236}">
                <a16:creationId xmlns:a16="http://schemas.microsoft.com/office/drawing/2014/main" xmlns="" id="{1F622E07-042F-12C8-F651-9024D7B59A52}"/>
              </a:ext>
            </a:extLst>
          </xdr:cNvPr>
          <xdr:cNvSpPr txBox="1"/>
        </xdr:nvSpPr>
        <xdr:spPr>
          <a:xfrm>
            <a:off x="4338595" y="5647966"/>
            <a:ext cx="295274" cy="3077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A</a:t>
            </a:r>
            <a:endParaRPr lang="en-IN" sz="1400" b="1">
              <a:solidFill>
                <a:srgbClr val="FFFF00"/>
              </a:solidFill>
            </a:endParaRPr>
          </a:p>
        </xdr:txBody>
      </xdr:sp>
    </xdr:grpSp>
    <xdr:clientData/>
  </xdr:twoCellAnchor>
  <xdr:twoCellAnchor editAs="oneCell">
    <xdr:from>
      <xdr:col>11</xdr:col>
      <xdr:colOff>190500</xdr:colOff>
      <xdr:row>61</xdr:row>
      <xdr:rowOff>180363</xdr:rowOff>
    </xdr:from>
    <xdr:to>
      <xdr:col>19</xdr:col>
      <xdr:colOff>8596</xdr:colOff>
      <xdr:row>65</xdr:row>
      <xdr:rowOff>247118</xdr:rowOff>
    </xdr:to>
    <xdr:pic>
      <xdr:nvPicPr>
        <xdr:cNvPr id="4" name="Picture 3"/>
        <xdr:cNvPicPr>
          <a:picLocks noChangeAspect="1"/>
        </xdr:cNvPicPr>
      </xdr:nvPicPr>
      <xdr:blipFill>
        <a:blip xmlns:r="http://schemas.openxmlformats.org/officeDocument/2006/relationships" r:embed="rId17"/>
        <a:stretch>
          <a:fillRect/>
        </a:stretch>
      </xdr:blipFill>
      <xdr:spPr>
        <a:xfrm>
          <a:off x="7343775" y="17144388"/>
          <a:ext cx="5380696" cy="3076655"/>
        </a:xfrm>
        <a:prstGeom prst="rect">
          <a:avLst/>
        </a:prstGeom>
      </xdr:spPr>
    </xdr:pic>
    <xdr:clientData/>
  </xdr:twoCellAnchor>
  <xdr:twoCellAnchor>
    <xdr:from>
      <xdr:col>0</xdr:col>
      <xdr:colOff>86399</xdr:colOff>
      <xdr:row>479</xdr:row>
      <xdr:rowOff>57149</xdr:rowOff>
    </xdr:from>
    <xdr:to>
      <xdr:col>8</xdr:col>
      <xdr:colOff>714374</xdr:colOff>
      <xdr:row>523</xdr:row>
      <xdr:rowOff>131660</xdr:rowOff>
    </xdr:to>
    <xdr:grpSp>
      <xdr:nvGrpSpPr>
        <xdr:cNvPr id="3" name="Group 2"/>
        <xdr:cNvGrpSpPr/>
      </xdr:nvGrpSpPr>
      <xdr:grpSpPr>
        <a:xfrm>
          <a:off x="86399" y="107413424"/>
          <a:ext cx="6409650" cy="8551761"/>
          <a:chOff x="86399" y="107958590"/>
          <a:chExt cx="6410210" cy="8546158"/>
        </a:xfrm>
      </xdr:grpSpPr>
      <xdr:pic>
        <xdr:nvPicPr>
          <xdr:cNvPr id="80" name="Picture 79" descr="https://vsjcllp.vsjadon.com/upload/insp-246594-844.jpe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255744" y="115009918"/>
            <a:ext cx="2651872" cy="14948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46594-1525.jpe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86399" y="107958590"/>
            <a:ext cx="2074094" cy="2767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2" name="Picture 81" descr="https://vsjcllp.vsjadon.com/upload/insp-246594-843.jpe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3349553" y="110822815"/>
            <a:ext cx="137708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5" name="Picture 84" descr="https://vsjcllp.vsjadon.com/upload/insp-246594-848.jpe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4822566" y="110822815"/>
            <a:ext cx="162784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descr="https://vsjcllp.vsjadon.com/upload/insp-246594-852.jpe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373771" y="113070715"/>
            <a:ext cx="1414652" cy="18714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46594-865.jpe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1875419" y="110822815"/>
            <a:ext cx="137820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46594-868.jpe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963706" y="113060345"/>
            <a:ext cx="3321915" cy="18714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https://vsjcllp.vsjadon.com/upload/insp-246594-874.jpe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4411870" y="107958590"/>
            <a:ext cx="2084739" cy="2767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4" name="Picture 93" descr="https://vsjcllp.vsjadon.com/upload/insp-246594-877.jpe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2246893" y="107958590"/>
            <a:ext cx="2069052" cy="27677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5" name="Picture 94" descr="https://vsjcllp.vsjadon.com/upload/insp-246594-886.jpe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162600" y="110822815"/>
            <a:ext cx="16183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38100</xdr:rowOff>
    </xdr:from>
    <xdr:to>
      <xdr:col>6</xdr:col>
      <xdr:colOff>352425</xdr:colOff>
      <xdr:row>30</xdr:row>
      <xdr:rowOff>19050</xdr:rowOff>
    </xdr:to>
    <xdr:pic>
      <xdr:nvPicPr>
        <xdr:cNvPr id="6309" name="Picture 1">
          <a:extLst>
            <a:ext uri="{FF2B5EF4-FFF2-40B4-BE49-F238E27FC236}">
              <a16:creationId xmlns:a16="http://schemas.microsoft.com/office/drawing/2014/main" xmlns="" id="{00000000-0008-0000-0100-0000A51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21431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30</xdr:row>
      <xdr:rowOff>133350</xdr:rowOff>
    </xdr:from>
    <xdr:to>
      <xdr:col>6</xdr:col>
      <xdr:colOff>438150</xdr:colOff>
      <xdr:row>49</xdr:row>
      <xdr:rowOff>114300</xdr:rowOff>
    </xdr:to>
    <xdr:pic>
      <xdr:nvPicPr>
        <xdr:cNvPr id="6310" name="Picture 2">
          <a:extLst>
            <a:ext uri="{FF2B5EF4-FFF2-40B4-BE49-F238E27FC236}">
              <a16:creationId xmlns:a16="http://schemas.microsoft.com/office/drawing/2014/main" xmlns="" id="{00000000-0008-0000-0100-0000A61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66750" y="58578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457200</xdr:colOff>
      <xdr:row>11</xdr:row>
      <xdr:rowOff>0</xdr:rowOff>
    </xdr:from>
    <xdr:to>
      <xdr:col>16</xdr:col>
      <xdr:colOff>133350</xdr:colOff>
      <xdr:row>29</xdr:row>
      <xdr:rowOff>171450</xdr:rowOff>
    </xdr:to>
    <xdr:pic>
      <xdr:nvPicPr>
        <xdr:cNvPr id="6311" name="Picture 3">
          <a:extLst>
            <a:ext uri="{FF2B5EF4-FFF2-40B4-BE49-F238E27FC236}">
              <a16:creationId xmlns:a16="http://schemas.microsoft.com/office/drawing/2014/main" xmlns="" id="{00000000-0008-0000-0100-0000A71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439025" y="2105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29</xdr:row>
      <xdr:rowOff>171450</xdr:rowOff>
    </xdr:from>
    <xdr:to>
      <xdr:col>16</xdr:col>
      <xdr:colOff>219075</xdr:colOff>
      <xdr:row>48</xdr:row>
      <xdr:rowOff>152400</xdr:rowOff>
    </xdr:to>
    <xdr:pic>
      <xdr:nvPicPr>
        <xdr:cNvPr id="6312" name="Picture 4">
          <a:extLst>
            <a:ext uri="{FF2B5EF4-FFF2-40B4-BE49-F238E27FC236}">
              <a16:creationId xmlns:a16="http://schemas.microsoft.com/office/drawing/2014/main" xmlns="" id="{00000000-0008-0000-0100-0000A81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24750" y="57054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22</xdr:col>
      <xdr:colOff>209550</xdr:colOff>
      <xdr:row>74</xdr:row>
      <xdr:rowOff>76200</xdr:rowOff>
    </xdr:to>
    <xdr:pic>
      <xdr:nvPicPr>
        <xdr:cNvPr id="2127" name="Picture 1">
          <a:extLst>
            <a:ext uri="{FF2B5EF4-FFF2-40B4-BE49-F238E27FC236}">
              <a16:creationId xmlns:a16="http://schemas.microsoft.com/office/drawing/2014/main" xmlns="" id="{00000000-0008-0000-0400-00004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609600" y="6858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iGTsmhncdzV9XAUbA?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1"/>
  <sheetViews>
    <sheetView tabSelected="1" view="pageBreakPreview" zoomScaleNormal="100" zoomScaleSheetLayoutView="100" zoomScalePageLayoutView="85" workbookViewId="0">
      <selection activeCell="P9" sqref="P9"/>
    </sheetView>
  </sheetViews>
  <sheetFormatPr defaultRowHeight="15" x14ac:dyDescent="0.25"/>
  <cols>
    <col min="1" max="1" width="8.7109375" customWidth="1"/>
    <col min="2" max="2" width="11.140625" customWidth="1"/>
    <col min="3" max="3" width="14.42578125" customWidth="1"/>
    <col min="4" max="4" width="7.28515625" customWidth="1"/>
    <col min="5" max="5" width="9.140625" customWidth="1"/>
    <col min="6" max="6" width="16.28515625" customWidth="1"/>
    <col min="7" max="8" width="9.85546875" customWidth="1"/>
    <col min="9" max="9" width="11.140625" customWidth="1"/>
    <col min="10" max="10" width="0.28515625" customWidth="1"/>
    <col min="12" max="12" width="15.140625" bestFit="1" customWidth="1"/>
    <col min="13" max="13" width="11.85546875" bestFit="1" customWidth="1"/>
    <col min="14" max="14" width="10.7109375" bestFit="1" customWidth="1"/>
  </cols>
  <sheetData>
    <row r="1" spans="1:11" ht="43.9" customHeight="1" x14ac:dyDescent="0.25">
      <c r="A1" s="194" t="s">
        <v>261</v>
      </c>
      <c r="B1" s="195"/>
      <c r="C1" s="195"/>
      <c r="D1" s="195"/>
      <c r="E1" s="195"/>
      <c r="F1" s="195"/>
      <c r="G1" s="195"/>
      <c r="H1" s="195"/>
      <c r="I1" s="195"/>
      <c r="J1" s="196"/>
    </row>
    <row r="2" spans="1:11" x14ac:dyDescent="0.25">
      <c r="A2" s="127" t="s">
        <v>46</v>
      </c>
      <c r="B2" s="128"/>
      <c r="C2" s="128"/>
      <c r="D2" s="128"/>
      <c r="E2" s="128"/>
      <c r="F2" s="128"/>
      <c r="G2" s="128"/>
      <c r="H2" s="128"/>
      <c r="I2" s="128"/>
      <c r="J2" s="129"/>
    </row>
    <row r="3" spans="1:11" x14ac:dyDescent="0.25">
      <c r="A3" s="130" t="s">
        <v>0</v>
      </c>
      <c r="B3" s="131"/>
      <c r="C3" s="131"/>
      <c r="D3" s="131"/>
      <c r="E3" s="132"/>
      <c r="F3" s="133" t="str">
        <f ca="1">TEXT(TODAY(),"DD/MM/YYYY")</f>
        <v>15/09/2025</v>
      </c>
      <c r="G3" s="134"/>
      <c r="H3" s="134"/>
      <c r="I3" s="134"/>
      <c r="J3" s="135"/>
    </row>
    <row r="4" spans="1:11" x14ac:dyDescent="0.25">
      <c r="A4" s="130" t="s">
        <v>1</v>
      </c>
      <c r="B4" s="131"/>
      <c r="C4" s="131"/>
      <c r="D4" s="131"/>
      <c r="E4" s="132"/>
      <c r="F4" s="136" t="s">
        <v>115</v>
      </c>
      <c r="G4" s="137"/>
      <c r="H4" s="137"/>
      <c r="I4" s="137"/>
      <c r="J4" s="138"/>
    </row>
    <row r="5" spans="1:11" x14ac:dyDescent="0.25">
      <c r="A5" s="130" t="s">
        <v>2</v>
      </c>
      <c r="B5" s="131"/>
      <c r="C5" s="131"/>
      <c r="D5" s="131"/>
      <c r="E5" s="132"/>
      <c r="F5" s="143">
        <v>45909</v>
      </c>
      <c r="G5" s="144"/>
      <c r="H5" s="144"/>
      <c r="I5" s="144"/>
      <c r="J5" s="145"/>
    </row>
    <row r="6" spans="1:11" ht="16.5" customHeight="1" x14ac:dyDescent="0.25">
      <c r="A6" s="130" t="s">
        <v>3</v>
      </c>
      <c r="B6" s="131"/>
      <c r="C6" s="131"/>
      <c r="D6" s="131"/>
      <c r="E6" s="132"/>
      <c r="F6" s="140" t="s">
        <v>150</v>
      </c>
      <c r="G6" s="141"/>
      <c r="H6" s="141"/>
      <c r="I6" s="141"/>
      <c r="J6" s="142"/>
    </row>
    <row r="7" spans="1:11" ht="15" customHeight="1" x14ac:dyDescent="0.25">
      <c r="A7" s="130" t="s">
        <v>4</v>
      </c>
      <c r="B7" s="131"/>
      <c r="C7" s="131"/>
      <c r="D7" s="131"/>
      <c r="E7" s="132"/>
      <c r="F7" s="140" t="str">
        <f>F6</f>
        <v>M/s.Joynest Premises Private Limited</v>
      </c>
      <c r="G7" s="141"/>
      <c r="H7" s="141"/>
      <c r="I7" s="141"/>
      <c r="J7" s="142"/>
    </row>
    <row r="8" spans="1:11" x14ac:dyDescent="0.25">
      <c r="A8" s="130" t="s">
        <v>5</v>
      </c>
      <c r="B8" s="131"/>
      <c r="C8" s="131"/>
      <c r="D8" s="131"/>
      <c r="E8" s="132"/>
      <c r="F8" s="139" t="s">
        <v>153</v>
      </c>
      <c r="G8" s="137"/>
      <c r="H8" s="137"/>
      <c r="I8" s="137"/>
      <c r="J8" s="138"/>
      <c r="K8" t="s">
        <v>370</v>
      </c>
    </row>
    <row r="9" spans="1:11" ht="91.5" customHeight="1" x14ac:dyDescent="0.25">
      <c r="A9" s="136" t="s">
        <v>205</v>
      </c>
      <c r="B9" s="131"/>
      <c r="C9" s="131"/>
      <c r="D9" s="131"/>
      <c r="E9" s="132"/>
      <c r="F9" s="167" t="s">
        <v>359</v>
      </c>
      <c r="G9" s="170"/>
      <c r="H9" s="170"/>
      <c r="I9" s="170"/>
      <c r="J9" s="172"/>
    </row>
    <row r="10" spans="1:11" x14ac:dyDescent="0.25">
      <c r="A10" s="136" t="s">
        <v>288</v>
      </c>
      <c r="B10" s="131"/>
      <c r="C10" s="131"/>
      <c r="D10" s="131"/>
      <c r="E10" s="132"/>
      <c r="F10" s="167" t="s">
        <v>357</v>
      </c>
      <c r="G10" s="170"/>
      <c r="H10" s="170"/>
      <c r="I10" s="170"/>
      <c r="J10" s="64"/>
    </row>
    <row r="11" spans="1:11" x14ac:dyDescent="0.25">
      <c r="A11" s="130" t="s">
        <v>6</v>
      </c>
      <c r="B11" s="131"/>
      <c r="C11" s="131"/>
      <c r="D11" s="131"/>
      <c r="E11" s="132"/>
      <c r="F11" s="136" t="s">
        <v>284</v>
      </c>
      <c r="G11" s="137"/>
      <c r="H11" s="137"/>
      <c r="I11" s="137"/>
      <c r="J11" s="138"/>
    </row>
    <row r="12" spans="1:11" ht="91.5" customHeight="1" x14ac:dyDescent="0.25">
      <c r="A12" s="136" t="s">
        <v>203</v>
      </c>
      <c r="B12" s="131"/>
      <c r="C12" s="131"/>
      <c r="D12" s="131"/>
      <c r="E12" s="132"/>
      <c r="F12" s="167" t="s">
        <v>353</v>
      </c>
      <c r="G12" s="170"/>
      <c r="H12" s="170"/>
      <c r="I12" s="170"/>
      <c r="J12" s="172"/>
    </row>
    <row r="13" spans="1:11" hidden="1" x14ac:dyDescent="0.25">
      <c r="A13" s="171" t="s">
        <v>68</v>
      </c>
      <c r="B13" s="171"/>
      <c r="C13" s="140" t="s">
        <v>116</v>
      </c>
      <c r="D13" s="141"/>
      <c r="E13" s="141"/>
      <c r="F13" s="141"/>
      <c r="G13" s="142"/>
      <c r="H13" s="4" t="s">
        <v>69</v>
      </c>
      <c r="I13" s="136" t="s">
        <v>119</v>
      </c>
      <c r="J13" s="138"/>
    </row>
    <row r="14" spans="1:11" ht="31.5" customHeight="1" x14ac:dyDescent="0.25">
      <c r="A14" s="140" t="s">
        <v>70</v>
      </c>
      <c r="B14" s="142"/>
      <c r="C14" s="167" t="s">
        <v>358</v>
      </c>
      <c r="D14" s="168"/>
      <c r="E14" s="168"/>
      <c r="F14" s="168"/>
      <c r="G14" s="168"/>
      <c r="H14" s="168"/>
      <c r="I14" s="168"/>
      <c r="J14" s="169"/>
    </row>
    <row r="15" spans="1:11" x14ac:dyDescent="0.25">
      <c r="A15" s="2" t="s">
        <v>285</v>
      </c>
      <c r="B15" s="136" t="s">
        <v>286</v>
      </c>
      <c r="C15" s="137"/>
      <c r="D15" s="138"/>
      <c r="E15" s="2" t="s">
        <v>113</v>
      </c>
      <c r="F15" s="4" t="s">
        <v>55</v>
      </c>
      <c r="G15" s="5" t="s">
        <v>71</v>
      </c>
      <c r="H15" s="140" t="s">
        <v>246</v>
      </c>
      <c r="I15" s="141"/>
      <c r="J15" s="142"/>
    </row>
    <row r="16" spans="1:11" x14ac:dyDescent="0.25">
      <c r="A16" s="15" t="s">
        <v>7</v>
      </c>
      <c r="B16" s="136" t="s">
        <v>120</v>
      </c>
      <c r="C16" s="137"/>
      <c r="D16" s="137"/>
      <c r="E16" s="138"/>
      <c r="F16" s="4" t="s">
        <v>72</v>
      </c>
      <c r="G16" s="136" t="s">
        <v>117</v>
      </c>
      <c r="H16" s="137"/>
      <c r="I16" s="137"/>
      <c r="J16" s="138"/>
    </row>
    <row r="17" spans="1:10" x14ac:dyDescent="0.25">
      <c r="A17" s="3" t="s">
        <v>8</v>
      </c>
      <c r="B17" s="136" t="s">
        <v>287</v>
      </c>
      <c r="C17" s="137"/>
      <c r="D17" s="137"/>
      <c r="E17" s="138"/>
      <c r="F17" s="4" t="s">
        <v>73</v>
      </c>
      <c r="G17" s="136" t="s">
        <v>118</v>
      </c>
      <c r="H17" s="137"/>
      <c r="I17" s="137"/>
      <c r="J17" s="138"/>
    </row>
    <row r="18" spans="1:10" ht="32.25" customHeight="1" x14ac:dyDescent="0.25">
      <c r="A18" s="166" t="s">
        <v>74</v>
      </c>
      <c r="B18" s="166"/>
      <c r="C18" s="146" t="s">
        <v>121</v>
      </c>
      <c r="D18" s="147"/>
      <c r="E18" s="148"/>
      <c r="F18" s="163" t="s">
        <v>57</v>
      </c>
      <c r="G18" s="163"/>
      <c r="H18" s="141" t="s">
        <v>252</v>
      </c>
      <c r="I18" s="141"/>
      <c r="J18" s="142"/>
    </row>
    <row r="19" spans="1:10" ht="15" customHeight="1" x14ac:dyDescent="0.25">
      <c r="A19" s="122" t="s">
        <v>59</v>
      </c>
      <c r="B19" s="123"/>
      <c r="C19" s="123"/>
      <c r="D19" s="123"/>
      <c r="E19" s="124"/>
      <c r="F19" s="157" t="s">
        <v>67</v>
      </c>
      <c r="G19" s="158"/>
      <c r="H19" s="158"/>
      <c r="I19" s="158"/>
      <c r="J19" s="159"/>
    </row>
    <row r="20" spans="1:10" x14ac:dyDescent="0.25">
      <c r="A20" s="152"/>
      <c r="B20" s="153"/>
      <c r="C20" s="153"/>
      <c r="D20" s="153"/>
      <c r="E20" s="154"/>
      <c r="F20" s="160"/>
      <c r="G20" s="161"/>
      <c r="H20" s="161"/>
      <c r="I20" s="161"/>
      <c r="J20" s="162"/>
    </row>
    <row r="21" spans="1:10" x14ac:dyDescent="0.25">
      <c r="A21" s="209" t="s">
        <v>9</v>
      </c>
      <c r="B21" s="210"/>
      <c r="C21" s="210"/>
      <c r="D21" s="210"/>
      <c r="E21" s="211"/>
      <c r="F21" s="122" t="s">
        <v>48</v>
      </c>
      <c r="G21" s="123"/>
      <c r="H21" s="123"/>
      <c r="I21" s="123"/>
      <c r="J21" s="124"/>
    </row>
    <row r="22" spans="1:10" x14ac:dyDescent="0.25">
      <c r="A22" s="130" t="s">
        <v>10</v>
      </c>
      <c r="B22" s="131"/>
      <c r="C22" s="131"/>
      <c r="D22" s="131"/>
      <c r="E22" s="132"/>
      <c r="F22" s="149" t="s">
        <v>111</v>
      </c>
      <c r="G22" s="150"/>
      <c r="H22" s="150"/>
      <c r="I22" s="150"/>
      <c r="J22" s="151"/>
    </row>
    <row r="23" spans="1:10" x14ac:dyDescent="0.25">
      <c r="A23" s="130" t="s">
        <v>11</v>
      </c>
      <c r="B23" s="131"/>
      <c r="C23" s="131"/>
      <c r="D23" s="131"/>
      <c r="E23" s="132"/>
      <c r="F23" s="149" t="s">
        <v>58</v>
      </c>
      <c r="G23" s="150"/>
      <c r="H23" s="150"/>
      <c r="I23" s="150"/>
      <c r="J23" s="151"/>
    </row>
    <row r="24" spans="1:10" x14ac:dyDescent="0.25">
      <c r="A24" s="130" t="s">
        <v>12</v>
      </c>
      <c r="B24" s="131"/>
      <c r="C24" s="131"/>
      <c r="D24" s="131"/>
      <c r="E24" s="132"/>
      <c r="F24" s="149" t="s">
        <v>49</v>
      </c>
      <c r="G24" s="150"/>
      <c r="H24" s="150"/>
      <c r="I24" s="150"/>
      <c r="J24" s="151"/>
    </row>
    <row r="25" spans="1:10" x14ac:dyDescent="0.25">
      <c r="A25" s="130" t="s">
        <v>30</v>
      </c>
      <c r="B25" s="131"/>
      <c r="C25" s="131"/>
      <c r="D25" s="131"/>
      <c r="E25" s="132"/>
      <c r="F25" s="149" t="s">
        <v>75</v>
      </c>
      <c r="G25" s="155"/>
      <c r="H25" s="155"/>
      <c r="I25" s="155"/>
      <c r="J25" s="156"/>
    </row>
    <row r="26" spans="1:10" x14ac:dyDescent="0.25">
      <c r="A26" s="127" t="s">
        <v>13</v>
      </c>
      <c r="B26" s="129"/>
      <c r="C26" s="127" t="s">
        <v>14</v>
      </c>
      <c r="D26" s="129"/>
      <c r="E26" s="127" t="s">
        <v>15</v>
      </c>
      <c r="F26" s="129"/>
      <c r="G26" s="127" t="s">
        <v>56</v>
      </c>
      <c r="H26" s="129"/>
      <c r="I26" s="127" t="s">
        <v>16</v>
      </c>
      <c r="J26" s="129"/>
    </row>
    <row r="27" spans="1:10" ht="34.5" customHeight="1" x14ac:dyDescent="0.25">
      <c r="A27" s="125" t="s">
        <v>267</v>
      </c>
      <c r="B27" s="126"/>
      <c r="C27" s="164" t="s">
        <v>264</v>
      </c>
      <c r="D27" s="165"/>
      <c r="E27" s="125" t="s">
        <v>269</v>
      </c>
      <c r="F27" s="126"/>
      <c r="G27" s="125" t="s">
        <v>269</v>
      </c>
      <c r="H27" s="126"/>
      <c r="I27" s="164" t="s">
        <v>268</v>
      </c>
      <c r="J27" s="165"/>
    </row>
    <row r="28" spans="1:10" ht="42" customHeight="1" x14ac:dyDescent="0.25">
      <c r="A28" s="201" t="s">
        <v>17</v>
      </c>
      <c r="B28" s="202"/>
      <c r="C28" s="164" t="s">
        <v>265</v>
      </c>
      <c r="D28" s="165"/>
      <c r="E28" s="125" t="s">
        <v>270</v>
      </c>
      <c r="F28" s="126"/>
      <c r="G28" s="125" t="s">
        <v>270</v>
      </c>
      <c r="H28" s="126"/>
      <c r="I28" s="164" t="s">
        <v>266</v>
      </c>
      <c r="J28" s="165"/>
    </row>
    <row r="29" spans="1:10" x14ac:dyDescent="0.25">
      <c r="A29" s="136" t="s">
        <v>65</v>
      </c>
      <c r="B29" s="137"/>
      <c r="C29" s="137"/>
      <c r="D29" s="137"/>
      <c r="E29" s="137"/>
      <c r="F29" s="137"/>
      <c r="G29" s="137"/>
      <c r="H29" s="137"/>
      <c r="I29" s="137"/>
      <c r="J29" s="138"/>
    </row>
    <row r="30" spans="1:10" x14ac:dyDescent="0.25">
      <c r="A30" s="136" t="s">
        <v>50</v>
      </c>
      <c r="B30" s="137"/>
      <c r="C30" s="137"/>
      <c r="D30" s="137"/>
      <c r="E30" s="137"/>
      <c r="F30" s="137"/>
      <c r="G30" s="137"/>
      <c r="H30" s="137"/>
      <c r="I30" s="137"/>
      <c r="J30" s="138"/>
    </row>
    <row r="31" spans="1:10" x14ac:dyDescent="0.25">
      <c r="A31" s="136" t="s">
        <v>43</v>
      </c>
      <c r="B31" s="138"/>
      <c r="C31" s="136" t="s">
        <v>263</v>
      </c>
      <c r="D31" s="137"/>
      <c r="E31" s="137"/>
      <c r="F31" s="137"/>
      <c r="G31" s="137"/>
      <c r="H31" s="137"/>
      <c r="I31" s="137"/>
      <c r="J31" s="138"/>
    </row>
    <row r="32" spans="1:10" x14ac:dyDescent="0.25">
      <c r="A32" s="136" t="s">
        <v>257</v>
      </c>
      <c r="B32" s="138"/>
      <c r="C32" s="173" t="s">
        <v>258</v>
      </c>
      <c r="D32" s="137"/>
      <c r="E32" s="137"/>
      <c r="F32" s="137"/>
      <c r="G32" s="137"/>
      <c r="H32" s="137"/>
      <c r="I32" s="137"/>
      <c r="J32" s="138"/>
    </row>
    <row r="33" spans="1:11" x14ac:dyDescent="0.25">
      <c r="A33" s="203" t="s">
        <v>18</v>
      </c>
      <c r="B33" s="204"/>
      <c r="C33" s="204"/>
      <c r="D33" s="204"/>
      <c r="E33" s="204"/>
      <c r="F33" s="204"/>
      <c r="G33" s="204"/>
      <c r="H33" s="204"/>
      <c r="I33" s="204"/>
      <c r="J33" s="205"/>
    </row>
    <row r="34" spans="1:11" ht="15" customHeight="1" x14ac:dyDescent="0.25">
      <c r="A34" s="122" t="s">
        <v>51</v>
      </c>
      <c r="B34" s="123"/>
      <c r="C34" s="123"/>
      <c r="D34" s="123"/>
      <c r="E34" s="123"/>
      <c r="F34" s="123"/>
      <c r="G34" s="123"/>
      <c r="H34" s="123"/>
      <c r="I34" s="123"/>
      <c r="J34" s="124"/>
    </row>
    <row r="35" spans="1:11" x14ac:dyDescent="0.25">
      <c r="A35" s="152"/>
      <c r="B35" s="153"/>
      <c r="C35" s="153"/>
      <c r="D35" s="153"/>
      <c r="E35" s="153"/>
      <c r="F35" s="153"/>
      <c r="G35" s="153"/>
      <c r="H35" s="153"/>
      <c r="I35" s="153"/>
      <c r="J35" s="154"/>
    </row>
    <row r="36" spans="1:11" x14ac:dyDescent="0.25">
      <c r="A36" s="177" t="s">
        <v>76</v>
      </c>
      <c r="B36" s="178"/>
      <c r="C36" s="178"/>
      <c r="D36" s="178"/>
      <c r="E36" s="179"/>
      <c r="F36" s="180">
        <v>38990.5</v>
      </c>
      <c r="G36" s="181"/>
      <c r="H36" s="181"/>
      <c r="I36" s="181"/>
      <c r="J36" s="182"/>
      <c r="K36">
        <v>35268.04</v>
      </c>
    </row>
    <row r="37" spans="1:11" x14ac:dyDescent="0.25">
      <c r="A37" s="177" t="s">
        <v>19</v>
      </c>
      <c r="B37" s="178"/>
      <c r="C37" s="178"/>
      <c r="D37" s="178"/>
      <c r="E37" s="179"/>
      <c r="F37" s="183">
        <f>38990.5/F36</f>
        <v>1</v>
      </c>
      <c r="G37" s="184"/>
      <c r="H37" s="184"/>
      <c r="I37" s="184"/>
      <c r="J37" s="185"/>
    </row>
    <row r="38" spans="1:11" x14ac:dyDescent="0.25">
      <c r="A38" s="177" t="s">
        <v>20</v>
      </c>
      <c r="B38" s="178"/>
      <c r="C38" s="178"/>
      <c r="D38" s="178"/>
      <c r="E38" s="179"/>
      <c r="F38" s="183">
        <f>F40/F36-F37</f>
        <v>0.16477834344263353</v>
      </c>
      <c r="G38" s="184"/>
      <c r="H38" s="184"/>
      <c r="I38" s="184"/>
      <c r="J38" s="185"/>
    </row>
    <row r="39" spans="1:11" x14ac:dyDescent="0.25">
      <c r="A39" s="177" t="s">
        <v>21</v>
      </c>
      <c r="B39" s="178"/>
      <c r="C39" s="178"/>
      <c r="D39" s="178"/>
      <c r="E39" s="179"/>
      <c r="F39" s="183">
        <f>F37+F38</f>
        <v>1.1647783434426335</v>
      </c>
      <c r="G39" s="184"/>
      <c r="H39" s="184"/>
      <c r="I39" s="184"/>
      <c r="J39" s="185"/>
    </row>
    <row r="40" spans="1:11" x14ac:dyDescent="0.25">
      <c r="A40" s="177" t="s">
        <v>289</v>
      </c>
      <c r="B40" s="178"/>
      <c r="C40" s="178"/>
      <c r="D40" s="178"/>
      <c r="E40" s="179"/>
      <c r="F40" s="183">
        <v>45415.29</v>
      </c>
      <c r="G40" s="184"/>
      <c r="H40" s="184"/>
      <c r="I40" s="184"/>
      <c r="J40" s="185"/>
      <c r="K40">
        <v>35268.04</v>
      </c>
    </row>
    <row r="41" spans="1:11" x14ac:dyDescent="0.25">
      <c r="A41" s="177" t="s">
        <v>22</v>
      </c>
      <c r="B41" s="178"/>
      <c r="C41" s="178"/>
      <c r="D41" s="178"/>
      <c r="E41" s="179"/>
      <c r="F41" s="177" t="s">
        <v>347</v>
      </c>
      <c r="G41" s="178"/>
      <c r="H41" s="178"/>
      <c r="I41" s="178"/>
      <c r="J41" s="179"/>
    </row>
    <row r="42" spans="1:11" ht="33" hidden="1" customHeight="1" x14ac:dyDescent="0.25">
      <c r="A42" s="163" t="s">
        <v>77</v>
      </c>
      <c r="B42" s="163"/>
      <c r="C42" s="146" t="s">
        <v>307</v>
      </c>
      <c r="D42" s="175"/>
      <c r="E42" s="175"/>
      <c r="F42" s="176"/>
      <c r="G42" s="6" t="s">
        <v>69</v>
      </c>
      <c r="H42" s="186">
        <v>44427</v>
      </c>
      <c r="I42" s="175"/>
      <c r="J42" s="176"/>
      <c r="K42" s="18"/>
    </row>
    <row r="43" spans="1:11" ht="31.5" hidden="1" customHeight="1" x14ac:dyDescent="0.25">
      <c r="A43" s="122" t="s">
        <v>78</v>
      </c>
      <c r="B43" s="124"/>
      <c r="C43" s="146" t="str">
        <f>C42</f>
        <v>P-4399/2019/469/M/W Ward/CHEMBUR-W/337/1/New</v>
      </c>
      <c r="D43" s="147"/>
      <c r="E43" s="147"/>
      <c r="F43" s="148"/>
      <c r="G43" s="6" t="s">
        <v>69</v>
      </c>
      <c r="H43" s="186">
        <f>H42</f>
        <v>44427</v>
      </c>
      <c r="I43" s="187" t="s">
        <v>52</v>
      </c>
      <c r="J43" s="188"/>
    </row>
    <row r="44" spans="1:11" ht="30.75" hidden="1" customHeight="1" x14ac:dyDescent="0.25">
      <c r="A44" s="122" t="s">
        <v>79</v>
      </c>
      <c r="B44" s="124"/>
      <c r="C44" s="147" t="s">
        <v>308</v>
      </c>
      <c r="D44" s="147"/>
      <c r="E44" s="147"/>
      <c r="F44" s="148"/>
      <c r="G44" s="6" t="s">
        <v>69</v>
      </c>
      <c r="H44" s="186">
        <v>45349</v>
      </c>
      <c r="I44" s="187"/>
      <c r="J44" s="188"/>
    </row>
    <row r="45" spans="1:11" ht="60.6" hidden="1" customHeight="1" x14ac:dyDescent="0.25">
      <c r="A45" s="152" t="s">
        <v>206</v>
      </c>
      <c r="B45" s="154"/>
      <c r="C45" s="147" t="s">
        <v>271</v>
      </c>
      <c r="D45" s="147"/>
      <c r="E45" s="147"/>
      <c r="F45" s="148"/>
      <c r="G45" s="55" t="s">
        <v>208</v>
      </c>
      <c r="H45" s="186">
        <v>45640</v>
      </c>
      <c r="I45" s="187"/>
      <c r="J45" s="188"/>
    </row>
    <row r="46" spans="1:11" x14ac:dyDescent="0.25">
      <c r="A46" s="139" t="s">
        <v>335</v>
      </c>
      <c r="B46" s="197"/>
      <c r="C46" s="197"/>
      <c r="D46" s="197"/>
      <c r="E46" s="197"/>
      <c r="F46" s="197"/>
      <c r="G46" s="197"/>
      <c r="H46" s="197"/>
      <c r="I46" s="197"/>
      <c r="J46" s="198"/>
    </row>
    <row r="47" spans="1:11" ht="30" customHeight="1" x14ac:dyDescent="0.25">
      <c r="A47" s="163" t="s">
        <v>77</v>
      </c>
      <c r="B47" s="163"/>
      <c r="C47" s="146" t="s">
        <v>298</v>
      </c>
      <c r="D47" s="175"/>
      <c r="E47" s="175"/>
      <c r="F47" s="176"/>
      <c r="G47" s="6" t="s">
        <v>69</v>
      </c>
      <c r="H47" s="186">
        <v>45044</v>
      </c>
      <c r="I47" s="175"/>
      <c r="J47" s="176"/>
      <c r="K47" s="18" t="s">
        <v>297</v>
      </c>
    </row>
    <row r="48" spans="1:11" ht="31.5" customHeight="1" x14ac:dyDescent="0.25">
      <c r="A48" s="122" t="s">
        <v>78</v>
      </c>
      <c r="B48" s="124"/>
      <c r="C48" s="146" t="str">
        <f>C47</f>
        <v>P-4399/2019/(469)/M/W
Ward/CHEMBUR-W/337/1/Amend</v>
      </c>
      <c r="D48" s="147"/>
      <c r="E48" s="147"/>
      <c r="F48" s="148"/>
      <c r="G48" s="6" t="s">
        <v>69</v>
      </c>
      <c r="H48" s="186">
        <f>H47</f>
        <v>45044</v>
      </c>
      <c r="I48" s="187" t="s">
        <v>52</v>
      </c>
      <c r="J48" s="188"/>
    </row>
    <row r="49" spans="1:11" ht="30.75" customHeight="1" x14ac:dyDescent="0.25">
      <c r="A49" s="122" t="s">
        <v>362</v>
      </c>
      <c r="B49" s="124"/>
      <c r="C49" s="147" t="s">
        <v>308</v>
      </c>
      <c r="D49" s="147"/>
      <c r="E49" s="147"/>
      <c r="F49" s="148"/>
      <c r="G49" s="6" t="s">
        <v>69</v>
      </c>
      <c r="H49" s="186">
        <v>45349</v>
      </c>
      <c r="I49" s="187"/>
      <c r="J49" s="188"/>
    </row>
    <row r="50" spans="1:11" ht="63.75" customHeight="1" x14ac:dyDescent="0.25">
      <c r="A50" s="152"/>
      <c r="B50" s="154"/>
      <c r="C50" s="147" t="s">
        <v>271</v>
      </c>
      <c r="D50" s="147"/>
      <c r="E50" s="147"/>
      <c r="F50" s="148"/>
      <c r="G50" s="55" t="s">
        <v>208</v>
      </c>
      <c r="H50" s="186">
        <v>45714</v>
      </c>
      <c r="I50" s="187"/>
      <c r="J50" s="188"/>
    </row>
    <row r="51" spans="1:11" ht="30.75" customHeight="1" x14ac:dyDescent="0.25">
      <c r="A51" s="122" t="s">
        <v>362</v>
      </c>
      <c r="B51" s="124"/>
      <c r="C51" s="147" t="s">
        <v>373</v>
      </c>
      <c r="D51" s="147"/>
      <c r="E51" s="147"/>
      <c r="F51" s="148"/>
      <c r="G51" s="6" t="s">
        <v>69</v>
      </c>
      <c r="H51" s="186">
        <v>45671</v>
      </c>
      <c r="I51" s="187"/>
      <c r="J51" s="188"/>
    </row>
    <row r="52" spans="1:11" ht="63.75" customHeight="1" x14ac:dyDescent="0.25">
      <c r="A52" s="152"/>
      <c r="B52" s="154"/>
      <c r="C52" s="147" t="s">
        <v>374</v>
      </c>
      <c r="D52" s="147"/>
      <c r="E52" s="147"/>
      <c r="F52" s="148"/>
      <c r="G52" s="55" t="s">
        <v>208</v>
      </c>
      <c r="H52" s="186">
        <v>46005</v>
      </c>
      <c r="I52" s="187"/>
      <c r="J52" s="188"/>
    </row>
    <row r="53" spans="1:11" x14ac:dyDescent="0.25">
      <c r="A53" s="139" t="s">
        <v>299</v>
      </c>
      <c r="B53" s="197"/>
      <c r="C53" s="197"/>
      <c r="D53" s="197"/>
      <c r="E53" s="197"/>
      <c r="F53" s="197"/>
      <c r="G53" s="197"/>
      <c r="H53" s="197"/>
      <c r="I53" s="197"/>
      <c r="J53" s="198"/>
    </row>
    <row r="54" spans="1:11" ht="30" customHeight="1" x14ac:dyDescent="0.25">
      <c r="A54" s="163" t="s">
        <v>77</v>
      </c>
      <c r="B54" s="163"/>
      <c r="C54" s="146" t="s">
        <v>300</v>
      </c>
      <c r="D54" s="175"/>
      <c r="E54" s="175"/>
      <c r="F54" s="176"/>
      <c r="G54" s="6" t="s">
        <v>69</v>
      </c>
      <c r="H54" s="186">
        <v>44427</v>
      </c>
      <c r="I54" s="175"/>
      <c r="J54" s="176"/>
      <c r="K54" s="18" t="s">
        <v>297</v>
      </c>
    </row>
    <row r="55" spans="1:11" ht="31.5" customHeight="1" x14ac:dyDescent="0.25">
      <c r="A55" s="122" t="s">
        <v>78</v>
      </c>
      <c r="B55" s="124"/>
      <c r="C55" s="146" t="str">
        <f>C54</f>
        <v>P-4399/2019/(469)/M/W
Ward/CHEMBUR-W/337/1/New</v>
      </c>
      <c r="D55" s="147"/>
      <c r="E55" s="147"/>
      <c r="F55" s="148"/>
      <c r="G55" s="6" t="s">
        <v>69</v>
      </c>
      <c r="H55" s="186">
        <f>H54</f>
        <v>44427</v>
      </c>
      <c r="I55" s="187" t="s">
        <v>52</v>
      </c>
      <c r="J55" s="188"/>
    </row>
    <row r="56" spans="1:11" ht="132" customHeight="1" x14ac:dyDescent="0.25">
      <c r="A56" s="189" t="s">
        <v>377</v>
      </c>
      <c r="B56" s="190"/>
      <c r="C56" s="191" t="s">
        <v>378</v>
      </c>
      <c r="D56" s="192"/>
      <c r="E56" s="192"/>
      <c r="F56" s="193" t="s">
        <v>114</v>
      </c>
      <c r="G56" s="61" t="s">
        <v>69</v>
      </c>
      <c r="H56" s="206">
        <v>45800</v>
      </c>
      <c r="I56" s="207" t="s">
        <v>60</v>
      </c>
      <c r="J56" s="208"/>
    </row>
    <row r="57" spans="1:11" x14ac:dyDescent="0.25">
      <c r="A57" s="139" t="s">
        <v>204</v>
      </c>
      <c r="B57" s="197"/>
      <c r="C57" s="197"/>
      <c r="D57" s="197"/>
      <c r="E57" s="197"/>
      <c r="F57" s="197"/>
      <c r="G57" s="197"/>
      <c r="H57" s="197"/>
      <c r="I57" s="197"/>
      <c r="J57" s="198"/>
    </row>
    <row r="58" spans="1:11" ht="16.5" customHeight="1" x14ac:dyDescent="0.25">
      <c r="A58" s="163" t="s">
        <v>77</v>
      </c>
      <c r="B58" s="163"/>
      <c r="C58" s="174" t="str">
        <f>C13</f>
        <v>CHE/107/BP(SPL-CELL)/AMW/337</v>
      </c>
      <c r="D58" s="175"/>
      <c r="E58" s="175"/>
      <c r="F58" s="176"/>
      <c r="G58" s="6" t="s">
        <v>69</v>
      </c>
      <c r="H58" s="186">
        <v>44856</v>
      </c>
      <c r="I58" s="175"/>
      <c r="J58" s="176"/>
    </row>
    <row r="59" spans="1:11" x14ac:dyDescent="0.25">
      <c r="A59" s="140" t="s">
        <v>78</v>
      </c>
      <c r="B59" s="142"/>
      <c r="C59" s="174" t="s">
        <v>116</v>
      </c>
      <c r="D59" s="175"/>
      <c r="E59" s="175"/>
      <c r="F59" s="176"/>
      <c r="G59" s="6" t="s">
        <v>69</v>
      </c>
      <c r="H59" s="186">
        <f>H58</f>
        <v>44856</v>
      </c>
      <c r="I59" s="187" t="s">
        <v>52</v>
      </c>
      <c r="J59" s="188"/>
    </row>
    <row r="60" spans="1:11" ht="15" customHeight="1" x14ac:dyDescent="0.25">
      <c r="A60" s="339" t="s">
        <v>362</v>
      </c>
      <c r="B60" s="340"/>
      <c r="C60" s="146" t="s">
        <v>305</v>
      </c>
      <c r="D60" s="147"/>
      <c r="E60" s="147"/>
      <c r="F60" s="148"/>
      <c r="G60" s="6" t="s">
        <v>69</v>
      </c>
      <c r="H60" s="186">
        <v>45040</v>
      </c>
      <c r="I60" s="187"/>
      <c r="J60" s="188"/>
    </row>
    <row r="61" spans="1:11" ht="45.6" customHeight="1" x14ac:dyDescent="0.25">
      <c r="A61" s="341"/>
      <c r="B61" s="342"/>
      <c r="C61" s="146" t="s">
        <v>306</v>
      </c>
      <c r="D61" s="147"/>
      <c r="E61" s="147"/>
      <c r="F61" s="148"/>
      <c r="G61" s="55" t="s">
        <v>208</v>
      </c>
      <c r="H61" s="186">
        <v>45311</v>
      </c>
      <c r="I61" s="187"/>
      <c r="J61" s="188"/>
    </row>
    <row r="62" spans="1:11" ht="57" customHeight="1" x14ac:dyDescent="0.25">
      <c r="A62" s="189" t="s">
        <v>255</v>
      </c>
      <c r="B62" s="190"/>
      <c r="C62" s="191" t="s">
        <v>256</v>
      </c>
      <c r="D62" s="207"/>
      <c r="E62" s="207"/>
      <c r="F62" s="208" t="s">
        <v>114</v>
      </c>
      <c r="G62" s="61" t="s">
        <v>69</v>
      </c>
      <c r="H62" s="206">
        <v>44841</v>
      </c>
      <c r="I62" s="207" t="s">
        <v>60</v>
      </c>
      <c r="J62" s="208"/>
    </row>
    <row r="63" spans="1:11" ht="79.5" customHeight="1" x14ac:dyDescent="0.25">
      <c r="A63" s="189" t="s">
        <v>259</v>
      </c>
      <c r="B63" s="190"/>
      <c r="C63" s="191" t="s">
        <v>260</v>
      </c>
      <c r="D63" s="207"/>
      <c r="E63" s="207"/>
      <c r="F63" s="208" t="s">
        <v>114</v>
      </c>
      <c r="G63" s="61" t="s">
        <v>69</v>
      </c>
      <c r="H63" s="206">
        <v>45042</v>
      </c>
      <c r="I63" s="207"/>
      <c r="J63" s="208"/>
    </row>
    <row r="64" spans="1:11" ht="85.5" customHeight="1" x14ac:dyDescent="0.25">
      <c r="A64" s="189" t="s">
        <v>259</v>
      </c>
      <c r="B64" s="190"/>
      <c r="C64" s="191" t="s">
        <v>304</v>
      </c>
      <c r="D64" s="207"/>
      <c r="E64" s="207"/>
      <c r="F64" s="208" t="s">
        <v>114</v>
      </c>
      <c r="G64" s="61" t="s">
        <v>69</v>
      </c>
      <c r="H64" s="206">
        <v>45456</v>
      </c>
      <c r="I64" s="207"/>
      <c r="J64" s="208"/>
    </row>
    <row r="65" spans="1:10" x14ac:dyDescent="0.25">
      <c r="A65" s="139" t="s">
        <v>366</v>
      </c>
      <c r="B65" s="197"/>
      <c r="C65" s="197"/>
      <c r="D65" s="197"/>
      <c r="E65" s="197"/>
      <c r="F65" s="197"/>
      <c r="G65" s="197"/>
      <c r="H65" s="197"/>
      <c r="I65" s="197"/>
      <c r="J65" s="198"/>
    </row>
    <row r="66" spans="1:10" ht="33" customHeight="1" x14ac:dyDescent="0.25">
      <c r="A66" s="259" t="s">
        <v>77</v>
      </c>
      <c r="B66" s="259"/>
      <c r="C66" s="256" t="s">
        <v>363</v>
      </c>
      <c r="D66" s="257"/>
      <c r="E66" s="257"/>
      <c r="F66" s="258"/>
      <c r="G66" s="85" t="s">
        <v>69</v>
      </c>
      <c r="H66" s="271">
        <v>45411</v>
      </c>
      <c r="I66" s="272"/>
      <c r="J66" s="273"/>
    </row>
    <row r="67" spans="1:10" s="62" customFormat="1" ht="35.25" customHeight="1" x14ac:dyDescent="0.25">
      <c r="A67" s="256" t="s">
        <v>78</v>
      </c>
      <c r="B67" s="258"/>
      <c r="C67" s="256" t="str">
        <f>C66</f>
        <v xml:space="preserve"> P-12262/2022/(. 469-A And Other)/M/W Ward/CHEMBUR-W/337/2/Amend</v>
      </c>
      <c r="D67" s="257"/>
      <c r="E67" s="257"/>
      <c r="F67" s="258"/>
      <c r="G67" s="85" t="s">
        <v>69</v>
      </c>
      <c r="H67" s="271">
        <f>H66</f>
        <v>45411</v>
      </c>
      <c r="I67" s="274" t="s">
        <v>52</v>
      </c>
      <c r="J67" s="275"/>
    </row>
    <row r="68" spans="1:10" s="62" customFormat="1" ht="31.5" customHeight="1" x14ac:dyDescent="0.25">
      <c r="A68" s="339" t="s">
        <v>362</v>
      </c>
      <c r="B68" s="340"/>
      <c r="C68" s="256" t="s">
        <v>364</v>
      </c>
      <c r="D68" s="257"/>
      <c r="E68" s="257"/>
      <c r="F68" s="258"/>
      <c r="G68" s="85" t="s">
        <v>69</v>
      </c>
      <c r="H68" s="271">
        <v>45624</v>
      </c>
      <c r="I68" s="274"/>
      <c r="J68" s="275"/>
    </row>
    <row r="69" spans="1:10" s="62" customFormat="1" ht="60" customHeight="1" x14ac:dyDescent="0.25">
      <c r="A69" s="341"/>
      <c r="B69" s="342"/>
      <c r="C69" s="256" t="s">
        <v>346</v>
      </c>
      <c r="D69" s="257"/>
      <c r="E69" s="257"/>
      <c r="F69" s="258"/>
      <c r="G69" s="86" t="s">
        <v>208</v>
      </c>
      <c r="H69" s="271">
        <v>46173</v>
      </c>
      <c r="I69" s="274"/>
      <c r="J69" s="275"/>
    </row>
    <row r="70" spans="1:10" ht="30" customHeight="1" x14ac:dyDescent="0.25">
      <c r="A70" s="76" t="s">
        <v>309</v>
      </c>
      <c r="B70" s="252" t="s">
        <v>273</v>
      </c>
      <c r="C70" s="253"/>
      <c r="D70" s="199">
        <v>44590</v>
      </c>
      <c r="E70" s="200"/>
      <c r="F70" s="349" t="s">
        <v>80</v>
      </c>
      <c r="G70" s="350"/>
      <c r="H70" s="254">
        <v>46203</v>
      </c>
      <c r="I70" s="255"/>
      <c r="J70" s="75"/>
    </row>
    <row r="71" spans="1:10" ht="15" customHeight="1" x14ac:dyDescent="0.25">
      <c r="A71" s="66" t="s">
        <v>274</v>
      </c>
      <c r="B71" s="294" t="s">
        <v>273</v>
      </c>
      <c r="C71" s="294"/>
      <c r="D71" s="199">
        <v>42966</v>
      </c>
      <c r="E71" s="200"/>
      <c r="F71" s="178" t="s">
        <v>80</v>
      </c>
      <c r="G71" s="251"/>
      <c r="H71" s="361">
        <v>45869</v>
      </c>
      <c r="I71" s="361"/>
      <c r="J71" s="359"/>
    </row>
    <row r="72" spans="1:10" x14ac:dyDescent="0.25">
      <c r="A72" s="66" t="s">
        <v>275</v>
      </c>
      <c r="B72" s="294"/>
      <c r="C72" s="294"/>
      <c r="D72" s="199">
        <v>42951</v>
      </c>
      <c r="E72" s="200"/>
      <c r="F72" s="178" t="s">
        <v>278</v>
      </c>
      <c r="G72" s="251"/>
      <c r="H72" s="361" t="s">
        <v>283</v>
      </c>
      <c r="I72" s="361"/>
      <c r="J72" s="360"/>
    </row>
    <row r="73" spans="1:10" ht="15" customHeight="1" x14ac:dyDescent="0.25">
      <c r="A73" s="66" t="s">
        <v>276</v>
      </c>
      <c r="B73" s="294" t="s">
        <v>273</v>
      </c>
      <c r="C73" s="294"/>
      <c r="D73" s="249">
        <v>42947</v>
      </c>
      <c r="E73" s="250"/>
      <c r="F73" s="178" t="s">
        <v>278</v>
      </c>
      <c r="G73" s="251"/>
      <c r="H73" s="249" t="s">
        <v>283</v>
      </c>
      <c r="I73" s="270"/>
      <c r="J73" s="67"/>
    </row>
    <row r="74" spans="1:10" x14ac:dyDescent="0.25">
      <c r="A74" s="66" t="s">
        <v>277</v>
      </c>
      <c r="B74" s="294"/>
      <c r="C74" s="294"/>
      <c r="D74" s="249">
        <v>42956</v>
      </c>
      <c r="E74" s="250"/>
      <c r="F74" s="178" t="s">
        <v>278</v>
      </c>
      <c r="G74" s="251"/>
      <c r="H74" s="249" t="s">
        <v>283</v>
      </c>
      <c r="I74" s="270"/>
      <c r="J74" s="67"/>
    </row>
    <row r="75" spans="1:10" ht="29.25" customHeight="1" x14ac:dyDescent="0.25">
      <c r="A75" s="88" t="s">
        <v>368</v>
      </c>
      <c r="B75" s="348" t="s">
        <v>273</v>
      </c>
      <c r="C75" s="296"/>
      <c r="D75" s="345">
        <v>45166</v>
      </c>
      <c r="E75" s="346"/>
      <c r="F75" s="178" t="s">
        <v>278</v>
      </c>
      <c r="G75" s="251"/>
      <c r="H75" s="345">
        <v>47118</v>
      </c>
      <c r="I75" s="347"/>
      <c r="J75" s="67"/>
    </row>
    <row r="76" spans="1:10" x14ac:dyDescent="0.25">
      <c r="A76" s="246" t="s">
        <v>23</v>
      </c>
      <c r="B76" s="247"/>
      <c r="C76" s="247"/>
      <c r="D76" s="247"/>
      <c r="E76" s="247"/>
      <c r="F76" s="247"/>
      <c r="G76" s="247"/>
      <c r="H76" s="247"/>
      <c r="I76" s="247"/>
      <c r="J76" s="248"/>
    </row>
    <row r="77" spans="1:10" ht="30" customHeight="1" x14ac:dyDescent="0.25">
      <c r="A77" s="243" t="s">
        <v>348</v>
      </c>
      <c r="B77" s="244"/>
      <c r="C77" s="245"/>
      <c r="D77" s="297">
        <f>16915.28+19494.49+3176.55</f>
        <v>39586.320000000007</v>
      </c>
      <c r="E77" s="297"/>
      <c r="F77" s="294" t="s">
        <v>158</v>
      </c>
      <c r="G77" s="294"/>
      <c r="H77" s="295" t="s">
        <v>356</v>
      </c>
      <c r="I77" s="295"/>
      <c r="J77" s="296"/>
    </row>
    <row r="78" spans="1:10" ht="78.75" customHeight="1" x14ac:dyDescent="0.25">
      <c r="A78" s="343" t="s">
        <v>81</v>
      </c>
      <c r="B78" s="344"/>
      <c r="C78" s="180" t="s">
        <v>365</v>
      </c>
      <c r="D78" s="181"/>
      <c r="E78" s="181"/>
      <c r="F78" s="181"/>
      <c r="G78" s="181"/>
      <c r="H78" s="181"/>
      <c r="I78" s="181"/>
      <c r="J78" s="79"/>
    </row>
    <row r="79" spans="1:10" ht="81" customHeight="1" x14ac:dyDescent="0.25">
      <c r="A79" s="203" t="s">
        <v>159</v>
      </c>
      <c r="B79" s="205"/>
      <c r="C79" s="180" t="s">
        <v>375</v>
      </c>
      <c r="D79" s="181"/>
      <c r="E79" s="181"/>
      <c r="F79" s="181"/>
      <c r="G79" s="181"/>
      <c r="H79" s="181"/>
      <c r="I79" s="181"/>
      <c r="J79" s="182"/>
    </row>
    <row r="80" spans="1:10" x14ac:dyDescent="0.25">
      <c r="A80" s="136" t="s">
        <v>53</v>
      </c>
      <c r="B80" s="137"/>
      <c r="C80" s="137"/>
      <c r="D80" s="137"/>
      <c r="E80" s="138"/>
      <c r="F80" s="140" t="s">
        <v>61</v>
      </c>
      <c r="G80" s="141"/>
      <c r="H80" s="141"/>
      <c r="I80" s="141"/>
      <c r="J80" s="142"/>
    </row>
    <row r="81" spans="1:12" ht="15.75" thickBot="1" x14ac:dyDescent="0.3">
      <c r="A81" s="136" t="s">
        <v>62</v>
      </c>
      <c r="B81" s="137"/>
      <c r="C81" s="137"/>
      <c r="D81" s="137"/>
      <c r="E81" s="137"/>
      <c r="F81" s="137"/>
      <c r="G81" s="137"/>
      <c r="H81" s="137"/>
      <c r="I81" s="137"/>
      <c r="J81" s="138"/>
    </row>
    <row r="82" spans="1:12" ht="15.75" x14ac:dyDescent="0.25">
      <c r="A82" s="298" t="s">
        <v>171</v>
      </c>
      <c r="B82" s="299"/>
      <c r="C82" s="283" t="s">
        <v>372</v>
      </c>
      <c r="D82" s="284"/>
      <c r="E82" s="284"/>
      <c r="F82" s="284"/>
      <c r="G82" s="284"/>
      <c r="H82" s="284"/>
      <c r="I82" s="284"/>
      <c r="J82" s="285"/>
      <c r="K82" s="35" t="str">
        <f>(IF(F86&gt;99%,"All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 RCC Slab, Brickwork, Internal Plaster, External Plaster upto 11 Floor, Flooring upto 1 Floor Completed</v>
      </c>
      <c r="L82" s="36"/>
    </row>
    <row r="83" spans="1:12" ht="15.75" x14ac:dyDescent="0.25">
      <c r="A83" s="82" t="s">
        <v>172</v>
      </c>
      <c r="B83" s="83">
        <v>2</v>
      </c>
      <c r="C83" s="83" t="s">
        <v>173</v>
      </c>
      <c r="D83" s="83">
        <v>1</v>
      </c>
      <c r="E83" s="286" t="s">
        <v>174</v>
      </c>
      <c r="F83" s="287"/>
      <c r="G83" s="83">
        <v>0</v>
      </c>
      <c r="H83" s="83" t="s">
        <v>175</v>
      </c>
      <c r="I83" s="286">
        <v>13</v>
      </c>
      <c r="J83" s="288"/>
      <c r="K83" s="39"/>
      <c r="L83" s="40"/>
    </row>
    <row r="84" spans="1:12" ht="49.5" customHeight="1" x14ac:dyDescent="0.25">
      <c r="A84" s="292" t="s">
        <v>176</v>
      </c>
      <c r="B84" s="293"/>
      <c r="C84" s="289" t="str">
        <f>K82</f>
        <v>Excavation work Completed. Plinth work completed, RCC Slab, Brickwork, Internal Plaster, External Plaster upto 11 Floor, Flooring upto 1 Floor Completed</v>
      </c>
      <c r="D84" s="290"/>
      <c r="E84" s="290"/>
      <c r="F84" s="290"/>
      <c r="G84" s="290"/>
      <c r="H84" s="290"/>
      <c r="I84" s="290"/>
      <c r="J84" s="291"/>
      <c r="K84" s="39" t="s">
        <v>177</v>
      </c>
      <c r="L84" s="40"/>
    </row>
    <row r="85" spans="1:12" ht="21.75" customHeight="1" x14ac:dyDescent="0.25">
      <c r="A85" s="281" t="s">
        <v>34</v>
      </c>
      <c r="B85" s="282"/>
      <c r="C85" s="81" t="s">
        <v>178</v>
      </c>
      <c r="D85" s="215" t="s">
        <v>179</v>
      </c>
      <c r="E85" s="215"/>
      <c r="F85" s="215" t="s">
        <v>180</v>
      </c>
      <c r="G85" s="215"/>
      <c r="H85" s="215" t="s">
        <v>181</v>
      </c>
      <c r="I85" s="215"/>
      <c r="J85" s="216"/>
      <c r="K85" s="41" t="s">
        <v>182</v>
      </c>
      <c r="L85" s="42">
        <f>I83*25%</f>
        <v>3.25</v>
      </c>
    </row>
    <row r="86" spans="1:12" ht="15.75" x14ac:dyDescent="0.25">
      <c r="A86" s="228" t="s">
        <v>183</v>
      </c>
      <c r="B86" s="215"/>
      <c r="C86" s="49">
        <f>L87</f>
        <v>13</v>
      </c>
      <c r="D86" s="229">
        <f>((100/I83)*C86)/100</f>
        <v>1</v>
      </c>
      <c r="E86" s="230"/>
      <c r="F86" s="231">
        <f>(((C87/I83*10)+(40/(D83+G83+I83)*C88)+(7.5/(I83)*C89)+(7.5/(I83)*C90)+(10/I83*C91)+(10/I83*C92)+(5/I83*C93)+(5/I83*C94)+(5/I83*C95))/100)</f>
        <v>0.74230769230769245</v>
      </c>
      <c r="G86" s="231"/>
      <c r="H86" s="217">
        <f>((((C86/I83)*20)+((C87/I83)*25)+(30/(I83+G83+D83)*C88)+(5/I83*C89)+(5/I83*C90)+(5/I83*C91)+(5/I83*C92)+(0/I83*C93)+(0/I83*C94)+(5/I83*C95))/100)</f>
        <v>0.89615384615384608</v>
      </c>
      <c r="I86" s="218"/>
      <c r="J86" s="219"/>
      <c r="K86" s="41" t="s">
        <v>184</v>
      </c>
      <c r="L86" s="43">
        <f>I83*50%</f>
        <v>6.5</v>
      </c>
    </row>
    <row r="87" spans="1:12" ht="15.75" x14ac:dyDescent="0.25">
      <c r="A87" s="228" t="s">
        <v>35</v>
      </c>
      <c r="B87" s="215"/>
      <c r="C87" s="50">
        <f>L95</f>
        <v>13</v>
      </c>
      <c r="D87" s="229">
        <f>((100/I83)*C87)/100</f>
        <v>1</v>
      </c>
      <c r="E87" s="230"/>
      <c r="F87" s="231"/>
      <c r="G87" s="231"/>
      <c r="H87" s="220"/>
      <c r="I87" s="221"/>
      <c r="J87" s="222"/>
      <c r="K87" s="41" t="s">
        <v>185</v>
      </c>
      <c r="L87" s="43">
        <f>I83</f>
        <v>13</v>
      </c>
    </row>
    <row r="88" spans="1:12" ht="15.75" x14ac:dyDescent="0.25">
      <c r="A88" s="228" t="s">
        <v>36</v>
      </c>
      <c r="B88" s="215"/>
      <c r="C88" s="50">
        <v>14</v>
      </c>
      <c r="D88" s="229">
        <f>((100/(D83+G83+I83))*C88)/100</f>
        <v>1</v>
      </c>
      <c r="E88" s="230"/>
      <c r="F88" s="231"/>
      <c r="G88" s="231"/>
      <c r="H88" s="220"/>
      <c r="I88" s="221"/>
      <c r="J88" s="222"/>
      <c r="K88" s="41" t="s">
        <v>186</v>
      </c>
      <c r="L88" s="44">
        <f>(IF(B83&gt;1,(I83/(B83+2)),I83/4))</f>
        <v>3.25</v>
      </c>
    </row>
    <row r="89" spans="1:12" ht="17.25" customHeight="1" x14ac:dyDescent="0.25">
      <c r="A89" s="228" t="s">
        <v>187</v>
      </c>
      <c r="B89" s="215" t="s">
        <v>188</v>
      </c>
      <c r="C89" s="49">
        <v>13</v>
      </c>
      <c r="D89" s="229">
        <f>((100/I83)*C89)/100</f>
        <v>1</v>
      </c>
      <c r="E89" s="230"/>
      <c r="F89" s="231"/>
      <c r="G89" s="231"/>
      <c r="H89" s="220"/>
      <c r="I89" s="221"/>
      <c r="J89" s="222"/>
      <c r="K89" s="41" t="s">
        <v>189</v>
      </c>
      <c r="L89" s="44">
        <f>(IF(B83&gt;1,(I83/(B83+2)+L88),I83/4+L88))</f>
        <v>6.5</v>
      </c>
    </row>
    <row r="90" spans="1:12" ht="15" customHeight="1" x14ac:dyDescent="0.25">
      <c r="A90" s="228" t="s">
        <v>190</v>
      </c>
      <c r="B90" s="215" t="s">
        <v>188</v>
      </c>
      <c r="C90" s="49">
        <v>13</v>
      </c>
      <c r="D90" s="229">
        <f>((100/I83)*C90)/100</f>
        <v>1</v>
      </c>
      <c r="E90" s="230"/>
      <c r="F90" s="231"/>
      <c r="G90" s="231"/>
      <c r="H90" s="220"/>
      <c r="I90" s="221"/>
      <c r="J90" s="222"/>
      <c r="K90" s="41" t="s">
        <v>191</v>
      </c>
      <c r="L90" s="44">
        <f>(IF(B83&gt;1,(I83/(B83+2)+L89),0))</f>
        <v>9.75</v>
      </c>
    </row>
    <row r="91" spans="1:12" ht="17.25" customHeight="1" x14ac:dyDescent="0.25">
      <c r="A91" s="301" t="s">
        <v>202</v>
      </c>
      <c r="B91" s="302" t="s">
        <v>192</v>
      </c>
      <c r="C91" s="49">
        <v>11</v>
      </c>
      <c r="D91" s="229">
        <f>((100/(I83))*C91)/100</f>
        <v>0.84615384615384615</v>
      </c>
      <c r="E91" s="230"/>
      <c r="F91" s="231"/>
      <c r="G91" s="231"/>
      <c r="H91" s="220"/>
      <c r="I91" s="221"/>
      <c r="J91" s="222"/>
      <c r="K91" s="41" t="s">
        <v>193</v>
      </c>
      <c r="L91" s="44">
        <f>(IF(B83&gt;2,(I83/(B83+2)+L90),0))</f>
        <v>0</v>
      </c>
    </row>
    <row r="92" spans="1:12" ht="15" customHeight="1" x14ac:dyDescent="0.25">
      <c r="A92" s="228" t="s">
        <v>194</v>
      </c>
      <c r="B92" s="215" t="s">
        <v>194</v>
      </c>
      <c r="C92" s="49">
        <v>1</v>
      </c>
      <c r="D92" s="229">
        <f>((100/I83)*C92)/100</f>
        <v>7.6923076923076927E-2</v>
      </c>
      <c r="E92" s="230"/>
      <c r="F92" s="231"/>
      <c r="G92" s="231"/>
      <c r="H92" s="220"/>
      <c r="I92" s="221"/>
      <c r="J92" s="222"/>
      <c r="K92" s="41" t="s">
        <v>195</v>
      </c>
      <c r="L92" s="45">
        <f>(IF(B83&gt;3,(I83/(B83+2)+L91),0))</f>
        <v>0</v>
      </c>
    </row>
    <row r="93" spans="1:12" ht="15.75" x14ac:dyDescent="0.25">
      <c r="A93" s="228" t="s">
        <v>196</v>
      </c>
      <c r="B93" s="215"/>
      <c r="C93" s="49">
        <v>0</v>
      </c>
      <c r="D93" s="229">
        <f>((100/I83)*C93)/100</f>
        <v>0</v>
      </c>
      <c r="E93" s="230"/>
      <c r="F93" s="231"/>
      <c r="G93" s="231"/>
      <c r="H93" s="220"/>
      <c r="I93" s="221"/>
      <c r="J93" s="222"/>
      <c r="K93" s="41" t="s">
        <v>197</v>
      </c>
      <c r="L93" s="44">
        <f>(IF(B83&gt;4,(I83/(B83+2)+L92),0))</f>
        <v>0</v>
      </c>
    </row>
    <row r="94" spans="1:12" s="1" customFormat="1" ht="14.45" customHeight="1" x14ac:dyDescent="0.25">
      <c r="A94" s="228" t="s">
        <v>198</v>
      </c>
      <c r="B94" s="215" t="s">
        <v>198</v>
      </c>
      <c r="C94" s="49">
        <v>0</v>
      </c>
      <c r="D94" s="229">
        <f>((100/(I83))*C94)/100</f>
        <v>0</v>
      </c>
      <c r="E94" s="230"/>
      <c r="F94" s="231"/>
      <c r="G94" s="231"/>
      <c r="H94" s="220"/>
      <c r="I94" s="221"/>
      <c r="J94" s="222"/>
      <c r="K94" s="41" t="s">
        <v>199</v>
      </c>
      <c r="L94" s="44">
        <f>(IF(B83=1,(I83/(B83+3)+L89),IF(B83=0,(I83/4+L89),IF(B83&gt;1,0))))</f>
        <v>0</v>
      </c>
    </row>
    <row r="95" spans="1:12" s="1" customFormat="1" ht="14.45" customHeight="1" thickBot="1" x14ac:dyDescent="0.3">
      <c r="A95" s="306" t="s">
        <v>200</v>
      </c>
      <c r="B95" s="307"/>
      <c r="C95" s="51">
        <v>0</v>
      </c>
      <c r="D95" s="226">
        <f>((100/(I83))*C95)/100</f>
        <v>0</v>
      </c>
      <c r="E95" s="227"/>
      <c r="F95" s="232"/>
      <c r="G95" s="232"/>
      <c r="H95" s="223"/>
      <c r="I95" s="224"/>
      <c r="J95" s="225"/>
      <c r="K95" s="46" t="s">
        <v>201</v>
      </c>
      <c r="L95" s="47">
        <f>(IF(B83&gt;1.5,(I83/(B83+2)+L89+MAX(0,L90-L89)+MAX(0,L91-L90)+MAX(0,L92-L91)+MAX(0,L93-L92)+MAX(0,L94-L93)),IF(B83=1,(I83/(B83+3)+L94),IF(B83=0,I83/4+L94))))</f>
        <v>13</v>
      </c>
    </row>
    <row r="96" spans="1:12" ht="15.75" x14ac:dyDescent="0.25">
      <c r="A96" s="298" t="s">
        <v>171</v>
      </c>
      <c r="B96" s="299"/>
      <c r="C96" s="283" t="s">
        <v>291</v>
      </c>
      <c r="D96" s="284"/>
      <c r="E96" s="284"/>
      <c r="F96" s="284"/>
      <c r="G96" s="284"/>
      <c r="H96" s="284"/>
      <c r="I96" s="284"/>
      <c r="J96" s="285"/>
      <c r="K96" s="35" t="str">
        <f>(IF(F100&gt;99%,"All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Excavation work Completed. Plinth work completed, RCC Slab, Brickwork, Internal Plaster upto 12 Floor, External Plaster upto 10 Floor, Flooring upto 4 Floor Completed</v>
      </c>
      <c r="L96" s="36"/>
    </row>
    <row r="97" spans="1:12" ht="15.75" x14ac:dyDescent="0.25">
      <c r="A97" s="37" t="s">
        <v>172</v>
      </c>
      <c r="B97" s="38">
        <v>1</v>
      </c>
      <c r="C97" s="38" t="s">
        <v>173</v>
      </c>
      <c r="D97" s="38">
        <v>1</v>
      </c>
      <c r="E97" s="286" t="s">
        <v>174</v>
      </c>
      <c r="F97" s="287"/>
      <c r="G97" s="38">
        <v>0</v>
      </c>
      <c r="H97" s="38" t="s">
        <v>175</v>
      </c>
      <c r="I97" s="286">
        <v>14</v>
      </c>
      <c r="J97" s="288"/>
      <c r="K97" s="39"/>
      <c r="L97" s="40"/>
    </row>
    <row r="98" spans="1:12" ht="48.75" customHeight="1" x14ac:dyDescent="0.25">
      <c r="A98" s="292" t="s">
        <v>176</v>
      </c>
      <c r="B98" s="293"/>
      <c r="C98" s="289" t="str">
        <f>K96</f>
        <v>Excavation work Completed. Plinth work completed, RCC Slab, Brickwork, Internal Plaster upto 12 Floor, External Plaster upto 10 Floor, Flooring upto 4 Floor Completed</v>
      </c>
      <c r="D98" s="290"/>
      <c r="E98" s="290"/>
      <c r="F98" s="290"/>
      <c r="G98" s="290"/>
      <c r="H98" s="290"/>
      <c r="I98" s="290"/>
      <c r="J98" s="291"/>
      <c r="K98" s="39" t="s">
        <v>177</v>
      </c>
      <c r="L98" s="40"/>
    </row>
    <row r="99" spans="1:12" ht="21.75" customHeight="1" x14ac:dyDescent="0.25">
      <c r="A99" s="281" t="s">
        <v>34</v>
      </c>
      <c r="B99" s="282"/>
      <c r="C99" s="48" t="s">
        <v>178</v>
      </c>
      <c r="D99" s="215" t="s">
        <v>179</v>
      </c>
      <c r="E99" s="215"/>
      <c r="F99" s="215" t="s">
        <v>180</v>
      </c>
      <c r="G99" s="215"/>
      <c r="H99" s="215" t="s">
        <v>181</v>
      </c>
      <c r="I99" s="215"/>
      <c r="J99" s="216"/>
      <c r="K99" s="41" t="s">
        <v>182</v>
      </c>
      <c r="L99" s="42">
        <f>I97*25%</f>
        <v>3.5</v>
      </c>
    </row>
    <row r="100" spans="1:12" ht="15.75" x14ac:dyDescent="0.25">
      <c r="A100" s="228" t="s">
        <v>183</v>
      </c>
      <c r="B100" s="215"/>
      <c r="C100" s="49">
        <f>L101</f>
        <v>14</v>
      </c>
      <c r="D100" s="229">
        <f>((100/I97)*C100)/100</f>
        <v>1</v>
      </c>
      <c r="E100" s="230"/>
      <c r="F100" s="231">
        <f>(((C101/I97*10)+(40/(D97+G97+I97)*C102)+(7.5/(I97)*C103)+(7.5/(I97)*C104)+(10/I97*C105)+(10/I97*C106)+(5/I97*C107)+(5/I97*C108)+(5/I97*C109))/100)</f>
        <v>0.73928571428571432</v>
      </c>
      <c r="G100" s="231"/>
      <c r="H100" s="217">
        <f>((((C100/I97)*20)+((C101/I97)*25)+(30/(I97+G97+D97)*C102)+(5/I97*C103)+(5/I97*C104)+(5/I97*C105)+(5/I97*C106)+(0/I97*C107)+(0/I97*C108)+(5/I97*C109))/100)</f>
        <v>0.8928571428571429</v>
      </c>
      <c r="I100" s="218"/>
      <c r="J100" s="219"/>
      <c r="K100" s="41" t="s">
        <v>184</v>
      </c>
      <c r="L100" s="43">
        <f>I97*50%</f>
        <v>7</v>
      </c>
    </row>
    <row r="101" spans="1:12" ht="15.75" x14ac:dyDescent="0.25">
      <c r="A101" s="228" t="s">
        <v>35</v>
      </c>
      <c r="B101" s="215"/>
      <c r="C101" s="50">
        <f>L109</f>
        <v>14</v>
      </c>
      <c r="D101" s="229">
        <f>((100/I97)*C101)/100</f>
        <v>1</v>
      </c>
      <c r="E101" s="230"/>
      <c r="F101" s="231"/>
      <c r="G101" s="231"/>
      <c r="H101" s="220"/>
      <c r="I101" s="221"/>
      <c r="J101" s="222"/>
      <c r="K101" s="41" t="s">
        <v>185</v>
      </c>
      <c r="L101" s="43">
        <f>I97</f>
        <v>14</v>
      </c>
    </row>
    <row r="102" spans="1:12" ht="15.75" x14ac:dyDescent="0.25">
      <c r="A102" s="228" t="s">
        <v>36</v>
      </c>
      <c r="B102" s="215"/>
      <c r="C102" s="50">
        <v>15</v>
      </c>
      <c r="D102" s="229">
        <f>((100/(D97+G97+I97))*C102)/100</f>
        <v>1</v>
      </c>
      <c r="E102" s="230"/>
      <c r="F102" s="231"/>
      <c r="G102" s="231"/>
      <c r="H102" s="220"/>
      <c r="I102" s="221"/>
      <c r="J102" s="222"/>
      <c r="K102" s="41" t="s">
        <v>186</v>
      </c>
      <c r="L102" s="44">
        <f>(IF(B97&gt;1,(I97/(B97+2)),I97/4))</f>
        <v>3.5</v>
      </c>
    </row>
    <row r="103" spans="1:12" ht="17.25" customHeight="1" x14ac:dyDescent="0.25">
      <c r="A103" s="228" t="s">
        <v>187</v>
      </c>
      <c r="B103" s="215" t="s">
        <v>188</v>
      </c>
      <c r="C103" s="49">
        <v>14</v>
      </c>
      <c r="D103" s="229">
        <f>((100/I97)*C103)/100</f>
        <v>1</v>
      </c>
      <c r="E103" s="230"/>
      <c r="F103" s="231"/>
      <c r="G103" s="231"/>
      <c r="H103" s="220"/>
      <c r="I103" s="221"/>
      <c r="J103" s="222"/>
      <c r="K103" s="41" t="s">
        <v>189</v>
      </c>
      <c r="L103" s="44">
        <f>(IF(B97&gt;1,(I97/(B97+2)+L102),I97/4+L102))</f>
        <v>7</v>
      </c>
    </row>
    <row r="104" spans="1:12" ht="15" customHeight="1" x14ac:dyDescent="0.25">
      <c r="A104" s="228" t="s">
        <v>190</v>
      </c>
      <c r="B104" s="215" t="s">
        <v>188</v>
      </c>
      <c r="C104" s="49">
        <v>12</v>
      </c>
      <c r="D104" s="229">
        <f>((100/I97)*C104)/100</f>
        <v>0.85714285714285721</v>
      </c>
      <c r="E104" s="230"/>
      <c r="F104" s="231"/>
      <c r="G104" s="231"/>
      <c r="H104" s="220"/>
      <c r="I104" s="221"/>
      <c r="J104" s="222"/>
      <c r="K104" s="41" t="s">
        <v>191</v>
      </c>
      <c r="L104" s="44">
        <f>(IF(B97&gt;1,(I97/(B97+2)+L103),0))</f>
        <v>0</v>
      </c>
    </row>
    <row r="105" spans="1:12" ht="17.25" customHeight="1" x14ac:dyDescent="0.25">
      <c r="A105" s="301" t="s">
        <v>202</v>
      </c>
      <c r="B105" s="302" t="s">
        <v>192</v>
      </c>
      <c r="C105" s="49">
        <v>10</v>
      </c>
      <c r="D105" s="229">
        <f>((100/(I97))*C105)/100</f>
        <v>0.7142857142857143</v>
      </c>
      <c r="E105" s="230"/>
      <c r="F105" s="231"/>
      <c r="G105" s="231"/>
      <c r="H105" s="220"/>
      <c r="I105" s="221"/>
      <c r="J105" s="222"/>
      <c r="K105" s="41" t="s">
        <v>193</v>
      </c>
      <c r="L105" s="44">
        <f>(IF(B97&gt;2,(I97/(B97+2)+L104),0))</f>
        <v>0</v>
      </c>
    </row>
    <row r="106" spans="1:12" ht="15" customHeight="1" x14ac:dyDescent="0.25">
      <c r="A106" s="228" t="s">
        <v>194</v>
      </c>
      <c r="B106" s="215" t="s">
        <v>194</v>
      </c>
      <c r="C106" s="49">
        <v>4</v>
      </c>
      <c r="D106" s="229">
        <f>((100/I97)*C106)/100</f>
        <v>0.28571428571428575</v>
      </c>
      <c r="E106" s="230"/>
      <c r="F106" s="231"/>
      <c r="G106" s="231"/>
      <c r="H106" s="220"/>
      <c r="I106" s="221"/>
      <c r="J106" s="222"/>
      <c r="K106" s="41" t="s">
        <v>195</v>
      </c>
      <c r="L106" s="45">
        <f>(IF(B97&gt;3,(I97/(B97+2)+L105),0))</f>
        <v>0</v>
      </c>
    </row>
    <row r="107" spans="1:12" ht="15.75" x14ac:dyDescent="0.25">
      <c r="A107" s="228" t="s">
        <v>196</v>
      </c>
      <c r="B107" s="215"/>
      <c r="C107" s="49">
        <v>0</v>
      </c>
      <c r="D107" s="229">
        <f>((100/I97)*C107)/100</f>
        <v>0</v>
      </c>
      <c r="E107" s="230"/>
      <c r="F107" s="231"/>
      <c r="G107" s="231"/>
      <c r="H107" s="220"/>
      <c r="I107" s="221"/>
      <c r="J107" s="222"/>
      <c r="K107" s="41" t="s">
        <v>197</v>
      </c>
      <c r="L107" s="44">
        <f>(IF(B97&gt;4,(I97/(B97+2)+L106),0))</f>
        <v>0</v>
      </c>
    </row>
    <row r="108" spans="1:12" s="1" customFormat="1" ht="14.45" customHeight="1" x14ac:dyDescent="0.25">
      <c r="A108" s="228" t="s">
        <v>198</v>
      </c>
      <c r="B108" s="215" t="s">
        <v>198</v>
      </c>
      <c r="C108" s="49">
        <v>0</v>
      </c>
      <c r="D108" s="229">
        <f>((100/(I97))*C108)/100</f>
        <v>0</v>
      </c>
      <c r="E108" s="230"/>
      <c r="F108" s="231"/>
      <c r="G108" s="231"/>
      <c r="H108" s="220"/>
      <c r="I108" s="221"/>
      <c r="J108" s="222"/>
      <c r="K108" s="41" t="s">
        <v>199</v>
      </c>
      <c r="L108" s="44">
        <f>(IF(B97=1,(I97/(B97+3)+L103),IF(B97=0,(I97/4+L103),IF(B97&gt;1,0))))</f>
        <v>10.5</v>
      </c>
    </row>
    <row r="109" spans="1:12" s="1" customFormat="1" ht="14.45" customHeight="1" thickBot="1" x14ac:dyDescent="0.3">
      <c r="A109" s="306" t="s">
        <v>200</v>
      </c>
      <c r="B109" s="307"/>
      <c r="C109" s="51">
        <v>0</v>
      </c>
      <c r="D109" s="226">
        <f>((100/(I97))*C109)/100</f>
        <v>0</v>
      </c>
      <c r="E109" s="227"/>
      <c r="F109" s="232"/>
      <c r="G109" s="232"/>
      <c r="H109" s="223"/>
      <c r="I109" s="224"/>
      <c r="J109" s="225"/>
      <c r="K109" s="46" t="s">
        <v>201</v>
      </c>
      <c r="L109" s="47">
        <f>(IF(B97&gt;1.5,(I97/(B97+2)+L103+MAX(0,L104-L103)+MAX(0,L105-L104)+MAX(0,L106-L105)+MAX(0,L107-L106)+MAX(0,L108-L107)),IF(B97=1,(I97/(B97+3)+L108),IF(B97=0,I97/4+L108))))</f>
        <v>14</v>
      </c>
    </row>
    <row r="110" spans="1:12" ht="15" customHeight="1" x14ac:dyDescent="0.25">
      <c r="A110" s="298" t="s">
        <v>171</v>
      </c>
      <c r="B110" s="299"/>
      <c r="C110" s="283" t="s">
        <v>376</v>
      </c>
      <c r="D110" s="284"/>
      <c r="E110" s="284"/>
      <c r="F110" s="284"/>
      <c r="G110" s="284"/>
      <c r="H110" s="284"/>
      <c r="I110" s="284"/>
      <c r="J110" s="285"/>
      <c r="K110" s="35" t="str">
        <f>(IF(F114&gt;99%,"All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All work completed. Please provide OC.</v>
      </c>
      <c r="L110" s="36"/>
    </row>
    <row r="111" spans="1:12" ht="15.75" x14ac:dyDescent="0.25">
      <c r="A111" s="37" t="s">
        <v>172</v>
      </c>
      <c r="B111" s="38">
        <v>2</v>
      </c>
      <c r="C111" s="38" t="s">
        <v>173</v>
      </c>
      <c r="D111" s="38">
        <v>1</v>
      </c>
      <c r="E111" s="286" t="s">
        <v>174</v>
      </c>
      <c r="F111" s="287"/>
      <c r="G111" s="38">
        <v>0</v>
      </c>
      <c r="H111" s="38" t="s">
        <v>175</v>
      </c>
      <c r="I111" s="286">
        <v>13</v>
      </c>
      <c r="J111" s="288"/>
      <c r="K111" s="39"/>
      <c r="L111" s="40"/>
    </row>
    <row r="112" spans="1:12" ht="16.5" thickBot="1" x14ac:dyDescent="0.3">
      <c r="A112" s="276" t="s">
        <v>176</v>
      </c>
      <c r="B112" s="277"/>
      <c r="C112" s="278" t="str">
        <f>K112</f>
        <v>All work Completed. OC Received.</v>
      </c>
      <c r="D112" s="279"/>
      <c r="E112" s="279"/>
      <c r="F112" s="279"/>
      <c r="G112" s="279"/>
      <c r="H112" s="279"/>
      <c r="I112" s="279"/>
      <c r="J112" s="280"/>
      <c r="K112" s="39" t="s">
        <v>177</v>
      </c>
      <c r="L112" s="40"/>
    </row>
    <row r="113" spans="1:12" ht="15.75" hidden="1" customHeight="1" x14ac:dyDescent="0.25">
      <c r="A113" s="281" t="s">
        <v>34</v>
      </c>
      <c r="B113" s="282"/>
      <c r="C113" s="48" t="s">
        <v>178</v>
      </c>
      <c r="D113" s="215" t="s">
        <v>179</v>
      </c>
      <c r="E113" s="215"/>
      <c r="F113" s="215" t="s">
        <v>180</v>
      </c>
      <c r="G113" s="215"/>
      <c r="H113" s="215" t="s">
        <v>181</v>
      </c>
      <c r="I113" s="215"/>
      <c r="J113" s="216"/>
      <c r="K113" s="41" t="s">
        <v>182</v>
      </c>
      <c r="L113" s="42">
        <f>I111*25%</f>
        <v>3.25</v>
      </c>
    </row>
    <row r="114" spans="1:12" ht="15.75" hidden="1" customHeight="1" x14ac:dyDescent="0.25">
      <c r="A114" s="228" t="s">
        <v>183</v>
      </c>
      <c r="B114" s="215"/>
      <c r="C114" s="49">
        <f>L115</f>
        <v>13</v>
      </c>
      <c r="D114" s="229">
        <f>((100/I111)*C114)/100</f>
        <v>1</v>
      </c>
      <c r="E114" s="230"/>
      <c r="F114" s="231">
        <f>(((C115/I111*10)+(40/(D111+G111+I111)*C116)+(7.5/(I111)*C117)+(7.5/(I111)*C118)+(10/I111*C119)+(10/I111*C120)+(5/I111*C121)+(5/I111*C122)+(5/I111*C123))/100)</f>
        <v>1</v>
      </c>
      <c r="G114" s="231"/>
      <c r="H114" s="217">
        <f>((((C114/I111)*20)+((C115/I111)*25)+(30/(I111+G111+D111)*C116)+(5/I111*C117)+(5/I111*C118)+(5/I111*C119)+(5/I111*C120)+(0/I111*C121)+(0/I111*C122)+(5/I111*C123))/100)</f>
        <v>1</v>
      </c>
      <c r="I114" s="218"/>
      <c r="J114" s="219"/>
      <c r="K114" s="41" t="s">
        <v>184</v>
      </c>
      <c r="L114" s="43">
        <f>I111*50%</f>
        <v>6.5</v>
      </c>
    </row>
    <row r="115" spans="1:12" ht="15.75" hidden="1" x14ac:dyDescent="0.25">
      <c r="A115" s="228" t="s">
        <v>35</v>
      </c>
      <c r="B115" s="215"/>
      <c r="C115" s="50">
        <f>L123</f>
        <v>13</v>
      </c>
      <c r="D115" s="229">
        <f>((100/I111)*C115)/100</f>
        <v>1</v>
      </c>
      <c r="E115" s="230"/>
      <c r="F115" s="231"/>
      <c r="G115" s="231"/>
      <c r="H115" s="220"/>
      <c r="I115" s="221"/>
      <c r="J115" s="222"/>
      <c r="K115" s="41" t="s">
        <v>185</v>
      </c>
      <c r="L115" s="43">
        <f>I111</f>
        <v>13</v>
      </c>
    </row>
    <row r="116" spans="1:12" ht="15.75" hidden="1" customHeight="1" x14ac:dyDescent="0.25">
      <c r="A116" s="228" t="s">
        <v>36</v>
      </c>
      <c r="B116" s="215"/>
      <c r="C116" s="50">
        <v>14</v>
      </c>
      <c r="D116" s="229">
        <f>((100/(D111+G111+I111))*C116)/100</f>
        <v>1</v>
      </c>
      <c r="E116" s="230"/>
      <c r="F116" s="231"/>
      <c r="G116" s="231"/>
      <c r="H116" s="220"/>
      <c r="I116" s="221"/>
      <c r="J116" s="222"/>
      <c r="K116" s="41" t="s">
        <v>186</v>
      </c>
      <c r="L116" s="44">
        <f>(IF(B111&gt;1,(I111/(B111+2)),I111/4))</f>
        <v>3.25</v>
      </c>
    </row>
    <row r="117" spans="1:12" ht="15.75" hidden="1" customHeight="1" x14ac:dyDescent="0.25">
      <c r="A117" s="228" t="s">
        <v>187</v>
      </c>
      <c r="B117" s="215" t="s">
        <v>188</v>
      </c>
      <c r="C117" s="49">
        <v>13</v>
      </c>
      <c r="D117" s="229">
        <f>((100/I111)*C117)/100</f>
        <v>1</v>
      </c>
      <c r="E117" s="230"/>
      <c r="F117" s="231"/>
      <c r="G117" s="231"/>
      <c r="H117" s="220"/>
      <c r="I117" s="221"/>
      <c r="J117" s="222"/>
      <c r="K117" s="41" t="s">
        <v>189</v>
      </c>
      <c r="L117" s="44">
        <f>(IF(B111&gt;1,(I111/(B111+2)+L116),I111/4+L116))</f>
        <v>6.5</v>
      </c>
    </row>
    <row r="118" spans="1:12" ht="15" hidden="1" customHeight="1" x14ac:dyDescent="0.25">
      <c r="A118" s="228" t="s">
        <v>190</v>
      </c>
      <c r="B118" s="215" t="s">
        <v>188</v>
      </c>
      <c r="C118" s="49">
        <v>13</v>
      </c>
      <c r="D118" s="229">
        <f>((100/I111)*C118)/100</f>
        <v>1</v>
      </c>
      <c r="E118" s="230"/>
      <c r="F118" s="231"/>
      <c r="G118" s="231"/>
      <c r="H118" s="220"/>
      <c r="I118" s="221"/>
      <c r="J118" s="222"/>
      <c r="K118" s="41" t="s">
        <v>191</v>
      </c>
      <c r="L118" s="44">
        <f>(IF(B111&gt;1,(I111/(B111+2)+L117),0))</f>
        <v>9.75</v>
      </c>
    </row>
    <row r="119" spans="1:12" ht="15.75" hidden="1" customHeight="1" x14ac:dyDescent="0.25">
      <c r="A119" s="301" t="s">
        <v>202</v>
      </c>
      <c r="B119" s="302" t="s">
        <v>192</v>
      </c>
      <c r="C119" s="49">
        <v>13</v>
      </c>
      <c r="D119" s="229">
        <f>((100/(I111))*C119)/100</f>
        <v>1</v>
      </c>
      <c r="E119" s="230"/>
      <c r="F119" s="231"/>
      <c r="G119" s="231"/>
      <c r="H119" s="220"/>
      <c r="I119" s="221"/>
      <c r="J119" s="222"/>
      <c r="K119" s="41" t="s">
        <v>193</v>
      </c>
      <c r="L119" s="44">
        <f>(IF(B111&gt;2,(I111/(B111+2)+L118),0))</f>
        <v>0</v>
      </c>
    </row>
    <row r="120" spans="1:12" ht="15.75" hidden="1" customHeight="1" x14ac:dyDescent="0.25">
      <c r="A120" s="228" t="s">
        <v>194</v>
      </c>
      <c r="B120" s="215" t="s">
        <v>194</v>
      </c>
      <c r="C120" s="49">
        <v>13</v>
      </c>
      <c r="D120" s="229">
        <f>((100/I111)*C120)/100</f>
        <v>1</v>
      </c>
      <c r="E120" s="230"/>
      <c r="F120" s="231"/>
      <c r="G120" s="231"/>
      <c r="H120" s="220"/>
      <c r="I120" s="221"/>
      <c r="J120" s="222"/>
      <c r="K120" s="41" t="s">
        <v>195</v>
      </c>
      <c r="L120" s="45">
        <f>(IF(B111&gt;3,(I111/(B111+2)+L119),0))</f>
        <v>0</v>
      </c>
    </row>
    <row r="121" spans="1:12" ht="15" hidden="1" customHeight="1" x14ac:dyDescent="0.25">
      <c r="A121" s="228" t="s">
        <v>196</v>
      </c>
      <c r="B121" s="215"/>
      <c r="C121" s="49">
        <v>13</v>
      </c>
      <c r="D121" s="229">
        <f>((100/I111)*C121)/100</f>
        <v>1</v>
      </c>
      <c r="E121" s="230"/>
      <c r="F121" s="231"/>
      <c r="G121" s="231"/>
      <c r="H121" s="220"/>
      <c r="I121" s="221"/>
      <c r="J121" s="222"/>
      <c r="K121" s="41" t="s">
        <v>197</v>
      </c>
      <c r="L121" s="44">
        <f>(IF(B111&gt;4,(I111/(B111+2)+L120),0))</f>
        <v>0</v>
      </c>
    </row>
    <row r="122" spans="1:12" ht="15.75" hidden="1" customHeight="1" x14ac:dyDescent="0.25">
      <c r="A122" s="228" t="s">
        <v>198</v>
      </c>
      <c r="B122" s="215" t="s">
        <v>198</v>
      </c>
      <c r="C122" s="49">
        <v>13</v>
      </c>
      <c r="D122" s="229">
        <f>((100/(I111))*C122)/100</f>
        <v>1</v>
      </c>
      <c r="E122" s="230"/>
      <c r="F122" s="231"/>
      <c r="G122" s="231"/>
      <c r="H122" s="220"/>
      <c r="I122" s="221"/>
      <c r="J122" s="222"/>
      <c r="K122" s="41" t="s">
        <v>199</v>
      </c>
      <c r="L122" s="44">
        <f>(IF(B111=1,(I111/(B111+3)+L117),IF(B111=0,(I111/4+L117),IF(B111&gt;1,0))))</f>
        <v>0</v>
      </c>
    </row>
    <row r="123" spans="1:12" ht="16.5" hidden="1" customHeight="1" thickBot="1" x14ac:dyDescent="0.3">
      <c r="A123" s="306" t="s">
        <v>200</v>
      </c>
      <c r="B123" s="307"/>
      <c r="C123" s="51">
        <v>13</v>
      </c>
      <c r="D123" s="226">
        <f>((100/(I111))*C123)/100</f>
        <v>1</v>
      </c>
      <c r="E123" s="227"/>
      <c r="F123" s="232"/>
      <c r="G123" s="232"/>
      <c r="H123" s="223"/>
      <c r="I123" s="224"/>
      <c r="J123" s="225"/>
      <c r="K123" s="46" t="s">
        <v>201</v>
      </c>
      <c r="L123" s="47">
        <f>(IF(B111&gt;1.5,(I111/(B111+2)+L117+MAX(0,L118-L117)+MAX(0,L119-L118)+MAX(0,L120-L119)+MAX(0,L121-L120)+MAX(0,L122-L121)),IF(B111=1,(I111/(B111+3)+L122),IF(B111=0,I111/4+L122))))</f>
        <v>13</v>
      </c>
    </row>
    <row r="124" spans="1:12" ht="34.5" customHeight="1" thickBot="1" x14ac:dyDescent="0.3">
      <c r="A124" s="354" t="s">
        <v>180</v>
      </c>
      <c r="B124" s="355"/>
      <c r="C124" s="356"/>
      <c r="D124" s="357">
        <f>F114</f>
        <v>1</v>
      </c>
      <c r="E124" s="358"/>
      <c r="F124" s="357" t="s">
        <v>181</v>
      </c>
      <c r="G124" s="358"/>
      <c r="H124" s="357">
        <f>H114</f>
        <v>1</v>
      </c>
      <c r="I124" s="358"/>
      <c r="J124" s="90"/>
      <c r="K124" s="46" t="s">
        <v>201</v>
      </c>
      <c r="L124" s="47">
        <f>(IF(B112&gt;1.5,(I112/(B112+2)+L118+MAX(0,L119-L118)+MAX(0,L120-L119)+MAX(0,L121-L120)+MAX(0,L122-L121)+MAX(0,L123-L122)),IF(B112=1,(I112/(B112+3)+L123),IF(B112=0,I112/4+L123))))</f>
        <v>13</v>
      </c>
    </row>
    <row r="125" spans="1:12" ht="35.25" customHeight="1" x14ac:dyDescent="0.25">
      <c r="A125" s="298" t="s">
        <v>171</v>
      </c>
      <c r="B125" s="299"/>
      <c r="C125" s="283" t="s">
        <v>379</v>
      </c>
      <c r="D125" s="284"/>
      <c r="E125" s="284"/>
      <c r="F125" s="284"/>
      <c r="G125" s="284"/>
      <c r="H125" s="284"/>
      <c r="I125" s="284"/>
      <c r="J125" s="285"/>
      <c r="K125" s="35" t="str">
        <f>(IF(F131&gt;99%,"All work completed. Please provide OC.",IF(F131&gt;89.8%,"Plinth, RCC, Brick, Plaster, Flooring, Painting work Completed. Finishing work is in process.",IF(F131&lt;94%,(IF(C131=0,"Work not yet Started.",IF(D131=25%,"Piling work in process",IF(D131=50%,"Excavation work in process",IF(D131=100%,"Excavation work Completed. ","0")))&amp;(IF(C132=0%,"",IF(C132=L133,"Footing work is process",IF(C132=L134,"Footing work Completed",IF(C132=L135,"1st Basement Completed",IF(C132=L136,"1st &amp; 2nd Basement Completed",IF(C132=L137,"1st to 3rd Basement Completed",IF(C132=L138,"1st to 4th Basement Completed",IF(C132=L139,"Plinth work is process",IF(C132=L140,"Plinth work completed","0")))))))))))&amp;(IF(C133=(D126+G126+I126),", RCC Slab",IF(C133&gt;0,", RCC upto "&amp;C133&amp;" Slab",""))&amp;(IF(C134=I126,", Brickwork",IF(C134&gt;0,", Brickwork upto "&amp;C134&amp;" Floor",""))&amp;(IF(C135=I126,", Internal Plaster",IF(C135&gt;0,", Internal Plaster upto "&amp;C135&amp;" Floor",""))&amp;(IF(C136=I126,", External Plaster",IF(C136&gt;0,", External Plaster upto "&amp;C136&amp;" Floor",""))&amp;(IF(C137=I126,", Flooring",IF(C137&gt;0,", Flooring upto "&amp;C137&amp;" Floor",""))&amp;(IF(C138=I126,", Painting",IF(C138&gt;0,", Painting upto "&amp;C138&amp;" Floor",""))&amp;(IF(C139&gt;0,", Finishing upto "&amp;C139&amp;" Floor","")&amp;(IF(C133&gt;0.5," Completed",""))))))))))))))</f>
        <v>All work completed. Please provide OC.</v>
      </c>
      <c r="L125" s="36"/>
    </row>
    <row r="126" spans="1:12" ht="15.75" x14ac:dyDescent="0.25">
      <c r="A126" s="37" t="s">
        <v>172</v>
      </c>
      <c r="B126" s="38">
        <v>2</v>
      </c>
      <c r="C126" s="38" t="s">
        <v>173</v>
      </c>
      <c r="D126" s="38">
        <v>1</v>
      </c>
      <c r="E126" s="286" t="s">
        <v>174</v>
      </c>
      <c r="F126" s="287"/>
      <c r="G126" s="38">
        <v>0</v>
      </c>
      <c r="H126" s="38" t="s">
        <v>175</v>
      </c>
      <c r="I126" s="286">
        <v>14</v>
      </c>
      <c r="J126" s="288"/>
      <c r="K126" s="39"/>
      <c r="L126" s="40"/>
    </row>
    <row r="127" spans="1:12" ht="15.75" x14ac:dyDescent="0.25">
      <c r="A127" s="292" t="s">
        <v>176</v>
      </c>
      <c r="B127" s="293"/>
      <c r="C127" s="289" t="str">
        <f>K127</f>
        <v>All work Completed. OC Received.</v>
      </c>
      <c r="D127" s="290"/>
      <c r="E127" s="290"/>
      <c r="F127" s="290"/>
      <c r="G127" s="290"/>
      <c r="H127" s="290"/>
      <c r="I127" s="290"/>
      <c r="J127" s="291"/>
      <c r="K127" s="39" t="s">
        <v>177</v>
      </c>
      <c r="L127" s="40"/>
    </row>
    <row r="128" spans="1:12" ht="15.75" x14ac:dyDescent="0.25">
      <c r="A128" s="308" t="s">
        <v>180</v>
      </c>
      <c r="B128" s="308"/>
      <c r="C128" s="305">
        <v>1</v>
      </c>
      <c r="D128" s="304"/>
      <c r="E128" s="304"/>
      <c r="F128" s="304" t="s">
        <v>181</v>
      </c>
      <c r="G128" s="304"/>
      <c r="H128" s="305">
        <v>1</v>
      </c>
      <c r="I128" s="304"/>
      <c r="J128" s="63"/>
      <c r="K128" s="39"/>
      <c r="L128" s="40"/>
    </row>
    <row r="129" spans="1:12" ht="16.5" thickBot="1" x14ac:dyDescent="0.3">
      <c r="A129" s="308"/>
      <c r="B129" s="308"/>
      <c r="C129" s="304"/>
      <c r="D129" s="304"/>
      <c r="E129" s="304"/>
      <c r="F129" s="304"/>
      <c r="G129" s="304"/>
      <c r="H129" s="304"/>
      <c r="I129" s="304"/>
      <c r="J129" s="63"/>
      <c r="K129" s="39"/>
      <c r="L129" s="40"/>
    </row>
    <row r="130" spans="1:12" ht="15.75" hidden="1" customHeight="1" x14ac:dyDescent="0.3">
      <c r="A130" s="281" t="s">
        <v>34</v>
      </c>
      <c r="B130" s="282"/>
      <c r="C130" s="48" t="s">
        <v>178</v>
      </c>
      <c r="D130" s="215" t="s">
        <v>179</v>
      </c>
      <c r="E130" s="215"/>
      <c r="F130" s="215" t="s">
        <v>180</v>
      </c>
      <c r="G130" s="215"/>
      <c r="H130" s="215" t="s">
        <v>181</v>
      </c>
      <c r="I130" s="215"/>
      <c r="J130" s="216"/>
      <c r="K130" s="41" t="s">
        <v>182</v>
      </c>
      <c r="L130" s="42">
        <f>I126*25%</f>
        <v>3.5</v>
      </c>
    </row>
    <row r="131" spans="1:12" ht="15.75" hidden="1" customHeight="1" x14ac:dyDescent="0.3">
      <c r="A131" s="228" t="s">
        <v>183</v>
      </c>
      <c r="B131" s="215"/>
      <c r="C131" s="49">
        <f>L132</f>
        <v>14</v>
      </c>
      <c r="D131" s="229">
        <f>((100/I126)*C131)/100</f>
        <v>1</v>
      </c>
      <c r="E131" s="230"/>
      <c r="F131" s="231">
        <f>(((C132/I126*10)+(40/(D126+G126+I126)*C133)+(7.5/(I126)*C134)+(7.5/(I126)*C135)+(10/I126*C136)+(10/I126*C137)+(5/I126*C138)+(5/I126*C139)+(5/I126*C140))/100)</f>
        <v>1</v>
      </c>
      <c r="G131" s="231"/>
      <c r="H131" s="217">
        <f>((((C131/I126)*20)+((C132/I126)*25)+(30/(I126+G126+D126)*C133)+(5/I126*C134)+(5/I126*C135)+(5/I126*C136)+(5/I126*C137)+(0/I126*C138)+(0/I126*C139)+(5/I126*C140))/100)</f>
        <v>1</v>
      </c>
      <c r="I131" s="218"/>
      <c r="J131" s="219"/>
      <c r="K131" s="41" t="s">
        <v>184</v>
      </c>
      <c r="L131" s="43">
        <f>I126*50%</f>
        <v>7</v>
      </c>
    </row>
    <row r="132" spans="1:12" ht="16.5" hidden="1" thickBot="1" x14ac:dyDescent="0.3">
      <c r="A132" s="228" t="s">
        <v>35</v>
      </c>
      <c r="B132" s="215"/>
      <c r="C132" s="50">
        <f>L140</f>
        <v>14</v>
      </c>
      <c r="D132" s="229">
        <f>((100/I126)*C132)/100</f>
        <v>1</v>
      </c>
      <c r="E132" s="230"/>
      <c r="F132" s="231"/>
      <c r="G132" s="231"/>
      <c r="H132" s="220"/>
      <c r="I132" s="221"/>
      <c r="J132" s="222"/>
      <c r="K132" s="41" t="s">
        <v>185</v>
      </c>
      <c r="L132" s="43">
        <f>I126</f>
        <v>14</v>
      </c>
    </row>
    <row r="133" spans="1:12" ht="15.75" hidden="1" customHeight="1" x14ac:dyDescent="0.3">
      <c r="A133" s="228" t="s">
        <v>36</v>
      </c>
      <c r="B133" s="215"/>
      <c r="C133" s="50">
        <v>15</v>
      </c>
      <c r="D133" s="229">
        <f>((100/(D126+G126+I126))*C133)/100</f>
        <v>1</v>
      </c>
      <c r="E133" s="230"/>
      <c r="F133" s="231"/>
      <c r="G133" s="231"/>
      <c r="H133" s="220"/>
      <c r="I133" s="221"/>
      <c r="J133" s="222"/>
      <c r="K133" s="41" t="s">
        <v>186</v>
      </c>
      <c r="L133" s="44">
        <f>(IF(B126&gt;1,(I126/(B126+2)),I126/4))</f>
        <v>3.5</v>
      </c>
    </row>
    <row r="134" spans="1:12" ht="15.75" hidden="1" customHeight="1" x14ac:dyDescent="0.3">
      <c r="A134" s="228" t="s">
        <v>187</v>
      </c>
      <c r="B134" s="215" t="s">
        <v>188</v>
      </c>
      <c r="C134" s="49">
        <v>14</v>
      </c>
      <c r="D134" s="229">
        <f>((100/I126)*C134)/100</f>
        <v>1</v>
      </c>
      <c r="E134" s="230"/>
      <c r="F134" s="231"/>
      <c r="G134" s="231"/>
      <c r="H134" s="220"/>
      <c r="I134" s="221"/>
      <c r="J134" s="222"/>
      <c r="K134" s="41" t="s">
        <v>189</v>
      </c>
      <c r="L134" s="44">
        <f>(IF(B126&gt;1,(I126/(B126+2)+L133),I126/4+L133))</f>
        <v>7</v>
      </c>
    </row>
    <row r="135" spans="1:12" ht="15" hidden="1" customHeight="1" x14ac:dyDescent="0.3">
      <c r="A135" s="228" t="s">
        <v>190</v>
      </c>
      <c r="B135" s="215" t="s">
        <v>188</v>
      </c>
      <c r="C135" s="49">
        <v>14</v>
      </c>
      <c r="D135" s="229">
        <f>((100/I126)*C135)/100</f>
        <v>1</v>
      </c>
      <c r="E135" s="230"/>
      <c r="F135" s="231"/>
      <c r="G135" s="231"/>
      <c r="H135" s="220"/>
      <c r="I135" s="221"/>
      <c r="J135" s="222"/>
      <c r="K135" s="41" t="s">
        <v>191</v>
      </c>
      <c r="L135" s="44">
        <f>(IF(B126&gt;1,(I126/(B126+2)+L134),0))</f>
        <v>10.5</v>
      </c>
    </row>
    <row r="136" spans="1:12" ht="15.75" hidden="1" customHeight="1" x14ac:dyDescent="0.3">
      <c r="A136" s="301" t="s">
        <v>202</v>
      </c>
      <c r="B136" s="302" t="s">
        <v>192</v>
      </c>
      <c r="C136" s="49">
        <v>14</v>
      </c>
      <c r="D136" s="229">
        <f>((100/(I126))*C136)/100</f>
        <v>1</v>
      </c>
      <c r="E136" s="230"/>
      <c r="F136" s="231"/>
      <c r="G136" s="231"/>
      <c r="H136" s="220"/>
      <c r="I136" s="221"/>
      <c r="J136" s="222"/>
      <c r="K136" s="41" t="s">
        <v>193</v>
      </c>
      <c r="L136" s="44">
        <f>(IF(B126&gt;2,(I126/(B126+2)+L135),0))</f>
        <v>0</v>
      </c>
    </row>
    <row r="137" spans="1:12" ht="15.75" hidden="1" customHeight="1" x14ac:dyDescent="0.3">
      <c r="A137" s="228" t="s">
        <v>194</v>
      </c>
      <c r="B137" s="215" t="s">
        <v>194</v>
      </c>
      <c r="C137" s="49">
        <v>14</v>
      </c>
      <c r="D137" s="229">
        <f>((100/I126)*C137)/100</f>
        <v>1</v>
      </c>
      <c r="E137" s="230"/>
      <c r="F137" s="231"/>
      <c r="G137" s="231"/>
      <c r="H137" s="220"/>
      <c r="I137" s="221"/>
      <c r="J137" s="222"/>
      <c r="K137" s="41" t="s">
        <v>195</v>
      </c>
      <c r="L137" s="45">
        <f>(IF(B126&gt;3,(I126/(B126+2)+L136),0))</f>
        <v>0</v>
      </c>
    </row>
    <row r="138" spans="1:12" ht="15" hidden="1" customHeight="1" x14ac:dyDescent="0.3">
      <c r="A138" s="228" t="s">
        <v>196</v>
      </c>
      <c r="B138" s="215"/>
      <c r="C138" s="49">
        <v>14</v>
      </c>
      <c r="D138" s="229">
        <f>((100/I126)*C138)/100</f>
        <v>1</v>
      </c>
      <c r="E138" s="230"/>
      <c r="F138" s="231"/>
      <c r="G138" s="231"/>
      <c r="H138" s="220"/>
      <c r="I138" s="221"/>
      <c r="J138" s="222"/>
      <c r="K138" s="41" t="s">
        <v>197</v>
      </c>
      <c r="L138" s="44">
        <f>(IF(B126&gt;4,(I126/(B126+2)+L137),0))</f>
        <v>0</v>
      </c>
    </row>
    <row r="139" spans="1:12" ht="15.75" hidden="1" customHeight="1" x14ac:dyDescent="0.3">
      <c r="A139" s="228" t="s">
        <v>198</v>
      </c>
      <c r="B139" s="215" t="s">
        <v>198</v>
      </c>
      <c r="C139" s="49">
        <v>14</v>
      </c>
      <c r="D139" s="229">
        <f>((100/(I126))*C139)/100</f>
        <v>1</v>
      </c>
      <c r="E139" s="230"/>
      <c r="F139" s="231"/>
      <c r="G139" s="231"/>
      <c r="H139" s="220"/>
      <c r="I139" s="221"/>
      <c r="J139" s="222"/>
      <c r="K139" s="41" t="s">
        <v>199</v>
      </c>
      <c r="L139" s="44">
        <f>(IF(B126=1,(I126/(B126+3)+L134),IF(B126=0,(I126/4+L134),IF(B126&gt;1,0))))</f>
        <v>0</v>
      </c>
    </row>
    <row r="140" spans="1:12" ht="16.5" hidden="1" customHeight="1" thickBot="1" x14ac:dyDescent="0.3">
      <c r="A140" s="306" t="s">
        <v>200</v>
      </c>
      <c r="B140" s="307"/>
      <c r="C140" s="51">
        <v>14</v>
      </c>
      <c r="D140" s="226">
        <f>((100/(I126))*C140)/100</f>
        <v>1</v>
      </c>
      <c r="E140" s="227"/>
      <c r="F140" s="232"/>
      <c r="G140" s="232"/>
      <c r="H140" s="223"/>
      <c r="I140" s="224"/>
      <c r="J140" s="225"/>
      <c r="K140" s="46" t="s">
        <v>201</v>
      </c>
      <c r="L140" s="47">
        <f>(IF(B126&gt;1.5,(I126/(B126+2)+L134+MAX(0,L135-L134)+MAX(0,L136-L135)+MAX(0,L137-L136)+MAX(0,L138-L137)+MAX(0,L139-L138)),IF(B126=1,(I126/(B126+3)+L139),IF(B126=0,I126/4+L139))))</f>
        <v>14</v>
      </c>
    </row>
    <row r="141" spans="1:12" ht="15" hidden="1" customHeight="1" x14ac:dyDescent="0.25">
      <c r="A141" s="298" t="s">
        <v>171</v>
      </c>
      <c r="B141" s="299"/>
      <c r="C141" s="283" t="s">
        <v>272</v>
      </c>
      <c r="D141" s="284"/>
      <c r="E141" s="284"/>
      <c r="F141" s="284"/>
      <c r="G141" s="284"/>
      <c r="H141" s="284"/>
      <c r="I141" s="284"/>
      <c r="J141" s="285"/>
      <c r="K141" s="35" t="str">
        <f>(IF(F145&gt;99%,"All work completed. Please provide OC.",IF(F145&gt;89.8%,"Plinth, RCC, Brick, Plaster, Flooring, Painting work Completed. Finishing work is in process.",IF(F145&lt;94%,(IF(C145=0,"Work not yet Started.",IF(D145=25%,"Piling work in process",IF(D145=50%,"Excavation work in process",IF(D145=100%,"Excavation work Completed. ","0")))&amp;(IF(C146=0%,"",IF(C146=L147,"Footing work is process",IF(C146=L148,"Footing work Completed",IF(C146=L149,"1st Basement Completed",IF(C146=L150,"1st &amp; 2nd Basement Completed",IF(C146=L151,"1st to 3rd Basement Completed",IF(C146=L152,"1st to 4th Basement Completed",IF(C146=L153,"Plinth work is process",IF(C146=L154,"Plinth work completed","0")))))))))))&amp;(IF(C147=(D142+G142+I142),", RCC Slab",IF(C147&gt;0,", RCC upto "&amp;C147&amp;" Slab",""))&amp;(IF(C148=I142,", Brickwork",IF(C148&gt;0,", Brickwork upto "&amp;C148&amp;" Floor",""))&amp;(IF(C149=I142,", Internal Plaster",IF(C149&gt;0,", Internal Plaster upto "&amp;C149&amp;" Floor",""))&amp;(IF(C150=I142,", External Plaster",IF(C150&gt;0,", External Plaster upto "&amp;C150&amp;" Floor",""))&amp;(IF(C151=I142,", Flooring",IF(C151&gt;0,", Flooring upto "&amp;C151&amp;" Floor",""))&amp;(IF(C152=I142,", Painting",IF(C152&gt;0,", Painting upto "&amp;C152&amp;" Floor",""))&amp;(IF(C153&gt;0,", Finishing upto "&amp;C153&amp;" Floor","")&amp;(IF(C147&gt;0.5," Completed",""))))))))))))))</f>
        <v>All work completed. Please provide OC.</v>
      </c>
      <c r="L141" s="36"/>
    </row>
    <row r="142" spans="1:12" ht="15.75" hidden="1" x14ac:dyDescent="0.25">
      <c r="A142" s="37" t="s">
        <v>172</v>
      </c>
      <c r="B142" s="38">
        <v>2</v>
      </c>
      <c r="C142" s="38" t="s">
        <v>173</v>
      </c>
      <c r="D142" s="38">
        <v>1</v>
      </c>
      <c r="E142" s="286" t="s">
        <v>174</v>
      </c>
      <c r="F142" s="287"/>
      <c r="G142" s="38">
        <v>0</v>
      </c>
      <c r="H142" s="38" t="s">
        <v>175</v>
      </c>
      <c r="I142" s="286">
        <v>14</v>
      </c>
      <c r="J142" s="288"/>
      <c r="K142" s="39"/>
      <c r="L142" s="40"/>
    </row>
    <row r="143" spans="1:12" ht="15.75" hidden="1" x14ac:dyDescent="0.25">
      <c r="A143" s="276" t="s">
        <v>176</v>
      </c>
      <c r="B143" s="277"/>
      <c r="C143" s="289" t="str">
        <f>K143</f>
        <v>All work Completed. OC Received.</v>
      </c>
      <c r="D143" s="290"/>
      <c r="E143" s="290"/>
      <c r="F143" s="290"/>
      <c r="G143" s="290"/>
      <c r="H143" s="290"/>
      <c r="I143" s="290"/>
      <c r="J143" s="291"/>
      <c r="K143" s="39" t="s">
        <v>177</v>
      </c>
      <c r="L143" s="40"/>
    </row>
    <row r="144" spans="1:12" ht="15.75" hidden="1" customHeight="1" x14ac:dyDescent="0.25">
      <c r="A144" s="281" t="s">
        <v>34</v>
      </c>
      <c r="B144" s="282"/>
      <c r="C144" s="48" t="s">
        <v>178</v>
      </c>
      <c r="D144" s="215" t="s">
        <v>179</v>
      </c>
      <c r="E144" s="215"/>
      <c r="F144" s="215" t="s">
        <v>180</v>
      </c>
      <c r="G144" s="215"/>
      <c r="H144" s="215" t="s">
        <v>181</v>
      </c>
      <c r="I144" s="215"/>
      <c r="J144" s="216"/>
      <c r="K144" s="41" t="s">
        <v>182</v>
      </c>
      <c r="L144" s="42">
        <f>I142*25%</f>
        <v>3.5</v>
      </c>
    </row>
    <row r="145" spans="1:12" ht="15.75" hidden="1" customHeight="1" x14ac:dyDescent="0.25">
      <c r="A145" s="228" t="s">
        <v>183</v>
      </c>
      <c r="B145" s="215"/>
      <c r="C145" s="49">
        <f>L146</f>
        <v>14</v>
      </c>
      <c r="D145" s="229">
        <f>((100/I142)*C145)/100</f>
        <v>1</v>
      </c>
      <c r="E145" s="230"/>
      <c r="F145" s="231">
        <f>(((C146/I142*10)+(40/(D142+G142+I142)*C147)+(7.5/(I142)*C148)+(7.5/(I142)*C149)+(10/I142*C150)+(10/I142*C151)+(5/I142*C152)+(5/I142*C153)+(5/I142*C154))/100)</f>
        <v>1</v>
      </c>
      <c r="G145" s="231"/>
      <c r="H145" s="217">
        <f>((((C145/I142)*20)+((C146/I142)*25)+(30/(I142+G142+D142)*C147)+(5/I142*C148)+(5/I142*C149)+(5/I142*C150)+(5/I142*C151)+(0/I142*C152)+(0/I142*C153)+(5/I142*C154))/100)</f>
        <v>1</v>
      </c>
      <c r="I145" s="218"/>
      <c r="J145" s="219"/>
      <c r="K145" s="41" t="s">
        <v>184</v>
      </c>
      <c r="L145" s="43">
        <f>I142*50%</f>
        <v>7</v>
      </c>
    </row>
    <row r="146" spans="1:12" ht="15.75" hidden="1" x14ac:dyDescent="0.25">
      <c r="A146" s="228" t="s">
        <v>35</v>
      </c>
      <c r="B146" s="215"/>
      <c r="C146" s="50">
        <f>L154</f>
        <v>14</v>
      </c>
      <c r="D146" s="229">
        <f>((100/I142)*C146)/100</f>
        <v>1</v>
      </c>
      <c r="E146" s="230"/>
      <c r="F146" s="231"/>
      <c r="G146" s="231"/>
      <c r="H146" s="220"/>
      <c r="I146" s="221"/>
      <c r="J146" s="222"/>
      <c r="K146" s="41" t="s">
        <v>185</v>
      </c>
      <c r="L146" s="43">
        <f>I142</f>
        <v>14</v>
      </c>
    </row>
    <row r="147" spans="1:12" ht="15.75" hidden="1" customHeight="1" x14ac:dyDescent="0.25">
      <c r="A147" s="228" t="s">
        <v>36</v>
      </c>
      <c r="B147" s="215"/>
      <c r="C147" s="50">
        <v>15</v>
      </c>
      <c r="D147" s="229">
        <f>((100/(D142+G142+I142))*C147)/100</f>
        <v>1</v>
      </c>
      <c r="E147" s="230"/>
      <c r="F147" s="231"/>
      <c r="G147" s="231"/>
      <c r="H147" s="220"/>
      <c r="I147" s="221"/>
      <c r="J147" s="222"/>
      <c r="K147" s="41" t="s">
        <v>186</v>
      </c>
      <c r="L147" s="44">
        <f>(IF(B142&gt;1,(I142/(B142+2)),I142/4))</f>
        <v>3.5</v>
      </c>
    </row>
    <row r="148" spans="1:12" ht="15.75" hidden="1" customHeight="1" x14ac:dyDescent="0.25">
      <c r="A148" s="228" t="s">
        <v>187</v>
      </c>
      <c r="B148" s="215" t="s">
        <v>188</v>
      </c>
      <c r="C148" s="49">
        <v>14</v>
      </c>
      <c r="D148" s="229">
        <f>((100/I142)*C148)/100</f>
        <v>1</v>
      </c>
      <c r="E148" s="230"/>
      <c r="F148" s="231"/>
      <c r="G148" s="231"/>
      <c r="H148" s="220"/>
      <c r="I148" s="221"/>
      <c r="J148" s="222"/>
      <c r="K148" s="41" t="s">
        <v>189</v>
      </c>
      <c r="L148" s="44">
        <f>(IF(B142&gt;1,(I142/(B142+2)+L147),I142/4+L147))</f>
        <v>7</v>
      </c>
    </row>
    <row r="149" spans="1:12" ht="15" hidden="1" customHeight="1" x14ac:dyDescent="0.25">
      <c r="A149" s="228" t="s">
        <v>190</v>
      </c>
      <c r="B149" s="215" t="s">
        <v>188</v>
      </c>
      <c r="C149" s="49">
        <v>14</v>
      </c>
      <c r="D149" s="229">
        <f>((100/I142)*C149)/100</f>
        <v>1</v>
      </c>
      <c r="E149" s="230"/>
      <c r="F149" s="231"/>
      <c r="G149" s="231"/>
      <c r="H149" s="220"/>
      <c r="I149" s="221"/>
      <c r="J149" s="222"/>
      <c r="K149" s="41" t="s">
        <v>191</v>
      </c>
      <c r="L149" s="44">
        <f>(IF(B142&gt;1,(I142/(B142+2)+L148),0))</f>
        <v>10.5</v>
      </c>
    </row>
    <row r="150" spans="1:12" ht="15.75" hidden="1" customHeight="1" x14ac:dyDescent="0.25">
      <c r="A150" s="301" t="s">
        <v>202</v>
      </c>
      <c r="B150" s="302" t="s">
        <v>192</v>
      </c>
      <c r="C150" s="49">
        <v>14</v>
      </c>
      <c r="D150" s="229">
        <f>((100/(I142))*C150)/100</f>
        <v>1</v>
      </c>
      <c r="E150" s="230"/>
      <c r="F150" s="231"/>
      <c r="G150" s="231"/>
      <c r="H150" s="220"/>
      <c r="I150" s="221"/>
      <c r="J150" s="222"/>
      <c r="K150" s="41" t="s">
        <v>193</v>
      </c>
      <c r="L150" s="44">
        <f>(IF(B142&gt;2,(I142/(B142+2)+L149),0))</f>
        <v>0</v>
      </c>
    </row>
    <row r="151" spans="1:12" ht="15.75" hidden="1" customHeight="1" x14ac:dyDescent="0.25">
      <c r="A151" s="228" t="s">
        <v>194</v>
      </c>
      <c r="B151" s="215" t="s">
        <v>194</v>
      </c>
      <c r="C151" s="49">
        <v>14</v>
      </c>
      <c r="D151" s="229">
        <f>((100/I142)*C151)/100</f>
        <v>1</v>
      </c>
      <c r="E151" s="230"/>
      <c r="F151" s="231"/>
      <c r="G151" s="231"/>
      <c r="H151" s="220"/>
      <c r="I151" s="221"/>
      <c r="J151" s="222"/>
      <c r="K151" s="41" t="s">
        <v>195</v>
      </c>
      <c r="L151" s="45">
        <f>(IF(B142&gt;3,(I142/(B142+2)+L150),0))</f>
        <v>0</v>
      </c>
    </row>
    <row r="152" spans="1:12" ht="15" hidden="1" customHeight="1" x14ac:dyDescent="0.25">
      <c r="A152" s="228" t="s">
        <v>196</v>
      </c>
      <c r="B152" s="215"/>
      <c r="C152" s="49">
        <v>14</v>
      </c>
      <c r="D152" s="229">
        <f>((100/I142)*C152)/100</f>
        <v>1</v>
      </c>
      <c r="E152" s="230"/>
      <c r="F152" s="231"/>
      <c r="G152" s="231"/>
      <c r="H152" s="220"/>
      <c r="I152" s="221"/>
      <c r="J152" s="222"/>
      <c r="K152" s="41" t="s">
        <v>197</v>
      </c>
      <c r="L152" s="44">
        <f>(IF(B142&gt;4,(I142/(B142+2)+L151),0))</f>
        <v>0</v>
      </c>
    </row>
    <row r="153" spans="1:12" ht="15.75" hidden="1" customHeight="1" x14ac:dyDescent="0.25">
      <c r="A153" s="228" t="s">
        <v>198</v>
      </c>
      <c r="B153" s="215" t="s">
        <v>198</v>
      </c>
      <c r="C153" s="49">
        <v>14</v>
      </c>
      <c r="D153" s="229">
        <f>((100/(I142))*C153)/100</f>
        <v>1</v>
      </c>
      <c r="E153" s="230"/>
      <c r="F153" s="231"/>
      <c r="G153" s="231"/>
      <c r="H153" s="220"/>
      <c r="I153" s="221"/>
      <c r="J153" s="222"/>
      <c r="K153" s="41" t="s">
        <v>199</v>
      </c>
      <c r="L153" s="44">
        <f>(IF(B142=1,(I142/(B142+3)+L148),IF(B142=0,(I142/4+L148),IF(B142&gt;1,0))))</f>
        <v>0</v>
      </c>
    </row>
    <row r="154" spans="1:12" ht="16.5" hidden="1" customHeight="1" thickBot="1" x14ac:dyDescent="0.3">
      <c r="A154" s="306" t="s">
        <v>200</v>
      </c>
      <c r="B154" s="307"/>
      <c r="C154" s="51">
        <v>14</v>
      </c>
      <c r="D154" s="226">
        <f>((100/(I142))*C154)/100</f>
        <v>1</v>
      </c>
      <c r="E154" s="227"/>
      <c r="F154" s="232"/>
      <c r="G154" s="232"/>
      <c r="H154" s="223"/>
      <c r="I154" s="224"/>
      <c r="J154" s="225"/>
      <c r="K154" s="46" t="s">
        <v>201</v>
      </c>
      <c r="L154" s="47">
        <f>(IF(B142&gt;1.5,(I142/(B142+2)+L148+MAX(0,L149-L148)+MAX(0,L150-L149)+MAX(0,L151-L150)+MAX(0,L152-L151)+MAX(0,L153-L152)),IF(B142=1,(I142/(B142+3)+L153),IF(B142=0,I142/4+L153))))</f>
        <v>14</v>
      </c>
    </row>
    <row r="155" spans="1:12" ht="15.75" hidden="1" x14ac:dyDescent="0.25">
      <c r="A155" s="308" t="s">
        <v>180</v>
      </c>
      <c r="B155" s="308"/>
      <c r="C155" s="305">
        <v>1</v>
      </c>
      <c r="D155" s="304"/>
      <c r="E155" s="304"/>
      <c r="F155" s="304" t="s">
        <v>181</v>
      </c>
      <c r="G155" s="304"/>
      <c r="H155" s="305">
        <v>1</v>
      </c>
      <c r="I155" s="304"/>
      <c r="J155" s="89"/>
      <c r="K155" s="39"/>
      <c r="L155" s="40"/>
    </row>
    <row r="156" spans="1:12" ht="16.5" hidden="1" thickBot="1" x14ac:dyDescent="0.3">
      <c r="A156" s="308"/>
      <c r="B156" s="308"/>
      <c r="C156" s="304"/>
      <c r="D156" s="304"/>
      <c r="E156" s="304"/>
      <c r="F156" s="304"/>
      <c r="G156" s="304"/>
      <c r="H156" s="304"/>
      <c r="I156" s="304"/>
      <c r="J156" s="89"/>
      <c r="K156" s="39"/>
      <c r="L156" s="40"/>
    </row>
    <row r="157" spans="1:12" ht="15" customHeight="1" x14ac:dyDescent="0.25">
      <c r="A157" s="298" t="s">
        <v>171</v>
      </c>
      <c r="B157" s="299"/>
      <c r="C157" s="335" t="s">
        <v>367</v>
      </c>
      <c r="D157" s="336"/>
      <c r="E157" s="336"/>
      <c r="F157" s="336"/>
      <c r="G157" s="336"/>
      <c r="H157" s="336"/>
      <c r="I157" s="336"/>
      <c r="J157" s="337"/>
      <c r="K157" s="35" t="str">
        <f>(IF(F161&gt;99%,"All work completed. Please provide OC.",IF(F161&gt;89.8%,"Plinth, RCC, Brick, Plaster, Flooring, Painting work Completed. Finishing work is in process.",IF(F161&lt;94%,(IF(C161=0,"Work not yet Started.",IF(D161=25%,"Piling work in process",IF(D161=50%,"Excavation work in process",IF(D161=100%,"Excavation work Completed. ","0")))&amp;(IF(C162=0%,"",IF(C162=L163,"Footing work is process",IF(C162=L164,"Footing work Completed",IF(C162=L165,"1st Basement Completed",IF(C162=L166,"1st &amp; 2nd Basement Completed",IF(C162=L167,"1st to 3rd Basement Completed",IF(C162=L168,"1st to 4th Basement Completed",IF(C162=L169,"Plinth work is process",IF(C162=L170,"Plinth work completed","0")))))))))))&amp;(IF(C163=(D158+G158+I158),", RCC Slab",IF(C163&gt;0,", RCC upto "&amp;C163&amp;" Slab",""))&amp;(IF(C164=I158,", Brickwork",IF(C164&gt;0,", Brickwork upto "&amp;C164&amp;" Floor",""))&amp;(IF(C165=I158,", Internal Plaster",IF(C165&gt;0,", Internal Plaster upto "&amp;C165&amp;" Floor",""))&amp;(IF(C166=I158,", External Plaster",IF(C166&gt;0,", External Plaster upto "&amp;C166&amp;" Floor",""))&amp;(IF(C167=I158,", Flooring",IF(C167&gt;0,", Flooring upto "&amp;C167&amp;" Floor",""))&amp;(IF(C168=I158,", Painting",IF(C168&gt;0,", Painting upto "&amp;C168&amp;" Floor",""))&amp;(IF(C169&gt;0,", Finishing upto "&amp;C169&amp;" Floor","")&amp;(IF(C163&gt;0.5," Completed",""))))))))))))))</f>
        <v>Excavation work Completed. Plinth work completed, RCC Slab, Brickwork, Internal Plaster, External Plaster upto 10 Floor, Flooring upto 2 Floor Completed</v>
      </c>
      <c r="L157" s="36"/>
    </row>
    <row r="158" spans="1:12" ht="15.75" x14ac:dyDescent="0.25">
      <c r="A158" s="37" t="s">
        <v>172</v>
      </c>
      <c r="B158" s="38">
        <v>0</v>
      </c>
      <c r="C158" s="38" t="s">
        <v>173</v>
      </c>
      <c r="D158" s="38">
        <v>1</v>
      </c>
      <c r="E158" s="286" t="s">
        <v>174</v>
      </c>
      <c r="F158" s="287"/>
      <c r="G158" s="38">
        <v>0</v>
      </c>
      <c r="H158" s="38" t="s">
        <v>175</v>
      </c>
      <c r="I158" s="286">
        <v>14</v>
      </c>
      <c r="J158" s="288"/>
      <c r="K158" s="39"/>
      <c r="L158" s="40"/>
    </row>
    <row r="159" spans="1:12" ht="48.75" customHeight="1" x14ac:dyDescent="0.25">
      <c r="A159" s="276" t="s">
        <v>176</v>
      </c>
      <c r="B159" s="277"/>
      <c r="C159" s="278" t="str">
        <f>K157</f>
        <v>Excavation work Completed. Plinth work completed, RCC Slab, Brickwork, Internal Plaster, External Plaster upto 10 Floor, Flooring upto 2 Floor Completed</v>
      </c>
      <c r="D159" s="279"/>
      <c r="E159" s="279"/>
      <c r="F159" s="279"/>
      <c r="G159" s="279"/>
      <c r="H159" s="279"/>
      <c r="I159" s="279"/>
      <c r="J159" s="280"/>
      <c r="K159" s="39" t="s">
        <v>177</v>
      </c>
      <c r="L159" s="40"/>
    </row>
    <row r="160" spans="1:12" ht="15.75" customHeight="1" x14ac:dyDescent="0.25">
      <c r="A160" s="281" t="s">
        <v>34</v>
      </c>
      <c r="B160" s="282"/>
      <c r="C160" s="48" t="s">
        <v>178</v>
      </c>
      <c r="D160" s="215" t="s">
        <v>179</v>
      </c>
      <c r="E160" s="215"/>
      <c r="F160" s="215" t="s">
        <v>180</v>
      </c>
      <c r="G160" s="215"/>
      <c r="H160" s="215" t="s">
        <v>181</v>
      </c>
      <c r="I160" s="215"/>
      <c r="J160" s="216"/>
      <c r="K160" s="41" t="s">
        <v>182</v>
      </c>
      <c r="L160" s="42">
        <f>I158*25%</f>
        <v>3.5</v>
      </c>
    </row>
    <row r="161" spans="1:15" ht="15.75" customHeight="1" x14ac:dyDescent="0.25">
      <c r="A161" s="228" t="s">
        <v>183</v>
      </c>
      <c r="B161" s="215"/>
      <c r="C161" s="49">
        <f>L162</f>
        <v>14</v>
      </c>
      <c r="D161" s="229">
        <f>((100/I158)*C161)/100</f>
        <v>1</v>
      </c>
      <c r="E161" s="230"/>
      <c r="F161" s="231">
        <f>(((C162/I158*10)+(40/(D158+G158+I158)*C163)+(7.5/(I158)*C164)+(7.5/(I158)*C165)+(10/I158*C166)+(10/I158*C167)+(5/I158*C168)+(5/I158*C169)+(5/I158*C170))/100)</f>
        <v>0.73571428571428565</v>
      </c>
      <c r="G161" s="231"/>
      <c r="H161" s="217">
        <f>((((C161/I158)*20)+((C162/I158)*25)+(30/(I158+G158+D158)*C163)+(5/I158*C164)+(5/I158*C165)+(5/I158*C166)+(5/I158*C167)+(0/I158*C168)+(0/I158*C169)+(5/I158*C170))/100)</f>
        <v>0.89285714285714279</v>
      </c>
      <c r="I161" s="218"/>
      <c r="J161" s="219"/>
      <c r="K161" s="41" t="s">
        <v>184</v>
      </c>
      <c r="L161" s="43">
        <f>I158*50%</f>
        <v>7</v>
      </c>
    </row>
    <row r="162" spans="1:15" ht="15.75" x14ac:dyDescent="0.25">
      <c r="A162" s="228" t="s">
        <v>35</v>
      </c>
      <c r="B162" s="215"/>
      <c r="C162" s="50">
        <f>L170</f>
        <v>14</v>
      </c>
      <c r="D162" s="229">
        <f>((100/I158)*C162)/100</f>
        <v>1</v>
      </c>
      <c r="E162" s="230"/>
      <c r="F162" s="231"/>
      <c r="G162" s="231"/>
      <c r="H162" s="220"/>
      <c r="I162" s="221"/>
      <c r="J162" s="222"/>
      <c r="K162" s="41" t="s">
        <v>185</v>
      </c>
      <c r="L162" s="43">
        <f>I158</f>
        <v>14</v>
      </c>
    </row>
    <row r="163" spans="1:15" ht="15.75" customHeight="1" x14ac:dyDescent="0.25">
      <c r="A163" s="228" t="s">
        <v>36</v>
      </c>
      <c r="B163" s="215"/>
      <c r="C163" s="50">
        <v>15</v>
      </c>
      <c r="D163" s="229">
        <f>((100/(D158+G158+I158))*C163)/100</f>
        <v>1</v>
      </c>
      <c r="E163" s="230"/>
      <c r="F163" s="231"/>
      <c r="G163" s="231"/>
      <c r="H163" s="220"/>
      <c r="I163" s="221"/>
      <c r="J163" s="222"/>
      <c r="K163" s="41" t="s">
        <v>186</v>
      </c>
      <c r="L163" s="44">
        <f>(IF(B158&gt;1,(I158/(B158+2)),I158/4))</f>
        <v>3.5</v>
      </c>
    </row>
    <row r="164" spans="1:15" ht="15.75" customHeight="1" x14ac:dyDescent="0.25">
      <c r="A164" s="228" t="s">
        <v>187</v>
      </c>
      <c r="B164" s="215" t="s">
        <v>188</v>
      </c>
      <c r="C164" s="49">
        <v>14</v>
      </c>
      <c r="D164" s="229">
        <f>((100/I158)*C164)/100</f>
        <v>1</v>
      </c>
      <c r="E164" s="230"/>
      <c r="F164" s="231"/>
      <c r="G164" s="231"/>
      <c r="H164" s="220"/>
      <c r="I164" s="221"/>
      <c r="J164" s="222"/>
      <c r="K164" s="41" t="s">
        <v>189</v>
      </c>
      <c r="L164" s="44">
        <f>(IF(B158&gt;1,(I158/(B158+2)+L163),I158/4+L163))</f>
        <v>7</v>
      </c>
    </row>
    <row r="165" spans="1:15" ht="15" customHeight="1" x14ac:dyDescent="0.25">
      <c r="A165" s="228" t="s">
        <v>190</v>
      </c>
      <c r="B165" s="215" t="s">
        <v>188</v>
      </c>
      <c r="C165" s="49">
        <v>14</v>
      </c>
      <c r="D165" s="229">
        <f>((100/I158)*C165)/100</f>
        <v>1</v>
      </c>
      <c r="E165" s="230"/>
      <c r="F165" s="231"/>
      <c r="G165" s="231"/>
      <c r="H165" s="220"/>
      <c r="I165" s="221"/>
      <c r="J165" s="222"/>
      <c r="K165" s="41" t="s">
        <v>191</v>
      </c>
      <c r="L165" s="44">
        <f>(IF(B158&gt;1,(I158/(B158+2)+L164),0))</f>
        <v>0</v>
      </c>
    </row>
    <row r="166" spans="1:15" ht="15.75" customHeight="1" x14ac:dyDescent="0.25">
      <c r="A166" s="301" t="s">
        <v>202</v>
      </c>
      <c r="B166" s="302" t="s">
        <v>192</v>
      </c>
      <c r="C166" s="49">
        <v>10</v>
      </c>
      <c r="D166" s="229">
        <f>((100/(I158))*C166)/100</f>
        <v>0.7142857142857143</v>
      </c>
      <c r="E166" s="230"/>
      <c r="F166" s="231"/>
      <c r="G166" s="231"/>
      <c r="H166" s="220"/>
      <c r="I166" s="221"/>
      <c r="J166" s="222"/>
      <c r="K166" s="41" t="s">
        <v>193</v>
      </c>
      <c r="L166" s="44">
        <f>(IF(B158&gt;2,(I158/(B158+2)+L165),0))</f>
        <v>0</v>
      </c>
    </row>
    <row r="167" spans="1:15" ht="15.75" customHeight="1" x14ac:dyDescent="0.25">
      <c r="A167" s="228" t="s">
        <v>194</v>
      </c>
      <c r="B167" s="215" t="s">
        <v>194</v>
      </c>
      <c r="C167" s="49">
        <v>2</v>
      </c>
      <c r="D167" s="229">
        <f>((100/I158)*C167)/100</f>
        <v>0.14285714285714288</v>
      </c>
      <c r="E167" s="230"/>
      <c r="F167" s="231"/>
      <c r="G167" s="231"/>
      <c r="H167" s="220"/>
      <c r="I167" s="221"/>
      <c r="J167" s="222"/>
      <c r="K167" s="41" t="s">
        <v>195</v>
      </c>
      <c r="L167" s="45">
        <f>(IF(B158&gt;3,(I158/(B158+2)+L166),0))</f>
        <v>0</v>
      </c>
    </row>
    <row r="168" spans="1:15" ht="15" customHeight="1" x14ac:dyDescent="0.25">
      <c r="A168" s="228" t="s">
        <v>196</v>
      </c>
      <c r="B168" s="215"/>
      <c r="C168" s="49">
        <v>0</v>
      </c>
      <c r="D168" s="229">
        <f>((100/I158)*C168)/100</f>
        <v>0</v>
      </c>
      <c r="E168" s="230"/>
      <c r="F168" s="231"/>
      <c r="G168" s="231"/>
      <c r="H168" s="220"/>
      <c r="I168" s="221"/>
      <c r="J168" s="222"/>
      <c r="K168" s="41" t="s">
        <v>197</v>
      </c>
      <c r="L168" s="44">
        <f>(IF(B158&gt;4,(I158/(B158+2)+L167),0))</f>
        <v>0</v>
      </c>
    </row>
    <row r="169" spans="1:15" ht="15.75" customHeight="1" x14ac:dyDescent="0.25">
      <c r="A169" s="228" t="s">
        <v>198</v>
      </c>
      <c r="B169" s="215" t="s">
        <v>198</v>
      </c>
      <c r="C169" s="49">
        <v>0</v>
      </c>
      <c r="D169" s="229">
        <f>((100/(I158))*C169)/100</f>
        <v>0</v>
      </c>
      <c r="E169" s="230"/>
      <c r="F169" s="231"/>
      <c r="G169" s="231"/>
      <c r="H169" s="220"/>
      <c r="I169" s="221"/>
      <c r="J169" s="222"/>
      <c r="K169" s="41" t="s">
        <v>199</v>
      </c>
      <c r="L169" s="44">
        <f>(IF(B158=1,(I158/(B158+3)+L164),IF(B158=0,(I158/4+L164),IF(B158&gt;1,0))))</f>
        <v>10.5</v>
      </c>
    </row>
    <row r="170" spans="1:15" ht="16.5" customHeight="1" thickBot="1" x14ac:dyDescent="0.3">
      <c r="A170" s="306" t="s">
        <v>200</v>
      </c>
      <c r="B170" s="307"/>
      <c r="C170" s="51">
        <v>0</v>
      </c>
      <c r="D170" s="226">
        <f>((100/(I158))*C170)/100</f>
        <v>0</v>
      </c>
      <c r="E170" s="227"/>
      <c r="F170" s="232"/>
      <c r="G170" s="232"/>
      <c r="H170" s="223"/>
      <c r="I170" s="224"/>
      <c r="J170" s="225"/>
      <c r="K170" s="46" t="s">
        <v>201</v>
      </c>
      <c r="L170" s="47">
        <f>(IF(B158&gt;1.5,(I158/(B158+2)+L164+MAX(0,L165-L164)+MAX(0,L166-L165)+MAX(0,L167-L166)+MAX(0,L168-L167)+MAX(0,L169-L168)),IF(B158=1,(I158/(B158+3)+L169),IF(B158=0,I158/4+L169))))</f>
        <v>14</v>
      </c>
    </row>
    <row r="171" spans="1:15" s="1" customFormat="1" ht="14.45" customHeight="1" x14ac:dyDescent="0.25">
      <c r="A171" s="136" t="s">
        <v>63</v>
      </c>
      <c r="B171" s="137"/>
      <c r="C171" s="137"/>
      <c r="D171" s="137"/>
      <c r="E171" s="137"/>
      <c r="F171" s="137"/>
      <c r="G171" s="137"/>
      <c r="H171" s="137"/>
      <c r="I171" s="137"/>
      <c r="J171" s="138"/>
      <c r="K171"/>
      <c r="L171"/>
    </row>
    <row r="172" spans="1:15" s="1" customFormat="1" ht="14.45" customHeight="1" x14ac:dyDescent="0.25">
      <c r="A172" s="136" t="s">
        <v>54</v>
      </c>
      <c r="B172" s="137"/>
      <c r="C172" s="137"/>
      <c r="D172" s="137"/>
      <c r="E172" s="137"/>
      <c r="F172" s="137"/>
      <c r="G172" s="137"/>
      <c r="H172" s="137"/>
      <c r="I172" s="137"/>
      <c r="J172" s="138"/>
      <c r="K172"/>
      <c r="L172"/>
    </row>
    <row r="173" spans="1:15" s="1" customFormat="1" ht="14.45" customHeight="1" x14ac:dyDescent="0.25">
      <c r="A173" s="329" t="s">
        <v>84</v>
      </c>
      <c r="B173" s="330"/>
      <c r="C173" s="330"/>
      <c r="D173" s="330"/>
      <c r="E173" s="330"/>
      <c r="F173" s="330"/>
      <c r="G173" s="330"/>
      <c r="H173" s="330"/>
      <c r="I173" s="330"/>
      <c r="J173" s="331"/>
      <c r="K173"/>
      <c r="L173"/>
    </row>
    <row r="174" spans="1:15" s="1" customFormat="1" x14ac:dyDescent="0.25">
      <c r="A174" s="332"/>
      <c r="B174" s="333"/>
      <c r="C174" s="333"/>
      <c r="D174" s="333"/>
      <c r="E174" s="333"/>
      <c r="F174" s="333"/>
      <c r="G174" s="333"/>
      <c r="H174" s="333"/>
      <c r="I174" s="333"/>
      <c r="J174" s="334"/>
      <c r="K174"/>
      <c r="L174"/>
    </row>
    <row r="175" spans="1:15" s="1" customFormat="1" ht="14.45" customHeight="1" x14ac:dyDescent="0.25">
      <c r="A175" s="212" t="s">
        <v>24</v>
      </c>
      <c r="B175" s="213"/>
      <c r="C175" s="213"/>
      <c r="D175" s="213"/>
      <c r="E175" s="213"/>
      <c r="F175" s="213"/>
      <c r="G175" s="213"/>
      <c r="H175" s="213"/>
      <c r="I175" s="213"/>
      <c r="J175" s="214"/>
      <c r="K175" s="59" t="s">
        <v>247</v>
      </c>
      <c r="L175" s="59" t="s">
        <v>248</v>
      </c>
      <c r="M175" s="60">
        <v>44867</v>
      </c>
      <c r="N175" s="59" t="s">
        <v>249</v>
      </c>
    </row>
    <row r="176" spans="1:15" s="1" customFormat="1" ht="14.45" customHeight="1" x14ac:dyDescent="0.25">
      <c r="A176" s="136" t="s">
        <v>152</v>
      </c>
      <c r="B176" s="131"/>
      <c r="C176" s="131"/>
      <c r="D176" s="131"/>
      <c r="E176" s="131"/>
      <c r="F176" s="132"/>
      <c r="G176" s="303">
        <v>23000</v>
      </c>
      <c r="H176" s="207"/>
      <c r="I176" s="207"/>
      <c r="J176" s="208"/>
      <c r="K176" s="72" t="s">
        <v>301</v>
      </c>
      <c r="M176" s="72" t="s">
        <v>302</v>
      </c>
      <c r="N176" s="73">
        <v>45409</v>
      </c>
      <c r="O176" s="72" t="s">
        <v>249</v>
      </c>
    </row>
    <row r="177" spans="1:14" s="1" customFormat="1" ht="14.45" customHeight="1" x14ac:dyDescent="0.25">
      <c r="A177" s="136" t="s">
        <v>253</v>
      </c>
      <c r="B177" s="131"/>
      <c r="C177" s="131"/>
      <c r="D177" s="131"/>
      <c r="E177" s="131"/>
      <c r="F177" s="132"/>
      <c r="G177" s="266">
        <v>30000</v>
      </c>
      <c r="H177" s="147"/>
      <c r="I177" s="147"/>
      <c r="J177" s="148"/>
      <c r="K177"/>
      <c r="L177"/>
      <c r="M177"/>
      <c r="N177"/>
    </row>
    <row r="178" spans="1:14" s="1" customFormat="1" ht="14.45" customHeight="1" x14ac:dyDescent="0.25">
      <c r="A178" s="136" t="s">
        <v>254</v>
      </c>
      <c r="B178" s="137"/>
      <c r="C178" s="137"/>
      <c r="D178" s="137"/>
      <c r="E178" s="137"/>
      <c r="F178" s="138"/>
      <c r="G178" s="266">
        <v>25000</v>
      </c>
      <c r="H178" s="147"/>
      <c r="I178" s="147"/>
      <c r="J178" s="148"/>
      <c r="K178" s="59" t="s">
        <v>250</v>
      </c>
      <c r="L178" s="59" t="s">
        <v>248</v>
      </c>
      <c r="M178" s="60">
        <v>44881</v>
      </c>
      <c r="N178" s="59" t="s">
        <v>251</v>
      </c>
    </row>
    <row r="179" spans="1:14" s="1" customFormat="1" ht="14.45" customHeight="1" x14ac:dyDescent="0.25">
      <c r="A179" s="136" t="s">
        <v>107</v>
      </c>
      <c r="B179" s="131"/>
      <c r="C179" s="131"/>
      <c r="D179" s="131"/>
      <c r="E179" s="131"/>
      <c r="F179" s="132"/>
      <c r="G179" s="266">
        <v>1000000</v>
      </c>
      <c r="H179" s="147"/>
      <c r="I179" s="147"/>
      <c r="J179" s="148"/>
      <c r="K179" s="59" t="s">
        <v>303</v>
      </c>
      <c r="L179" s="59" t="s">
        <v>248</v>
      </c>
      <c r="M179" s="60">
        <v>45409</v>
      </c>
      <c r="N179" s="59" t="s">
        <v>249</v>
      </c>
    </row>
    <row r="180" spans="1:14" s="1" customFormat="1" ht="14.45" hidden="1" customHeight="1" x14ac:dyDescent="0.25">
      <c r="A180" s="136" t="s">
        <v>82</v>
      </c>
      <c r="B180" s="137"/>
      <c r="C180" s="137"/>
      <c r="D180" s="137"/>
      <c r="E180" s="137"/>
      <c r="F180" s="138"/>
      <c r="G180" s="146" t="s">
        <v>55</v>
      </c>
      <c r="H180" s="147"/>
      <c r="I180" s="147"/>
      <c r="J180" s="148"/>
      <c r="K180"/>
      <c r="L180" s="59" t="s">
        <v>248</v>
      </c>
    </row>
    <row r="181" spans="1:14" s="1" customFormat="1" hidden="1" x14ac:dyDescent="0.25">
      <c r="A181" s="136" t="s">
        <v>25</v>
      </c>
      <c r="B181" s="137"/>
      <c r="C181" s="137"/>
      <c r="D181" s="137"/>
      <c r="E181" s="137"/>
      <c r="F181" s="138"/>
      <c r="G181" s="146" t="s">
        <v>55</v>
      </c>
      <c r="H181" s="147"/>
      <c r="I181" s="147"/>
      <c r="J181" s="148"/>
      <c r="K181"/>
      <c r="L181" s="59" t="s">
        <v>248</v>
      </c>
    </row>
    <row r="182" spans="1:14" x14ac:dyDescent="0.25">
      <c r="A182" s="139" t="s">
        <v>83</v>
      </c>
      <c r="B182" s="213"/>
      <c r="C182" s="213"/>
      <c r="D182" s="213"/>
      <c r="E182" s="213"/>
      <c r="F182" s="214"/>
      <c r="G182" s="300">
        <f>G176*0.8</f>
        <v>18400</v>
      </c>
      <c r="H182" s="175"/>
      <c r="I182" s="175"/>
      <c r="J182" s="176"/>
      <c r="K182" s="1"/>
      <c r="L182" s="1"/>
    </row>
    <row r="183" spans="1:14" x14ac:dyDescent="0.25">
      <c r="A183" s="233" t="s">
        <v>227</v>
      </c>
      <c r="B183" s="269"/>
      <c r="C183" s="269"/>
      <c r="D183" s="269"/>
      <c r="E183" s="269"/>
      <c r="F183" s="269"/>
      <c r="G183" s="269"/>
      <c r="H183" s="269"/>
      <c r="I183" s="269"/>
      <c r="J183" s="234"/>
      <c r="K183" s="1"/>
      <c r="L183" s="1"/>
    </row>
    <row r="184" spans="1:14" x14ac:dyDescent="0.25">
      <c r="A184" s="238" t="s">
        <v>154</v>
      </c>
      <c r="B184" s="240"/>
      <c r="C184" s="22" t="s">
        <v>155</v>
      </c>
      <c r="D184" s="263" t="s">
        <v>156</v>
      </c>
      <c r="E184" s="264"/>
      <c r="F184" s="265"/>
      <c r="G184" s="238" t="s">
        <v>157</v>
      </c>
      <c r="H184" s="239"/>
      <c r="I184" s="239"/>
      <c r="J184" s="240"/>
      <c r="K184" s="1"/>
      <c r="L184" s="1"/>
    </row>
    <row r="185" spans="1:14" x14ac:dyDescent="0.25">
      <c r="A185" s="96" t="s">
        <v>326</v>
      </c>
      <c r="B185" s="97"/>
      <c r="C185" s="57">
        <f>COUNT(F207:F218)</f>
        <v>12</v>
      </c>
      <c r="D185" s="98">
        <f>SUM(F207:F218)</f>
        <v>5355.9511199999997</v>
      </c>
      <c r="E185" s="99"/>
      <c r="F185" s="100"/>
      <c r="G185" s="101">
        <f>SUM(H207:H218)</f>
        <v>7766.1291239999991</v>
      </c>
      <c r="H185" s="102"/>
      <c r="I185" s="102"/>
      <c r="J185" s="103"/>
      <c r="K185" s="1"/>
      <c r="L185" s="78">
        <f>C185+C187+C189</f>
        <v>22</v>
      </c>
    </row>
    <row r="186" spans="1:14" x14ac:dyDescent="0.25">
      <c r="A186" s="96" t="s">
        <v>345</v>
      </c>
      <c r="B186" s="97"/>
      <c r="C186" s="57">
        <v>6</v>
      </c>
      <c r="D186" s="98">
        <f>SUM(F220:F231)</f>
        <v>6521.8370957999987</v>
      </c>
      <c r="E186" s="99"/>
      <c r="F186" s="100"/>
      <c r="G186" s="101">
        <f>SUM(H220:H231)</f>
        <v>9456.6637889099984</v>
      </c>
      <c r="H186" s="102"/>
      <c r="I186" s="102"/>
      <c r="J186" s="103"/>
      <c r="K186" s="1"/>
      <c r="L186" s="1"/>
    </row>
    <row r="187" spans="1:14" x14ac:dyDescent="0.25">
      <c r="A187" s="96" t="s">
        <v>243</v>
      </c>
      <c r="B187" s="97"/>
      <c r="C187" s="57">
        <f>COUNT(D276:D281)</f>
        <v>6</v>
      </c>
      <c r="D187" s="98">
        <f>SUM(D276:D281)</f>
        <v>3070.3255128000001</v>
      </c>
      <c r="E187" s="99"/>
      <c r="F187" s="100"/>
      <c r="G187" s="101">
        <f>SUM(H276:H281)</f>
        <v>4451.9719935599996</v>
      </c>
      <c r="H187" s="102"/>
      <c r="I187" s="102"/>
      <c r="J187" s="103"/>
      <c r="K187" s="1"/>
      <c r="L187" s="1"/>
    </row>
    <row r="188" spans="1:14" x14ac:dyDescent="0.25">
      <c r="A188" s="96" t="s">
        <v>244</v>
      </c>
      <c r="B188" s="97"/>
      <c r="C188" s="57">
        <f>COUNT(D283:D288)</f>
        <v>6</v>
      </c>
      <c r="D188" s="98">
        <f>SUM(D283:D288)</f>
        <v>3271.0127579999998</v>
      </c>
      <c r="E188" s="99"/>
      <c r="F188" s="100"/>
      <c r="G188" s="101">
        <f>SUM(H283:H288)</f>
        <v>4742.9684990999995</v>
      </c>
      <c r="H188" s="102"/>
      <c r="I188" s="102"/>
      <c r="J188" s="103"/>
      <c r="K188" s="1"/>
      <c r="L188" s="1"/>
    </row>
    <row r="189" spans="1:14" ht="15.75" customHeight="1" x14ac:dyDescent="0.25">
      <c r="A189" s="96" t="s">
        <v>245</v>
      </c>
      <c r="B189" s="97"/>
      <c r="C189" s="57">
        <f>COUNT(D368:D371)</f>
        <v>4</v>
      </c>
      <c r="D189" s="98">
        <f>SUM(D368:D371)</f>
        <v>1506.2065200000002</v>
      </c>
      <c r="E189" s="99"/>
      <c r="F189" s="100"/>
      <c r="G189" s="101">
        <f>SUM(H368:H371)</f>
        <v>2183.9994539999998</v>
      </c>
      <c r="H189" s="102"/>
      <c r="I189" s="102"/>
      <c r="J189" s="103"/>
      <c r="K189" s="1"/>
      <c r="L189" s="1"/>
    </row>
    <row r="190" spans="1:14" x14ac:dyDescent="0.25">
      <c r="A190" s="233" t="s">
        <v>104</v>
      </c>
      <c r="B190" s="269"/>
      <c r="C190" s="58">
        <f>SUM(C185:C189)</f>
        <v>34</v>
      </c>
      <c r="D190" s="235">
        <f>SUM(D185:F189)</f>
        <v>19725.333006599998</v>
      </c>
      <c r="E190" s="236"/>
      <c r="F190" s="237"/>
      <c r="G190" s="238">
        <f>SUM(G185:I189)</f>
        <v>28601.732859569998</v>
      </c>
      <c r="H190" s="239"/>
      <c r="I190" s="239"/>
      <c r="J190" s="240"/>
      <c r="K190" s="1"/>
      <c r="L190" s="1"/>
    </row>
    <row r="191" spans="1:14" x14ac:dyDescent="0.25">
      <c r="A191" s="233" t="s">
        <v>209</v>
      </c>
      <c r="B191" s="269"/>
      <c r="C191" s="269"/>
      <c r="D191" s="269"/>
      <c r="E191" s="269"/>
      <c r="F191" s="269"/>
      <c r="G191" s="269"/>
      <c r="H191" s="269"/>
      <c r="I191" s="269"/>
      <c r="J191" s="234"/>
      <c r="K191" s="1"/>
      <c r="L191" s="1"/>
    </row>
    <row r="192" spans="1:14" x14ac:dyDescent="0.25">
      <c r="A192" s="238" t="s">
        <v>154</v>
      </c>
      <c r="B192" s="240"/>
      <c r="C192" s="22" t="s">
        <v>155</v>
      </c>
      <c r="D192" s="263" t="s">
        <v>156</v>
      </c>
      <c r="E192" s="264"/>
      <c r="F192" s="265"/>
      <c r="G192" s="238" t="s">
        <v>157</v>
      </c>
      <c r="H192" s="239"/>
      <c r="I192" s="239"/>
      <c r="J192" s="240"/>
      <c r="K192" s="1"/>
      <c r="L192" s="1"/>
    </row>
    <row r="193" spans="1:12" x14ac:dyDescent="0.25">
      <c r="A193" s="96" t="s">
        <v>327</v>
      </c>
      <c r="B193" s="97"/>
      <c r="C193" s="23">
        <f>COUNT(F234:F238)*11+COUNT(F247:F250)</f>
        <v>59</v>
      </c>
      <c r="D193" s="98">
        <f>SUM(F234:F238)*11+SUM(F247:F250)</f>
        <v>42496.594920000003</v>
      </c>
      <c r="E193" s="99"/>
      <c r="F193" s="100"/>
      <c r="G193" s="101">
        <f>SUM(H234:H238)*11+SUM(H247:H250)</f>
        <v>61620.062633999987</v>
      </c>
      <c r="H193" s="102"/>
      <c r="I193" s="102"/>
      <c r="J193" s="103"/>
      <c r="K193" s="1"/>
      <c r="L193" s="1"/>
    </row>
    <row r="194" spans="1:12" x14ac:dyDescent="0.25">
      <c r="A194" s="96" t="s">
        <v>282</v>
      </c>
      <c r="B194" s="97"/>
      <c r="C194" s="23">
        <f>COUNT(F255:F256)+COUNT(F259:F262)+COUNT(F264:F267)*11+COUNT(F269,F271:F272)</f>
        <v>53</v>
      </c>
      <c r="D194" s="98">
        <f>SUM(F255:F256)+SUM(F259:F262)+SUM(F264:F267)*11+SUM(F269,F271:F272)</f>
        <v>43856.195760000002</v>
      </c>
      <c r="E194" s="99"/>
      <c r="F194" s="100"/>
      <c r="G194" s="101">
        <f>SUM(H255:H256)+SUM(H259:H262)+SUM(H264:H267)*11+SUM(H269,H271:H272)</f>
        <v>63591.483852000005</v>
      </c>
      <c r="H194" s="102"/>
      <c r="I194" s="102"/>
      <c r="J194" s="103"/>
      <c r="K194" s="1"/>
      <c r="L194" s="1"/>
    </row>
    <row r="195" spans="1:12" x14ac:dyDescent="0.25">
      <c r="A195" s="96" t="s">
        <v>210</v>
      </c>
      <c r="B195" s="97"/>
      <c r="C195" s="23">
        <f>COUNT(D289:D290)+COUNT(D292:D297)*11+COUNT(D299:D300)+COUNT(D302:D304)</f>
        <v>73</v>
      </c>
      <c r="D195" s="98">
        <f>SUM(D289:D290)+SUM(D292:D297)*11+SUM(D299:D300)+SUM(D302:D304)</f>
        <v>55518.666839999991</v>
      </c>
      <c r="E195" s="99"/>
      <c r="F195" s="100"/>
      <c r="G195" s="101">
        <f>SUM(H289:H290)+SUM(H292:H297)*11+SUM(H299:H300)+SUM(H302:H304)</f>
        <v>80502.066918000011</v>
      </c>
      <c r="H195" s="102"/>
      <c r="I195" s="102"/>
      <c r="J195" s="103"/>
      <c r="K195" s="1"/>
      <c r="L195" s="1"/>
    </row>
    <row r="196" spans="1:12" x14ac:dyDescent="0.25">
      <c r="A196" s="96" t="s">
        <v>211</v>
      </c>
      <c r="B196" s="97"/>
      <c r="C196" s="23">
        <f>COUNT(F308:F310)+COUNT(F312:F314)+COUNT(F316:F320)+COUNT(F322:F326)*2+COUNT(F328:F332)*2+COUNT(F334:F338)*3+COUNT(F340:F341)+COUNT(F343:F344)+COUNT(F346:F350)+COUNT(F352:F355)+COUNT(F358)+COUNT(F360)+COUNT(F362:F364)</f>
        <v>64</v>
      </c>
      <c r="D196" s="98">
        <f>SUM(F308:F310)+SUM(F312:F314)+SUM(F316:F320)+SUM(F322:F326)*5+SUM(F328:F332)*2+SUM(F334:F338)*3+SUM(F340:F341)+SUM(F343:F344)+SUM(F346:F350)+SUM(F352:F355)+SUM(F358)+SUM(F360)+SUM(F362:F364)</f>
        <v>83714.641919999995</v>
      </c>
      <c r="E196" s="99"/>
      <c r="F196" s="100"/>
      <c r="G196" s="101">
        <f>SUM(H308:H310)+SUM(H312:H314)+SUM(H316:H320)+SUM(H322:H326)*5+SUM(H328:H332)*2+SUM(H334:H338)*3+SUM(H340:H341)+SUM(H343:H344)+SUM(H346:H350)+SUM(H352:H355)+SUM(H358)+SUM(H360)+SUM(H362:H364)</f>
        <v>121386.230784</v>
      </c>
      <c r="H196" s="102"/>
      <c r="I196" s="102"/>
      <c r="J196" s="103"/>
      <c r="K196" s="1"/>
      <c r="L196" s="1"/>
    </row>
    <row r="197" spans="1:12" x14ac:dyDescent="0.25">
      <c r="A197" s="267" t="s">
        <v>228</v>
      </c>
      <c r="B197" s="268"/>
      <c r="C197" s="87">
        <f>COUNT(F372:F375)+COUNT(F377:F381)+COUNT(F383:F388)+COUNT(F390:F395)*4+COUNT(F397:F402)*3+COUNT(F405:F408)+COUNT(F411:F416)+COUNT(F418:F423)+COUNT(F425:F430)+COUNT(F432:F435)</f>
        <v>83</v>
      </c>
      <c r="D197" s="260">
        <f>SUM(F372:F375)+SUM(F377:F381)+SUM(F383:F388)+SUM(F390:F395)*4+SUM(F397:F402)*3+SUM(F405:F408)+SUM(F411:F416)+SUM(F418:F423)+SUM(F425:F430)+SUM(F432:F435)</f>
        <v>110705.80248</v>
      </c>
      <c r="E197" s="261"/>
      <c r="F197" s="262"/>
      <c r="G197" s="260">
        <f>SUM(H372:H375)+SUM(H377:H381)+SUM(H383:H388)+SUM(H390:H395)*4+SUM(H397:H402)*3+SUM(H405:H408)+SUM(H411:H416)+SUM(H418:H423)+SUM(H425:H430)+SUM(H432:H435)</f>
        <v>160523.41359600003</v>
      </c>
      <c r="H197" s="261"/>
      <c r="I197" s="261"/>
      <c r="J197" s="262"/>
      <c r="K197" s="1"/>
      <c r="L197" s="1"/>
    </row>
    <row r="198" spans="1:12" x14ac:dyDescent="0.25">
      <c r="A198" s="267" t="s">
        <v>355</v>
      </c>
      <c r="B198" s="268"/>
      <c r="C198" s="87">
        <f>COUNT(D439,D441)+COUNT(D443:D445)+COUNT(D447:D449)*6+COUNT(D451:D453)*5+COUNT(D455,D457)</f>
        <v>40</v>
      </c>
      <c r="D198" s="260">
        <f>SUM(F439,F441)+SUM(F443:F445)+SUM(F447:F449)*6+SUM(F451:F453)*5+SUM(F455,F457)</f>
        <v>77972.263200000001</v>
      </c>
      <c r="E198" s="261"/>
      <c r="F198" s="262"/>
      <c r="G198" s="260">
        <f>SUM(H439,H441)+SUM(H443:H445)+SUM(H447:H449)*6+SUM(H451:H453)*5+SUM(H455,H457)</f>
        <v>113059.78164</v>
      </c>
      <c r="H198" s="261"/>
      <c r="I198" s="261"/>
      <c r="J198" s="262"/>
      <c r="K198" s="1"/>
      <c r="L198" s="1"/>
    </row>
    <row r="199" spans="1:12" x14ac:dyDescent="0.25">
      <c r="A199" s="233" t="s">
        <v>104</v>
      </c>
      <c r="B199" s="234"/>
      <c r="C199" s="22">
        <f>SUM(C193:C198)</f>
        <v>372</v>
      </c>
      <c r="D199" s="235">
        <f>SUM(D193:F198)</f>
        <v>414264.16511999996</v>
      </c>
      <c r="E199" s="236"/>
      <c r="F199" s="237"/>
      <c r="G199" s="238">
        <f>SUM(G193:I198)</f>
        <v>600683.03942400008</v>
      </c>
      <c r="H199" s="239"/>
      <c r="I199" s="239"/>
      <c r="J199" s="240"/>
      <c r="K199" s="1"/>
      <c r="L199" s="1"/>
    </row>
    <row r="200" spans="1:12" x14ac:dyDescent="0.25">
      <c r="A200" s="233" t="s">
        <v>371</v>
      </c>
      <c r="B200" s="234"/>
      <c r="C200" s="58">
        <f>C190+C199</f>
        <v>406</v>
      </c>
      <c r="D200" s="235">
        <f>D190+D199</f>
        <v>433989.49812659994</v>
      </c>
      <c r="E200" s="236"/>
      <c r="F200" s="237"/>
      <c r="G200" s="238">
        <f>G190+G199</f>
        <v>629284.77228357003</v>
      </c>
      <c r="H200" s="239"/>
      <c r="I200" s="239"/>
      <c r="J200" s="240"/>
      <c r="K200" s="1"/>
      <c r="L200" s="1"/>
    </row>
    <row r="201" spans="1:12" x14ac:dyDescent="0.25">
      <c r="A201" s="139" t="s">
        <v>26</v>
      </c>
      <c r="B201" s="197"/>
      <c r="C201" s="197"/>
      <c r="D201" s="197"/>
      <c r="E201" s="197"/>
      <c r="F201" s="197"/>
      <c r="G201" s="197"/>
      <c r="H201" s="197"/>
      <c r="I201" s="197"/>
      <c r="J201" s="198"/>
      <c r="K201" s="1"/>
      <c r="L201" s="1"/>
    </row>
    <row r="202" spans="1:12" x14ac:dyDescent="0.25">
      <c r="A202" s="127" t="s">
        <v>47</v>
      </c>
      <c r="B202" s="128"/>
      <c r="C202" s="128"/>
      <c r="D202" s="128"/>
      <c r="E202" s="128"/>
      <c r="F202" s="128"/>
      <c r="G202" s="128"/>
      <c r="H202" s="128"/>
      <c r="I202" s="128"/>
      <c r="J202" s="129"/>
    </row>
    <row r="203" spans="1:12" ht="47.25" x14ac:dyDescent="0.25">
      <c r="A203" s="115" t="s">
        <v>239</v>
      </c>
      <c r="B203" s="117"/>
      <c r="C203" s="7" t="s">
        <v>31</v>
      </c>
      <c r="D203" s="8" t="s">
        <v>85</v>
      </c>
      <c r="E203" s="7" t="s">
        <v>66</v>
      </c>
      <c r="F203" s="7" t="s">
        <v>42</v>
      </c>
      <c r="G203" s="7" t="s">
        <v>32</v>
      </c>
      <c r="H203" s="7" t="s">
        <v>112</v>
      </c>
      <c r="I203" s="115" t="s">
        <v>207</v>
      </c>
      <c r="J203" s="117"/>
    </row>
    <row r="204" spans="1:12" ht="15.75" x14ac:dyDescent="0.25">
      <c r="A204" s="112" t="s">
        <v>310</v>
      </c>
      <c r="B204" s="113"/>
      <c r="C204" s="113"/>
      <c r="D204" s="113"/>
      <c r="E204" s="113"/>
      <c r="F204" s="113"/>
      <c r="G204" s="113"/>
      <c r="H204" s="113"/>
      <c r="I204" s="113"/>
      <c r="J204" s="114"/>
    </row>
    <row r="205" spans="1:12" ht="15.75" x14ac:dyDescent="0.25">
      <c r="A205" s="115" t="s">
        <v>311</v>
      </c>
      <c r="B205" s="116"/>
      <c r="C205" s="116"/>
      <c r="D205" s="116"/>
      <c r="E205" s="116"/>
      <c r="F205" s="116"/>
      <c r="G205" s="116"/>
      <c r="H205" s="116"/>
      <c r="I205" s="116"/>
      <c r="J205" s="117"/>
      <c r="K205" s="71">
        <v>10.763999999999999</v>
      </c>
    </row>
    <row r="206" spans="1:12" ht="15.75" customHeight="1" x14ac:dyDescent="0.25">
      <c r="A206" s="105" t="s">
        <v>324</v>
      </c>
      <c r="B206" s="106"/>
      <c r="C206" s="106"/>
      <c r="D206" s="106"/>
      <c r="E206" s="106"/>
      <c r="F206" s="106"/>
      <c r="G206" s="106"/>
      <c r="H206" s="106"/>
      <c r="I206" s="106"/>
      <c r="J206" s="107"/>
    </row>
    <row r="207" spans="1:12" ht="15.75" customHeight="1" x14ac:dyDescent="0.25">
      <c r="A207" s="91" t="s">
        <v>312</v>
      </c>
      <c r="B207" s="92" t="s">
        <v>212</v>
      </c>
      <c r="C207" s="14" t="s">
        <v>218</v>
      </c>
      <c r="D207" s="14">
        <f>(2.28*1.79+4.92*5.45)*10.764</f>
        <v>332.55593279999999</v>
      </c>
      <c r="E207" s="14">
        <v>0</v>
      </c>
      <c r="F207" s="14">
        <f t="shared" ref="F207:F212" si="0">E207+D207</f>
        <v>332.55593279999999</v>
      </c>
      <c r="G207" s="14">
        <v>0</v>
      </c>
      <c r="H207" s="14">
        <f t="shared" ref="H207:H212" si="1">F207*1.45+G207</f>
        <v>482.20610255999998</v>
      </c>
      <c r="I207" s="93" t="str">
        <f>A206</f>
        <v>Ground Floor For Commercial &amp; Meter Room</v>
      </c>
      <c r="J207" s="108"/>
    </row>
    <row r="208" spans="1:12" ht="15.75" x14ac:dyDescent="0.25">
      <c r="A208" s="91" t="s">
        <v>313</v>
      </c>
      <c r="B208" s="92" t="s">
        <v>212</v>
      </c>
      <c r="C208" s="14" t="s">
        <v>218</v>
      </c>
      <c r="D208" s="14">
        <f>(1.5*1.07+5.96*11.7)*10.764</f>
        <v>767.87146799999994</v>
      </c>
      <c r="E208" s="14">
        <v>0</v>
      </c>
      <c r="F208" s="14">
        <f t="shared" si="0"/>
        <v>767.87146799999994</v>
      </c>
      <c r="G208" s="14">
        <v>0</v>
      </c>
      <c r="H208" s="14">
        <f t="shared" si="1"/>
        <v>1113.4136285999998</v>
      </c>
      <c r="I208" s="94"/>
      <c r="J208" s="109"/>
    </row>
    <row r="209" spans="1:10" ht="15.75" x14ac:dyDescent="0.25">
      <c r="A209" s="91" t="s">
        <v>314</v>
      </c>
      <c r="B209" s="92" t="s">
        <v>212</v>
      </c>
      <c r="C209" s="14" t="s">
        <v>218</v>
      </c>
      <c r="D209" s="14">
        <f>(3.03*10.1+1.5*2+1.5*1.07)*10.764</f>
        <v>378.97891199999987</v>
      </c>
      <c r="E209" s="14">
        <v>0</v>
      </c>
      <c r="F209" s="14">
        <f t="shared" si="0"/>
        <v>378.97891199999987</v>
      </c>
      <c r="G209" s="14">
        <v>0</v>
      </c>
      <c r="H209" s="14">
        <f t="shared" si="1"/>
        <v>549.51942239999983</v>
      </c>
      <c r="I209" s="94"/>
      <c r="J209" s="109"/>
    </row>
    <row r="210" spans="1:10" ht="15.75" x14ac:dyDescent="0.25">
      <c r="A210" s="91" t="s">
        <v>315</v>
      </c>
      <c r="B210" s="92" t="s">
        <v>212</v>
      </c>
      <c r="C210" s="14" t="s">
        <v>218</v>
      </c>
      <c r="D210" s="14">
        <f>(3.02*11.37+2.01*1.07)*10.764</f>
        <v>392.75790839999991</v>
      </c>
      <c r="E210" s="14">
        <v>0</v>
      </c>
      <c r="F210" s="14">
        <f t="shared" si="0"/>
        <v>392.75790839999991</v>
      </c>
      <c r="G210" s="14">
        <v>0</v>
      </c>
      <c r="H210" s="14">
        <f t="shared" si="1"/>
        <v>569.4989671799998</v>
      </c>
      <c r="I210" s="94"/>
      <c r="J210" s="109"/>
    </row>
    <row r="211" spans="1:10" ht="15.75" x14ac:dyDescent="0.25">
      <c r="A211" s="91" t="s">
        <v>316</v>
      </c>
      <c r="B211" s="92" t="s">
        <v>212</v>
      </c>
      <c r="C211" s="14" t="s">
        <v>218</v>
      </c>
      <c r="D211" s="14">
        <f>(3.12*12+4.05*1.69)*10.764</f>
        <v>476.67835799999989</v>
      </c>
      <c r="E211" s="14">
        <v>0</v>
      </c>
      <c r="F211" s="14">
        <f t="shared" si="0"/>
        <v>476.67835799999989</v>
      </c>
      <c r="G211" s="14">
        <v>0</v>
      </c>
      <c r="H211" s="14">
        <f t="shared" si="1"/>
        <v>691.18361909999987</v>
      </c>
      <c r="I211" s="94"/>
      <c r="J211" s="109"/>
    </row>
    <row r="212" spans="1:10" ht="15.75" x14ac:dyDescent="0.25">
      <c r="A212" s="91" t="s">
        <v>317</v>
      </c>
      <c r="B212" s="92" t="s">
        <v>212</v>
      </c>
      <c r="C212" s="14" t="s">
        <v>218</v>
      </c>
      <c r="D212" s="14">
        <f>(2.98*12+2.98*1.54)*10.764</f>
        <v>434.31878879999994</v>
      </c>
      <c r="E212" s="14">
        <v>0</v>
      </c>
      <c r="F212" s="14">
        <f t="shared" si="0"/>
        <v>434.31878879999994</v>
      </c>
      <c r="G212" s="14">
        <v>0</v>
      </c>
      <c r="H212" s="14">
        <f t="shared" si="1"/>
        <v>629.76224375999993</v>
      </c>
      <c r="I212" s="94"/>
      <c r="J212" s="109"/>
    </row>
    <row r="213" spans="1:10" ht="15.75" x14ac:dyDescent="0.25">
      <c r="A213" s="91" t="s">
        <v>318</v>
      </c>
      <c r="B213" s="92" t="s">
        <v>212</v>
      </c>
      <c r="C213" s="14" t="s">
        <v>218</v>
      </c>
      <c r="D213" s="14">
        <f>(3.56*12+1.58*1.07)*10.764</f>
        <v>478.0356984</v>
      </c>
      <c r="E213" s="14">
        <v>0</v>
      </c>
      <c r="F213" s="14">
        <f t="shared" ref="F213:F217" si="2">E213+D213</f>
        <v>478.0356984</v>
      </c>
      <c r="G213" s="14">
        <v>0</v>
      </c>
      <c r="H213" s="14">
        <f t="shared" ref="H213:H217" si="3">F213*1.45+G213</f>
        <v>693.15176267999993</v>
      </c>
      <c r="I213" s="94"/>
      <c r="J213" s="109"/>
    </row>
    <row r="214" spans="1:10" ht="15.75" x14ac:dyDescent="0.25">
      <c r="A214" s="91" t="s">
        <v>319</v>
      </c>
      <c r="B214" s="92" t="s">
        <v>212</v>
      </c>
      <c r="C214" s="14" t="s">
        <v>218</v>
      </c>
      <c r="D214" s="14">
        <f>(3.41*12+1.41*1.07)*10.764</f>
        <v>456.70252679999999</v>
      </c>
      <c r="E214" s="14">
        <v>0</v>
      </c>
      <c r="F214" s="14">
        <f t="shared" si="2"/>
        <v>456.70252679999999</v>
      </c>
      <c r="G214" s="14">
        <v>0</v>
      </c>
      <c r="H214" s="14">
        <f t="shared" si="3"/>
        <v>662.21866385999999</v>
      </c>
      <c r="I214" s="94"/>
      <c r="J214" s="109"/>
    </row>
    <row r="215" spans="1:10" ht="22.5" customHeight="1" x14ac:dyDescent="0.25">
      <c r="A215" s="91" t="s">
        <v>320</v>
      </c>
      <c r="B215" s="92" t="s">
        <v>212</v>
      </c>
      <c r="C215" s="14" t="s">
        <v>218</v>
      </c>
      <c r="D215" s="14">
        <f>(2.95*12+1.69*1.07+3*0.8)*10.764</f>
        <v>426.34374120000007</v>
      </c>
      <c r="E215" s="14">
        <v>0</v>
      </c>
      <c r="F215" s="14">
        <f t="shared" si="2"/>
        <v>426.34374120000007</v>
      </c>
      <c r="G215" s="14">
        <v>0</v>
      </c>
      <c r="H215" s="14">
        <f t="shared" si="3"/>
        <v>618.19842474000006</v>
      </c>
      <c r="I215" s="94"/>
      <c r="J215" s="109"/>
    </row>
    <row r="216" spans="1:10" ht="15.75" x14ac:dyDescent="0.25">
      <c r="A216" s="91" t="s">
        <v>321</v>
      </c>
      <c r="B216" s="92" t="s">
        <v>212</v>
      </c>
      <c r="C216" s="14" t="s">
        <v>218</v>
      </c>
      <c r="D216" s="14">
        <f>(2.99*12+1.58*1.07)*10.764</f>
        <v>404.40993840000004</v>
      </c>
      <c r="E216" s="14">
        <v>0</v>
      </c>
      <c r="F216" s="14">
        <f t="shared" si="2"/>
        <v>404.40993840000004</v>
      </c>
      <c r="G216" s="14">
        <v>0</v>
      </c>
      <c r="H216" s="14">
        <f t="shared" si="3"/>
        <v>586.39441068000008</v>
      </c>
      <c r="I216" s="94"/>
      <c r="J216" s="109"/>
    </row>
    <row r="217" spans="1:10" ht="15.75" x14ac:dyDescent="0.25">
      <c r="A217" s="91" t="s">
        <v>322</v>
      </c>
      <c r="B217" s="92" t="s">
        <v>212</v>
      </c>
      <c r="C217" s="14" t="s">
        <v>218</v>
      </c>
      <c r="D217" s="14">
        <f>(2.97*12+1.58*1.07)*10.764</f>
        <v>401.82657840000002</v>
      </c>
      <c r="E217" s="14">
        <v>0</v>
      </c>
      <c r="F217" s="14">
        <f t="shared" si="2"/>
        <v>401.82657840000002</v>
      </c>
      <c r="G217" s="14">
        <v>0</v>
      </c>
      <c r="H217" s="14">
        <f t="shared" si="3"/>
        <v>582.64853868</v>
      </c>
      <c r="I217" s="94"/>
      <c r="J217" s="109"/>
    </row>
    <row r="218" spans="1:10" ht="15.75" x14ac:dyDescent="0.25">
      <c r="A218" s="91" t="s">
        <v>323</v>
      </c>
      <c r="B218" s="92" t="s">
        <v>212</v>
      </c>
      <c r="C218" s="14" t="s">
        <v>218</v>
      </c>
      <c r="D218" s="14">
        <f>(3*12+1.56*1.07)*10.764</f>
        <v>405.47126880000002</v>
      </c>
      <c r="E218" s="14">
        <v>0</v>
      </c>
      <c r="F218" s="14">
        <f t="shared" ref="F218" si="4">E218+D218</f>
        <v>405.47126880000002</v>
      </c>
      <c r="G218" s="14">
        <v>0</v>
      </c>
      <c r="H218" s="14">
        <f t="shared" ref="H218" si="5">F218*1.45+G218</f>
        <v>587.93333975999997</v>
      </c>
      <c r="I218" s="95"/>
      <c r="J218" s="110"/>
    </row>
    <row r="219" spans="1:10" ht="15.75" customHeight="1" x14ac:dyDescent="0.25">
      <c r="A219" s="105" t="s">
        <v>338</v>
      </c>
      <c r="B219" s="106"/>
      <c r="C219" s="106"/>
      <c r="D219" s="106"/>
      <c r="E219" s="106"/>
      <c r="F219" s="106"/>
      <c r="G219" s="106"/>
      <c r="H219" s="106"/>
      <c r="I219" s="106"/>
      <c r="J219" s="107"/>
    </row>
    <row r="220" spans="1:10" ht="15.75" customHeight="1" x14ac:dyDescent="0.25">
      <c r="A220" s="91">
        <v>1</v>
      </c>
      <c r="B220" s="92" t="s">
        <v>212</v>
      </c>
      <c r="C220" s="14" t="s">
        <v>220</v>
      </c>
      <c r="D220" s="14">
        <f>(2.28*1.79+4.92*5.45)*10.764</f>
        <v>332.55593279999999</v>
      </c>
      <c r="E220" s="14">
        <v>0</v>
      </c>
      <c r="F220" s="14">
        <f t="shared" ref="F220:F231" si="6">E220+D220</f>
        <v>332.55593279999999</v>
      </c>
      <c r="G220" s="14">
        <v>0</v>
      </c>
      <c r="H220" s="14">
        <f t="shared" ref="H220:H231" si="7">F220*1.45+G220</f>
        <v>482.20610255999998</v>
      </c>
      <c r="I220" s="93" t="str">
        <f>A219</f>
        <v>1st Floor For Commercial</v>
      </c>
      <c r="J220" s="108"/>
    </row>
    <row r="221" spans="1:10" ht="15.75" x14ac:dyDescent="0.25">
      <c r="A221" s="91">
        <v>2</v>
      </c>
      <c r="B221" s="92" t="s">
        <v>213</v>
      </c>
      <c r="C221" s="14" t="s">
        <v>220</v>
      </c>
      <c r="D221" s="14">
        <f>(5.96*15.53)*10.764</f>
        <v>996.3029231999999</v>
      </c>
      <c r="E221" s="14">
        <v>0</v>
      </c>
      <c r="F221" s="14">
        <f t="shared" si="6"/>
        <v>996.3029231999999</v>
      </c>
      <c r="G221" s="14">
        <v>0</v>
      </c>
      <c r="H221" s="14">
        <f t="shared" si="7"/>
        <v>1444.6392386399998</v>
      </c>
      <c r="I221" s="94"/>
      <c r="J221" s="109"/>
    </row>
    <row r="222" spans="1:10" ht="15.75" x14ac:dyDescent="0.25">
      <c r="A222" s="91">
        <v>3</v>
      </c>
      <c r="B222" s="92" t="s">
        <v>214</v>
      </c>
      <c r="C222" s="14" t="s">
        <v>220</v>
      </c>
      <c r="D222" s="14">
        <f>(3.035*15.53)*10.764</f>
        <v>507.34553219999998</v>
      </c>
      <c r="E222" s="14">
        <v>0</v>
      </c>
      <c r="F222" s="14">
        <f t="shared" si="6"/>
        <v>507.34553219999998</v>
      </c>
      <c r="G222" s="14">
        <v>0</v>
      </c>
      <c r="H222" s="14">
        <f t="shared" si="7"/>
        <v>735.65102168999999</v>
      </c>
      <c r="I222" s="94"/>
      <c r="J222" s="109"/>
    </row>
    <row r="223" spans="1:10" ht="15.75" x14ac:dyDescent="0.25">
      <c r="A223" s="91">
        <v>4</v>
      </c>
      <c r="B223" s="92" t="s">
        <v>215</v>
      </c>
      <c r="C223" s="14" t="s">
        <v>220</v>
      </c>
      <c r="D223" s="14">
        <f>(3.02*15.53)*10.764</f>
        <v>504.83805839999997</v>
      </c>
      <c r="E223" s="14">
        <v>0</v>
      </c>
      <c r="F223" s="14">
        <f t="shared" si="6"/>
        <v>504.83805839999997</v>
      </c>
      <c r="G223" s="14">
        <v>0</v>
      </c>
      <c r="H223" s="14">
        <f t="shared" si="7"/>
        <v>732.01518467999995</v>
      </c>
      <c r="I223" s="94"/>
      <c r="J223" s="109"/>
    </row>
    <row r="224" spans="1:10" ht="15.75" x14ac:dyDescent="0.25">
      <c r="A224" s="91">
        <v>5</v>
      </c>
      <c r="B224" s="92" t="s">
        <v>216</v>
      </c>
      <c r="C224" s="14" t="s">
        <v>220</v>
      </c>
      <c r="D224" s="14">
        <f>(3.15*15.53)*10.764</f>
        <v>526.56949799999995</v>
      </c>
      <c r="E224" s="14">
        <v>0</v>
      </c>
      <c r="F224" s="14">
        <f t="shared" si="6"/>
        <v>526.56949799999995</v>
      </c>
      <c r="G224" s="14">
        <v>0</v>
      </c>
      <c r="H224" s="14">
        <f t="shared" si="7"/>
        <v>763.52577209999993</v>
      </c>
      <c r="I224" s="94"/>
      <c r="J224" s="109"/>
    </row>
    <row r="225" spans="1:12" ht="15.75" x14ac:dyDescent="0.25">
      <c r="A225" s="91">
        <v>6</v>
      </c>
      <c r="B225" s="92" t="s">
        <v>217</v>
      </c>
      <c r="C225" s="14" t="s">
        <v>220</v>
      </c>
      <c r="D225" s="14">
        <f>(2.98*15.53)*10.764</f>
        <v>498.15146159999995</v>
      </c>
      <c r="E225" s="14">
        <v>0</v>
      </c>
      <c r="F225" s="14">
        <f t="shared" si="6"/>
        <v>498.15146159999995</v>
      </c>
      <c r="G225" s="14">
        <v>0</v>
      </c>
      <c r="H225" s="14">
        <f t="shared" si="7"/>
        <v>722.3196193199999</v>
      </c>
      <c r="I225" s="94"/>
      <c r="J225" s="109"/>
    </row>
    <row r="226" spans="1:12" ht="15.75" x14ac:dyDescent="0.25">
      <c r="A226" s="91">
        <v>7</v>
      </c>
      <c r="B226" s="92" t="s">
        <v>339</v>
      </c>
      <c r="C226" s="14" t="s">
        <v>220</v>
      </c>
      <c r="D226" s="14">
        <f>(3.56*15.53)*10.764</f>
        <v>595.10711519999995</v>
      </c>
      <c r="E226" s="14">
        <v>0</v>
      </c>
      <c r="F226" s="14">
        <f t="shared" si="6"/>
        <v>595.10711519999995</v>
      </c>
      <c r="G226" s="14">
        <v>0</v>
      </c>
      <c r="H226" s="14">
        <f t="shared" si="7"/>
        <v>862.90531703999989</v>
      </c>
      <c r="I226" s="94"/>
      <c r="J226" s="109"/>
    </row>
    <row r="227" spans="1:12" ht="15.75" x14ac:dyDescent="0.25">
      <c r="A227" s="91">
        <v>8</v>
      </c>
      <c r="B227" s="92" t="s">
        <v>340</v>
      </c>
      <c r="C227" s="14" t="s">
        <v>220</v>
      </c>
      <c r="D227" s="14">
        <f>(3.41*15.53)*10.764</f>
        <v>570.03237719999993</v>
      </c>
      <c r="E227" s="14">
        <v>0</v>
      </c>
      <c r="F227" s="14">
        <f t="shared" si="6"/>
        <v>570.03237719999993</v>
      </c>
      <c r="G227" s="14">
        <v>0</v>
      </c>
      <c r="H227" s="14">
        <f t="shared" si="7"/>
        <v>826.54694693999988</v>
      </c>
      <c r="I227" s="94"/>
      <c r="J227" s="109"/>
    </row>
    <row r="228" spans="1:12" ht="22.5" customHeight="1" x14ac:dyDescent="0.25">
      <c r="A228" s="91">
        <v>9</v>
      </c>
      <c r="B228" s="92" t="s">
        <v>341</v>
      </c>
      <c r="C228" s="14" t="s">
        <v>220</v>
      </c>
      <c r="D228" s="14">
        <f>(2.95*15.53)*10.764</f>
        <v>493.13651399999992</v>
      </c>
      <c r="E228" s="14">
        <v>0</v>
      </c>
      <c r="F228" s="14">
        <f t="shared" si="6"/>
        <v>493.13651399999992</v>
      </c>
      <c r="G228" s="14">
        <v>0</v>
      </c>
      <c r="H228" s="14">
        <f t="shared" si="7"/>
        <v>715.04794529999981</v>
      </c>
      <c r="I228" s="94"/>
      <c r="J228" s="109"/>
    </row>
    <row r="229" spans="1:12" ht="15.75" x14ac:dyDescent="0.25">
      <c r="A229" s="91">
        <v>10</v>
      </c>
      <c r="B229" s="92" t="s">
        <v>342</v>
      </c>
      <c r="C229" s="14" t="s">
        <v>220</v>
      </c>
      <c r="D229" s="14">
        <f>(2.99*15.53)*10.764</f>
        <v>499.82311079999994</v>
      </c>
      <c r="E229" s="14">
        <v>0</v>
      </c>
      <c r="F229" s="14">
        <f t="shared" si="6"/>
        <v>499.82311079999994</v>
      </c>
      <c r="G229" s="14">
        <v>0</v>
      </c>
      <c r="H229" s="14">
        <f t="shared" si="7"/>
        <v>724.74351065999986</v>
      </c>
      <c r="I229" s="94"/>
      <c r="J229" s="109"/>
    </row>
    <row r="230" spans="1:12" ht="15.75" x14ac:dyDescent="0.25">
      <c r="A230" s="91">
        <v>11</v>
      </c>
      <c r="B230" s="92" t="s">
        <v>343</v>
      </c>
      <c r="C230" s="14" t="s">
        <v>220</v>
      </c>
      <c r="D230" s="14">
        <f>(2.97*15.53)*10.764</f>
        <v>496.47981239999996</v>
      </c>
      <c r="E230" s="14">
        <v>0</v>
      </c>
      <c r="F230" s="14">
        <f t="shared" si="6"/>
        <v>496.47981239999996</v>
      </c>
      <c r="G230" s="14">
        <v>0</v>
      </c>
      <c r="H230" s="14">
        <f t="shared" si="7"/>
        <v>719.89572797999995</v>
      </c>
      <c r="I230" s="94"/>
      <c r="J230" s="109"/>
    </row>
    <row r="231" spans="1:12" ht="15.75" x14ac:dyDescent="0.25">
      <c r="A231" s="91">
        <v>12</v>
      </c>
      <c r="B231" s="92" t="s">
        <v>344</v>
      </c>
      <c r="C231" s="14" t="s">
        <v>220</v>
      </c>
      <c r="D231" s="14">
        <f>(3*15.53)*10.764</f>
        <v>501.49475999999993</v>
      </c>
      <c r="E231" s="14">
        <v>0</v>
      </c>
      <c r="F231" s="14">
        <f t="shared" si="6"/>
        <v>501.49475999999993</v>
      </c>
      <c r="G231" s="14">
        <v>0</v>
      </c>
      <c r="H231" s="14">
        <f t="shared" si="7"/>
        <v>727.16740199999992</v>
      </c>
      <c r="I231" s="95"/>
      <c r="J231" s="110"/>
    </row>
    <row r="232" spans="1:12" ht="15.75" customHeight="1" x14ac:dyDescent="0.25">
      <c r="A232" s="104" t="s">
        <v>325</v>
      </c>
      <c r="B232" s="104"/>
      <c r="C232" s="104"/>
      <c r="D232" s="104"/>
      <c r="E232" s="104"/>
      <c r="F232" s="104"/>
      <c r="G232" s="104"/>
      <c r="H232" s="104"/>
      <c r="I232" s="104"/>
      <c r="J232" s="69"/>
    </row>
    <row r="233" spans="1:12" ht="15.75" customHeight="1" x14ac:dyDescent="0.25">
      <c r="A233" s="104" t="s">
        <v>336</v>
      </c>
      <c r="B233" s="104"/>
      <c r="C233" s="104"/>
      <c r="D233" s="104"/>
      <c r="E233" s="104"/>
      <c r="F233" s="104"/>
      <c r="G233" s="104"/>
      <c r="H233" s="104"/>
      <c r="I233" s="104"/>
      <c r="J233" s="69"/>
    </row>
    <row r="234" spans="1:12" ht="15.75" customHeight="1" x14ac:dyDescent="0.25">
      <c r="A234" s="91">
        <v>1</v>
      </c>
      <c r="B234" s="92">
        <v>4</v>
      </c>
      <c r="C234" s="14" t="s">
        <v>124</v>
      </c>
      <c r="D234" s="71">
        <f>(68.25)*10.764</f>
        <v>734.64299999999992</v>
      </c>
      <c r="E234" s="14">
        <v>0</v>
      </c>
      <c r="F234" s="14">
        <f t="shared" ref="F234:F237" si="8">E234+D234</f>
        <v>734.64299999999992</v>
      </c>
      <c r="G234" s="14">
        <f>0</f>
        <v>0</v>
      </c>
      <c r="H234" s="14">
        <f t="shared" ref="H234:H237" si="9">F234*1.45+G234</f>
        <v>1065.2323499999998</v>
      </c>
      <c r="I234" s="93" t="str">
        <f>A233</f>
        <v>2nd, 4th, 6th, 8th, 10th, 12th Floor for Residential</v>
      </c>
      <c r="J234" s="69"/>
    </row>
    <row r="235" spans="1:12" ht="15.75" x14ac:dyDescent="0.25">
      <c r="A235" s="91">
        <v>2</v>
      </c>
      <c r="B235" s="92">
        <v>5</v>
      </c>
      <c r="C235" s="14" t="s">
        <v>124</v>
      </c>
      <c r="D235" s="71">
        <f>(68.25)*10.764</f>
        <v>734.64299999999992</v>
      </c>
      <c r="E235" s="14">
        <v>0</v>
      </c>
      <c r="F235" s="14">
        <f t="shared" si="8"/>
        <v>734.64299999999992</v>
      </c>
      <c r="G235" s="14">
        <f>0</f>
        <v>0</v>
      </c>
      <c r="H235" s="14">
        <f t="shared" si="9"/>
        <v>1065.2323499999998</v>
      </c>
      <c r="I235" s="94"/>
      <c r="J235" s="69"/>
    </row>
    <row r="236" spans="1:12" ht="15.75" x14ac:dyDescent="0.25">
      <c r="A236" s="91">
        <v>3</v>
      </c>
      <c r="B236" s="92">
        <v>3</v>
      </c>
      <c r="C236" s="14" t="s">
        <v>124</v>
      </c>
      <c r="D236" s="71">
        <f>(60.17)*10.764</f>
        <v>647.66988000000003</v>
      </c>
      <c r="E236" s="14">
        <v>0</v>
      </c>
      <c r="F236" s="14">
        <f t="shared" si="8"/>
        <v>647.66988000000003</v>
      </c>
      <c r="G236" s="14">
        <f>0</f>
        <v>0</v>
      </c>
      <c r="H236" s="14">
        <f t="shared" si="9"/>
        <v>939.12132600000007</v>
      </c>
      <c r="I236" s="94"/>
      <c r="J236" s="69"/>
      <c r="K236" s="77">
        <f>3.82*2.59+2.44*3.05+3.05*3.15+3.05*4.22+3.05*4.22+2.14*1.37+2.14*1.37+1.07*1.9+1.978122</f>
        <v>62.560022000000004</v>
      </c>
    </row>
    <row r="237" spans="1:12" ht="15.75" x14ac:dyDescent="0.25">
      <c r="A237" s="91">
        <v>4</v>
      </c>
      <c r="B237" s="92">
        <v>4</v>
      </c>
      <c r="C237" s="14" t="s">
        <v>124</v>
      </c>
      <c r="D237" s="71">
        <f>(69.01)*10.764</f>
        <v>742.82363999999995</v>
      </c>
      <c r="E237" s="14">
        <v>0</v>
      </c>
      <c r="F237" s="14">
        <f t="shared" si="8"/>
        <v>742.82363999999995</v>
      </c>
      <c r="G237" s="14">
        <f>0</f>
        <v>0</v>
      </c>
      <c r="H237" s="14">
        <f t="shared" si="9"/>
        <v>1077.0942779999998</v>
      </c>
      <c r="I237" s="94"/>
      <c r="J237" s="69"/>
    </row>
    <row r="238" spans="1:12" ht="15.75" x14ac:dyDescent="0.25">
      <c r="A238" s="91">
        <v>5</v>
      </c>
      <c r="B238" s="92">
        <v>5</v>
      </c>
      <c r="C238" s="14" t="s">
        <v>124</v>
      </c>
      <c r="D238" s="71">
        <f>(69.01)*10.764</f>
        <v>742.82363999999995</v>
      </c>
      <c r="E238" s="14">
        <v>0</v>
      </c>
      <c r="F238" s="14">
        <f t="shared" ref="F238" si="10">E238+D238</f>
        <v>742.82363999999995</v>
      </c>
      <c r="G238" s="14">
        <f>0</f>
        <v>0</v>
      </c>
      <c r="H238" s="14">
        <f t="shared" ref="H238" si="11">F238*1.45+G238</f>
        <v>1077.0942779999998</v>
      </c>
      <c r="I238" s="95"/>
      <c r="J238" s="69"/>
      <c r="L238">
        <f>3.05*4.52+2.98*3.35+2.13*2.75+3.05*3.92+3.05*2.54+1.52*2.44+1.52*2.39+1.07*2.98+1.07*2.13+1.5*1.2+1.82*1.22</f>
        <v>66.159199999999998</v>
      </c>
    </row>
    <row r="239" spans="1:12" ht="15.75" customHeight="1" x14ac:dyDescent="0.25">
      <c r="A239" s="104" t="s">
        <v>337</v>
      </c>
      <c r="B239" s="104"/>
      <c r="C239" s="104"/>
      <c r="D239" s="104"/>
      <c r="E239" s="104"/>
      <c r="F239" s="104"/>
      <c r="G239" s="104"/>
      <c r="H239" s="104"/>
      <c r="I239" s="104"/>
      <c r="J239" s="69"/>
    </row>
    <row r="240" spans="1:12" ht="15.75" customHeight="1" x14ac:dyDescent="0.25">
      <c r="A240" s="91">
        <v>1</v>
      </c>
      <c r="B240" s="92">
        <v>4</v>
      </c>
      <c r="C240" s="14" t="s">
        <v>124</v>
      </c>
      <c r="D240" s="71">
        <f>(68.25)*10.764</f>
        <v>734.64299999999992</v>
      </c>
      <c r="E240" s="14">
        <v>0</v>
      </c>
      <c r="F240" s="14">
        <f t="shared" ref="F240:F244" si="12">E240+D240</f>
        <v>734.64299999999992</v>
      </c>
      <c r="G240" s="14">
        <f>0</f>
        <v>0</v>
      </c>
      <c r="H240" s="14">
        <f t="shared" ref="H240:H244" si="13">F240*1.45+G240</f>
        <v>1065.2323499999998</v>
      </c>
      <c r="I240" s="93" t="str">
        <f>A239</f>
        <v>3rd, 5th, 9th, 11th &amp; 13th Floor for Residential</v>
      </c>
      <c r="J240" s="69"/>
    </row>
    <row r="241" spans="1:12" ht="15.75" x14ac:dyDescent="0.25">
      <c r="A241" s="91">
        <v>2</v>
      </c>
      <c r="B241" s="92">
        <v>5</v>
      </c>
      <c r="C241" s="14" t="s">
        <v>124</v>
      </c>
      <c r="D241" s="71">
        <f>(68.25)*10.764</f>
        <v>734.64299999999992</v>
      </c>
      <c r="E241" s="14">
        <v>0</v>
      </c>
      <c r="F241" s="14">
        <f t="shared" si="12"/>
        <v>734.64299999999992</v>
      </c>
      <c r="G241" s="14">
        <f>0</f>
        <v>0</v>
      </c>
      <c r="H241" s="14">
        <f t="shared" si="13"/>
        <v>1065.2323499999998</v>
      </c>
      <c r="I241" s="94"/>
      <c r="J241" s="69"/>
    </row>
    <row r="242" spans="1:12" ht="15.75" x14ac:dyDescent="0.25">
      <c r="A242" s="91">
        <v>3</v>
      </c>
      <c r="B242" s="92">
        <v>3</v>
      </c>
      <c r="C242" s="14" t="s">
        <v>124</v>
      </c>
      <c r="D242" s="71">
        <f>(60.17)*10.764</f>
        <v>647.66988000000003</v>
      </c>
      <c r="E242" s="14">
        <v>0</v>
      </c>
      <c r="F242" s="14">
        <f t="shared" si="12"/>
        <v>647.66988000000003</v>
      </c>
      <c r="G242" s="14">
        <f>0</f>
        <v>0</v>
      </c>
      <c r="H242" s="14">
        <f t="shared" si="13"/>
        <v>939.12132600000007</v>
      </c>
      <c r="I242" s="94"/>
      <c r="J242" s="69"/>
      <c r="K242" s="77">
        <f>3.82*2.59+2.44*3.05+3.05*3.15+3.05*4.22+3.05*4.22+2.14*1.37+2.14*1.37+1.07*1.9+1.978122</f>
        <v>62.560022000000004</v>
      </c>
    </row>
    <row r="243" spans="1:12" ht="15.75" x14ac:dyDescent="0.25">
      <c r="A243" s="91">
        <v>4</v>
      </c>
      <c r="B243" s="92">
        <v>4</v>
      </c>
      <c r="C243" s="14" t="s">
        <v>124</v>
      </c>
      <c r="D243" s="71">
        <f>(69.01)*10.764</f>
        <v>742.82363999999995</v>
      </c>
      <c r="E243" s="14">
        <v>0</v>
      </c>
      <c r="F243" s="14">
        <f t="shared" si="12"/>
        <v>742.82363999999995</v>
      </c>
      <c r="G243" s="14">
        <f>0</f>
        <v>0</v>
      </c>
      <c r="H243" s="14">
        <f t="shared" si="13"/>
        <v>1077.0942779999998</v>
      </c>
      <c r="I243" s="94"/>
      <c r="J243" s="69"/>
    </row>
    <row r="244" spans="1:12" ht="15.75" x14ac:dyDescent="0.25">
      <c r="A244" s="91">
        <v>5</v>
      </c>
      <c r="B244" s="92">
        <v>5</v>
      </c>
      <c r="C244" s="14" t="s">
        <v>124</v>
      </c>
      <c r="D244" s="71">
        <f>(69.01)*10.764</f>
        <v>742.82363999999995</v>
      </c>
      <c r="E244" s="14">
        <v>0</v>
      </c>
      <c r="F244" s="14">
        <f t="shared" si="12"/>
        <v>742.82363999999995</v>
      </c>
      <c r="G244" s="14">
        <f>0</f>
        <v>0</v>
      </c>
      <c r="H244" s="14">
        <f t="shared" si="13"/>
        <v>1077.0942779999998</v>
      </c>
      <c r="I244" s="95"/>
      <c r="J244" s="69"/>
      <c r="L244">
        <f>3.05*4.52+2.98*3.35+2.13*2.75+3.05*3.92+3.05*2.54+1.52*2.44+1.52*2.39+1.07*2.98+1.07*2.13+1.5*1.2+1.82*1.22</f>
        <v>66.159199999999998</v>
      </c>
    </row>
    <row r="245" spans="1:12" ht="15.75" customHeight="1" x14ac:dyDescent="0.25">
      <c r="A245" s="310" t="s">
        <v>225</v>
      </c>
      <c r="B245" s="311"/>
      <c r="C245" s="311"/>
      <c r="D245" s="311"/>
      <c r="E245" s="311"/>
      <c r="F245" s="311"/>
      <c r="G245" s="311"/>
      <c r="H245" s="311"/>
      <c r="I245" s="311"/>
      <c r="J245" s="69"/>
    </row>
    <row r="246" spans="1:12" ht="15.75" customHeight="1" x14ac:dyDescent="0.25">
      <c r="A246" s="91">
        <v>1</v>
      </c>
      <c r="B246" s="92">
        <v>4</v>
      </c>
      <c r="C246" s="91" t="s">
        <v>131</v>
      </c>
      <c r="D246" s="111"/>
      <c r="E246" s="111"/>
      <c r="F246" s="111"/>
      <c r="G246" s="111"/>
      <c r="H246" s="92"/>
      <c r="I246" s="93" t="str">
        <f>A245</f>
        <v>7th Floor (Part Refuge Area)</v>
      </c>
      <c r="J246" s="69"/>
    </row>
    <row r="247" spans="1:12" ht="15.75" x14ac:dyDescent="0.25">
      <c r="A247" s="91">
        <v>2</v>
      </c>
      <c r="B247" s="92">
        <v>5</v>
      </c>
      <c r="C247" s="14" t="s">
        <v>124</v>
      </c>
      <c r="D247" s="71">
        <f>(68.25)*10.764</f>
        <v>734.64299999999992</v>
      </c>
      <c r="E247" s="14">
        <v>0</v>
      </c>
      <c r="F247" s="14">
        <f t="shared" ref="F247:F250" si="14">E247+D247</f>
        <v>734.64299999999992</v>
      </c>
      <c r="G247" s="14">
        <f>0</f>
        <v>0</v>
      </c>
      <c r="H247" s="14">
        <f t="shared" ref="H247:H250" si="15">F247*1.45+G247</f>
        <v>1065.2323499999998</v>
      </c>
      <c r="I247" s="94"/>
      <c r="J247" s="69"/>
    </row>
    <row r="248" spans="1:12" ht="15.75" x14ac:dyDescent="0.25">
      <c r="A248" s="91">
        <v>3</v>
      </c>
      <c r="B248" s="92">
        <v>3</v>
      </c>
      <c r="C248" s="14" t="s">
        <v>124</v>
      </c>
      <c r="D248" s="71">
        <f>(60.17)*10.764</f>
        <v>647.66988000000003</v>
      </c>
      <c r="E248" s="14">
        <v>0</v>
      </c>
      <c r="F248" s="14">
        <f t="shared" si="14"/>
        <v>647.66988000000003</v>
      </c>
      <c r="G248" s="14">
        <f>0</f>
        <v>0</v>
      </c>
      <c r="H248" s="14">
        <f t="shared" si="15"/>
        <v>939.12132600000007</v>
      </c>
      <c r="I248" s="94"/>
      <c r="J248" s="69"/>
    </row>
    <row r="249" spans="1:12" ht="15.75" x14ac:dyDescent="0.25">
      <c r="A249" s="91">
        <v>4</v>
      </c>
      <c r="B249" s="92">
        <v>4</v>
      </c>
      <c r="C249" s="14" t="s">
        <v>124</v>
      </c>
      <c r="D249" s="71">
        <f>(69.01)*10.764</f>
        <v>742.82363999999995</v>
      </c>
      <c r="E249" s="14">
        <v>0</v>
      </c>
      <c r="F249" s="14">
        <f t="shared" si="14"/>
        <v>742.82363999999995</v>
      </c>
      <c r="G249" s="14">
        <f>0</f>
        <v>0</v>
      </c>
      <c r="H249" s="14">
        <f t="shared" si="15"/>
        <v>1077.0942779999998</v>
      </c>
      <c r="I249" s="94"/>
      <c r="J249" s="69"/>
    </row>
    <row r="250" spans="1:12" ht="15.75" x14ac:dyDescent="0.25">
      <c r="A250" s="91">
        <v>5</v>
      </c>
      <c r="B250" s="92">
        <v>5</v>
      </c>
      <c r="C250" s="14" t="s">
        <v>124</v>
      </c>
      <c r="D250" s="71">
        <f>(69.01)*10.764</f>
        <v>742.82363999999995</v>
      </c>
      <c r="E250" s="14">
        <v>0</v>
      </c>
      <c r="F250" s="14">
        <f t="shared" si="14"/>
        <v>742.82363999999995</v>
      </c>
      <c r="G250" s="14">
        <f>0</f>
        <v>0</v>
      </c>
      <c r="H250" s="14">
        <f t="shared" si="15"/>
        <v>1077.0942779999998</v>
      </c>
      <c r="I250" s="95"/>
      <c r="J250" s="69"/>
    </row>
    <row r="251" spans="1:12" ht="15.75" x14ac:dyDescent="0.25">
      <c r="A251" s="112" t="s">
        <v>279</v>
      </c>
      <c r="B251" s="113"/>
      <c r="C251" s="113"/>
      <c r="D251" s="113"/>
      <c r="E251" s="113"/>
      <c r="F251" s="113"/>
      <c r="G251" s="113"/>
      <c r="H251" s="113"/>
      <c r="I251" s="113"/>
      <c r="J251" s="114"/>
    </row>
    <row r="252" spans="1:12" ht="15.75" x14ac:dyDescent="0.25">
      <c r="A252" s="115" t="s">
        <v>290</v>
      </c>
      <c r="B252" s="116"/>
      <c r="C252" s="116"/>
      <c r="D252" s="116"/>
      <c r="E252" s="116"/>
      <c r="F252" s="116"/>
      <c r="G252" s="116"/>
      <c r="H252" s="116"/>
      <c r="I252" s="116"/>
      <c r="J252" s="117"/>
      <c r="K252" s="71">
        <v>10.763999999999999</v>
      </c>
    </row>
    <row r="253" spans="1:12" ht="15.75" x14ac:dyDescent="0.25">
      <c r="A253" s="105" t="s">
        <v>293</v>
      </c>
      <c r="B253" s="106"/>
      <c r="C253" s="106"/>
      <c r="D253" s="106"/>
      <c r="E253" s="106"/>
      <c r="F253" s="106"/>
      <c r="G253" s="106"/>
      <c r="H253" s="106"/>
      <c r="I253" s="106"/>
      <c r="J253" s="107"/>
    </row>
    <row r="254" spans="1:12" ht="15.75" x14ac:dyDescent="0.25">
      <c r="A254" s="105" t="s">
        <v>295</v>
      </c>
      <c r="B254" s="106"/>
      <c r="C254" s="106"/>
      <c r="D254" s="106"/>
      <c r="E254" s="106"/>
      <c r="F254" s="106"/>
      <c r="G254" s="106"/>
      <c r="H254" s="106"/>
      <c r="I254" s="106"/>
      <c r="J254" s="107"/>
    </row>
    <row r="255" spans="1:12" ht="15.75" customHeight="1" x14ac:dyDescent="0.25">
      <c r="A255" s="91">
        <v>1</v>
      </c>
      <c r="B255" s="92">
        <v>1</v>
      </c>
      <c r="C255" s="14" t="s">
        <v>123</v>
      </c>
      <c r="D255" s="71">
        <f>(94.65)*10.764</f>
        <v>1018.8126</v>
      </c>
      <c r="E255" s="14">
        <v>0</v>
      </c>
      <c r="F255" s="14">
        <f t="shared" ref="F255:F262" si="16">E255+D255</f>
        <v>1018.8126</v>
      </c>
      <c r="G255" s="14">
        <f>0</f>
        <v>0</v>
      </c>
      <c r="H255" s="14">
        <f t="shared" ref="H255:H262" si="17">F255*1.45+G255</f>
        <v>1477.27827</v>
      </c>
      <c r="I255" s="93" t="str">
        <f>A254</f>
        <v>1st Floor For Residential &amp; (Part BMS Room &amp; Society Office)</v>
      </c>
      <c r="J255" s="68"/>
      <c r="K255" s="70">
        <f>6.81*3.05+3.66*1.01+3.05*2.13+3.65*3.05+3.96*3.05+4.56*3.26+1.37*2.44*2+2.44*1.52+5*1.07+2*0.65+1.2*0.65+(1.22*2.09)</f>
        <v>89.413899999999984</v>
      </c>
    </row>
    <row r="256" spans="1:12" ht="15.75" x14ac:dyDescent="0.25">
      <c r="A256" s="91">
        <v>2</v>
      </c>
      <c r="B256" s="92">
        <v>2</v>
      </c>
      <c r="C256" s="14" t="s">
        <v>124</v>
      </c>
      <c r="D256" s="71">
        <f>(71.26)*10.764</f>
        <v>767.04264000000001</v>
      </c>
      <c r="E256" s="14">
        <v>0</v>
      </c>
      <c r="F256" s="14">
        <f t="shared" si="16"/>
        <v>767.04264000000001</v>
      </c>
      <c r="G256" s="14">
        <f>0</f>
        <v>0</v>
      </c>
      <c r="H256" s="14">
        <f t="shared" si="17"/>
        <v>1112.211828</v>
      </c>
      <c r="I256" s="94"/>
      <c r="J256" s="69"/>
    </row>
    <row r="257" spans="1:10" ht="15.75" x14ac:dyDescent="0.25">
      <c r="A257" s="91" t="s">
        <v>281</v>
      </c>
      <c r="B257" s="92">
        <v>2</v>
      </c>
      <c r="C257" s="91" t="s">
        <v>296</v>
      </c>
      <c r="D257" s="111"/>
      <c r="E257" s="111"/>
      <c r="F257" s="111"/>
      <c r="G257" s="111"/>
      <c r="H257" s="92"/>
      <c r="I257" s="95"/>
      <c r="J257" s="69"/>
    </row>
    <row r="258" spans="1:10" ht="15.75" customHeight="1" x14ac:dyDescent="0.25">
      <c r="A258" s="310" t="s">
        <v>294</v>
      </c>
      <c r="B258" s="311"/>
      <c r="C258" s="311"/>
      <c r="D258" s="311"/>
      <c r="E258" s="311"/>
      <c r="F258" s="311"/>
      <c r="G258" s="311"/>
      <c r="H258" s="311"/>
      <c r="I258" s="311"/>
      <c r="J258" s="69"/>
    </row>
    <row r="259" spans="1:10" ht="15.75" x14ac:dyDescent="0.25">
      <c r="A259" s="91">
        <v>1</v>
      </c>
      <c r="B259" s="92">
        <v>4</v>
      </c>
      <c r="C259" s="14" t="s">
        <v>123</v>
      </c>
      <c r="D259" s="71">
        <f>(94.65)*10.764</f>
        <v>1018.8126</v>
      </c>
      <c r="E259" s="14">
        <v>0</v>
      </c>
      <c r="F259" s="14">
        <f t="shared" si="16"/>
        <v>1018.8126</v>
      </c>
      <c r="G259" s="14">
        <f>0</f>
        <v>0</v>
      </c>
      <c r="H259" s="14">
        <f t="shared" si="17"/>
        <v>1477.27827</v>
      </c>
      <c r="I259" s="121" t="str">
        <f>A258</f>
        <v>2nd, 4th, 6th, 10th, 12th &amp; 14th Floor For Residential</v>
      </c>
      <c r="J259" s="69"/>
    </row>
    <row r="260" spans="1:10" ht="15.75" x14ac:dyDescent="0.25">
      <c r="A260" s="91">
        <v>2</v>
      </c>
      <c r="B260" s="92">
        <v>5</v>
      </c>
      <c r="C260" s="14" t="s">
        <v>124</v>
      </c>
      <c r="D260" s="71">
        <f>(71.26)*10.764</f>
        <v>767.04264000000001</v>
      </c>
      <c r="E260" s="14">
        <v>0</v>
      </c>
      <c r="F260" s="14">
        <f t="shared" si="16"/>
        <v>767.04264000000001</v>
      </c>
      <c r="G260" s="14">
        <f>0</f>
        <v>0</v>
      </c>
      <c r="H260" s="14">
        <f t="shared" si="17"/>
        <v>1112.211828</v>
      </c>
      <c r="I260" s="121"/>
      <c r="J260" s="69"/>
    </row>
    <row r="261" spans="1:10" ht="15.75" x14ac:dyDescent="0.25">
      <c r="A261" s="91">
        <v>3</v>
      </c>
      <c r="B261" s="92">
        <v>3</v>
      </c>
      <c r="C261" s="14" t="s">
        <v>124</v>
      </c>
      <c r="D261" s="71">
        <f>(70.11)*10.764</f>
        <v>754.66404</v>
      </c>
      <c r="E261" s="14">
        <v>0</v>
      </c>
      <c r="F261" s="14">
        <f t="shared" si="16"/>
        <v>754.66404</v>
      </c>
      <c r="G261" s="14">
        <f>0</f>
        <v>0</v>
      </c>
      <c r="H261" s="14">
        <f t="shared" si="17"/>
        <v>1094.2628580000001</v>
      </c>
      <c r="I261" s="121"/>
      <c r="J261" s="69"/>
    </row>
    <row r="262" spans="1:10" ht="15.75" x14ac:dyDescent="0.25">
      <c r="A262" s="91">
        <v>4</v>
      </c>
      <c r="B262" s="92">
        <v>4</v>
      </c>
      <c r="C262" s="14" t="s">
        <v>124</v>
      </c>
      <c r="D262" s="71">
        <f>(70.11)*10.764</f>
        <v>754.66404</v>
      </c>
      <c r="E262" s="14">
        <v>0</v>
      </c>
      <c r="F262" s="14">
        <f t="shared" si="16"/>
        <v>754.66404</v>
      </c>
      <c r="G262" s="14">
        <f>0</f>
        <v>0</v>
      </c>
      <c r="H262" s="14">
        <f t="shared" si="17"/>
        <v>1094.2628580000001</v>
      </c>
      <c r="I262" s="121"/>
      <c r="J262" s="69"/>
    </row>
    <row r="263" spans="1:10" ht="15.75" x14ac:dyDescent="0.25">
      <c r="A263" s="310" t="s">
        <v>292</v>
      </c>
      <c r="B263" s="311"/>
      <c r="C263" s="311"/>
      <c r="D263" s="311"/>
      <c r="E263" s="311"/>
      <c r="F263" s="311"/>
      <c r="G263" s="311"/>
      <c r="H263" s="311"/>
      <c r="I263" s="311"/>
      <c r="J263" s="69"/>
    </row>
    <row r="264" spans="1:10" ht="15.75" x14ac:dyDescent="0.25">
      <c r="A264" s="91">
        <v>1</v>
      </c>
      <c r="B264" s="92">
        <v>4</v>
      </c>
      <c r="C264" s="14" t="s">
        <v>123</v>
      </c>
      <c r="D264" s="71">
        <f>(94.65)*10.764</f>
        <v>1018.8126</v>
      </c>
      <c r="E264" s="14">
        <v>0</v>
      </c>
      <c r="F264" s="14">
        <f t="shared" ref="F264:F267" si="18">E264+D264</f>
        <v>1018.8126</v>
      </c>
      <c r="G264" s="14">
        <f>0</f>
        <v>0</v>
      </c>
      <c r="H264" s="14">
        <f t="shared" ref="H264:H267" si="19">F264*1.45+G264</f>
        <v>1477.27827</v>
      </c>
      <c r="I264" s="121" t="str">
        <f>A263</f>
        <v>3rd, 5th, 7th, 9th, 11th &amp; 13th Floor</v>
      </c>
      <c r="J264" s="69"/>
    </row>
    <row r="265" spans="1:10" ht="15.75" x14ac:dyDescent="0.25">
      <c r="A265" s="91">
        <v>2</v>
      </c>
      <c r="B265" s="92">
        <v>5</v>
      </c>
      <c r="C265" s="14" t="s">
        <v>124</v>
      </c>
      <c r="D265" s="71">
        <f>(71.26)*10.764</f>
        <v>767.04264000000001</v>
      </c>
      <c r="E265" s="14">
        <v>0</v>
      </c>
      <c r="F265" s="14">
        <f t="shared" si="18"/>
        <v>767.04264000000001</v>
      </c>
      <c r="G265" s="14">
        <f>0</f>
        <v>0</v>
      </c>
      <c r="H265" s="14">
        <f t="shared" si="19"/>
        <v>1112.211828</v>
      </c>
      <c r="I265" s="121"/>
      <c r="J265" s="69"/>
    </row>
    <row r="266" spans="1:10" ht="15.75" x14ac:dyDescent="0.25">
      <c r="A266" s="91">
        <v>3</v>
      </c>
      <c r="B266" s="92">
        <v>3</v>
      </c>
      <c r="C266" s="14" t="s">
        <v>124</v>
      </c>
      <c r="D266" s="71">
        <f>(70.11)*10.764</f>
        <v>754.66404</v>
      </c>
      <c r="E266" s="14">
        <v>0</v>
      </c>
      <c r="F266" s="14">
        <f t="shared" si="18"/>
        <v>754.66404</v>
      </c>
      <c r="G266" s="14">
        <f>0</f>
        <v>0</v>
      </c>
      <c r="H266" s="14">
        <f t="shared" si="19"/>
        <v>1094.2628580000001</v>
      </c>
      <c r="I266" s="121"/>
      <c r="J266" s="69"/>
    </row>
    <row r="267" spans="1:10" ht="15.75" x14ac:dyDescent="0.25">
      <c r="A267" s="91">
        <v>4</v>
      </c>
      <c r="B267" s="92">
        <v>4</v>
      </c>
      <c r="C267" s="14" t="s">
        <v>124</v>
      </c>
      <c r="D267" s="71">
        <f>(70.11)*10.764</f>
        <v>754.66404</v>
      </c>
      <c r="E267" s="14">
        <v>0</v>
      </c>
      <c r="F267" s="14">
        <f t="shared" si="18"/>
        <v>754.66404</v>
      </c>
      <c r="G267" s="14">
        <f>0</f>
        <v>0</v>
      </c>
      <c r="H267" s="14">
        <f t="shared" si="19"/>
        <v>1094.2628580000001</v>
      </c>
      <c r="I267" s="121"/>
      <c r="J267" s="69"/>
    </row>
    <row r="268" spans="1:10" ht="15.75" x14ac:dyDescent="0.25">
      <c r="A268" s="310" t="s">
        <v>280</v>
      </c>
      <c r="B268" s="311"/>
      <c r="C268" s="311"/>
      <c r="D268" s="311"/>
      <c r="E268" s="311"/>
      <c r="F268" s="311"/>
      <c r="G268" s="311"/>
      <c r="H268" s="311"/>
      <c r="I268" s="311"/>
      <c r="J268" s="69"/>
    </row>
    <row r="269" spans="1:10" ht="15.75" x14ac:dyDescent="0.25">
      <c r="A269" s="91">
        <v>1</v>
      </c>
      <c r="B269" s="92">
        <v>4</v>
      </c>
      <c r="C269" s="14" t="s">
        <v>123</v>
      </c>
      <c r="D269" s="71">
        <f>(94.65)*10.764</f>
        <v>1018.8126</v>
      </c>
      <c r="E269" s="14">
        <v>0</v>
      </c>
      <c r="F269" s="14">
        <f t="shared" ref="F269:F272" si="20">E269+D269</f>
        <v>1018.8126</v>
      </c>
      <c r="G269" s="14">
        <f>0</f>
        <v>0</v>
      </c>
      <c r="H269" s="14">
        <f t="shared" ref="H269:H272" si="21">F269*1.45+G269</f>
        <v>1477.27827</v>
      </c>
      <c r="I269" s="121" t="str">
        <f>A268</f>
        <v>8th Floor (Part Refuge Area)</v>
      </c>
      <c r="J269" s="69"/>
    </row>
    <row r="270" spans="1:10" ht="15.75" x14ac:dyDescent="0.25">
      <c r="A270" s="91">
        <v>2</v>
      </c>
      <c r="B270" s="92">
        <v>5</v>
      </c>
      <c r="C270" s="91" t="s">
        <v>131</v>
      </c>
      <c r="D270" s="111"/>
      <c r="E270" s="111"/>
      <c r="F270" s="111"/>
      <c r="G270" s="111"/>
      <c r="H270" s="92"/>
      <c r="I270" s="121"/>
      <c r="J270" s="69"/>
    </row>
    <row r="271" spans="1:10" ht="15.75" x14ac:dyDescent="0.25">
      <c r="A271" s="91">
        <v>3</v>
      </c>
      <c r="B271" s="92">
        <v>3</v>
      </c>
      <c r="C271" s="14" t="s">
        <v>124</v>
      </c>
      <c r="D271" s="71">
        <f>(70.11)*10.764</f>
        <v>754.66404</v>
      </c>
      <c r="E271" s="14">
        <v>0</v>
      </c>
      <c r="F271" s="14">
        <f t="shared" si="20"/>
        <v>754.66404</v>
      </c>
      <c r="G271" s="14">
        <f>0</f>
        <v>0</v>
      </c>
      <c r="H271" s="14">
        <f t="shared" si="21"/>
        <v>1094.2628580000001</v>
      </c>
      <c r="I271" s="121"/>
      <c r="J271" s="69"/>
    </row>
    <row r="272" spans="1:10" ht="15.75" x14ac:dyDescent="0.25">
      <c r="A272" s="91">
        <v>4</v>
      </c>
      <c r="B272" s="92">
        <v>4</v>
      </c>
      <c r="C272" s="14" t="s">
        <v>124</v>
      </c>
      <c r="D272" s="71">
        <f>(70.11)*10.764</f>
        <v>754.66404</v>
      </c>
      <c r="E272" s="14">
        <v>0</v>
      </c>
      <c r="F272" s="14">
        <f t="shared" si="20"/>
        <v>754.66404</v>
      </c>
      <c r="G272" s="14">
        <f>0</f>
        <v>0</v>
      </c>
      <c r="H272" s="14">
        <f t="shared" si="21"/>
        <v>1094.2628580000001</v>
      </c>
      <c r="I272" s="121"/>
      <c r="J272" s="69"/>
    </row>
    <row r="273" spans="1:10" ht="15.75" customHeight="1" x14ac:dyDescent="0.25">
      <c r="A273" s="118" t="s">
        <v>210</v>
      </c>
      <c r="B273" s="119"/>
      <c r="C273" s="119"/>
      <c r="D273" s="119"/>
      <c r="E273" s="119"/>
      <c r="F273" s="119"/>
      <c r="G273" s="119"/>
      <c r="H273" s="119"/>
      <c r="I273" s="119"/>
      <c r="J273" s="120"/>
    </row>
    <row r="274" spans="1:10" ht="15.75" customHeight="1" x14ac:dyDescent="0.25">
      <c r="A274" s="115" t="s">
        <v>328</v>
      </c>
      <c r="B274" s="116"/>
      <c r="C274" s="116"/>
      <c r="D274" s="116"/>
      <c r="E274" s="116"/>
      <c r="F274" s="116"/>
      <c r="G274" s="116"/>
      <c r="H274" s="116"/>
      <c r="I274" s="116"/>
      <c r="J274" s="117"/>
    </row>
    <row r="275" spans="1:10" ht="15.75" customHeight="1" x14ac:dyDescent="0.25">
      <c r="A275" s="105" t="s">
        <v>219</v>
      </c>
      <c r="B275" s="106"/>
      <c r="C275" s="106"/>
      <c r="D275" s="106"/>
      <c r="E275" s="106"/>
      <c r="F275" s="106"/>
      <c r="G275" s="106"/>
      <c r="H275" s="106"/>
      <c r="I275" s="106"/>
      <c r="J275" s="107"/>
    </row>
    <row r="276" spans="1:10" ht="15.75" customHeight="1" x14ac:dyDescent="0.25">
      <c r="A276" s="91" t="s">
        <v>212</v>
      </c>
      <c r="B276" s="92" t="s">
        <v>212</v>
      </c>
      <c r="C276" s="14" t="s">
        <v>218</v>
      </c>
      <c r="D276" s="14">
        <f>(6.03*10.14+4*1.35+1.5*1.2)*10.764</f>
        <v>735.65696879999996</v>
      </c>
      <c r="E276" s="14">
        <v>0</v>
      </c>
      <c r="F276" s="14">
        <f t="shared" ref="F276:F281" si="22">E276+D276</f>
        <v>735.65696879999996</v>
      </c>
      <c r="G276" s="14">
        <v>0</v>
      </c>
      <c r="H276" s="14">
        <f t="shared" ref="H276:H281" si="23">F276*1.45+G276</f>
        <v>1066.70260476</v>
      </c>
      <c r="I276" s="93" t="str">
        <f>A275</f>
        <v>Ground Floor For Commercial, Fitness Center &amp; Parking</v>
      </c>
      <c r="J276" s="108"/>
    </row>
    <row r="277" spans="1:10" ht="15.75" x14ac:dyDescent="0.25">
      <c r="A277" s="91" t="s">
        <v>213</v>
      </c>
      <c r="B277" s="92" t="s">
        <v>212</v>
      </c>
      <c r="C277" s="14" t="s">
        <v>218</v>
      </c>
      <c r="D277" s="14">
        <f>(6.66*5.96+5.16*5.36+1.2*2.16+2.93*2.48)*10.764</f>
        <v>831.08413440000004</v>
      </c>
      <c r="E277" s="14">
        <v>0</v>
      </c>
      <c r="F277" s="14">
        <f t="shared" si="22"/>
        <v>831.08413440000004</v>
      </c>
      <c r="G277" s="14">
        <v>0</v>
      </c>
      <c r="H277" s="14">
        <f t="shared" si="23"/>
        <v>1205.0719948799999</v>
      </c>
      <c r="I277" s="94"/>
      <c r="J277" s="109"/>
    </row>
    <row r="278" spans="1:10" ht="15.75" x14ac:dyDescent="0.25">
      <c r="A278" s="91" t="s">
        <v>214</v>
      </c>
      <c r="B278" s="92" t="s">
        <v>212</v>
      </c>
      <c r="C278" s="14" t="s">
        <v>218</v>
      </c>
      <c r="D278" s="14">
        <f>(3.05*4.11+3.13*4.16+1.2*2.16)*10.764</f>
        <v>302.98830119999997</v>
      </c>
      <c r="E278" s="14">
        <v>0</v>
      </c>
      <c r="F278" s="14">
        <f t="shared" si="22"/>
        <v>302.98830119999997</v>
      </c>
      <c r="G278" s="14">
        <v>0</v>
      </c>
      <c r="H278" s="14">
        <f t="shared" si="23"/>
        <v>439.33303673999995</v>
      </c>
      <c r="I278" s="94"/>
      <c r="J278" s="109"/>
    </row>
    <row r="279" spans="1:10" ht="22.5" customHeight="1" x14ac:dyDescent="0.25">
      <c r="A279" s="91" t="s">
        <v>215</v>
      </c>
      <c r="B279" s="92" t="s">
        <v>212</v>
      </c>
      <c r="C279" s="14" t="s">
        <v>218</v>
      </c>
      <c r="D279" s="14">
        <f>(5.49*6.92+4.14*2.4+1.2*1.5)*10.764</f>
        <v>535.25927519999993</v>
      </c>
      <c r="E279" s="14">
        <v>0</v>
      </c>
      <c r="F279" s="14">
        <f t="shared" si="22"/>
        <v>535.25927519999993</v>
      </c>
      <c r="G279" s="14">
        <v>0</v>
      </c>
      <c r="H279" s="14">
        <f t="shared" si="23"/>
        <v>776.12594903999991</v>
      </c>
      <c r="I279" s="94"/>
      <c r="J279" s="109"/>
    </row>
    <row r="280" spans="1:10" ht="15.75" x14ac:dyDescent="0.25">
      <c r="A280" s="91" t="s">
        <v>216</v>
      </c>
      <c r="B280" s="92" t="s">
        <v>212</v>
      </c>
      <c r="C280" s="14" t="s">
        <v>218</v>
      </c>
      <c r="D280" s="14">
        <f>(3.2*6.59+1.48*1.5+1.57*2.73)*10.764</f>
        <v>297.02289239999999</v>
      </c>
      <c r="E280" s="14">
        <v>0</v>
      </c>
      <c r="F280" s="14">
        <f t="shared" si="22"/>
        <v>297.02289239999999</v>
      </c>
      <c r="G280" s="14">
        <v>0</v>
      </c>
      <c r="H280" s="14">
        <f t="shared" si="23"/>
        <v>430.68319398</v>
      </c>
      <c r="I280" s="94"/>
      <c r="J280" s="109"/>
    </row>
    <row r="281" spans="1:10" ht="15.75" x14ac:dyDescent="0.25">
      <c r="A281" s="91" t="s">
        <v>217</v>
      </c>
      <c r="B281" s="92" t="s">
        <v>212</v>
      </c>
      <c r="C281" s="14" t="s">
        <v>218</v>
      </c>
      <c r="D281" s="14">
        <f>(4.79*6.68+1.48*1.5)*10.764</f>
        <v>368.31394079999995</v>
      </c>
      <c r="E281" s="14">
        <v>0</v>
      </c>
      <c r="F281" s="14">
        <f t="shared" si="22"/>
        <v>368.31394079999995</v>
      </c>
      <c r="G281" s="14">
        <v>0</v>
      </c>
      <c r="H281" s="14">
        <f t="shared" si="23"/>
        <v>534.05521415999988</v>
      </c>
      <c r="I281" s="95"/>
      <c r="J281" s="110"/>
    </row>
    <row r="282" spans="1:10" ht="15.75" customHeight="1" x14ac:dyDescent="0.25">
      <c r="A282" s="105" t="s">
        <v>221</v>
      </c>
      <c r="B282" s="106"/>
      <c r="C282" s="106"/>
      <c r="D282" s="106"/>
      <c r="E282" s="106"/>
      <c r="F282" s="106"/>
      <c r="G282" s="106"/>
      <c r="H282" s="106"/>
      <c r="I282" s="106"/>
      <c r="J282" s="107"/>
    </row>
    <row r="283" spans="1:10" ht="31.5" customHeight="1" x14ac:dyDescent="0.25">
      <c r="A283" s="91">
        <v>1</v>
      </c>
      <c r="B283" s="92">
        <v>1</v>
      </c>
      <c r="C283" s="14" t="s">
        <v>222</v>
      </c>
      <c r="D283" s="14">
        <f>(6.03*2.48+4.3*1.8+1.2*1.5+6.03*9.84)*10.764</f>
        <v>902.34181439999998</v>
      </c>
      <c r="E283" s="14">
        <v>0</v>
      </c>
      <c r="F283" s="14">
        <f t="shared" ref="F283:F290" si="24">E283+D283</f>
        <v>902.34181439999998</v>
      </c>
      <c r="G283" s="14">
        <v>0</v>
      </c>
      <c r="H283" s="14">
        <f t="shared" ref="H283:H290" si="25">F283*1.45+G283</f>
        <v>1308.39563088</v>
      </c>
      <c r="I283" s="93" t="str">
        <f>A282</f>
        <v>1st Floor For Residential, Commercial &amp; Fitness Center</v>
      </c>
      <c r="J283" s="108"/>
    </row>
    <row r="284" spans="1:10" ht="31.5" x14ac:dyDescent="0.25">
      <c r="A284" s="91">
        <v>2</v>
      </c>
      <c r="B284" s="92">
        <v>2</v>
      </c>
      <c r="C284" s="14" t="s">
        <v>222</v>
      </c>
      <c r="D284" s="14">
        <f>(6.66*5.96+2.16*1.21+5.17*5.36)*10.764</f>
        <v>753.67805759999999</v>
      </c>
      <c r="E284" s="14">
        <v>0</v>
      </c>
      <c r="F284" s="14">
        <f t="shared" si="24"/>
        <v>753.67805759999999</v>
      </c>
      <c r="G284" s="14">
        <v>0</v>
      </c>
      <c r="H284" s="14">
        <f t="shared" si="25"/>
        <v>1092.8331835199999</v>
      </c>
      <c r="I284" s="94"/>
      <c r="J284" s="109"/>
    </row>
    <row r="285" spans="1:10" ht="15.75" x14ac:dyDescent="0.25">
      <c r="A285" s="91">
        <v>3</v>
      </c>
      <c r="B285" s="92">
        <v>3</v>
      </c>
      <c r="C285" s="14" t="s">
        <v>223</v>
      </c>
      <c r="D285" s="14">
        <f>(3.05*9.32+1.21*2.16)*10.764</f>
        <v>334.11025439999997</v>
      </c>
      <c r="E285" s="14">
        <v>0</v>
      </c>
      <c r="F285" s="14">
        <f t="shared" si="24"/>
        <v>334.11025439999997</v>
      </c>
      <c r="G285" s="14">
        <v>0</v>
      </c>
      <c r="H285" s="14">
        <f t="shared" si="25"/>
        <v>484.45986887999993</v>
      </c>
      <c r="I285" s="94"/>
      <c r="J285" s="109"/>
    </row>
    <row r="286" spans="1:10" ht="15.75" x14ac:dyDescent="0.25">
      <c r="A286" s="91">
        <v>4</v>
      </c>
      <c r="B286" s="92">
        <v>4</v>
      </c>
      <c r="C286" s="14" t="s">
        <v>223</v>
      </c>
      <c r="D286" s="14">
        <f>(5.49*6.92+4.14*2.4+1.2*0.5)*10.764</f>
        <v>522.34247519999997</v>
      </c>
      <c r="E286" s="14">
        <v>0</v>
      </c>
      <c r="F286" s="14">
        <f t="shared" si="24"/>
        <v>522.34247519999997</v>
      </c>
      <c r="G286" s="14">
        <v>0</v>
      </c>
      <c r="H286" s="14">
        <f t="shared" si="25"/>
        <v>757.39658903999998</v>
      </c>
      <c r="I286" s="94"/>
      <c r="J286" s="109"/>
    </row>
    <row r="287" spans="1:10" ht="15.75" x14ac:dyDescent="0.25">
      <c r="A287" s="91">
        <v>5</v>
      </c>
      <c r="B287" s="92">
        <v>5</v>
      </c>
      <c r="C287" s="14" t="s">
        <v>223</v>
      </c>
      <c r="D287" s="14">
        <f>(3.2*6.59+1.48*1.5+1.57*2.73)*10.764</f>
        <v>297.02289239999999</v>
      </c>
      <c r="E287" s="14">
        <v>0</v>
      </c>
      <c r="F287" s="14">
        <f t="shared" si="24"/>
        <v>297.02289239999999</v>
      </c>
      <c r="G287" s="14">
        <v>0</v>
      </c>
      <c r="H287" s="14">
        <f t="shared" si="25"/>
        <v>430.68319398</v>
      </c>
      <c r="I287" s="94"/>
      <c r="J287" s="109"/>
    </row>
    <row r="288" spans="1:10" ht="15.75" x14ac:dyDescent="0.25">
      <c r="A288" s="91">
        <v>6</v>
      </c>
      <c r="B288" s="92">
        <v>6</v>
      </c>
      <c r="C288" s="14" t="s">
        <v>220</v>
      </c>
      <c r="D288" s="14">
        <f>(4.8*8.47+1.48*1.5)*10.764</f>
        <v>461.51726399999995</v>
      </c>
      <c r="E288" s="14">
        <v>0</v>
      </c>
      <c r="F288" s="14">
        <f t="shared" si="24"/>
        <v>461.51726399999995</v>
      </c>
      <c r="G288" s="14">
        <v>0</v>
      </c>
      <c r="H288" s="14">
        <f t="shared" si="25"/>
        <v>669.20003279999992</v>
      </c>
      <c r="I288" s="94"/>
      <c r="J288" s="109"/>
    </row>
    <row r="289" spans="1:10" ht="15.75" x14ac:dyDescent="0.25">
      <c r="A289" s="91">
        <v>1</v>
      </c>
      <c r="B289" s="92">
        <v>1</v>
      </c>
      <c r="C289" s="14" t="s">
        <v>124</v>
      </c>
      <c r="D289" s="14">
        <f>71.19*10.764</f>
        <v>766.28915999999992</v>
      </c>
      <c r="E289" s="14">
        <v>0</v>
      </c>
      <c r="F289" s="14">
        <f t="shared" si="24"/>
        <v>766.28915999999992</v>
      </c>
      <c r="G289" s="14">
        <v>0</v>
      </c>
      <c r="H289" s="14">
        <f t="shared" si="25"/>
        <v>1111.1192819999999</v>
      </c>
      <c r="I289" s="94"/>
      <c r="J289" s="109"/>
    </row>
    <row r="290" spans="1:10" ht="15.75" x14ac:dyDescent="0.25">
      <c r="A290" s="91">
        <v>2</v>
      </c>
      <c r="B290" s="92">
        <v>2</v>
      </c>
      <c r="C290" s="14" t="s">
        <v>124</v>
      </c>
      <c r="D290" s="14">
        <f>71.26*10.764</f>
        <v>767.04264000000001</v>
      </c>
      <c r="E290" s="14">
        <v>0</v>
      </c>
      <c r="F290" s="14">
        <f t="shared" si="24"/>
        <v>767.04264000000001</v>
      </c>
      <c r="G290" s="14">
        <v>0</v>
      </c>
      <c r="H290" s="14">
        <f t="shared" si="25"/>
        <v>1112.211828</v>
      </c>
      <c r="I290" s="95"/>
      <c r="J290" s="110"/>
    </row>
    <row r="291" spans="1:10" ht="15.75" customHeight="1" x14ac:dyDescent="0.25">
      <c r="A291" s="105" t="s">
        <v>224</v>
      </c>
      <c r="B291" s="106"/>
      <c r="C291" s="106"/>
      <c r="D291" s="106"/>
      <c r="E291" s="106"/>
      <c r="F291" s="106"/>
      <c r="G291" s="106"/>
      <c r="H291" s="106"/>
      <c r="I291" s="106"/>
      <c r="J291" s="107"/>
    </row>
    <row r="292" spans="1:10" ht="15.75" customHeight="1" x14ac:dyDescent="0.25">
      <c r="A292" s="91">
        <v>1</v>
      </c>
      <c r="B292" s="92">
        <v>1</v>
      </c>
      <c r="C292" s="14" t="s">
        <v>124</v>
      </c>
      <c r="D292" s="14">
        <f>71.19*10.764</f>
        <v>766.28915999999992</v>
      </c>
      <c r="E292" s="14">
        <v>0</v>
      </c>
      <c r="F292" s="14">
        <f t="shared" ref="F292:F297" si="26">E292+D292</f>
        <v>766.28915999999992</v>
      </c>
      <c r="G292" s="14">
        <v>0</v>
      </c>
      <c r="H292" s="14">
        <f t="shared" ref="H292:H297" si="27">F292*1.45+G292</f>
        <v>1111.1192819999999</v>
      </c>
      <c r="I292" s="93" t="str">
        <f>A291</f>
        <v>2nd to 6th &amp; 8th to 13th Floor</v>
      </c>
      <c r="J292" s="108"/>
    </row>
    <row r="293" spans="1:10" ht="15.75" x14ac:dyDescent="0.25">
      <c r="A293" s="91">
        <v>2</v>
      </c>
      <c r="B293" s="92">
        <v>2</v>
      </c>
      <c r="C293" s="14" t="s">
        <v>124</v>
      </c>
      <c r="D293" s="14">
        <f>71.26*10.764</f>
        <v>767.04264000000001</v>
      </c>
      <c r="E293" s="14">
        <v>0</v>
      </c>
      <c r="F293" s="14">
        <f t="shared" si="26"/>
        <v>767.04264000000001</v>
      </c>
      <c r="G293" s="14">
        <v>0</v>
      </c>
      <c r="H293" s="14">
        <f t="shared" si="27"/>
        <v>1112.211828</v>
      </c>
      <c r="I293" s="94"/>
      <c r="J293" s="109"/>
    </row>
    <row r="294" spans="1:10" ht="15.75" x14ac:dyDescent="0.25">
      <c r="A294" s="91">
        <v>3</v>
      </c>
      <c r="B294" s="92">
        <v>3</v>
      </c>
      <c r="C294" s="14" t="s">
        <v>123</v>
      </c>
      <c r="D294" s="14">
        <f>89.56*10.764</f>
        <v>964.02383999999995</v>
      </c>
      <c r="E294" s="14">
        <v>0</v>
      </c>
      <c r="F294" s="14">
        <f t="shared" si="26"/>
        <v>964.02383999999995</v>
      </c>
      <c r="G294" s="14">
        <v>0</v>
      </c>
      <c r="H294" s="14">
        <f t="shared" si="27"/>
        <v>1397.834568</v>
      </c>
      <c r="I294" s="94"/>
      <c r="J294" s="109"/>
    </row>
    <row r="295" spans="1:10" ht="15.75" x14ac:dyDescent="0.25">
      <c r="A295" s="91">
        <v>4</v>
      </c>
      <c r="B295" s="92">
        <v>4</v>
      </c>
      <c r="C295" s="14" t="s">
        <v>124</v>
      </c>
      <c r="D295" s="14">
        <f>59.4*10.764</f>
        <v>639.38159999999993</v>
      </c>
      <c r="E295" s="14">
        <v>0</v>
      </c>
      <c r="F295" s="14">
        <f t="shared" si="26"/>
        <v>639.38159999999993</v>
      </c>
      <c r="G295" s="14">
        <v>0</v>
      </c>
      <c r="H295" s="14">
        <f t="shared" si="27"/>
        <v>927.10331999999983</v>
      </c>
      <c r="I295" s="94"/>
      <c r="J295" s="109"/>
    </row>
    <row r="296" spans="1:10" ht="15.75" x14ac:dyDescent="0.25">
      <c r="A296" s="91">
        <v>5</v>
      </c>
      <c r="B296" s="92">
        <v>5</v>
      </c>
      <c r="C296" s="14" t="s">
        <v>124</v>
      </c>
      <c r="D296" s="14">
        <f>67.98*10.764</f>
        <v>731.73671999999999</v>
      </c>
      <c r="E296" s="14">
        <v>0</v>
      </c>
      <c r="F296" s="14">
        <f t="shared" si="26"/>
        <v>731.73671999999999</v>
      </c>
      <c r="G296" s="14">
        <v>0</v>
      </c>
      <c r="H296" s="14">
        <f t="shared" si="27"/>
        <v>1061.0182439999999</v>
      </c>
      <c r="I296" s="94"/>
      <c r="J296" s="109"/>
    </row>
    <row r="297" spans="1:10" ht="15.75" x14ac:dyDescent="0.25">
      <c r="A297" s="91">
        <v>6</v>
      </c>
      <c r="B297" s="92">
        <v>6</v>
      </c>
      <c r="C297" s="14" t="s">
        <v>124</v>
      </c>
      <c r="D297" s="14">
        <f>68.19*10.764</f>
        <v>733.99715999999989</v>
      </c>
      <c r="E297" s="14">
        <v>0</v>
      </c>
      <c r="F297" s="14">
        <f t="shared" si="26"/>
        <v>733.99715999999989</v>
      </c>
      <c r="G297" s="14">
        <v>0</v>
      </c>
      <c r="H297" s="14">
        <f t="shared" si="27"/>
        <v>1064.2958819999999</v>
      </c>
      <c r="I297" s="95"/>
      <c r="J297" s="110"/>
    </row>
    <row r="298" spans="1:10" ht="15.75" customHeight="1" x14ac:dyDescent="0.25">
      <c r="A298" s="105" t="s">
        <v>225</v>
      </c>
      <c r="B298" s="106"/>
      <c r="C298" s="106"/>
      <c r="D298" s="106"/>
      <c r="E298" s="106"/>
      <c r="F298" s="106"/>
      <c r="G298" s="106"/>
      <c r="H298" s="106"/>
      <c r="I298" s="106"/>
      <c r="J298" s="107"/>
    </row>
    <row r="299" spans="1:10" ht="15.75" customHeight="1" x14ac:dyDescent="0.25">
      <c r="A299" s="91">
        <v>1</v>
      </c>
      <c r="B299" s="92">
        <v>1</v>
      </c>
      <c r="C299" s="14" t="s">
        <v>124</v>
      </c>
      <c r="D299" s="14">
        <f>71.19*10.764</f>
        <v>766.28915999999992</v>
      </c>
      <c r="E299" s="14">
        <v>0</v>
      </c>
      <c r="F299" s="14">
        <f>E299+D299</f>
        <v>766.28915999999992</v>
      </c>
      <c r="G299" s="14">
        <v>0</v>
      </c>
      <c r="H299" s="14">
        <f>F299*1.45+G299</f>
        <v>1111.1192819999999</v>
      </c>
      <c r="I299" s="93" t="str">
        <f>A298</f>
        <v>7th Floor (Part Refuge Area)</v>
      </c>
      <c r="J299" s="108"/>
    </row>
    <row r="300" spans="1:10" ht="15.75" x14ac:dyDescent="0.25">
      <c r="A300" s="91">
        <v>2</v>
      </c>
      <c r="B300" s="92">
        <v>2</v>
      </c>
      <c r="C300" s="14" t="s">
        <v>124</v>
      </c>
      <c r="D300" s="14">
        <f>71.26*10.764</f>
        <v>767.04264000000001</v>
      </c>
      <c r="E300" s="14">
        <v>0</v>
      </c>
      <c r="F300" s="14">
        <f>E300+D300</f>
        <v>767.04264000000001</v>
      </c>
      <c r="G300" s="14">
        <v>0</v>
      </c>
      <c r="H300" s="14">
        <f>F300*1.45+G300</f>
        <v>1112.211828</v>
      </c>
      <c r="I300" s="94"/>
      <c r="J300" s="109"/>
    </row>
    <row r="301" spans="1:10" ht="15.75" x14ac:dyDescent="0.25">
      <c r="A301" s="91">
        <v>3</v>
      </c>
      <c r="B301" s="92">
        <v>3</v>
      </c>
      <c r="C301" s="91" t="s">
        <v>131</v>
      </c>
      <c r="D301" s="111"/>
      <c r="E301" s="111"/>
      <c r="F301" s="111"/>
      <c r="G301" s="111"/>
      <c r="H301" s="92"/>
      <c r="I301" s="94"/>
      <c r="J301" s="109"/>
    </row>
    <row r="302" spans="1:10" ht="15.75" x14ac:dyDescent="0.25">
      <c r="A302" s="91">
        <v>4</v>
      </c>
      <c r="B302" s="92">
        <v>4</v>
      </c>
      <c r="C302" s="14" t="s">
        <v>226</v>
      </c>
      <c r="D302" s="14">
        <f>33.36*10.764</f>
        <v>359.08703999999994</v>
      </c>
      <c r="E302" s="14">
        <v>0</v>
      </c>
      <c r="F302" s="14">
        <f>E302+D302</f>
        <v>359.08703999999994</v>
      </c>
      <c r="G302" s="14">
        <v>0</v>
      </c>
      <c r="H302" s="14">
        <f>F302*1.45+G302</f>
        <v>520.67620799999986</v>
      </c>
      <c r="I302" s="94"/>
      <c r="J302" s="109"/>
    </row>
    <row r="303" spans="1:10" ht="15.75" x14ac:dyDescent="0.25">
      <c r="A303" s="91">
        <v>5</v>
      </c>
      <c r="B303" s="92">
        <v>5</v>
      </c>
      <c r="C303" s="14" t="s">
        <v>124</v>
      </c>
      <c r="D303" s="14">
        <f>67.98*10.764</f>
        <v>731.73671999999999</v>
      </c>
      <c r="E303" s="14">
        <v>0</v>
      </c>
      <c r="F303" s="14">
        <f>E303+D303</f>
        <v>731.73671999999999</v>
      </c>
      <c r="G303" s="14">
        <v>0</v>
      </c>
      <c r="H303" s="14">
        <f>F303*1.45+G303</f>
        <v>1061.0182439999999</v>
      </c>
      <c r="I303" s="94"/>
      <c r="J303" s="109"/>
    </row>
    <row r="304" spans="1:10" ht="15.75" x14ac:dyDescent="0.25">
      <c r="A304" s="91">
        <v>6</v>
      </c>
      <c r="B304" s="92">
        <v>6</v>
      </c>
      <c r="C304" s="14" t="s">
        <v>124</v>
      </c>
      <c r="D304" s="14">
        <f>68.19*10.764</f>
        <v>733.99715999999989</v>
      </c>
      <c r="E304" s="14">
        <v>0</v>
      </c>
      <c r="F304" s="14">
        <f>E304+D304</f>
        <v>733.99715999999989</v>
      </c>
      <c r="G304" s="14">
        <v>0</v>
      </c>
      <c r="H304" s="14">
        <f>F304*1.45+G304</f>
        <v>1064.2958819999999</v>
      </c>
      <c r="I304" s="95"/>
      <c r="J304" s="110"/>
    </row>
    <row r="305" spans="1:10" ht="15.75" x14ac:dyDescent="0.25">
      <c r="A305" s="112" t="s">
        <v>211</v>
      </c>
      <c r="B305" s="113"/>
      <c r="C305" s="113"/>
      <c r="D305" s="113"/>
      <c r="E305" s="113"/>
      <c r="F305" s="113"/>
      <c r="G305" s="113"/>
      <c r="H305" s="113"/>
      <c r="I305" s="113"/>
      <c r="J305" s="114"/>
    </row>
    <row r="306" spans="1:10" ht="15.75" customHeight="1" x14ac:dyDescent="0.25">
      <c r="A306" s="115" t="s">
        <v>122</v>
      </c>
      <c r="B306" s="116"/>
      <c r="C306" s="116"/>
      <c r="D306" s="116"/>
      <c r="E306" s="116"/>
      <c r="F306" s="116"/>
      <c r="G306" s="116"/>
      <c r="H306" s="116"/>
      <c r="I306" s="116"/>
      <c r="J306" s="117"/>
    </row>
    <row r="307" spans="1:10" ht="15.75" customHeight="1" x14ac:dyDescent="0.25">
      <c r="A307" s="105" t="s">
        <v>229</v>
      </c>
      <c r="B307" s="106"/>
      <c r="C307" s="106"/>
      <c r="D307" s="106"/>
      <c r="E307" s="106"/>
      <c r="F307" s="106"/>
      <c r="G307" s="106"/>
      <c r="H307" s="106"/>
      <c r="I307" s="106"/>
      <c r="J307" s="107"/>
    </row>
    <row r="308" spans="1:10" ht="15.75" customHeight="1" x14ac:dyDescent="0.25">
      <c r="A308" s="91">
        <v>1</v>
      </c>
      <c r="B308" s="92"/>
      <c r="C308" s="14" t="s">
        <v>123</v>
      </c>
      <c r="D308" s="14">
        <f>107.47*10.764</f>
        <v>1156.8070799999998</v>
      </c>
      <c r="E308" s="14">
        <v>0</v>
      </c>
      <c r="F308" s="14">
        <f>E308+D308</f>
        <v>1156.8070799999998</v>
      </c>
      <c r="G308" s="14">
        <v>0</v>
      </c>
      <c r="H308" s="14">
        <f>F308*1.45+G308</f>
        <v>1677.3702659999997</v>
      </c>
      <c r="I308" s="93" t="str">
        <f>A307</f>
        <v>Ground Floor Residential &amp; Parking</v>
      </c>
      <c r="J308" s="108"/>
    </row>
    <row r="309" spans="1:10" ht="15.75" x14ac:dyDescent="0.25">
      <c r="A309" s="91">
        <v>2</v>
      </c>
      <c r="B309" s="92">
        <v>2</v>
      </c>
      <c r="C309" s="14" t="s">
        <v>124</v>
      </c>
      <c r="D309" s="14">
        <f>77.46*10.764</f>
        <v>833.77943999999991</v>
      </c>
      <c r="E309" s="14">
        <v>0</v>
      </c>
      <c r="F309" s="14">
        <f>E309+D309</f>
        <v>833.77943999999991</v>
      </c>
      <c r="G309" s="14">
        <v>0</v>
      </c>
      <c r="H309" s="14">
        <f>F309*1.45+G309</f>
        <v>1208.9801879999998</v>
      </c>
      <c r="I309" s="94"/>
      <c r="J309" s="109"/>
    </row>
    <row r="310" spans="1:10" ht="15.75" x14ac:dyDescent="0.25">
      <c r="A310" s="91">
        <v>3</v>
      </c>
      <c r="B310" s="92">
        <v>3</v>
      </c>
      <c r="C310" s="14" t="s">
        <v>124</v>
      </c>
      <c r="D310" s="14">
        <f>78.96*10.764</f>
        <v>849.92543999999987</v>
      </c>
      <c r="E310" s="14">
        <v>0</v>
      </c>
      <c r="F310" s="14">
        <f>E310+D310</f>
        <v>849.92543999999987</v>
      </c>
      <c r="G310" s="14">
        <v>0</v>
      </c>
      <c r="H310" s="14">
        <f>F310*1.45+G310</f>
        <v>1232.3918879999999</v>
      </c>
      <c r="I310" s="95"/>
      <c r="J310" s="110"/>
    </row>
    <row r="311" spans="1:10" ht="15.75" customHeight="1" x14ac:dyDescent="0.25">
      <c r="A311" s="105" t="s">
        <v>125</v>
      </c>
      <c r="B311" s="106"/>
      <c r="C311" s="106"/>
      <c r="D311" s="106"/>
      <c r="E311" s="106"/>
      <c r="F311" s="106"/>
      <c r="G311" s="106"/>
      <c r="H311" s="106"/>
      <c r="I311" s="106"/>
      <c r="J311" s="107"/>
    </row>
    <row r="312" spans="1:10" ht="15.75" x14ac:dyDescent="0.25">
      <c r="A312" s="91">
        <v>1</v>
      </c>
      <c r="B312" s="92">
        <v>1</v>
      </c>
      <c r="C312" s="14" t="s">
        <v>123</v>
      </c>
      <c r="D312" s="14">
        <f>111.63*10.764</f>
        <v>1201.5853199999999</v>
      </c>
      <c r="E312" s="14">
        <v>0</v>
      </c>
      <c r="F312" s="14">
        <f>E312+D312</f>
        <v>1201.5853199999999</v>
      </c>
      <c r="G312" s="14">
        <v>0</v>
      </c>
      <c r="H312" s="14">
        <f>F312*1.45+G312</f>
        <v>1742.2987139999998</v>
      </c>
      <c r="I312" s="93" t="str">
        <f>A311</f>
        <v>1st Floor</v>
      </c>
      <c r="J312" s="53"/>
    </row>
    <row r="313" spans="1:10" ht="15.75" x14ac:dyDescent="0.25">
      <c r="A313" s="91">
        <v>2</v>
      </c>
      <c r="B313" s="92">
        <v>2</v>
      </c>
      <c r="C313" s="14" t="s">
        <v>124</v>
      </c>
      <c r="D313" s="14">
        <f>78.95*10.764</f>
        <v>849.81780000000003</v>
      </c>
      <c r="E313" s="14">
        <v>0</v>
      </c>
      <c r="F313" s="14">
        <f>E313+D313</f>
        <v>849.81780000000003</v>
      </c>
      <c r="G313" s="14">
        <v>0</v>
      </c>
      <c r="H313" s="14">
        <f>F313*1.45+G313</f>
        <v>1232.2358099999999</v>
      </c>
      <c r="I313" s="94"/>
      <c r="J313" s="54"/>
    </row>
    <row r="314" spans="1:10" ht="15.75" x14ac:dyDescent="0.25">
      <c r="A314" s="91">
        <v>3</v>
      </c>
      <c r="B314" s="92">
        <v>3</v>
      </c>
      <c r="C314" s="14" t="s">
        <v>124</v>
      </c>
      <c r="D314" s="14">
        <f>78.96*10.764</f>
        <v>849.92543999999987</v>
      </c>
      <c r="E314" s="14">
        <v>0</v>
      </c>
      <c r="F314" s="14">
        <f>E314+D314</f>
        <v>849.92543999999987</v>
      </c>
      <c r="G314" s="14">
        <v>0</v>
      </c>
      <c r="H314" s="14">
        <f>F314*1.45+G314</f>
        <v>1232.3918879999999</v>
      </c>
      <c r="I314" s="95"/>
      <c r="J314" s="56"/>
    </row>
    <row r="315" spans="1:10" ht="15.75" customHeight="1" x14ac:dyDescent="0.25">
      <c r="A315" s="105" t="s">
        <v>126</v>
      </c>
      <c r="B315" s="106"/>
      <c r="C315" s="106"/>
      <c r="D315" s="106"/>
      <c r="E315" s="106"/>
      <c r="F315" s="106"/>
      <c r="G315" s="106"/>
      <c r="H315" s="106"/>
      <c r="I315" s="106"/>
      <c r="J315" s="107"/>
    </row>
    <row r="316" spans="1:10" ht="15.75" x14ac:dyDescent="0.25">
      <c r="A316" s="91">
        <v>1</v>
      </c>
      <c r="B316" s="92">
        <v>1</v>
      </c>
      <c r="C316" s="14" t="s">
        <v>124</v>
      </c>
      <c r="D316" s="14">
        <f>77.26*10.764</f>
        <v>831.62663999999995</v>
      </c>
      <c r="E316" s="14">
        <v>0</v>
      </c>
      <c r="F316" s="14">
        <f>E316+D316</f>
        <v>831.62663999999995</v>
      </c>
      <c r="G316" s="14">
        <v>0</v>
      </c>
      <c r="H316" s="14">
        <f>F316*1.45+G316</f>
        <v>1205.858628</v>
      </c>
      <c r="I316" s="93" t="str">
        <f>A315</f>
        <v>2nd Floor</v>
      </c>
      <c r="J316" s="108"/>
    </row>
    <row r="317" spans="1:10" ht="15.75" x14ac:dyDescent="0.25">
      <c r="A317" s="91">
        <v>2</v>
      </c>
      <c r="B317" s="92">
        <v>2</v>
      </c>
      <c r="C317" s="14" t="s">
        <v>124</v>
      </c>
      <c r="D317" s="14">
        <f>79.75*10.764</f>
        <v>858.42899999999997</v>
      </c>
      <c r="E317" s="14">
        <v>0</v>
      </c>
      <c r="F317" s="14">
        <f>E317+D317</f>
        <v>858.42899999999997</v>
      </c>
      <c r="G317" s="14">
        <v>0</v>
      </c>
      <c r="H317" s="14">
        <f>F317*1.45+G317</f>
        <v>1244.7220499999999</v>
      </c>
      <c r="I317" s="94"/>
      <c r="J317" s="109"/>
    </row>
    <row r="318" spans="1:10" ht="15.75" x14ac:dyDescent="0.25">
      <c r="A318" s="91">
        <v>3</v>
      </c>
      <c r="B318" s="92">
        <v>3</v>
      </c>
      <c r="C318" s="14" t="s">
        <v>123</v>
      </c>
      <c r="D318" s="14">
        <f>121.99*10.764</f>
        <v>1313.1003599999999</v>
      </c>
      <c r="E318" s="14">
        <v>0</v>
      </c>
      <c r="F318" s="14">
        <f>E318+D318</f>
        <v>1313.1003599999999</v>
      </c>
      <c r="G318" s="14">
        <v>0</v>
      </c>
      <c r="H318" s="14">
        <f>F318*1.45+G318</f>
        <v>1903.9955219999997</v>
      </c>
      <c r="I318" s="94"/>
      <c r="J318" s="109"/>
    </row>
    <row r="319" spans="1:10" ht="15.75" customHeight="1" x14ac:dyDescent="0.25">
      <c r="A319" s="91">
        <v>4</v>
      </c>
      <c r="B319" s="92">
        <v>4</v>
      </c>
      <c r="C319" s="14" t="s">
        <v>124</v>
      </c>
      <c r="D319" s="14">
        <f>78.95*10.764</f>
        <v>849.81780000000003</v>
      </c>
      <c r="E319" s="14">
        <v>0</v>
      </c>
      <c r="F319" s="14">
        <f>E319+D319</f>
        <v>849.81780000000003</v>
      </c>
      <c r="G319" s="14">
        <v>0</v>
      </c>
      <c r="H319" s="14">
        <f>F319*1.45+G319</f>
        <v>1232.2358099999999</v>
      </c>
      <c r="I319" s="94"/>
      <c r="J319" s="109"/>
    </row>
    <row r="320" spans="1:10" ht="15.75" x14ac:dyDescent="0.25">
      <c r="A320" s="91">
        <v>5</v>
      </c>
      <c r="B320" s="92">
        <v>5</v>
      </c>
      <c r="C320" s="14" t="s">
        <v>124</v>
      </c>
      <c r="D320" s="14">
        <f>78.95*10.764</f>
        <v>849.81780000000003</v>
      </c>
      <c r="E320" s="14">
        <v>0</v>
      </c>
      <c r="F320" s="14">
        <f>E320+D320</f>
        <v>849.81780000000003</v>
      </c>
      <c r="G320" s="14">
        <v>0</v>
      </c>
      <c r="H320" s="14">
        <f>F320*1.45+G320</f>
        <v>1232.2358099999999</v>
      </c>
      <c r="I320" s="95"/>
      <c r="J320" s="110"/>
    </row>
    <row r="321" spans="1:10" ht="15.75" customHeight="1" x14ac:dyDescent="0.25">
      <c r="A321" s="105" t="s">
        <v>127</v>
      </c>
      <c r="B321" s="106"/>
      <c r="C321" s="106"/>
      <c r="D321" s="106"/>
      <c r="E321" s="106"/>
      <c r="F321" s="106"/>
      <c r="G321" s="106"/>
      <c r="H321" s="106"/>
      <c r="I321" s="106"/>
      <c r="J321" s="107"/>
    </row>
    <row r="322" spans="1:10" ht="15.75" customHeight="1" x14ac:dyDescent="0.25">
      <c r="A322" s="91">
        <v>1</v>
      </c>
      <c r="B322" s="92">
        <v>1</v>
      </c>
      <c r="C322" s="14" t="s">
        <v>124</v>
      </c>
      <c r="D322" s="14">
        <f>79.43*10.764</f>
        <v>854.98451999999997</v>
      </c>
      <c r="E322" s="14">
        <v>0</v>
      </c>
      <c r="F322" s="14">
        <f>E322+D322</f>
        <v>854.98451999999997</v>
      </c>
      <c r="G322" s="14">
        <v>0</v>
      </c>
      <c r="H322" s="14">
        <f>F322*1.45+G322</f>
        <v>1239.7275539999998</v>
      </c>
      <c r="I322" s="93" t="str">
        <f>A321</f>
        <v>3rd &amp; 7th Floor</v>
      </c>
      <c r="J322" s="108"/>
    </row>
    <row r="323" spans="1:10" ht="15.75" x14ac:dyDescent="0.25">
      <c r="A323" s="91">
        <v>2</v>
      </c>
      <c r="B323" s="92">
        <v>2</v>
      </c>
      <c r="C323" s="14" t="s">
        <v>124</v>
      </c>
      <c r="D323" s="14">
        <f>81.92*10.764</f>
        <v>881.78688</v>
      </c>
      <c r="E323" s="14">
        <v>0</v>
      </c>
      <c r="F323" s="14">
        <f>E323+D323</f>
        <v>881.78688</v>
      </c>
      <c r="G323" s="14">
        <v>0</v>
      </c>
      <c r="H323" s="14">
        <f>F323*1.45+G323</f>
        <v>1278.590976</v>
      </c>
      <c r="I323" s="94"/>
      <c r="J323" s="109"/>
    </row>
    <row r="324" spans="1:10" ht="15.75" x14ac:dyDescent="0.25">
      <c r="A324" s="91">
        <v>3</v>
      </c>
      <c r="B324" s="92">
        <v>3</v>
      </c>
      <c r="C324" s="14" t="s">
        <v>123</v>
      </c>
      <c r="D324" s="14">
        <f>121.99*10.764</f>
        <v>1313.1003599999999</v>
      </c>
      <c r="E324" s="14">
        <v>0</v>
      </c>
      <c r="F324" s="14">
        <f>E324+D324</f>
        <v>1313.1003599999999</v>
      </c>
      <c r="G324" s="14">
        <v>0</v>
      </c>
      <c r="H324" s="14">
        <f>F324*1.45+G324</f>
        <v>1903.9955219999997</v>
      </c>
      <c r="I324" s="94"/>
      <c r="J324" s="109"/>
    </row>
    <row r="325" spans="1:10" ht="15.75" x14ac:dyDescent="0.25">
      <c r="A325" s="91">
        <v>4</v>
      </c>
      <c r="B325" s="92">
        <v>4</v>
      </c>
      <c r="C325" s="14" t="s">
        <v>124</v>
      </c>
      <c r="D325" s="14">
        <f>78.95*10.764</f>
        <v>849.81780000000003</v>
      </c>
      <c r="E325" s="14">
        <v>0</v>
      </c>
      <c r="F325" s="14">
        <f>E325+D325</f>
        <v>849.81780000000003</v>
      </c>
      <c r="G325" s="14">
        <v>0</v>
      </c>
      <c r="H325" s="14">
        <f>F325*1.45+G325</f>
        <v>1232.2358099999999</v>
      </c>
      <c r="I325" s="94"/>
      <c r="J325" s="109"/>
    </row>
    <row r="326" spans="1:10" ht="15.75" x14ac:dyDescent="0.25">
      <c r="A326" s="91">
        <v>5</v>
      </c>
      <c r="B326" s="92">
        <v>5</v>
      </c>
      <c r="C326" s="14" t="s">
        <v>124</v>
      </c>
      <c r="D326" s="14">
        <f>78.95*10.764</f>
        <v>849.81780000000003</v>
      </c>
      <c r="E326" s="14">
        <v>0</v>
      </c>
      <c r="F326" s="14">
        <f>E326+D326</f>
        <v>849.81780000000003</v>
      </c>
      <c r="G326" s="14">
        <v>0</v>
      </c>
      <c r="H326" s="14">
        <f>F326*1.45+G326</f>
        <v>1232.2358099999999</v>
      </c>
      <c r="I326" s="95"/>
      <c r="J326" s="110"/>
    </row>
    <row r="327" spans="1:10" ht="15.75" customHeight="1" x14ac:dyDescent="0.25">
      <c r="A327" s="105" t="s">
        <v>128</v>
      </c>
      <c r="B327" s="106"/>
      <c r="C327" s="106"/>
      <c r="D327" s="106"/>
      <c r="E327" s="106"/>
      <c r="F327" s="106"/>
      <c r="G327" s="106"/>
      <c r="H327" s="106"/>
      <c r="I327" s="106"/>
      <c r="J327" s="107"/>
    </row>
    <row r="328" spans="1:10" ht="15.75" customHeight="1" x14ac:dyDescent="0.25">
      <c r="A328" s="91">
        <v>1</v>
      </c>
      <c r="B328" s="92">
        <v>1</v>
      </c>
      <c r="C328" s="14" t="s">
        <v>124</v>
      </c>
      <c r="D328" s="14">
        <f>79.43*10.764</f>
        <v>854.98451999999997</v>
      </c>
      <c r="E328" s="14">
        <v>0</v>
      </c>
      <c r="F328" s="14">
        <f>E328+D328</f>
        <v>854.98451999999997</v>
      </c>
      <c r="G328" s="14">
        <v>0</v>
      </c>
      <c r="H328" s="14">
        <f>F328*1.45+G328</f>
        <v>1239.7275539999998</v>
      </c>
      <c r="I328" s="93" t="str">
        <f>A327</f>
        <v>5th &amp; 9th Floor</v>
      </c>
      <c r="J328" s="53"/>
    </row>
    <row r="329" spans="1:10" ht="15.75" x14ac:dyDescent="0.25">
      <c r="A329" s="91">
        <v>2</v>
      </c>
      <c r="B329" s="92">
        <v>2</v>
      </c>
      <c r="C329" s="14" t="s">
        <v>124</v>
      </c>
      <c r="D329" s="14">
        <f>81.92*10.764</f>
        <v>881.78688</v>
      </c>
      <c r="E329" s="14">
        <v>0</v>
      </c>
      <c r="F329" s="14">
        <f>E329+D329</f>
        <v>881.78688</v>
      </c>
      <c r="G329" s="14">
        <v>0</v>
      </c>
      <c r="H329" s="14">
        <f>F329*1.45+G329</f>
        <v>1278.590976</v>
      </c>
      <c r="I329" s="94"/>
      <c r="J329" s="54"/>
    </row>
    <row r="330" spans="1:10" ht="15.75" x14ac:dyDescent="0.25">
      <c r="A330" s="91">
        <v>3</v>
      </c>
      <c r="B330" s="92">
        <v>3</v>
      </c>
      <c r="C330" s="14" t="s">
        <v>123</v>
      </c>
      <c r="D330" s="14">
        <f>121.99*10.764</f>
        <v>1313.1003599999999</v>
      </c>
      <c r="E330" s="14">
        <v>0</v>
      </c>
      <c r="F330" s="14">
        <f>E330+D330</f>
        <v>1313.1003599999999</v>
      </c>
      <c r="G330" s="14">
        <v>0</v>
      </c>
      <c r="H330" s="14">
        <f>F330*1.45+G330</f>
        <v>1903.9955219999997</v>
      </c>
      <c r="I330" s="94"/>
      <c r="J330" s="54"/>
    </row>
    <row r="331" spans="1:10" ht="31.5" customHeight="1" x14ac:dyDescent="0.25">
      <c r="A331" s="91">
        <v>4</v>
      </c>
      <c r="B331" s="92">
        <v>4</v>
      </c>
      <c r="C331" s="14" t="s">
        <v>124</v>
      </c>
      <c r="D331" s="14">
        <f>78.95*10.764</f>
        <v>849.81780000000003</v>
      </c>
      <c r="E331" s="14">
        <v>0</v>
      </c>
      <c r="F331" s="14">
        <f>E331+D331</f>
        <v>849.81780000000003</v>
      </c>
      <c r="G331" s="14">
        <v>0</v>
      </c>
      <c r="H331" s="14">
        <f>F331*1.45+G331</f>
        <v>1232.2358099999999</v>
      </c>
      <c r="I331" s="94"/>
      <c r="J331" s="54"/>
    </row>
    <row r="332" spans="1:10" ht="15.75" x14ac:dyDescent="0.25">
      <c r="A332" s="91">
        <v>5</v>
      </c>
      <c r="B332" s="92">
        <v>5</v>
      </c>
      <c r="C332" s="14" t="s">
        <v>124</v>
      </c>
      <c r="D332" s="14">
        <f>78.95*10.764</f>
        <v>849.81780000000003</v>
      </c>
      <c r="E332" s="14">
        <v>0</v>
      </c>
      <c r="F332" s="14">
        <f>E332+D332</f>
        <v>849.81780000000003</v>
      </c>
      <c r="G332" s="14">
        <v>0</v>
      </c>
      <c r="H332" s="14">
        <f>F332*1.45+G332</f>
        <v>1232.2358099999999</v>
      </c>
      <c r="I332" s="95"/>
      <c r="J332" s="56"/>
    </row>
    <row r="333" spans="1:10" ht="15.75" customHeight="1" x14ac:dyDescent="0.25">
      <c r="A333" s="105" t="s">
        <v>129</v>
      </c>
      <c r="B333" s="106"/>
      <c r="C333" s="106"/>
      <c r="D333" s="106"/>
      <c r="E333" s="106"/>
      <c r="F333" s="106"/>
      <c r="G333" s="106"/>
      <c r="H333" s="106"/>
      <c r="I333" s="106"/>
      <c r="J333" s="107"/>
    </row>
    <row r="334" spans="1:10" ht="15.75" customHeight="1" x14ac:dyDescent="0.25">
      <c r="A334" s="91">
        <v>1</v>
      </c>
      <c r="B334" s="92">
        <v>1</v>
      </c>
      <c r="C334" s="14" t="s">
        <v>124</v>
      </c>
      <c r="D334" s="14">
        <f>77.26*10.764</f>
        <v>831.62663999999995</v>
      </c>
      <c r="E334" s="14">
        <v>0</v>
      </c>
      <c r="F334" s="14">
        <f>E334+D334</f>
        <v>831.62663999999995</v>
      </c>
      <c r="G334" s="14">
        <v>0</v>
      </c>
      <c r="H334" s="14">
        <f>F334*1.45+G334</f>
        <v>1205.858628</v>
      </c>
      <c r="I334" s="93" t="str">
        <f>A333</f>
        <v>4th, 6th &amp; 10th Floor</v>
      </c>
      <c r="J334" s="53"/>
    </row>
    <row r="335" spans="1:10" ht="15.75" x14ac:dyDescent="0.25">
      <c r="A335" s="91">
        <v>2</v>
      </c>
      <c r="B335" s="92">
        <v>2</v>
      </c>
      <c r="C335" s="14" t="s">
        <v>124</v>
      </c>
      <c r="D335" s="14">
        <f>79.75*10.764</f>
        <v>858.42899999999997</v>
      </c>
      <c r="E335" s="14">
        <v>0</v>
      </c>
      <c r="F335" s="14">
        <f>E335+D335</f>
        <v>858.42899999999997</v>
      </c>
      <c r="G335" s="14">
        <v>0</v>
      </c>
      <c r="H335" s="14">
        <f>F335*1.45+G335</f>
        <v>1244.7220499999999</v>
      </c>
      <c r="I335" s="94"/>
      <c r="J335" s="54"/>
    </row>
    <row r="336" spans="1:10" ht="15.75" x14ac:dyDescent="0.25">
      <c r="A336" s="91">
        <v>3</v>
      </c>
      <c r="B336" s="92">
        <v>3</v>
      </c>
      <c r="C336" s="14" t="s">
        <v>123</v>
      </c>
      <c r="D336" s="14">
        <f>121.99*10.764</f>
        <v>1313.1003599999999</v>
      </c>
      <c r="E336" s="14">
        <v>0</v>
      </c>
      <c r="F336" s="14">
        <f>E336+D336</f>
        <v>1313.1003599999999</v>
      </c>
      <c r="G336" s="14">
        <v>0</v>
      </c>
      <c r="H336" s="14">
        <f>F336*1.45+G336</f>
        <v>1903.9955219999997</v>
      </c>
      <c r="I336" s="94"/>
      <c r="J336" s="54"/>
    </row>
    <row r="337" spans="1:10" ht="15.75" x14ac:dyDescent="0.25">
      <c r="A337" s="91">
        <v>4</v>
      </c>
      <c r="B337" s="92">
        <v>4</v>
      </c>
      <c r="C337" s="14" t="s">
        <v>124</v>
      </c>
      <c r="D337" s="14">
        <f>78.95*10.764</f>
        <v>849.81780000000003</v>
      </c>
      <c r="E337" s="14">
        <v>0</v>
      </c>
      <c r="F337" s="14">
        <f>E337+D337</f>
        <v>849.81780000000003</v>
      </c>
      <c r="G337" s="14">
        <v>0</v>
      </c>
      <c r="H337" s="14">
        <f>F337*1.45+G337</f>
        <v>1232.2358099999999</v>
      </c>
      <c r="I337" s="94"/>
      <c r="J337" s="54"/>
    </row>
    <row r="338" spans="1:10" ht="15.75" x14ac:dyDescent="0.25">
      <c r="A338" s="91">
        <v>5</v>
      </c>
      <c r="B338" s="92">
        <v>5</v>
      </c>
      <c r="C338" s="14" t="s">
        <v>124</v>
      </c>
      <c r="D338" s="14">
        <f>78.95*10.764</f>
        <v>849.81780000000003</v>
      </c>
      <c r="E338" s="14">
        <v>0</v>
      </c>
      <c r="F338" s="14">
        <f>E338+D338</f>
        <v>849.81780000000003</v>
      </c>
      <c r="G338" s="14">
        <v>0</v>
      </c>
      <c r="H338" s="14">
        <f>F338*1.45+G338</f>
        <v>1232.2358099999999</v>
      </c>
      <c r="I338" s="95"/>
      <c r="J338" s="56"/>
    </row>
    <row r="339" spans="1:10" ht="15.75" customHeight="1" x14ac:dyDescent="0.25">
      <c r="A339" s="105" t="s">
        <v>130</v>
      </c>
      <c r="B339" s="106"/>
      <c r="C339" s="106"/>
      <c r="D339" s="106"/>
      <c r="E339" s="106"/>
      <c r="F339" s="106"/>
      <c r="G339" s="106"/>
      <c r="H339" s="106"/>
      <c r="I339" s="106"/>
      <c r="J339" s="107"/>
    </row>
    <row r="340" spans="1:10" ht="15.75" x14ac:dyDescent="0.25">
      <c r="A340" s="91">
        <v>1</v>
      </c>
      <c r="B340" s="92">
        <v>1</v>
      </c>
      <c r="C340" s="14" t="s">
        <v>124</v>
      </c>
      <c r="D340" s="14">
        <f>77.26*10.764</f>
        <v>831.62663999999995</v>
      </c>
      <c r="E340" s="14">
        <v>0</v>
      </c>
      <c r="F340" s="14">
        <f>E340+D340</f>
        <v>831.62663999999995</v>
      </c>
      <c r="G340" s="14">
        <v>0</v>
      </c>
      <c r="H340" s="14">
        <f>F340*1.45+G340</f>
        <v>1205.858628</v>
      </c>
      <c r="I340" s="93" t="str">
        <f>A339</f>
        <v>8th Floor</v>
      </c>
      <c r="J340" s="53"/>
    </row>
    <row r="341" spans="1:10" ht="15.75" x14ac:dyDescent="0.25">
      <c r="A341" s="91">
        <v>2</v>
      </c>
      <c r="B341" s="92">
        <v>2</v>
      </c>
      <c r="C341" s="14" t="s">
        <v>124</v>
      </c>
      <c r="D341" s="14">
        <f>79.75*10.764</f>
        <v>858.42899999999997</v>
      </c>
      <c r="E341" s="14">
        <v>0</v>
      </c>
      <c r="F341" s="14">
        <f>E341+D341</f>
        <v>858.42899999999997</v>
      </c>
      <c r="G341" s="14">
        <v>0</v>
      </c>
      <c r="H341" s="14">
        <f>F341*1.45+G341</f>
        <v>1244.7220499999999</v>
      </c>
      <c r="I341" s="94"/>
      <c r="J341" s="54"/>
    </row>
    <row r="342" spans="1:10" ht="15.75" x14ac:dyDescent="0.25">
      <c r="A342" s="91">
        <v>3</v>
      </c>
      <c r="B342" s="92">
        <v>3</v>
      </c>
      <c r="C342" s="91" t="s">
        <v>131</v>
      </c>
      <c r="D342" s="111"/>
      <c r="E342" s="111"/>
      <c r="F342" s="111"/>
      <c r="G342" s="111"/>
      <c r="H342" s="92"/>
      <c r="I342" s="94"/>
      <c r="J342" s="54"/>
    </row>
    <row r="343" spans="1:10" ht="15.75" x14ac:dyDescent="0.25">
      <c r="A343" s="91">
        <v>4</v>
      </c>
      <c r="B343" s="92">
        <v>4</v>
      </c>
      <c r="C343" s="14" t="s">
        <v>124</v>
      </c>
      <c r="D343" s="14">
        <f>78.95*10.764</f>
        <v>849.81780000000003</v>
      </c>
      <c r="E343" s="14">
        <v>0</v>
      </c>
      <c r="F343" s="14">
        <f>E343+D343</f>
        <v>849.81780000000003</v>
      </c>
      <c r="G343" s="14">
        <v>0</v>
      </c>
      <c r="H343" s="14">
        <f>F343*1.45+G343</f>
        <v>1232.2358099999999</v>
      </c>
      <c r="I343" s="94"/>
      <c r="J343" s="54"/>
    </row>
    <row r="344" spans="1:10" ht="15.75" x14ac:dyDescent="0.25">
      <c r="A344" s="91">
        <v>5</v>
      </c>
      <c r="B344" s="92">
        <v>5</v>
      </c>
      <c r="C344" s="14" t="s">
        <v>124</v>
      </c>
      <c r="D344" s="14">
        <f>78.95*10.764</f>
        <v>849.81780000000003</v>
      </c>
      <c r="E344" s="14">
        <v>0</v>
      </c>
      <c r="F344" s="14">
        <f>E344+D344</f>
        <v>849.81780000000003</v>
      </c>
      <c r="G344" s="14">
        <v>0</v>
      </c>
      <c r="H344" s="14">
        <f>F344*1.45+G344</f>
        <v>1232.2358099999999</v>
      </c>
      <c r="I344" s="95"/>
      <c r="J344" s="56"/>
    </row>
    <row r="345" spans="1:10" ht="15.75" customHeight="1" x14ac:dyDescent="0.25">
      <c r="A345" s="105" t="s">
        <v>230</v>
      </c>
      <c r="B345" s="106"/>
      <c r="C345" s="106"/>
      <c r="D345" s="106"/>
      <c r="E345" s="106"/>
      <c r="F345" s="106"/>
      <c r="G345" s="106"/>
      <c r="H345" s="106"/>
      <c r="I345" s="106"/>
      <c r="J345" s="107"/>
    </row>
    <row r="346" spans="1:10" ht="15.75" x14ac:dyDescent="0.25">
      <c r="A346" s="91">
        <v>1</v>
      </c>
      <c r="B346" s="92">
        <v>1</v>
      </c>
      <c r="C346" s="14" t="s">
        <v>124</v>
      </c>
      <c r="D346" s="14">
        <f>79.43*10.764</f>
        <v>854.98451999999997</v>
      </c>
      <c r="E346" s="14">
        <v>0</v>
      </c>
      <c r="F346" s="14">
        <f>E346+D346</f>
        <v>854.98451999999997</v>
      </c>
      <c r="G346" s="14">
        <v>0</v>
      </c>
      <c r="H346" s="14">
        <f>F346*1.45+G346</f>
        <v>1239.7275539999998</v>
      </c>
      <c r="I346" s="93" t="str">
        <f>A345</f>
        <v>11th Floor</v>
      </c>
      <c r="J346" s="108"/>
    </row>
    <row r="347" spans="1:10" ht="15.75" x14ac:dyDescent="0.25">
      <c r="A347" s="91">
        <v>2</v>
      </c>
      <c r="B347" s="92">
        <v>2</v>
      </c>
      <c r="C347" s="14" t="s">
        <v>124</v>
      </c>
      <c r="D347" s="14">
        <f>81.92*10.764</f>
        <v>881.78688</v>
      </c>
      <c r="E347" s="14">
        <v>0</v>
      </c>
      <c r="F347" s="14">
        <f>E347+D347</f>
        <v>881.78688</v>
      </c>
      <c r="G347" s="14">
        <v>0</v>
      </c>
      <c r="H347" s="14">
        <f>F347*1.45+G347</f>
        <v>1278.590976</v>
      </c>
      <c r="I347" s="94"/>
      <c r="J347" s="109"/>
    </row>
    <row r="348" spans="1:10" ht="15.75" x14ac:dyDescent="0.25">
      <c r="A348" s="91">
        <v>3</v>
      </c>
      <c r="B348" s="92">
        <v>3</v>
      </c>
      <c r="C348" s="14" t="s">
        <v>123</v>
      </c>
      <c r="D348" s="14">
        <f>121.99*10.764</f>
        <v>1313.1003599999999</v>
      </c>
      <c r="E348" s="14">
        <v>0</v>
      </c>
      <c r="F348" s="14">
        <f>E348+D348</f>
        <v>1313.1003599999999</v>
      </c>
      <c r="G348" s="14">
        <v>0</v>
      </c>
      <c r="H348" s="14">
        <f>F348*1.45+G348</f>
        <v>1903.9955219999997</v>
      </c>
      <c r="I348" s="94"/>
      <c r="J348" s="109"/>
    </row>
    <row r="349" spans="1:10" ht="15.75" x14ac:dyDescent="0.25">
      <c r="A349" s="91">
        <v>4</v>
      </c>
      <c r="B349" s="92">
        <v>4</v>
      </c>
      <c r="C349" s="14" t="s">
        <v>124</v>
      </c>
      <c r="D349" s="14">
        <f>78.95*10.764</f>
        <v>849.81780000000003</v>
      </c>
      <c r="E349" s="14">
        <v>0</v>
      </c>
      <c r="F349" s="14">
        <f>E349+D349</f>
        <v>849.81780000000003</v>
      </c>
      <c r="G349" s="14">
        <v>0</v>
      </c>
      <c r="H349" s="14">
        <f>F349*1.45+G349</f>
        <v>1232.2358099999999</v>
      </c>
      <c r="I349" s="94"/>
      <c r="J349" s="109"/>
    </row>
    <row r="350" spans="1:10" ht="15.75" x14ac:dyDescent="0.25">
      <c r="A350" s="91">
        <v>5</v>
      </c>
      <c r="B350" s="92">
        <v>5</v>
      </c>
      <c r="C350" s="14" t="s">
        <v>124</v>
      </c>
      <c r="D350" s="14">
        <f>78.95*10.764</f>
        <v>849.81780000000003</v>
      </c>
      <c r="E350" s="14">
        <v>0</v>
      </c>
      <c r="F350" s="14">
        <f>E350+D350</f>
        <v>849.81780000000003</v>
      </c>
      <c r="G350" s="14">
        <v>0</v>
      </c>
      <c r="H350" s="14">
        <f>F350*1.45+G350</f>
        <v>1232.2358099999999</v>
      </c>
      <c r="I350" s="95"/>
      <c r="J350" s="110"/>
    </row>
    <row r="351" spans="1:10" ht="15.75" customHeight="1" x14ac:dyDescent="0.25">
      <c r="A351" s="105" t="s">
        <v>231</v>
      </c>
      <c r="B351" s="106"/>
      <c r="C351" s="106"/>
      <c r="D351" s="106"/>
      <c r="E351" s="106"/>
      <c r="F351" s="106"/>
      <c r="G351" s="106"/>
      <c r="H351" s="106"/>
      <c r="I351" s="106"/>
      <c r="J351" s="107"/>
    </row>
    <row r="352" spans="1:10" ht="47.25" x14ac:dyDescent="0.25">
      <c r="A352" s="91">
        <v>2</v>
      </c>
      <c r="B352" s="92">
        <v>2</v>
      </c>
      <c r="C352" s="14" t="s">
        <v>232</v>
      </c>
      <c r="D352" s="14">
        <f>389.49*10.764</f>
        <v>4192.4703600000003</v>
      </c>
      <c r="E352" s="14">
        <v>0</v>
      </c>
      <c r="F352" s="14">
        <f>E352+D352</f>
        <v>4192.4703600000003</v>
      </c>
      <c r="G352" s="14">
        <v>0</v>
      </c>
      <c r="H352" s="14">
        <f>F352*1.45+G352</f>
        <v>6079.0820220000005</v>
      </c>
      <c r="I352" s="93" t="str">
        <f>A351</f>
        <v>12th Floor</v>
      </c>
      <c r="J352" s="108"/>
    </row>
    <row r="353" spans="1:10" ht="15.75" x14ac:dyDescent="0.25">
      <c r="A353" s="91">
        <v>3</v>
      </c>
      <c r="B353" s="92">
        <v>3</v>
      </c>
      <c r="C353" s="14" t="s">
        <v>123</v>
      </c>
      <c r="D353" s="14">
        <f>121.99*10.764</f>
        <v>1313.1003599999999</v>
      </c>
      <c r="E353" s="14">
        <v>0</v>
      </c>
      <c r="F353" s="14">
        <f>E353+D353</f>
        <v>1313.1003599999999</v>
      </c>
      <c r="G353" s="14">
        <v>0</v>
      </c>
      <c r="H353" s="14">
        <f>F353*1.45+G353</f>
        <v>1903.9955219999997</v>
      </c>
      <c r="I353" s="94"/>
      <c r="J353" s="109"/>
    </row>
    <row r="354" spans="1:10" ht="47.25" x14ac:dyDescent="0.25">
      <c r="A354" s="91">
        <v>4</v>
      </c>
      <c r="B354" s="92">
        <v>4</v>
      </c>
      <c r="C354" s="14" t="s">
        <v>233</v>
      </c>
      <c r="D354" s="14">
        <f>187.41*10.764</f>
        <v>2017.2812399999998</v>
      </c>
      <c r="E354" s="14">
        <v>0</v>
      </c>
      <c r="F354" s="14">
        <f>E354+D354</f>
        <v>2017.2812399999998</v>
      </c>
      <c r="G354" s="14">
        <v>0</v>
      </c>
      <c r="H354" s="14">
        <f>F354*1.45+G354</f>
        <v>2925.0577979999998</v>
      </c>
      <c r="I354" s="94"/>
      <c r="J354" s="109"/>
    </row>
    <row r="355" spans="1:10" ht="15.75" x14ac:dyDescent="0.25">
      <c r="A355" s="91">
        <v>5</v>
      </c>
      <c r="B355" s="92">
        <v>5</v>
      </c>
      <c r="C355" s="14" t="s">
        <v>124</v>
      </c>
      <c r="D355" s="14">
        <f>109.83*10.764</f>
        <v>1182.21012</v>
      </c>
      <c r="E355" s="14">
        <v>0</v>
      </c>
      <c r="F355" s="14">
        <f>E355+D355</f>
        <v>1182.21012</v>
      </c>
      <c r="G355" s="14">
        <v>0</v>
      </c>
      <c r="H355" s="14">
        <f>F355*1.45+G355</f>
        <v>1714.2046739999998</v>
      </c>
      <c r="I355" s="95"/>
      <c r="J355" s="110"/>
    </row>
    <row r="356" spans="1:10" ht="15.75" customHeight="1" x14ac:dyDescent="0.25">
      <c r="A356" s="105" t="s">
        <v>234</v>
      </c>
      <c r="B356" s="106"/>
      <c r="C356" s="106"/>
      <c r="D356" s="106"/>
      <c r="E356" s="106"/>
      <c r="F356" s="106"/>
      <c r="G356" s="106"/>
      <c r="H356" s="106"/>
      <c r="I356" s="106"/>
      <c r="J356" s="107"/>
    </row>
    <row r="357" spans="1:10" ht="15.75" x14ac:dyDescent="0.25">
      <c r="A357" s="91">
        <v>2</v>
      </c>
      <c r="B357" s="92">
        <v>2</v>
      </c>
      <c r="C357" s="91" t="s">
        <v>235</v>
      </c>
      <c r="D357" s="111"/>
      <c r="E357" s="111"/>
      <c r="F357" s="111"/>
      <c r="G357" s="111"/>
      <c r="H357" s="92"/>
      <c r="I357" s="93" t="str">
        <f>A356</f>
        <v>13th Floor</v>
      </c>
      <c r="J357" s="108"/>
    </row>
    <row r="358" spans="1:10" ht="15.75" x14ac:dyDescent="0.25">
      <c r="A358" s="91">
        <v>3</v>
      </c>
      <c r="B358" s="92">
        <v>3</v>
      </c>
      <c r="C358" s="14" t="s">
        <v>123</v>
      </c>
      <c r="D358" s="14">
        <f>121.99*10.764</f>
        <v>1313.1003599999999</v>
      </c>
      <c r="E358" s="14">
        <v>0</v>
      </c>
      <c r="F358" s="14">
        <f>E358+D358</f>
        <v>1313.1003599999999</v>
      </c>
      <c r="G358" s="14">
        <v>0</v>
      </c>
      <c r="H358" s="14">
        <f>F358*1.45+G358</f>
        <v>1903.9955219999997</v>
      </c>
      <c r="I358" s="94"/>
      <c r="J358" s="109"/>
    </row>
    <row r="359" spans="1:10" ht="15.75" x14ac:dyDescent="0.25">
      <c r="A359" s="91">
        <v>4</v>
      </c>
      <c r="B359" s="92">
        <v>4</v>
      </c>
      <c r="C359" s="91" t="s">
        <v>236</v>
      </c>
      <c r="D359" s="111"/>
      <c r="E359" s="111"/>
      <c r="F359" s="111"/>
      <c r="G359" s="111"/>
      <c r="H359" s="92"/>
      <c r="I359" s="94"/>
      <c r="J359" s="109"/>
    </row>
    <row r="360" spans="1:10" ht="15.75" x14ac:dyDescent="0.25">
      <c r="A360" s="91">
        <v>5</v>
      </c>
      <c r="B360" s="92">
        <v>5</v>
      </c>
      <c r="C360" s="14" t="s">
        <v>124</v>
      </c>
      <c r="D360" s="14">
        <f>89.24*10.764</f>
        <v>960.57935999999984</v>
      </c>
      <c r="E360" s="14">
        <v>0</v>
      </c>
      <c r="F360" s="14">
        <f>E360+D360</f>
        <v>960.57935999999984</v>
      </c>
      <c r="G360" s="14">
        <v>0</v>
      </c>
      <c r="H360" s="14">
        <f>F360*1.45+G360</f>
        <v>1392.8400719999997</v>
      </c>
      <c r="I360" s="95"/>
      <c r="J360" s="110"/>
    </row>
    <row r="361" spans="1:10" ht="15.75" customHeight="1" x14ac:dyDescent="0.25">
      <c r="A361" s="105" t="s">
        <v>238</v>
      </c>
      <c r="B361" s="106"/>
      <c r="C361" s="106"/>
      <c r="D361" s="106"/>
      <c r="E361" s="106"/>
      <c r="F361" s="106"/>
      <c r="G361" s="106"/>
      <c r="H361" s="106"/>
      <c r="I361" s="106"/>
      <c r="J361" s="107"/>
    </row>
    <row r="362" spans="1:10" ht="15.75" x14ac:dyDescent="0.25">
      <c r="A362" s="91">
        <v>1</v>
      </c>
      <c r="B362" s="92">
        <v>1</v>
      </c>
      <c r="C362" s="14" t="s">
        <v>237</v>
      </c>
      <c r="D362" s="14">
        <f>241.03*10.764</f>
        <v>2594.4469199999999</v>
      </c>
      <c r="E362" s="14">
        <v>0</v>
      </c>
      <c r="F362" s="14">
        <f>E362+D362</f>
        <v>2594.4469199999999</v>
      </c>
      <c r="G362" s="14">
        <v>0</v>
      </c>
      <c r="H362" s="14">
        <f>F362*1.45+G362</f>
        <v>3761.9480339999996</v>
      </c>
      <c r="I362" s="93" t="str">
        <f>A361</f>
        <v>14th Floor</v>
      </c>
      <c r="J362" s="108"/>
    </row>
    <row r="363" spans="1:10" ht="15.75" x14ac:dyDescent="0.25">
      <c r="A363" s="91">
        <v>2</v>
      </c>
      <c r="B363" s="92">
        <v>2</v>
      </c>
      <c r="C363" s="14" t="s">
        <v>123</v>
      </c>
      <c r="D363" s="14">
        <f>192.11*10.764</f>
        <v>2067.8720400000002</v>
      </c>
      <c r="E363" s="14">
        <v>0</v>
      </c>
      <c r="F363" s="14">
        <f>E363+D363</f>
        <v>2067.8720400000002</v>
      </c>
      <c r="G363" s="14">
        <v>0</v>
      </c>
      <c r="H363" s="14">
        <f>F363*1.45+G363</f>
        <v>2998.4144580000002</v>
      </c>
      <c r="I363" s="94"/>
      <c r="J363" s="109"/>
    </row>
    <row r="364" spans="1:10" ht="15.75" x14ac:dyDescent="0.25">
      <c r="A364" s="91">
        <v>3</v>
      </c>
      <c r="B364" s="92">
        <v>3</v>
      </c>
      <c r="C364" s="14" t="s">
        <v>132</v>
      </c>
      <c r="D364" s="14">
        <f>198.33*10.764</f>
        <v>2134.8241200000002</v>
      </c>
      <c r="E364" s="14">
        <v>0</v>
      </c>
      <c r="F364" s="14">
        <f>E364+D364</f>
        <v>2134.8241200000002</v>
      </c>
      <c r="G364" s="14">
        <v>0</v>
      </c>
      <c r="H364" s="14">
        <f>F364*1.45+G364</f>
        <v>3095.4949740000002</v>
      </c>
      <c r="I364" s="95"/>
      <c r="J364" s="110"/>
    </row>
    <row r="365" spans="1:10" ht="15.75" x14ac:dyDescent="0.25">
      <c r="A365" s="112" t="s">
        <v>228</v>
      </c>
      <c r="B365" s="113"/>
      <c r="C365" s="113"/>
      <c r="D365" s="113"/>
      <c r="E365" s="113"/>
      <c r="F365" s="113"/>
      <c r="G365" s="113"/>
      <c r="H365" s="113"/>
      <c r="I365" s="113"/>
      <c r="J365" s="114"/>
    </row>
    <row r="366" spans="1:10" ht="15.75" customHeight="1" x14ac:dyDescent="0.25">
      <c r="A366" s="115" t="s">
        <v>122</v>
      </c>
      <c r="B366" s="116"/>
      <c r="C366" s="116"/>
      <c r="D366" s="116"/>
      <c r="E366" s="116"/>
      <c r="F366" s="116"/>
      <c r="G366" s="116"/>
      <c r="H366" s="116"/>
      <c r="I366" s="116"/>
      <c r="J366" s="117"/>
    </row>
    <row r="367" spans="1:10" ht="15.75" customHeight="1" x14ac:dyDescent="0.25">
      <c r="A367" s="105" t="s">
        <v>240</v>
      </c>
      <c r="B367" s="106"/>
      <c r="C367" s="106"/>
      <c r="D367" s="106"/>
      <c r="E367" s="106"/>
      <c r="F367" s="106"/>
      <c r="G367" s="106"/>
      <c r="H367" s="106"/>
      <c r="I367" s="106"/>
      <c r="J367" s="107"/>
    </row>
    <row r="368" spans="1:10" ht="15.75" customHeight="1" x14ac:dyDescent="0.25">
      <c r="A368" s="91">
        <v>1</v>
      </c>
      <c r="B368" s="92">
        <v>1</v>
      </c>
      <c r="C368" s="14" t="s">
        <v>218</v>
      </c>
      <c r="D368" s="14">
        <f>39.37*10.764</f>
        <v>423.77867999999995</v>
      </c>
      <c r="E368" s="14">
        <v>0</v>
      </c>
      <c r="F368" s="14">
        <f t="shared" ref="F368:F375" si="28">E368+D368</f>
        <v>423.77867999999995</v>
      </c>
      <c r="G368" s="14">
        <f>0</f>
        <v>0</v>
      </c>
      <c r="H368" s="14">
        <f t="shared" ref="H368:H375" si="29">F368*1.45+G368</f>
        <v>614.47908599999994</v>
      </c>
      <c r="I368" s="93" t="str">
        <f>A367</f>
        <v>Ground Floor  For Residential, Commercial &amp; Parking</v>
      </c>
      <c r="J368" s="108"/>
    </row>
    <row r="369" spans="1:10" ht="15.75" x14ac:dyDescent="0.25">
      <c r="A369" s="91">
        <v>2</v>
      </c>
      <c r="B369" s="92">
        <v>2</v>
      </c>
      <c r="C369" s="14" t="s">
        <v>218</v>
      </c>
      <c r="D369" s="14">
        <f>34.22*10.764</f>
        <v>368.34407999999996</v>
      </c>
      <c r="E369" s="14">
        <v>0</v>
      </c>
      <c r="F369" s="14">
        <f t="shared" si="28"/>
        <v>368.34407999999996</v>
      </c>
      <c r="G369" s="14">
        <f>0</f>
        <v>0</v>
      </c>
      <c r="H369" s="14">
        <f t="shared" si="29"/>
        <v>534.09891599999992</v>
      </c>
      <c r="I369" s="94"/>
      <c r="J369" s="109"/>
    </row>
    <row r="370" spans="1:10" ht="15.75" x14ac:dyDescent="0.25">
      <c r="A370" s="91">
        <v>3</v>
      </c>
      <c r="B370" s="92">
        <v>3</v>
      </c>
      <c r="C370" s="14" t="s">
        <v>218</v>
      </c>
      <c r="D370" s="14">
        <f>30.12*10.764</f>
        <v>324.21168</v>
      </c>
      <c r="E370" s="14">
        <v>0</v>
      </c>
      <c r="F370" s="14">
        <f t="shared" si="28"/>
        <v>324.21168</v>
      </c>
      <c r="G370" s="14">
        <f>0</f>
        <v>0</v>
      </c>
      <c r="H370" s="14">
        <f t="shared" si="29"/>
        <v>470.10693599999996</v>
      </c>
      <c r="I370" s="94"/>
      <c r="J370" s="109"/>
    </row>
    <row r="371" spans="1:10" ht="15.75" x14ac:dyDescent="0.25">
      <c r="A371" s="91">
        <v>4</v>
      </c>
      <c r="B371" s="92">
        <v>4</v>
      </c>
      <c r="C371" s="14" t="s">
        <v>218</v>
      </c>
      <c r="D371" s="14">
        <f>36.22*10.764</f>
        <v>389.87207999999998</v>
      </c>
      <c r="E371" s="14">
        <v>0</v>
      </c>
      <c r="F371" s="14">
        <f t="shared" si="28"/>
        <v>389.87207999999998</v>
      </c>
      <c r="G371" s="14">
        <f>0</f>
        <v>0</v>
      </c>
      <c r="H371" s="14">
        <f t="shared" si="29"/>
        <v>565.31451599999991</v>
      </c>
      <c r="I371" s="94"/>
      <c r="J371" s="109"/>
    </row>
    <row r="372" spans="1:10" ht="15.75" x14ac:dyDescent="0.25">
      <c r="A372" s="91">
        <v>1</v>
      </c>
      <c r="B372" s="92">
        <v>5</v>
      </c>
      <c r="C372" s="14" t="s">
        <v>123</v>
      </c>
      <c r="D372" s="14">
        <f>129.63*10.764</f>
        <v>1395.3373199999999</v>
      </c>
      <c r="E372" s="14">
        <v>0</v>
      </c>
      <c r="F372" s="14">
        <f t="shared" si="28"/>
        <v>1395.3373199999999</v>
      </c>
      <c r="G372" s="14">
        <f>0</f>
        <v>0</v>
      </c>
      <c r="H372" s="14">
        <f t="shared" si="29"/>
        <v>2023.2391139999997</v>
      </c>
      <c r="I372" s="94"/>
      <c r="J372" s="109"/>
    </row>
    <row r="373" spans="1:10" ht="15.75" x14ac:dyDescent="0.25">
      <c r="A373" s="91">
        <v>2</v>
      </c>
      <c r="B373" s="92">
        <v>3</v>
      </c>
      <c r="C373" s="14" t="s">
        <v>123</v>
      </c>
      <c r="D373" s="14">
        <f>135.83*10.764</f>
        <v>1462.07412</v>
      </c>
      <c r="E373" s="14">
        <v>0</v>
      </c>
      <c r="F373" s="14">
        <f t="shared" si="28"/>
        <v>1462.07412</v>
      </c>
      <c r="G373" s="14">
        <f>0</f>
        <v>0</v>
      </c>
      <c r="H373" s="14">
        <f t="shared" si="29"/>
        <v>2120.007474</v>
      </c>
      <c r="I373" s="94"/>
      <c r="J373" s="109"/>
    </row>
    <row r="374" spans="1:10" ht="15.75" x14ac:dyDescent="0.25">
      <c r="A374" s="91">
        <v>3</v>
      </c>
      <c r="B374" s="92">
        <v>4</v>
      </c>
      <c r="C374" s="14" t="s">
        <v>123</v>
      </c>
      <c r="D374" s="14">
        <f>105.38*10.764</f>
        <v>1134.3103199999998</v>
      </c>
      <c r="E374" s="14">
        <v>0</v>
      </c>
      <c r="F374" s="14">
        <f t="shared" si="28"/>
        <v>1134.3103199999998</v>
      </c>
      <c r="G374" s="14">
        <f>0</f>
        <v>0</v>
      </c>
      <c r="H374" s="14">
        <f t="shared" si="29"/>
        <v>1644.7499639999996</v>
      </c>
      <c r="I374" s="94"/>
      <c r="J374" s="109"/>
    </row>
    <row r="375" spans="1:10" ht="15.75" x14ac:dyDescent="0.25">
      <c r="A375" s="91">
        <v>4</v>
      </c>
      <c r="B375" s="92">
        <v>5</v>
      </c>
      <c r="C375" s="14" t="s">
        <v>123</v>
      </c>
      <c r="D375" s="14">
        <f>105.46*10.764</f>
        <v>1135.1714399999998</v>
      </c>
      <c r="E375" s="14">
        <v>0</v>
      </c>
      <c r="F375" s="14">
        <f t="shared" si="28"/>
        <v>1135.1714399999998</v>
      </c>
      <c r="G375" s="14">
        <f>0</f>
        <v>0</v>
      </c>
      <c r="H375" s="14">
        <f t="shared" si="29"/>
        <v>1645.9985879999997</v>
      </c>
      <c r="I375" s="95"/>
      <c r="J375" s="110"/>
    </row>
    <row r="376" spans="1:10" ht="15.75" customHeight="1" x14ac:dyDescent="0.25">
      <c r="A376" s="105" t="s">
        <v>125</v>
      </c>
      <c r="B376" s="106"/>
      <c r="C376" s="106"/>
      <c r="D376" s="106"/>
      <c r="E376" s="106"/>
      <c r="F376" s="106"/>
      <c r="G376" s="106"/>
      <c r="H376" s="106"/>
      <c r="I376" s="106"/>
      <c r="J376" s="107"/>
    </row>
    <row r="377" spans="1:10" ht="15.75" x14ac:dyDescent="0.25">
      <c r="A377" s="91">
        <v>1</v>
      </c>
      <c r="B377" s="92">
        <v>1</v>
      </c>
      <c r="C377" s="14" t="s">
        <v>123</v>
      </c>
      <c r="D377" s="14">
        <f>126.69*10.764</f>
        <v>1363.6911599999999</v>
      </c>
      <c r="E377" s="14">
        <v>0</v>
      </c>
      <c r="F377" s="14">
        <f t="shared" ref="F377:F381" si="30">E377+D377</f>
        <v>1363.6911599999999</v>
      </c>
      <c r="G377" s="14">
        <v>0</v>
      </c>
      <c r="H377" s="14">
        <f t="shared" ref="H377:H381" si="31">F377*1.45+G377</f>
        <v>1977.3521819999996</v>
      </c>
      <c r="I377" s="93" t="str">
        <f>A376</f>
        <v>1st Floor</v>
      </c>
      <c r="J377" s="53"/>
    </row>
    <row r="378" spans="1:10" ht="15.75" x14ac:dyDescent="0.25">
      <c r="A378" s="91">
        <v>2</v>
      </c>
      <c r="B378" s="92">
        <v>2</v>
      </c>
      <c r="C378" s="14" t="s">
        <v>123</v>
      </c>
      <c r="D378" s="14">
        <f>126.78*10.764</f>
        <v>1364.6599199999998</v>
      </c>
      <c r="E378" s="14">
        <v>0</v>
      </c>
      <c r="F378" s="14">
        <f t="shared" si="30"/>
        <v>1364.6599199999998</v>
      </c>
      <c r="G378" s="14">
        <v>0</v>
      </c>
      <c r="H378" s="14">
        <f t="shared" si="31"/>
        <v>1978.7568839999997</v>
      </c>
      <c r="I378" s="94"/>
      <c r="J378" s="54"/>
    </row>
    <row r="379" spans="1:10" ht="15.75" x14ac:dyDescent="0.25">
      <c r="A379" s="91">
        <v>3</v>
      </c>
      <c r="B379" s="92">
        <v>3</v>
      </c>
      <c r="C379" s="14" t="s">
        <v>123</v>
      </c>
      <c r="D379" s="14">
        <f>106.96*10.764</f>
        <v>1151.3174399999998</v>
      </c>
      <c r="E379" s="14">
        <v>0</v>
      </c>
      <c r="F379" s="14">
        <f t="shared" si="30"/>
        <v>1151.3174399999998</v>
      </c>
      <c r="G379" s="14">
        <v>0</v>
      </c>
      <c r="H379" s="14">
        <f t="shared" si="31"/>
        <v>1669.4102879999996</v>
      </c>
      <c r="I379" s="94"/>
      <c r="J379" s="54"/>
    </row>
    <row r="380" spans="1:10" ht="15.75" x14ac:dyDescent="0.25">
      <c r="A380" s="91">
        <v>4</v>
      </c>
      <c r="B380" s="92">
        <v>4</v>
      </c>
      <c r="C380" s="14" t="s">
        <v>123</v>
      </c>
      <c r="D380" s="14">
        <f>108.16*10.764</f>
        <v>1164.23424</v>
      </c>
      <c r="E380" s="14">
        <v>0</v>
      </c>
      <c r="F380" s="14">
        <f t="shared" si="30"/>
        <v>1164.23424</v>
      </c>
      <c r="G380" s="14">
        <v>0</v>
      </c>
      <c r="H380" s="14">
        <f t="shared" si="31"/>
        <v>1688.1396479999999</v>
      </c>
      <c r="I380" s="94"/>
      <c r="J380" s="54"/>
    </row>
    <row r="381" spans="1:10" ht="15.75" x14ac:dyDescent="0.25">
      <c r="A381" s="91">
        <v>5</v>
      </c>
      <c r="B381" s="92">
        <v>4</v>
      </c>
      <c r="C381" s="14" t="s">
        <v>132</v>
      </c>
      <c r="D381" s="14">
        <f>142.12*10.764</f>
        <v>1529.7796799999999</v>
      </c>
      <c r="E381" s="14">
        <v>0</v>
      </c>
      <c r="F381" s="14">
        <f t="shared" si="30"/>
        <v>1529.7796799999999</v>
      </c>
      <c r="G381" s="14">
        <v>0</v>
      </c>
      <c r="H381" s="14">
        <f t="shared" si="31"/>
        <v>2218.1805359999998</v>
      </c>
      <c r="I381" s="95"/>
      <c r="J381" s="54"/>
    </row>
    <row r="382" spans="1:10" ht="15.75" customHeight="1" x14ac:dyDescent="0.25">
      <c r="A382" s="105" t="s">
        <v>126</v>
      </c>
      <c r="B382" s="106"/>
      <c r="C382" s="106"/>
      <c r="D382" s="106"/>
      <c r="E382" s="106"/>
      <c r="F382" s="106"/>
      <c r="G382" s="106"/>
      <c r="H382" s="106"/>
      <c r="I382" s="106"/>
      <c r="J382" s="107"/>
    </row>
    <row r="383" spans="1:10" ht="15.75" x14ac:dyDescent="0.25">
      <c r="A383" s="91">
        <v>1</v>
      </c>
      <c r="B383" s="92">
        <v>1</v>
      </c>
      <c r="C383" s="14" t="s">
        <v>123</v>
      </c>
      <c r="D383" s="14">
        <f>123.93*10.764</f>
        <v>1333.98252</v>
      </c>
      <c r="E383" s="14">
        <v>0</v>
      </c>
      <c r="F383" s="14">
        <f t="shared" ref="F383:F386" si="32">E383+D383</f>
        <v>1333.98252</v>
      </c>
      <c r="G383" s="14">
        <v>0</v>
      </c>
      <c r="H383" s="14">
        <f t="shared" ref="H383:H386" si="33">F383*1.45+G383</f>
        <v>1934.2746540000001</v>
      </c>
      <c r="I383" s="93" t="str">
        <f>A382</f>
        <v>2nd Floor</v>
      </c>
      <c r="J383" s="53"/>
    </row>
    <row r="384" spans="1:10" ht="15.75" x14ac:dyDescent="0.25">
      <c r="A384" s="91">
        <v>2</v>
      </c>
      <c r="B384" s="92">
        <v>2</v>
      </c>
      <c r="C384" s="14" t="s">
        <v>123</v>
      </c>
      <c r="D384" s="14">
        <f>123.86*10.764</f>
        <v>1333.2290399999999</v>
      </c>
      <c r="E384" s="14">
        <v>0</v>
      </c>
      <c r="F384" s="14">
        <f t="shared" si="32"/>
        <v>1333.2290399999999</v>
      </c>
      <c r="G384" s="14">
        <v>0</v>
      </c>
      <c r="H384" s="14">
        <f t="shared" si="33"/>
        <v>1933.1821079999997</v>
      </c>
      <c r="I384" s="94"/>
      <c r="J384" s="54"/>
    </row>
    <row r="385" spans="1:10" ht="15.75" x14ac:dyDescent="0.25">
      <c r="A385" s="91">
        <v>3</v>
      </c>
      <c r="B385" s="92">
        <v>3</v>
      </c>
      <c r="C385" s="14" t="s">
        <v>123</v>
      </c>
      <c r="D385" s="14">
        <f>105.01*10.764</f>
        <v>1130.32764</v>
      </c>
      <c r="E385" s="14">
        <v>0</v>
      </c>
      <c r="F385" s="14">
        <f t="shared" si="32"/>
        <v>1130.32764</v>
      </c>
      <c r="G385" s="14">
        <v>0</v>
      </c>
      <c r="H385" s="14">
        <f t="shared" si="33"/>
        <v>1638.9750779999999</v>
      </c>
      <c r="I385" s="94"/>
      <c r="J385" s="54"/>
    </row>
    <row r="386" spans="1:10" ht="15.75" x14ac:dyDescent="0.25">
      <c r="A386" s="91">
        <v>4</v>
      </c>
      <c r="B386" s="92">
        <v>4</v>
      </c>
      <c r="C386" s="14" t="s">
        <v>123</v>
      </c>
      <c r="D386" s="14">
        <f>105.07*10.764</f>
        <v>1130.9734799999999</v>
      </c>
      <c r="E386" s="14">
        <v>0</v>
      </c>
      <c r="F386" s="14">
        <f t="shared" si="32"/>
        <v>1130.9734799999999</v>
      </c>
      <c r="G386" s="14">
        <v>0</v>
      </c>
      <c r="H386" s="14">
        <f t="shared" si="33"/>
        <v>1639.9115459999998</v>
      </c>
      <c r="I386" s="94"/>
      <c r="J386" s="54"/>
    </row>
    <row r="387" spans="1:10" ht="15.75" x14ac:dyDescent="0.25">
      <c r="A387" s="91">
        <v>5</v>
      </c>
      <c r="B387" s="92">
        <v>4</v>
      </c>
      <c r="C387" s="14" t="s">
        <v>132</v>
      </c>
      <c r="D387" s="14">
        <f>150.97*10.764</f>
        <v>1625.04108</v>
      </c>
      <c r="E387" s="14">
        <v>0</v>
      </c>
      <c r="F387" s="14">
        <f t="shared" ref="F387" si="34">E387+D387</f>
        <v>1625.04108</v>
      </c>
      <c r="G387" s="14">
        <v>0</v>
      </c>
      <c r="H387" s="14">
        <f t="shared" ref="H387" si="35">F387*1.45+G387</f>
        <v>2356.3095659999999</v>
      </c>
      <c r="I387" s="94"/>
      <c r="J387" s="54"/>
    </row>
    <row r="388" spans="1:10" ht="15.75" x14ac:dyDescent="0.25">
      <c r="A388" s="91">
        <v>6</v>
      </c>
      <c r="B388" s="92">
        <v>4</v>
      </c>
      <c r="C388" s="14" t="s">
        <v>241</v>
      </c>
      <c r="D388" s="14">
        <f>94.16*10.764</f>
        <v>1013.5382399999999</v>
      </c>
      <c r="E388" s="14">
        <v>0</v>
      </c>
      <c r="F388" s="14">
        <f t="shared" ref="F388" si="36">E388+D388</f>
        <v>1013.5382399999999</v>
      </c>
      <c r="G388" s="14">
        <v>0</v>
      </c>
      <c r="H388" s="14">
        <f t="shared" ref="H388" si="37">F388*1.45+G388</f>
        <v>1469.6304479999997</v>
      </c>
      <c r="I388" s="95"/>
      <c r="J388" s="53"/>
    </row>
    <row r="389" spans="1:10" ht="15.75" customHeight="1" x14ac:dyDescent="0.25">
      <c r="A389" s="105" t="s">
        <v>133</v>
      </c>
      <c r="B389" s="106"/>
      <c r="C389" s="106"/>
      <c r="D389" s="106"/>
      <c r="E389" s="106"/>
      <c r="F389" s="106"/>
      <c r="G389" s="106"/>
      <c r="H389" s="106"/>
      <c r="I389" s="106"/>
      <c r="J389" s="107"/>
    </row>
    <row r="390" spans="1:10" ht="15.75" customHeight="1" x14ac:dyDescent="0.25">
      <c r="A390" s="91">
        <v>1</v>
      </c>
      <c r="B390" s="92">
        <v>1</v>
      </c>
      <c r="C390" s="14" t="s">
        <v>123</v>
      </c>
      <c r="D390" s="14">
        <f>123.93*10.764</f>
        <v>1333.98252</v>
      </c>
      <c r="E390" s="14">
        <v>0</v>
      </c>
      <c r="F390" s="14">
        <f t="shared" ref="F390:F395" si="38">E390+D390</f>
        <v>1333.98252</v>
      </c>
      <c r="G390" s="14">
        <v>0</v>
      </c>
      <c r="H390" s="14">
        <f t="shared" ref="H390:H395" si="39">F390*1.45+G390</f>
        <v>1934.2746540000001</v>
      </c>
      <c r="I390" s="93" t="str">
        <f>A389</f>
        <v>3rd, 5th, 7th &amp; 9th Floor</v>
      </c>
      <c r="J390" s="108"/>
    </row>
    <row r="391" spans="1:10" ht="15.75" x14ac:dyDescent="0.25">
      <c r="A391" s="91">
        <v>2</v>
      </c>
      <c r="B391" s="92">
        <v>2</v>
      </c>
      <c r="C391" s="14" t="s">
        <v>123</v>
      </c>
      <c r="D391" s="14">
        <f>123.86*10.764</f>
        <v>1333.2290399999999</v>
      </c>
      <c r="E391" s="14">
        <v>0</v>
      </c>
      <c r="F391" s="14">
        <f t="shared" si="38"/>
        <v>1333.2290399999999</v>
      </c>
      <c r="G391" s="14">
        <v>0</v>
      </c>
      <c r="H391" s="14">
        <f t="shared" si="39"/>
        <v>1933.1821079999997</v>
      </c>
      <c r="I391" s="94"/>
      <c r="J391" s="109"/>
    </row>
    <row r="392" spans="1:10" ht="15.75" x14ac:dyDescent="0.25">
      <c r="A392" s="91">
        <v>3</v>
      </c>
      <c r="B392" s="92">
        <v>3</v>
      </c>
      <c r="C392" s="14" t="s">
        <v>123</v>
      </c>
      <c r="D392" s="14">
        <f>107.71*10.764</f>
        <v>1159.3904399999999</v>
      </c>
      <c r="E392" s="14">
        <v>0</v>
      </c>
      <c r="F392" s="14">
        <f t="shared" si="38"/>
        <v>1159.3904399999999</v>
      </c>
      <c r="G392" s="14">
        <v>0</v>
      </c>
      <c r="H392" s="14">
        <f t="shared" si="39"/>
        <v>1681.1161379999999</v>
      </c>
      <c r="I392" s="94"/>
      <c r="J392" s="109"/>
    </row>
    <row r="393" spans="1:10" ht="15.75" x14ac:dyDescent="0.25">
      <c r="A393" s="91">
        <v>4</v>
      </c>
      <c r="B393" s="92">
        <v>4</v>
      </c>
      <c r="C393" s="14" t="s">
        <v>123</v>
      </c>
      <c r="D393" s="14">
        <f>107.78*10.764</f>
        <v>1160.14392</v>
      </c>
      <c r="E393" s="14">
        <v>0</v>
      </c>
      <c r="F393" s="14">
        <f t="shared" si="38"/>
        <v>1160.14392</v>
      </c>
      <c r="G393" s="14">
        <v>0</v>
      </c>
      <c r="H393" s="14">
        <f t="shared" si="39"/>
        <v>1682.2086839999999</v>
      </c>
      <c r="I393" s="94"/>
      <c r="J393" s="109"/>
    </row>
    <row r="394" spans="1:10" ht="15.75" x14ac:dyDescent="0.25">
      <c r="A394" s="91">
        <v>5</v>
      </c>
      <c r="B394" s="92">
        <v>5</v>
      </c>
      <c r="C394" s="14" t="s">
        <v>132</v>
      </c>
      <c r="D394" s="14">
        <f>150.97*10.764</f>
        <v>1625.04108</v>
      </c>
      <c r="E394" s="14">
        <v>0</v>
      </c>
      <c r="F394" s="14">
        <f t="shared" si="38"/>
        <v>1625.04108</v>
      </c>
      <c r="G394" s="14">
        <v>0</v>
      </c>
      <c r="H394" s="14">
        <f t="shared" si="39"/>
        <v>2356.3095659999999</v>
      </c>
      <c r="I394" s="94"/>
      <c r="J394" s="109"/>
    </row>
    <row r="395" spans="1:10" ht="15.75" x14ac:dyDescent="0.25">
      <c r="A395" s="91">
        <v>6</v>
      </c>
      <c r="B395" s="92">
        <v>6</v>
      </c>
      <c r="C395" s="14" t="s">
        <v>241</v>
      </c>
      <c r="D395" s="14">
        <f>94.16*10.764</f>
        <v>1013.5382399999999</v>
      </c>
      <c r="E395" s="14">
        <v>0</v>
      </c>
      <c r="F395" s="14">
        <f t="shared" si="38"/>
        <v>1013.5382399999999</v>
      </c>
      <c r="G395" s="14">
        <v>0</v>
      </c>
      <c r="H395" s="14">
        <f t="shared" si="39"/>
        <v>1469.6304479999997</v>
      </c>
      <c r="I395" s="95"/>
      <c r="J395" s="110"/>
    </row>
    <row r="396" spans="1:10" ht="15.75" customHeight="1" x14ac:dyDescent="0.25">
      <c r="A396" s="105" t="s">
        <v>129</v>
      </c>
      <c r="B396" s="106"/>
      <c r="C396" s="106"/>
      <c r="D396" s="106"/>
      <c r="E396" s="106"/>
      <c r="F396" s="106"/>
      <c r="G396" s="106"/>
      <c r="H396" s="106"/>
      <c r="I396" s="106"/>
      <c r="J396" s="107"/>
    </row>
    <row r="397" spans="1:10" ht="15.75" customHeight="1" x14ac:dyDescent="0.25">
      <c r="A397" s="91">
        <v>1</v>
      </c>
      <c r="B397" s="92">
        <v>1</v>
      </c>
      <c r="C397" s="14" t="s">
        <v>123</v>
      </c>
      <c r="D397" s="14">
        <f>123.93*10.764</f>
        <v>1333.98252</v>
      </c>
      <c r="E397" s="14">
        <v>0</v>
      </c>
      <c r="F397" s="14">
        <f t="shared" ref="F397:F402" si="40">E397+D397</f>
        <v>1333.98252</v>
      </c>
      <c r="G397" s="14">
        <v>0</v>
      </c>
      <c r="H397" s="14">
        <f t="shared" ref="H397:H402" si="41">F397*1.45+G397</f>
        <v>1934.2746540000001</v>
      </c>
      <c r="I397" s="93" t="str">
        <f>A396</f>
        <v>4th, 6th &amp; 10th Floor</v>
      </c>
      <c r="J397" s="108"/>
    </row>
    <row r="398" spans="1:10" ht="15.75" x14ac:dyDescent="0.25">
      <c r="A398" s="91">
        <v>2</v>
      </c>
      <c r="B398" s="92">
        <v>2</v>
      </c>
      <c r="C398" s="14" t="s">
        <v>123</v>
      </c>
      <c r="D398" s="14">
        <f>123.86*10.764</f>
        <v>1333.2290399999999</v>
      </c>
      <c r="E398" s="14">
        <v>0</v>
      </c>
      <c r="F398" s="14">
        <f t="shared" si="40"/>
        <v>1333.2290399999999</v>
      </c>
      <c r="G398" s="14">
        <v>0</v>
      </c>
      <c r="H398" s="14">
        <f t="shared" si="41"/>
        <v>1933.1821079999997</v>
      </c>
      <c r="I398" s="94"/>
      <c r="J398" s="109"/>
    </row>
    <row r="399" spans="1:10" ht="15.75" x14ac:dyDescent="0.25">
      <c r="A399" s="91">
        <v>3</v>
      </c>
      <c r="B399" s="92">
        <v>3</v>
      </c>
      <c r="C399" s="14" t="s">
        <v>123</v>
      </c>
      <c r="D399" s="14">
        <f>105.01*10.764</f>
        <v>1130.32764</v>
      </c>
      <c r="E399" s="14">
        <v>0</v>
      </c>
      <c r="F399" s="14">
        <f t="shared" si="40"/>
        <v>1130.32764</v>
      </c>
      <c r="G399" s="14">
        <v>0</v>
      </c>
      <c r="H399" s="14">
        <f t="shared" si="41"/>
        <v>1638.9750779999999</v>
      </c>
      <c r="I399" s="94"/>
      <c r="J399" s="109"/>
    </row>
    <row r="400" spans="1:10" ht="15.75" x14ac:dyDescent="0.25">
      <c r="A400" s="91">
        <v>4</v>
      </c>
      <c r="B400" s="92">
        <v>4</v>
      </c>
      <c r="C400" s="14" t="s">
        <v>123</v>
      </c>
      <c r="D400" s="14">
        <f>105.07*10.764</f>
        <v>1130.9734799999999</v>
      </c>
      <c r="E400" s="14">
        <v>0</v>
      </c>
      <c r="F400" s="14">
        <f t="shared" si="40"/>
        <v>1130.9734799999999</v>
      </c>
      <c r="G400" s="14">
        <v>0</v>
      </c>
      <c r="H400" s="14">
        <f t="shared" si="41"/>
        <v>1639.9115459999998</v>
      </c>
      <c r="I400" s="94"/>
      <c r="J400" s="109"/>
    </row>
    <row r="401" spans="1:13" ht="15.75" x14ac:dyDescent="0.25">
      <c r="A401" s="91">
        <v>5</v>
      </c>
      <c r="B401" s="92">
        <v>5</v>
      </c>
      <c r="C401" s="14" t="s">
        <v>132</v>
      </c>
      <c r="D401" s="14">
        <f>150.97*10.764</f>
        <v>1625.04108</v>
      </c>
      <c r="E401" s="14">
        <v>0</v>
      </c>
      <c r="F401" s="14">
        <f t="shared" si="40"/>
        <v>1625.04108</v>
      </c>
      <c r="G401" s="14">
        <v>0</v>
      </c>
      <c r="H401" s="14">
        <f t="shared" si="41"/>
        <v>2356.3095659999999</v>
      </c>
      <c r="I401" s="94"/>
      <c r="J401" s="109"/>
    </row>
    <row r="402" spans="1:13" ht="15.75" x14ac:dyDescent="0.25">
      <c r="A402" s="91">
        <v>6</v>
      </c>
      <c r="B402" s="92">
        <v>6</v>
      </c>
      <c r="C402" s="14" t="s">
        <v>241</v>
      </c>
      <c r="D402" s="14">
        <f>94.16*10.764</f>
        <v>1013.5382399999999</v>
      </c>
      <c r="E402" s="14">
        <v>0</v>
      </c>
      <c r="F402" s="14">
        <f t="shared" si="40"/>
        <v>1013.5382399999999</v>
      </c>
      <c r="G402" s="14">
        <v>0</v>
      </c>
      <c r="H402" s="14">
        <f t="shared" si="41"/>
        <v>1469.6304479999997</v>
      </c>
      <c r="I402" s="95"/>
      <c r="J402" s="110"/>
    </row>
    <row r="403" spans="1:13" ht="15.75" customHeight="1" x14ac:dyDescent="0.25">
      <c r="A403" s="105" t="s">
        <v>130</v>
      </c>
      <c r="B403" s="106"/>
      <c r="C403" s="106"/>
      <c r="D403" s="106"/>
      <c r="E403" s="106"/>
      <c r="F403" s="106"/>
      <c r="G403" s="106"/>
      <c r="H403" s="106"/>
      <c r="I403" s="106"/>
      <c r="J403" s="107"/>
    </row>
    <row r="404" spans="1:13" ht="15.75" x14ac:dyDescent="0.25">
      <c r="A404" s="91">
        <v>1</v>
      </c>
      <c r="B404" s="92">
        <v>1</v>
      </c>
      <c r="C404" s="91" t="s">
        <v>131</v>
      </c>
      <c r="D404" s="111"/>
      <c r="E404" s="111"/>
      <c r="F404" s="111"/>
      <c r="G404" s="111"/>
      <c r="H404" s="111"/>
      <c r="I404" s="93" t="str">
        <f>A403</f>
        <v>8th Floor</v>
      </c>
      <c r="J404" s="108"/>
    </row>
    <row r="405" spans="1:13" ht="15.75" x14ac:dyDescent="0.25">
      <c r="A405" s="91">
        <v>2</v>
      </c>
      <c r="B405" s="92">
        <v>2</v>
      </c>
      <c r="C405" s="14" t="s">
        <v>123</v>
      </c>
      <c r="D405" s="14">
        <f>123.86*10.764</f>
        <v>1333.2290399999999</v>
      </c>
      <c r="E405" s="14">
        <v>0</v>
      </c>
      <c r="F405" s="14">
        <f>E405+D405</f>
        <v>1333.2290399999999</v>
      </c>
      <c r="G405" s="14">
        <v>0</v>
      </c>
      <c r="H405" s="52">
        <f>F405*1.45+G405</f>
        <v>1933.1821079999997</v>
      </c>
      <c r="I405" s="94"/>
      <c r="J405" s="109"/>
    </row>
    <row r="406" spans="1:13" ht="15.75" x14ac:dyDescent="0.25">
      <c r="A406" s="91">
        <v>3</v>
      </c>
      <c r="B406" s="92">
        <v>3</v>
      </c>
      <c r="C406" s="14" t="s">
        <v>123</v>
      </c>
      <c r="D406" s="14">
        <f>105.01*10.764</f>
        <v>1130.32764</v>
      </c>
      <c r="E406" s="14">
        <v>0</v>
      </c>
      <c r="F406" s="14">
        <f>E406+D406</f>
        <v>1130.32764</v>
      </c>
      <c r="G406" s="14">
        <v>0</v>
      </c>
      <c r="H406" s="52">
        <f>F406*1.45+G406</f>
        <v>1638.9750779999999</v>
      </c>
      <c r="I406" s="94"/>
      <c r="J406" s="109"/>
    </row>
    <row r="407" spans="1:13" ht="15.75" x14ac:dyDescent="0.25">
      <c r="A407" s="91">
        <v>4</v>
      </c>
      <c r="B407" s="92">
        <v>4</v>
      </c>
      <c r="C407" s="14" t="s">
        <v>123</v>
      </c>
      <c r="D407" s="14">
        <f>105.07*10.764</f>
        <v>1130.9734799999999</v>
      </c>
      <c r="E407" s="14">
        <v>0</v>
      </c>
      <c r="F407" s="14">
        <f>E407+D407</f>
        <v>1130.9734799999999</v>
      </c>
      <c r="G407" s="14">
        <v>0</v>
      </c>
      <c r="H407" s="52">
        <f>F407*1.45+G407</f>
        <v>1639.9115459999998</v>
      </c>
      <c r="I407" s="94"/>
      <c r="J407" s="109"/>
    </row>
    <row r="408" spans="1:13" ht="15.75" x14ac:dyDescent="0.25">
      <c r="A408" s="91">
        <v>5</v>
      </c>
      <c r="B408" s="92">
        <v>5</v>
      </c>
      <c r="C408" s="14" t="s">
        <v>132</v>
      </c>
      <c r="D408" s="14">
        <f>150.97*10.764</f>
        <v>1625.04108</v>
      </c>
      <c r="E408" s="14">
        <v>0</v>
      </c>
      <c r="F408" s="14">
        <f>E408+D408</f>
        <v>1625.04108</v>
      </c>
      <c r="G408" s="14">
        <v>0</v>
      </c>
      <c r="H408" s="52">
        <f>F408*1.45+G408</f>
        <v>2356.3095659999999</v>
      </c>
      <c r="I408" s="94"/>
      <c r="J408" s="109"/>
      <c r="M408">
        <f>39000000/H434</f>
        <v>16544.730349517689</v>
      </c>
    </row>
    <row r="409" spans="1:13" ht="15.75" x14ac:dyDescent="0.25">
      <c r="A409" s="91">
        <v>6</v>
      </c>
      <c r="B409" s="92">
        <v>6</v>
      </c>
      <c r="C409" s="91" t="s">
        <v>131</v>
      </c>
      <c r="D409" s="111"/>
      <c r="E409" s="111"/>
      <c r="F409" s="111"/>
      <c r="G409" s="111"/>
      <c r="H409" s="111"/>
      <c r="I409" s="95"/>
      <c r="J409" s="110"/>
      <c r="M409">
        <f>291250000/K423</f>
        <v>172415.6104971795</v>
      </c>
    </row>
    <row r="410" spans="1:13" ht="15.75" customHeight="1" x14ac:dyDescent="0.25">
      <c r="A410" s="105" t="s">
        <v>230</v>
      </c>
      <c r="B410" s="106"/>
      <c r="C410" s="106"/>
      <c r="D410" s="106"/>
      <c r="E410" s="106"/>
      <c r="F410" s="106"/>
      <c r="G410" s="106"/>
      <c r="H410" s="106"/>
      <c r="I410" s="106"/>
      <c r="J410" s="107"/>
    </row>
    <row r="411" spans="1:13" ht="15.75" x14ac:dyDescent="0.25">
      <c r="A411" s="91">
        <v>1</v>
      </c>
      <c r="B411" s="92">
        <v>1</v>
      </c>
      <c r="C411" s="14" t="s">
        <v>123</v>
      </c>
      <c r="D411" s="14">
        <f>123.59*10.764</f>
        <v>1330.32276</v>
      </c>
      <c r="E411" s="14">
        <v>0</v>
      </c>
      <c r="F411" s="14">
        <f t="shared" ref="F411:F416" si="42">E411+D411</f>
        <v>1330.32276</v>
      </c>
      <c r="G411" s="14">
        <v>0</v>
      </c>
      <c r="H411" s="14">
        <f t="shared" ref="H411:H416" si="43">F411*1.45+G411</f>
        <v>1928.9680020000001</v>
      </c>
      <c r="I411" s="313" t="str">
        <f>A410</f>
        <v>11th Floor</v>
      </c>
      <c r="J411" s="14"/>
      <c r="L411" s="20">
        <f>30125000-800000</f>
        <v>29325000</v>
      </c>
    </row>
    <row r="412" spans="1:13" ht="15.75" x14ac:dyDescent="0.25">
      <c r="A412" s="91">
        <v>2</v>
      </c>
      <c r="B412" s="92">
        <v>2</v>
      </c>
      <c r="C412" s="14" t="s">
        <v>123</v>
      </c>
      <c r="D412" s="14">
        <f>123.89*10.764</f>
        <v>1333.55196</v>
      </c>
      <c r="E412" s="14">
        <v>0</v>
      </c>
      <c r="F412" s="14">
        <f t="shared" si="42"/>
        <v>1333.55196</v>
      </c>
      <c r="G412" s="14">
        <v>0</v>
      </c>
      <c r="H412" s="14">
        <f t="shared" si="43"/>
        <v>1933.6503419999999</v>
      </c>
      <c r="I412" s="314"/>
      <c r="J412" s="14"/>
      <c r="L412" s="20">
        <f>L411/H423</f>
        <v>17701.792520996827</v>
      </c>
    </row>
    <row r="413" spans="1:13" ht="15.75" x14ac:dyDescent="0.25">
      <c r="A413" s="91">
        <v>3</v>
      </c>
      <c r="B413" s="92">
        <v>3</v>
      </c>
      <c r="C413" s="14" t="s">
        <v>123</v>
      </c>
      <c r="D413" s="14">
        <f>107.68*10.764</f>
        <v>1159.0675200000001</v>
      </c>
      <c r="E413" s="14">
        <v>0</v>
      </c>
      <c r="F413" s="14">
        <f t="shared" si="42"/>
        <v>1159.0675200000001</v>
      </c>
      <c r="G413" s="14">
        <v>0</v>
      </c>
      <c r="H413" s="14">
        <f t="shared" si="43"/>
        <v>1680.6479039999999</v>
      </c>
      <c r="I413" s="314"/>
      <c r="J413" s="14"/>
    </row>
    <row r="414" spans="1:13" ht="15.75" x14ac:dyDescent="0.25">
      <c r="A414" s="91">
        <v>4</v>
      </c>
      <c r="B414" s="92">
        <v>4</v>
      </c>
      <c r="C414" s="14" t="s">
        <v>123</v>
      </c>
      <c r="D414" s="14">
        <f>107.45*10.764</f>
        <v>1156.5917999999999</v>
      </c>
      <c r="E414" s="14">
        <v>0</v>
      </c>
      <c r="F414" s="14">
        <f t="shared" si="42"/>
        <v>1156.5917999999999</v>
      </c>
      <c r="G414" s="14">
        <v>0</v>
      </c>
      <c r="H414" s="14">
        <f t="shared" si="43"/>
        <v>1677.0581099999999</v>
      </c>
      <c r="I414" s="314"/>
      <c r="J414" s="14"/>
    </row>
    <row r="415" spans="1:13" ht="16.5" customHeight="1" x14ac:dyDescent="0.25">
      <c r="A415" s="91">
        <v>5</v>
      </c>
      <c r="B415" s="92">
        <v>5</v>
      </c>
      <c r="C415" s="14" t="s">
        <v>132</v>
      </c>
      <c r="D415" s="14">
        <f>151.03*10.764</f>
        <v>1625.6869199999999</v>
      </c>
      <c r="E415" s="14">
        <v>0</v>
      </c>
      <c r="F415" s="14">
        <f t="shared" si="42"/>
        <v>1625.6869199999999</v>
      </c>
      <c r="G415" s="14">
        <v>0</v>
      </c>
      <c r="H415" s="14">
        <f t="shared" si="43"/>
        <v>2357.2460339999998</v>
      </c>
      <c r="I415" s="314"/>
      <c r="J415" s="14"/>
    </row>
    <row r="416" spans="1:13" ht="15.75" x14ac:dyDescent="0.25">
      <c r="A416" s="91">
        <v>6</v>
      </c>
      <c r="B416" s="92">
        <v>6</v>
      </c>
      <c r="C416" s="14" t="s">
        <v>241</v>
      </c>
      <c r="D416" s="14">
        <f>94.16*10.764</f>
        <v>1013.5382399999999</v>
      </c>
      <c r="E416" s="14">
        <v>0</v>
      </c>
      <c r="F416" s="14">
        <f t="shared" si="42"/>
        <v>1013.5382399999999</v>
      </c>
      <c r="G416" s="14">
        <v>0</v>
      </c>
      <c r="H416" s="14">
        <f t="shared" si="43"/>
        <v>1469.6304479999997</v>
      </c>
      <c r="I416" s="315"/>
      <c r="J416" s="14"/>
    </row>
    <row r="417" spans="1:12" ht="15.75" customHeight="1" x14ac:dyDescent="0.25">
      <c r="A417" s="105" t="s">
        <v>231</v>
      </c>
      <c r="B417" s="106"/>
      <c r="C417" s="106"/>
      <c r="D417" s="106"/>
      <c r="E417" s="106"/>
      <c r="F417" s="106"/>
      <c r="G417" s="106"/>
      <c r="H417" s="106"/>
      <c r="I417" s="106"/>
      <c r="J417" s="107"/>
    </row>
    <row r="418" spans="1:12" ht="15.75" x14ac:dyDescent="0.25">
      <c r="A418" s="91">
        <v>1</v>
      </c>
      <c r="B418" s="92">
        <v>1</v>
      </c>
      <c r="C418" s="14" t="s">
        <v>123</v>
      </c>
      <c r="D418" s="14">
        <f>151.18*10.764</f>
        <v>1627.30152</v>
      </c>
      <c r="E418" s="14">
        <v>0</v>
      </c>
      <c r="F418" s="14">
        <f t="shared" ref="F418:F423" si="44">E418+D418</f>
        <v>1627.30152</v>
      </c>
      <c r="G418" s="14">
        <v>0</v>
      </c>
      <c r="H418" s="14">
        <f t="shared" ref="H418:H423" si="45">F418*1.45+G418</f>
        <v>2359.5872039999999</v>
      </c>
      <c r="I418" s="93" t="str">
        <f>A417</f>
        <v>12th Floor</v>
      </c>
      <c r="J418" s="108"/>
    </row>
    <row r="419" spans="1:12" ht="15" customHeight="1" x14ac:dyDescent="0.25">
      <c r="A419" s="91">
        <v>2</v>
      </c>
      <c r="B419" s="92">
        <v>2</v>
      </c>
      <c r="C419" s="14" t="s">
        <v>123</v>
      </c>
      <c r="D419" s="14">
        <f>152.56*10.764</f>
        <v>1642.1558399999999</v>
      </c>
      <c r="E419" s="14">
        <v>0</v>
      </c>
      <c r="F419" s="14">
        <f t="shared" si="44"/>
        <v>1642.1558399999999</v>
      </c>
      <c r="G419" s="14">
        <v>0</v>
      </c>
      <c r="H419" s="14">
        <f t="shared" si="45"/>
        <v>2381.1259679999998</v>
      </c>
      <c r="I419" s="94"/>
      <c r="J419" s="109"/>
    </row>
    <row r="420" spans="1:12" ht="15.75" x14ac:dyDescent="0.25">
      <c r="A420" s="91">
        <v>3</v>
      </c>
      <c r="B420" s="92">
        <v>3</v>
      </c>
      <c r="C420" s="14" t="s">
        <v>123</v>
      </c>
      <c r="D420" s="14">
        <f>138.34*10.764</f>
        <v>1489.09176</v>
      </c>
      <c r="E420" s="14">
        <v>0</v>
      </c>
      <c r="F420" s="14">
        <f t="shared" si="44"/>
        <v>1489.09176</v>
      </c>
      <c r="G420" s="14">
        <v>0</v>
      </c>
      <c r="H420" s="14">
        <f t="shared" si="45"/>
        <v>2159.1830519999999</v>
      </c>
      <c r="I420" s="94"/>
      <c r="J420" s="109"/>
    </row>
    <row r="421" spans="1:12" ht="15.75" x14ac:dyDescent="0.25">
      <c r="A421" s="91">
        <v>4</v>
      </c>
      <c r="B421" s="92">
        <v>4</v>
      </c>
      <c r="C421" s="14" t="s">
        <v>123</v>
      </c>
      <c r="D421" s="14">
        <f>135.95*10.764</f>
        <v>1463.3657999999998</v>
      </c>
      <c r="E421" s="14">
        <v>0</v>
      </c>
      <c r="F421" s="14">
        <f t="shared" si="44"/>
        <v>1463.3657999999998</v>
      </c>
      <c r="G421" s="14">
        <v>0</v>
      </c>
      <c r="H421" s="14">
        <f t="shared" si="45"/>
        <v>2121.8804099999998</v>
      </c>
      <c r="I421" s="94"/>
      <c r="J421" s="109"/>
      <c r="L421" s="20">
        <f>41350000/H434</f>
        <v>17541.656409039908</v>
      </c>
    </row>
    <row r="422" spans="1:12" ht="15.75" x14ac:dyDescent="0.25">
      <c r="A422" s="91">
        <v>5</v>
      </c>
      <c r="B422" s="92">
        <v>5</v>
      </c>
      <c r="C422" s="14" t="s">
        <v>132</v>
      </c>
      <c r="D422" s="14">
        <f>150.74*10.764</f>
        <v>1622.5653600000001</v>
      </c>
      <c r="E422" s="14">
        <v>0</v>
      </c>
      <c r="F422" s="14">
        <f t="shared" si="44"/>
        <v>1622.5653600000001</v>
      </c>
      <c r="G422" s="14">
        <v>0</v>
      </c>
      <c r="H422" s="14">
        <f t="shared" si="45"/>
        <v>2352.7197719999999</v>
      </c>
      <c r="I422" s="94"/>
      <c r="J422" s="109"/>
    </row>
    <row r="423" spans="1:12" ht="15.75" x14ac:dyDescent="0.25">
      <c r="A423" s="91">
        <v>6</v>
      </c>
      <c r="B423" s="92">
        <v>6</v>
      </c>
      <c r="C423" s="14" t="s">
        <v>241</v>
      </c>
      <c r="D423" s="14">
        <f>106.14*10.764</f>
        <v>1142.4909599999999</v>
      </c>
      <c r="E423" s="14">
        <v>0</v>
      </c>
      <c r="F423" s="14">
        <f t="shared" si="44"/>
        <v>1142.4909599999999</v>
      </c>
      <c r="G423" s="14">
        <v>0</v>
      </c>
      <c r="H423" s="14">
        <f t="shared" si="45"/>
        <v>1656.6118919999997</v>
      </c>
      <c r="I423" s="95"/>
      <c r="J423" s="110"/>
      <c r="K423">
        <f>108.23*10.764*1.45</f>
        <v>1689.2321940000002</v>
      </c>
    </row>
    <row r="424" spans="1:12" ht="15.75" customHeight="1" x14ac:dyDescent="0.25">
      <c r="A424" s="105" t="s">
        <v>234</v>
      </c>
      <c r="B424" s="106"/>
      <c r="C424" s="106"/>
      <c r="D424" s="106"/>
      <c r="E424" s="106"/>
      <c r="F424" s="106"/>
      <c r="G424" s="106"/>
      <c r="H424" s="106"/>
      <c r="I424" s="106"/>
      <c r="J424" s="107"/>
    </row>
    <row r="425" spans="1:12" ht="15.75" x14ac:dyDescent="0.25">
      <c r="A425" s="91">
        <v>1</v>
      </c>
      <c r="B425" s="92">
        <v>1</v>
      </c>
      <c r="C425" s="14" t="s">
        <v>123</v>
      </c>
      <c r="D425" s="14">
        <f>128.91*10.764</f>
        <v>1387.5872399999998</v>
      </c>
      <c r="E425" s="14">
        <v>0</v>
      </c>
      <c r="F425" s="14">
        <f t="shared" ref="F425:F430" si="46">E425+D425</f>
        <v>1387.5872399999998</v>
      </c>
      <c r="G425" s="14">
        <v>0</v>
      </c>
      <c r="H425" s="14">
        <f t="shared" ref="H425:H430" si="47">F425*1.45+G425</f>
        <v>2012.0014979999996</v>
      </c>
      <c r="I425" s="93" t="str">
        <f>A424</f>
        <v>13th Floor</v>
      </c>
      <c r="J425" s="108"/>
    </row>
    <row r="426" spans="1:12" ht="15.75" x14ac:dyDescent="0.25">
      <c r="A426" s="91">
        <v>2</v>
      </c>
      <c r="B426" s="92">
        <v>2</v>
      </c>
      <c r="C426" s="14" t="s">
        <v>123</v>
      </c>
      <c r="D426" s="14">
        <f>129.29*10.764</f>
        <v>1391.6775599999999</v>
      </c>
      <c r="E426" s="14">
        <v>0</v>
      </c>
      <c r="F426" s="14">
        <f t="shared" si="46"/>
        <v>1391.6775599999999</v>
      </c>
      <c r="G426" s="14">
        <v>0</v>
      </c>
      <c r="H426" s="14">
        <f t="shared" si="47"/>
        <v>2017.9324619999998</v>
      </c>
      <c r="I426" s="94"/>
      <c r="J426" s="109"/>
    </row>
    <row r="427" spans="1:12" ht="15.75" x14ac:dyDescent="0.25">
      <c r="A427" s="91">
        <v>3</v>
      </c>
      <c r="B427" s="92">
        <v>3</v>
      </c>
      <c r="C427" s="14" t="s">
        <v>123</v>
      </c>
      <c r="D427" s="14">
        <f>111.26*10.764</f>
        <v>1197.6026400000001</v>
      </c>
      <c r="E427" s="14">
        <v>0</v>
      </c>
      <c r="F427" s="14">
        <f t="shared" si="46"/>
        <v>1197.6026400000001</v>
      </c>
      <c r="G427" s="14">
        <v>0</v>
      </c>
      <c r="H427" s="14">
        <f t="shared" si="47"/>
        <v>1736.5238280000001</v>
      </c>
      <c r="I427" s="94"/>
      <c r="J427" s="109"/>
    </row>
    <row r="428" spans="1:12" ht="15.75" x14ac:dyDescent="0.25">
      <c r="A428" s="91">
        <v>4</v>
      </c>
      <c r="B428" s="92">
        <v>4</v>
      </c>
      <c r="C428" s="14" t="s">
        <v>123</v>
      </c>
      <c r="D428" s="14">
        <f>108.87*10.764</f>
        <v>1171.8766800000001</v>
      </c>
      <c r="E428" s="14">
        <v>0</v>
      </c>
      <c r="F428" s="14">
        <f t="shared" si="46"/>
        <v>1171.8766800000001</v>
      </c>
      <c r="G428" s="14">
        <v>0</v>
      </c>
      <c r="H428" s="14">
        <f t="shared" si="47"/>
        <v>1699.221186</v>
      </c>
      <c r="I428" s="94"/>
      <c r="J428" s="109"/>
    </row>
    <row r="429" spans="1:12" ht="15.75" x14ac:dyDescent="0.25">
      <c r="A429" s="91">
        <v>5</v>
      </c>
      <c r="B429" s="92">
        <v>5</v>
      </c>
      <c r="C429" s="14" t="s">
        <v>132</v>
      </c>
      <c r="D429" s="14">
        <f>150.74*10.764</f>
        <v>1622.5653600000001</v>
      </c>
      <c r="E429" s="14">
        <v>0</v>
      </c>
      <c r="F429" s="14">
        <f t="shared" si="46"/>
        <v>1622.5653600000001</v>
      </c>
      <c r="G429" s="14">
        <v>0</v>
      </c>
      <c r="H429" s="14">
        <f t="shared" si="47"/>
        <v>2352.7197719999999</v>
      </c>
      <c r="I429" s="94"/>
      <c r="J429" s="109"/>
    </row>
    <row r="430" spans="1:12" ht="15.75" x14ac:dyDescent="0.25">
      <c r="A430" s="91">
        <v>6</v>
      </c>
      <c r="B430" s="92">
        <v>6</v>
      </c>
      <c r="C430" s="14" t="s">
        <v>241</v>
      </c>
      <c r="D430" s="14">
        <f>90.7*10.764</f>
        <v>976.29480000000001</v>
      </c>
      <c r="E430" s="14">
        <v>0</v>
      </c>
      <c r="F430" s="14">
        <f t="shared" si="46"/>
        <v>976.29480000000001</v>
      </c>
      <c r="G430" s="14">
        <v>0</v>
      </c>
      <c r="H430" s="14">
        <f t="shared" si="47"/>
        <v>1415.6274599999999</v>
      </c>
      <c r="I430" s="95"/>
      <c r="J430" s="110"/>
    </row>
    <row r="431" spans="1:12" ht="15.75" customHeight="1" x14ac:dyDescent="0.25">
      <c r="A431" s="105" t="s">
        <v>238</v>
      </c>
      <c r="B431" s="106"/>
      <c r="C431" s="106"/>
      <c r="D431" s="106"/>
      <c r="E431" s="106"/>
      <c r="F431" s="106"/>
      <c r="G431" s="106"/>
      <c r="H431" s="106"/>
      <c r="I431" s="106"/>
      <c r="J431" s="107"/>
    </row>
    <row r="432" spans="1:12" ht="15.75" x14ac:dyDescent="0.25">
      <c r="A432" s="91">
        <v>1</v>
      </c>
      <c r="B432" s="92">
        <v>1</v>
      </c>
      <c r="C432" s="14" t="s">
        <v>170</v>
      </c>
      <c r="D432" s="14">
        <f>279.48*10.764</f>
        <v>3008.3227200000001</v>
      </c>
      <c r="E432" s="14">
        <v>0</v>
      </c>
      <c r="F432" s="14">
        <f t="shared" ref="F432:F435" si="48">E432+D432</f>
        <v>3008.3227200000001</v>
      </c>
      <c r="G432" s="14">
        <v>0</v>
      </c>
      <c r="H432" s="14">
        <f t="shared" ref="H432:H435" si="49">F432*1.45+G432</f>
        <v>4362.0679440000004</v>
      </c>
      <c r="I432" s="93" t="str">
        <f>A431</f>
        <v>14th Floor</v>
      </c>
      <c r="J432" s="108"/>
    </row>
    <row r="433" spans="1:11" ht="15.75" x14ac:dyDescent="0.25">
      <c r="A433" s="91">
        <v>2</v>
      </c>
      <c r="B433" s="92">
        <v>2</v>
      </c>
      <c r="C433" s="14" t="s">
        <v>242</v>
      </c>
      <c r="D433" s="14">
        <f>279.58*10.764</f>
        <v>3009.3991199999996</v>
      </c>
      <c r="E433" s="14">
        <v>0</v>
      </c>
      <c r="F433" s="14">
        <f t="shared" si="48"/>
        <v>3009.3991199999996</v>
      </c>
      <c r="G433" s="14">
        <v>0</v>
      </c>
      <c r="H433" s="14">
        <f t="shared" si="49"/>
        <v>4363.6287239999992</v>
      </c>
      <c r="I433" s="94"/>
      <c r="J433" s="109"/>
    </row>
    <row r="434" spans="1:11" ht="15.75" x14ac:dyDescent="0.25">
      <c r="A434" s="91">
        <v>3</v>
      </c>
      <c r="B434" s="92">
        <v>5</v>
      </c>
      <c r="C434" s="14" t="s">
        <v>132</v>
      </c>
      <c r="D434" s="14">
        <f>151.03*10.764</f>
        <v>1625.6869199999999</v>
      </c>
      <c r="E434" s="14">
        <v>0</v>
      </c>
      <c r="F434" s="14">
        <f t="shared" si="48"/>
        <v>1625.6869199999999</v>
      </c>
      <c r="G434" s="14">
        <v>0</v>
      </c>
      <c r="H434" s="14">
        <f t="shared" si="49"/>
        <v>2357.2460339999998</v>
      </c>
      <c r="I434" s="94"/>
      <c r="J434" s="109"/>
    </row>
    <row r="435" spans="1:11" ht="15.75" x14ac:dyDescent="0.25">
      <c r="A435" s="91">
        <v>6</v>
      </c>
      <c r="B435" s="92">
        <v>6</v>
      </c>
      <c r="C435" s="14" t="s">
        <v>241</v>
      </c>
      <c r="D435" s="14">
        <f>94.69*10.764</f>
        <v>1019.2431599999999</v>
      </c>
      <c r="E435" s="14">
        <v>0</v>
      </c>
      <c r="F435" s="14">
        <f t="shared" si="48"/>
        <v>1019.2431599999999</v>
      </c>
      <c r="G435" s="14">
        <v>0</v>
      </c>
      <c r="H435" s="14">
        <f t="shared" si="49"/>
        <v>1477.9025819999997</v>
      </c>
      <c r="I435" s="95"/>
      <c r="J435" s="110"/>
    </row>
    <row r="436" spans="1:11" ht="15.75" x14ac:dyDescent="0.25">
      <c r="A436" s="112" t="s">
        <v>360</v>
      </c>
      <c r="B436" s="113"/>
      <c r="C436" s="113"/>
      <c r="D436" s="113"/>
      <c r="E436" s="113"/>
      <c r="F436" s="113"/>
      <c r="G436" s="113"/>
      <c r="H436" s="113"/>
      <c r="I436" s="113"/>
      <c r="J436" s="114"/>
      <c r="K436" s="14">
        <v>10.763999999999999</v>
      </c>
    </row>
    <row r="437" spans="1:11" ht="15.75" customHeight="1" x14ac:dyDescent="0.25">
      <c r="A437" s="115" t="s">
        <v>349</v>
      </c>
      <c r="B437" s="116"/>
      <c r="C437" s="116"/>
      <c r="D437" s="116"/>
      <c r="E437" s="116"/>
      <c r="F437" s="116"/>
      <c r="G437" s="116"/>
      <c r="H437" s="116"/>
      <c r="I437" s="116"/>
      <c r="J437" s="117"/>
    </row>
    <row r="438" spans="1:11" ht="15.75" customHeight="1" x14ac:dyDescent="0.25">
      <c r="A438" s="115" t="s">
        <v>350</v>
      </c>
      <c r="B438" s="116"/>
      <c r="C438" s="116"/>
      <c r="D438" s="116"/>
      <c r="E438" s="116"/>
      <c r="F438" s="116"/>
      <c r="G438" s="116"/>
      <c r="H438" s="116"/>
      <c r="I438" s="116"/>
      <c r="J438" s="117"/>
      <c r="K438">
        <v>1</v>
      </c>
    </row>
    <row r="439" spans="1:11" ht="15.75" x14ac:dyDescent="0.25">
      <c r="A439" s="91">
        <v>1</v>
      </c>
      <c r="B439" s="92">
        <v>1</v>
      </c>
      <c r="C439" s="14" t="s">
        <v>132</v>
      </c>
      <c r="D439" s="14">
        <f>(174.71)*10.764</f>
        <v>1880.57844</v>
      </c>
      <c r="E439" s="14">
        <v>0</v>
      </c>
      <c r="F439" s="14">
        <f t="shared" ref="F439:F441" si="50">E439+D439</f>
        <v>1880.57844</v>
      </c>
      <c r="G439" s="14">
        <v>0</v>
      </c>
      <c r="H439" s="14">
        <f t="shared" ref="H439:H441" si="51">F439*1.45+G439</f>
        <v>2726.8387379999999</v>
      </c>
      <c r="I439" s="93" t="str">
        <f>A438</f>
        <v>1st Floor For Residential</v>
      </c>
      <c r="J439" s="108"/>
    </row>
    <row r="440" spans="1:11" ht="15.75" x14ac:dyDescent="0.25">
      <c r="A440" s="91">
        <v>2</v>
      </c>
      <c r="B440" s="92">
        <v>2</v>
      </c>
      <c r="C440" s="91" t="s">
        <v>351</v>
      </c>
      <c r="D440" s="111"/>
      <c r="E440" s="111"/>
      <c r="F440" s="111"/>
      <c r="G440" s="111"/>
      <c r="H440" s="92"/>
      <c r="I440" s="94"/>
      <c r="J440" s="109"/>
    </row>
    <row r="441" spans="1:11" ht="15.75" x14ac:dyDescent="0.25">
      <c r="A441" s="91">
        <v>3</v>
      </c>
      <c r="B441" s="92">
        <v>5</v>
      </c>
      <c r="C441" s="14" t="s">
        <v>132</v>
      </c>
      <c r="D441" s="14">
        <f>(208.39)*10.764</f>
        <v>2243.1099599999998</v>
      </c>
      <c r="E441" s="14">
        <v>0</v>
      </c>
      <c r="F441" s="14">
        <f t="shared" si="50"/>
        <v>2243.1099599999998</v>
      </c>
      <c r="G441" s="14">
        <v>0</v>
      </c>
      <c r="H441" s="14">
        <f t="shared" si="51"/>
        <v>3252.5094419999996</v>
      </c>
      <c r="I441" s="94"/>
      <c r="J441" s="109"/>
    </row>
    <row r="442" spans="1:11" ht="15.75" customHeight="1" x14ac:dyDescent="0.25">
      <c r="A442" s="115" t="s">
        <v>126</v>
      </c>
      <c r="B442" s="116"/>
      <c r="C442" s="116"/>
      <c r="D442" s="116"/>
      <c r="E442" s="116"/>
      <c r="F442" s="116"/>
      <c r="G442" s="116"/>
      <c r="H442" s="116"/>
      <c r="I442" s="116"/>
      <c r="J442" s="117"/>
      <c r="K442">
        <v>1</v>
      </c>
    </row>
    <row r="443" spans="1:11" ht="15.75" x14ac:dyDescent="0.25">
      <c r="A443" s="91">
        <v>1</v>
      </c>
      <c r="B443" s="92">
        <v>1</v>
      </c>
      <c r="C443" s="14" t="s">
        <v>132</v>
      </c>
      <c r="D443" s="14">
        <f>(174.71)*10.764</f>
        <v>1880.57844</v>
      </c>
      <c r="E443" s="14">
        <v>0</v>
      </c>
      <c r="F443" s="14">
        <f t="shared" ref="F443:F445" si="52">E443+D443</f>
        <v>1880.57844</v>
      </c>
      <c r="G443" s="14">
        <v>0</v>
      </c>
      <c r="H443" s="14">
        <f t="shared" ref="H443:H445" si="53">F443*1.45+G443</f>
        <v>2726.8387379999999</v>
      </c>
      <c r="I443" s="93" t="str">
        <f>A442</f>
        <v>2nd Floor</v>
      </c>
      <c r="J443" s="108"/>
    </row>
    <row r="444" spans="1:11" ht="15.75" x14ac:dyDescent="0.25">
      <c r="A444" s="91">
        <v>2</v>
      </c>
      <c r="B444" s="92">
        <v>2</v>
      </c>
      <c r="C444" s="14" t="s">
        <v>132</v>
      </c>
      <c r="D444" s="14">
        <f>(156.7)*10.764</f>
        <v>1686.7187999999999</v>
      </c>
      <c r="E444" s="14">
        <v>0</v>
      </c>
      <c r="F444" s="14">
        <f t="shared" si="52"/>
        <v>1686.7187999999999</v>
      </c>
      <c r="G444" s="14">
        <v>0</v>
      </c>
      <c r="H444" s="14">
        <f t="shared" si="53"/>
        <v>2445.7422599999995</v>
      </c>
      <c r="I444" s="94"/>
      <c r="J444" s="109"/>
    </row>
    <row r="445" spans="1:11" ht="15.75" x14ac:dyDescent="0.25">
      <c r="A445" s="91">
        <v>3</v>
      </c>
      <c r="B445" s="92">
        <v>5</v>
      </c>
      <c r="C445" s="14" t="s">
        <v>132</v>
      </c>
      <c r="D445" s="14">
        <f>(208.39)*10.764</f>
        <v>2243.1099599999998</v>
      </c>
      <c r="E445" s="14">
        <v>0</v>
      </c>
      <c r="F445" s="14">
        <f t="shared" si="52"/>
        <v>2243.1099599999998</v>
      </c>
      <c r="G445" s="14">
        <v>0</v>
      </c>
      <c r="H445" s="14">
        <f t="shared" si="53"/>
        <v>3252.5094419999996</v>
      </c>
      <c r="I445" s="94"/>
      <c r="J445" s="109"/>
      <c r="K445">
        <v>6</v>
      </c>
    </row>
    <row r="446" spans="1:11" ht="15.75" customHeight="1" x14ac:dyDescent="0.25">
      <c r="A446" s="115" t="s">
        <v>292</v>
      </c>
      <c r="B446" s="116"/>
      <c r="C446" s="116"/>
      <c r="D446" s="116"/>
      <c r="E446" s="116"/>
      <c r="F446" s="116"/>
      <c r="G446" s="116"/>
      <c r="H446" s="116"/>
      <c r="I446" s="116"/>
      <c r="J446" s="117"/>
    </row>
    <row r="447" spans="1:11" ht="15.75" x14ac:dyDescent="0.25">
      <c r="A447" s="91">
        <v>1</v>
      </c>
      <c r="B447" s="92">
        <v>1</v>
      </c>
      <c r="C447" s="84" t="s">
        <v>132</v>
      </c>
      <c r="D447" s="84">
        <f>(174.71)*10.764</f>
        <v>1880.57844</v>
      </c>
      <c r="E447" s="14">
        <v>0</v>
      </c>
      <c r="F447" s="14">
        <f t="shared" ref="F447:F449" si="54">E447+D447</f>
        <v>1880.57844</v>
      </c>
      <c r="G447" s="14">
        <v>0</v>
      </c>
      <c r="H447" s="14">
        <f t="shared" ref="H447:H449" si="55">F447*1.45+G447</f>
        <v>2726.8387379999999</v>
      </c>
      <c r="I447" s="93" t="str">
        <f>A446</f>
        <v>3rd, 5th, 7th, 9th, 11th &amp; 13th Floor</v>
      </c>
      <c r="J447" s="108"/>
    </row>
    <row r="448" spans="1:11" ht="15.75" x14ac:dyDescent="0.25">
      <c r="A448" s="91">
        <v>2</v>
      </c>
      <c r="B448" s="92">
        <v>2</v>
      </c>
      <c r="C448" s="84" t="s">
        <v>132</v>
      </c>
      <c r="D448" s="84">
        <f>(156.7)*10.764</f>
        <v>1686.7187999999999</v>
      </c>
      <c r="E448" s="14">
        <v>0</v>
      </c>
      <c r="F448" s="14">
        <f t="shared" si="54"/>
        <v>1686.7187999999999</v>
      </c>
      <c r="G448" s="14">
        <v>0</v>
      </c>
      <c r="H448" s="14">
        <f t="shared" si="55"/>
        <v>2445.7422599999995</v>
      </c>
      <c r="I448" s="94"/>
      <c r="J448" s="109"/>
    </row>
    <row r="449" spans="1:12" ht="15.75" x14ac:dyDescent="0.25">
      <c r="A449" s="91">
        <v>3</v>
      </c>
      <c r="B449" s="92">
        <v>5</v>
      </c>
      <c r="C449" s="84" t="s">
        <v>132</v>
      </c>
      <c r="D449" s="84">
        <f>(208.39)*10.764</f>
        <v>2243.1099599999998</v>
      </c>
      <c r="E449" s="14">
        <v>0</v>
      </c>
      <c r="F449" s="14">
        <f t="shared" si="54"/>
        <v>2243.1099599999998</v>
      </c>
      <c r="G449" s="14">
        <v>0</v>
      </c>
      <c r="H449" s="14">
        <f t="shared" si="55"/>
        <v>3252.5094419999996</v>
      </c>
      <c r="I449" s="94"/>
      <c r="J449" s="109"/>
    </row>
    <row r="450" spans="1:12" ht="15.75" customHeight="1" x14ac:dyDescent="0.25">
      <c r="A450" s="115" t="s">
        <v>352</v>
      </c>
      <c r="B450" s="116"/>
      <c r="C450" s="116"/>
      <c r="D450" s="116"/>
      <c r="E450" s="116"/>
      <c r="F450" s="116"/>
      <c r="G450" s="116"/>
      <c r="H450" s="116"/>
      <c r="I450" s="116"/>
      <c r="J450" s="117"/>
      <c r="K450">
        <v>5</v>
      </c>
    </row>
    <row r="451" spans="1:12" ht="15.75" x14ac:dyDescent="0.25">
      <c r="A451" s="91">
        <v>1</v>
      </c>
      <c r="B451" s="92">
        <v>1</v>
      </c>
      <c r="C451" s="84" t="s">
        <v>132</v>
      </c>
      <c r="D451" s="84">
        <f>(174.71)*10.764</f>
        <v>1880.57844</v>
      </c>
      <c r="E451" s="14">
        <v>0</v>
      </c>
      <c r="F451" s="14">
        <f t="shared" ref="F451:F453" si="56">E451+D451</f>
        <v>1880.57844</v>
      </c>
      <c r="G451" s="14">
        <v>0</v>
      </c>
      <c r="H451" s="14">
        <f t="shared" ref="H451:H453" si="57">F451*1.45+G451</f>
        <v>2726.8387379999999</v>
      </c>
      <c r="I451" s="93" t="str">
        <f>A450</f>
        <v>4th, 6th, 10th, 12th &amp; 14th Floor</v>
      </c>
      <c r="J451" s="108"/>
    </row>
    <row r="452" spans="1:12" ht="15.75" x14ac:dyDescent="0.25">
      <c r="A452" s="91">
        <v>2</v>
      </c>
      <c r="B452" s="92">
        <v>2</v>
      </c>
      <c r="C452" s="84" t="s">
        <v>132</v>
      </c>
      <c r="D452" s="84">
        <f>(156.7)*10.764</f>
        <v>1686.7187999999999</v>
      </c>
      <c r="E452" s="14">
        <v>0</v>
      </c>
      <c r="F452" s="14">
        <f t="shared" si="56"/>
        <v>1686.7187999999999</v>
      </c>
      <c r="G452" s="14">
        <v>0</v>
      </c>
      <c r="H452" s="14">
        <f t="shared" si="57"/>
        <v>2445.7422599999995</v>
      </c>
      <c r="I452" s="94"/>
      <c r="J452" s="109"/>
    </row>
    <row r="453" spans="1:12" ht="15.75" x14ac:dyDescent="0.25">
      <c r="A453" s="91">
        <v>3</v>
      </c>
      <c r="B453" s="92">
        <v>5</v>
      </c>
      <c r="C453" s="84" t="s">
        <v>132</v>
      </c>
      <c r="D453" s="84">
        <f>(208.39)*10.764</f>
        <v>2243.1099599999998</v>
      </c>
      <c r="E453" s="14">
        <v>0</v>
      </c>
      <c r="F453" s="14">
        <f t="shared" si="56"/>
        <v>2243.1099599999998</v>
      </c>
      <c r="G453" s="14">
        <v>0</v>
      </c>
      <c r="H453" s="14">
        <f t="shared" si="57"/>
        <v>3252.5094419999996</v>
      </c>
      <c r="I453" s="94"/>
      <c r="J453" s="109"/>
    </row>
    <row r="454" spans="1:12" ht="15.75" customHeight="1" x14ac:dyDescent="0.25">
      <c r="A454" s="115" t="s">
        <v>280</v>
      </c>
      <c r="B454" s="116"/>
      <c r="C454" s="116"/>
      <c r="D454" s="116"/>
      <c r="E454" s="116"/>
      <c r="F454" s="116"/>
      <c r="G454" s="116"/>
      <c r="H454" s="116"/>
      <c r="I454" s="116"/>
      <c r="J454" s="117"/>
      <c r="K454">
        <v>1</v>
      </c>
    </row>
    <row r="455" spans="1:12" ht="15.75" x14ac:dyDescent="0.25">
      <c r="A455" s="91">
        <v>1</v>
      </c>
      <c r="B455" s="92">
        <v>1</v>
      </c>
      <c r="C455" s="84" t="s">
        <v>132</v>
      </c>
      <c r="D455" s="84">
        <f>(174.71)*10.764</f>
        <v>1880.57844</v>
      </c>
      <c r="E455" s="14">
        <v>0</v>
      </c>
      <c r="F455" s="14">
        <f t="shared" ref="F455:F457" si="58">E455+D455</f>
        <v>1880.57844</v>
      </c>
      <c r="G455" s="14">
        <v>0</v>
      </c>
      <c r="H455" s="14">
        <f t="shared" ref="H455:H457" si="59">F455*1.45+G455</f>
        <v>2726.8387379999999</v>
      </c>
      <c r="I455" s="93" t="str">
        <f>A454</f>
        <v>8th Floor (Part Refuge Area)</v>
      </c>
      <c r="J455" s="108"/>
    </row>
    <row r="456" spans="1:12" ht="15.75" x14ac:dyDescent="0.25">
      <c r="A456" s="91">
        <v>2</v>
      </c>
      <c r="B456" s="92">
        <v>2</v>
      </c>
      <c r="C456" s="91" t="s">
        <v>131</v>
      </c>
      <c r="D456" s="111"/>
      <c r="E456" s="111"/>
      <c r="F456" s="111"/>
      <c r="G456" s="111"/>
      <c r="H456" s="92"/>
      <c r="I456" s="94"/>
      <c r="J456" s="109"/>
    </row>
    <row r="457" spans="1:12" ht="15.75" x14ac:dyDescent="0.25">
      <c r="A457" s="91">
        <v>3</v>
      </c>
      <c r="B457" s="92">
        <v>5</v>
      </c>
      <c r="C457" s="84" t="s">
        <v>132</v>
      </c>
      <c r="D457" s="84">
        <f>(208.39)*10.764</f>
        <v>2243.1099599999998</v>
      </c>
      <c r="E457" s="14">
        <v>0</v>
      </c>
      <c r="F457" s="14">
        <f t="shared" si="58"/>
        <v>2243.1099599999998</v>
      </c>
      <c r="G457" s="14">
        <v>0</v>
      </c>
      <c r="H457" s="14">
        <f t="shared" si="59"/>
        <v>3252.5094419999996</v>
      </c>
      <c r="I457" s="94"/>
      <c r="J457" s="109"/>
    </row>
    <row r="458" spans="1:12" ht="370.5" customHeight="1" x14ac:dyDescent="0.25">
      <c r="A458" s="326" t="s">
        <v>380</v>
      </c>
      <c r="B458" s="327"/>
      <c r="C458" s="327"/>
      <c r="D458" s="327"/>
      <c r="E458" s="327"/>
      <c r="F458" s="327"/>
      <c r="G458" s="327"/>
      <c r="H458" s="327"/>
      <c r="I458" s="327"/>
      <c r="J458" s="328"/>
      <c r="L458" s="18" t="s">
        <v>354</v>
      </c>
    </row>
    <row r="459" spans="1:12" x14ac:dyDescent="0.25">
      <c r="A459" s="139" t="s">
        <v>369</v>
      </c>
      <c r="B459" s="197"/>
      <c r="C459" s="197"/>
      <c r="D459" s="197"/>
      <c r="E459" s="197"/>
      <c r="F459" s="197"/>
      <c r="G459" s="197"/>
      <c r="H459" s="197"/>
      <c r="I459" s="197"/>
      <c r="J459" s="74"/>
    </row>
    <row r="460" spans="1:12" x14ac:dyDescent="0.25">
      <c r="A460" s="338" t="s">
        <v>329</v>
      </c>
      <c r="B460" s="338"/>
      <c r="C460" s="338"/>
      <c r="D460" s="338"/>
      <c r="E460" s="338"/>
      <c r="F460" s="338" t="s">
        <v>330</v>
      </c>
      <c r="G460" s="338"/>
      <c r="H460" s="338"/>
      <c r="I460" s="338"/>
      <c r="J460" s="74"/>
    </row>
    <row r="461" spans="1:12" x14ac:dyDescent="0.25">
      <c r="A461" s="312" t="s">
        <v>309</v>
      </c>
      <c r="B461" s="312"/>
      <c r="C461" s="312"/>
      <c r="D461" s="312"/>
      <c r="E461" s="312"/>
      <c r="F461" s="312" t="s">
        <v>331</v>
      </c>
      <c r="G461" s="312"/>
      <c r="H461" s="312"/>
      <c r="I461" s="312"/>
      <c r="J461" s="80"/>
    </row>
    <row r="462" spans="1:12" x14ac:dyDescent="0.25">
      <c r="A462" s="312" t="s">
        <v>274</v>
      </c>
      <c r="B462" s="312"/>
      <c r="C462" s="312"/>
      <c r="D462" s="312"/>
      <c r="E462" s="312"/>
      <c r="F462" s="312" t="s">
        <v>153</v>
      </c>
      <c r="G462" s="312"/>
      <c r="H462" s="312"/>
      <c r="I462" s="312"/>
      <c r="J462" s="80"/>
    </row>
    <row r="463" spans="1:12" x14ac:dyDescent="0.25">
      <c r="A463" s="312" t="s">
        <v>275</v>
      </c>
      <c r="B463" s="312"/>
      <c r="C463" s="312"/>
      <c r="D463" s="312"/>
      <c r="E463" s="312"/>
      <c r="F463" s="312" t="s">
        <v>332</v>
      </c>
      <c r="G463" s="312"/>
      <c r="H463" s="312"/>
      <c r="I463" s="312"/>
      <c r="J463" s="80"/>
    </row>
    <row r="464" spans="1:12" x14ac:dyDescent="0.25">
      <c r="A464" s="312" t="s">
        <v>276</v>
      </c>
      <c r="B464" s="312"/>
      <c r="C464" s="312"/>
      <c r="D464" s="312"/>
      <c r="E464" s="312"/>
      <c r="F464" s="312" t="s">
        <v>333</v>
      </c>
      <c r="G464" s="312"/>
      <c r="H464" s="312"/>
      <c r="I464" s="312"/>
      <c r="J464" s="80"/>
    </row>
    <row r="465" spans="1:12" x14ac:dyDescent="0.25">
      <c r="A465" s="312" t="s">
        <v>277</v>
      </c>
      <c r="B465" s="312"/>
      <c r="C465" s="312"/>
      <c r="D465" s="312"/>
      <c r="E465" s="312"/>
      <c r="F465" s="312" t="s">
        <v>334</v>
      </c>
      <c r="G465" s="312"/>
      <c r="H465" s="312"/>
      <c r="I465" s="312"/>
      <c r="J465" s="80"/>
    </row>
    <row r="466" spans="1:12" x14ac:dyDescent="0.25">
      <c r="A466" s="312" t="s">
        <v>360</v>
      </c>
      <c r="B466" s="312"/>
      <c r="C466" s="312"/>
      <c r="D466" s="312"/>
      <c r="E466" s="312"/>
      <c r="F466" s="312" t="s">
        <v>361</v>
      </c>
      <c r="G466" s="312"/>
      <c r="H466" s="312"/>
      <c r="I466" s="312"/>
      <c r="J466" s="80"/>
    </row>
    <row r="467" spans="1:12" x14ac:dyDescent="0.25">
      <c r="A467" s="325" t="s">
        <v>27</v>
      </c>
      <c r="B467" s="155"/>
      <c r="C467" s="155"/>
      <c r="D467" s="155"/>
      <c r="E467" s="155"/>
      <c r="F467" s="155"/>
      <c r="G467" s="155"/>
      <c r="H467" s="155"/>
      <c r="I467" s="155"/>
      <c r="J467" s="156"/>
    </row>
    <row r="468" spans="1:12" s="9" customFormat="1" x14ac:dyDescent="0.25">
      <c r="A468" s="130" t="s">
        <v>33</v>
      </c>
      <c r="B468" s="131"/>
      <c r="C468" s="131"/>
      <c r="D468" s="131"/>
      <c r="E468" s="131"/>
      <c r="F468" s="131"/>
      <c r="G468" s="131"/>
      <c r="H468" s="131"/>
      <c r="I468" s="131"/>
      <c r="J468" s="132"/>
      <c r="K468"/>
      <c r="L468"/>
    </row>
    <row r="469" spans="1:12" x14ac:dyDescent="0.25">
      <c r="A469" s="325" t="s">
        <v>29</v>
      </c>
      <c r="B469" s="155"/>
      <c r="C469" s="155"/>
      <c r="D469" s="155"/>
      <c r="E469" s="155"/>
      <c r="F469" s="155"/>
      <c r="G469" s="155"/>
      <c r="H469" s="155"/>
      <c r="I469" s="155"/>
      <c r="J469" s="156"/>
    </row>
    <row r="470" spans="1:12" x14ac:dyDescent="0.25">
      <c r="A470" s="136" t="s">
        <v>38</v>
      </c>
      <c r="B470" s="137"/>
      <c r="C470" s="137"/>
      <c r="D470" s="137"/>
      <c r="E470" s="137"/>
      <c r="F470" s="137"/>
      <c r="G470" s="137"/>
      <c r="H470" s="137"/>
      <c r="I470" s="137"/>
      <c r="J470" s="138"/>
    </row>
    <row r="471" spans="1:12" ht="15" customHeight="1" x14ac:dyDescent="0.25">
      <c r="A471" s="180" t="s">
        <v>64</v>
      </c>
      <c r="B471" s="181"/>
      <c r="C471" s="181"/>
      <c r="D471" s="181"/>
      <c r="E471" s="181"/>
      <c r="F471" s="181"/>
      <c r="G471" s="181"/>
      <c r="H471" s="181"/>
      <c r="I471" s="181"/>
      <c r="J471" s="182"/>
    </row>
    <row r="472" spans="1:12" x14ac:dyDescent="0.25">
      <c r="A472" s="136" t="s">
        <v>39</v>
      </c>
      <c r="B472" s="137"/>
      <c r="C472" s="137"/>
      <c r="D472" s="137"/>
      <c r="E472" s="137"/>
      <c r="F472" s="137"/>
      <c r="G472" s="137"/>
      <c r="H472" s="137"/>
      <c r="I472" s="137"/>
      <c r="J472" s="138"/>
    </row>
    <row r="473" spans="1:12" x14ac:dyDescent="0.25">
      <c r="A473" s="136" t="s">
        <v>40</v>
      </c>
      <c r="B473" s="137"/>
      <c r="C473" s="137"/>
      <c r="D473" s="137"/>
      <c r="E473" s="137"/>
      <c r="F473" s="137"/>
      <c r="G473" s="137"/>
      <c r="H473" s="137"/>
      <c r="I473" s="137"/>
      <c r="J473" s="138"/>
    </row>
    <row r="474" spans="1:12" ht="15" customHeight="1" x14ac:dyDescent="0.25">
      <c r="A474" s="140" t="s">
        <v>41</v>
      </c>
      <c r="B474" s="141"/>
      <c r="C474" s="141"/>
      <c r="D474" s="141"/>
      <c r="E474" s="141"/>
      <c r="F474" s="141"/>
      <c r="G474" s="141"/>
      <c r="H474" s="141"/>
      <c r="I474" s="141"/>
      <c r="J474" s="142"/>
    </row>
    <row r="475" spans="1:12" ht="15" customHeight="1" x14ac:dyDescent="0.25">
      <c r="A475" s="316" t="s">
        <v>28</v>
      </c>
      <c r="B475" s="317"/>
      <c r="C475" s="317"/>
      <c r="D475" s="317"/>
      <c r="E475" s="317"/>
      <c r="F475" s="317"/>
      <c r="G475" s="317"/>
      <c r="H475" s="317"/>
      <c r="I475" s="317"/>
      <c r="J475" s="318"/>
    </row>
    <row r="476" spans="1:12" x14ac:dyDescent="0.25">
      <c r="A476" s="319"/>
      <c r="B476" s="320"/>
      <c r="C476" s="320"/>
      <c r="D476" s="320"/>
      <c r="E476" s="320"/>
      <c r="F476" s="320"/>
      <c r="G476" s="320"/>
      <c r="H476" s="320"/>
      <c r="I476" s="320"/>
      <c r="J476" s="321"/>
    </row>
    <row r="477" spans="1:12" x14ac:dyDescent="0.25">
      <c r="A477" s="319"/>
      <c r="B477" s="320"/>
      <c r="C477" s="320"/>
      <c r="D477" s="320"/>
      <c r="E477" s="320"/>
      <c r="F477" s="320"/>
      <c r="G477" s="320"/>
      <c r="H477" s="320"/>
      <c r="I477" s="320"/>
      <c r="J477" s="321"/>
    </row>
    <row r="478" spans="1:12" x14ac:dyDescent="0.25">
      <c r="A478" s="322"/>
      <c r="B478" s="323"/>
      <c r="C478" s="323"/>
      <c r="D478" s="323"/>
      <c r="E478" s="323"/>
      <c r="F478" s="323"/>
      <c r="G478" s="323"/>
      <c r="H478" s="323"/>
      <c r="I478" s="323"/>
      <c r="J478" s="324"/>
    </row>
    <row r="479" spans="1:12" x14ac:dyDescent="0.25">
      <c r="A479" s="21" t="s">
        <v>151</v>
      </c>
    </row>
    <row r="482" spans="2:12" x14ac:dyDescent="0.25">
      <c r="K482" s="9"/>
      <c r="L482" s="9"/>
    </row>
    <row r="494" spans="2:12" ht="18.75" x14ac:dyDescent="0.3">
      <c r="B494" s="65"/>
      <c r="C494" s="65"/>
      <c r="D494" s="65"/>
      <c r="E494" s="65"/>
      <c r="F494" s="65"/>
      <c r="G494" s="65"/>
      <c r="H494" s="65"/>
      <c r="I494" s="309"/>
      <c r="J494" s="309"/>
    </row>
    <row r="515" spans="1:5" ht="18.75" x14ac:dyDescent="0.3">
      <c r="B515" s="241"/>
      <c r="C515" s="242"/>
      <c r="D515" s="242"/>
      <c r="E515" s="242"/>
    </row>
    <row r="525" spans="1:5" x14ac:dyDescent="0.25">
      <c r="A525" s="21" t="s">
        <v>262</v>
      </c>
    </row>
    <row r="540" spans="2:10" ht="18.75" x14ac:dyDescent="0.3">
      <c r="B540" s="65"/>
      <c r="C540" s="65"/>
      <c r="D540" s="65"/>
      <c r="E540" s="65"/>
      <c r="F540" s="65"/>
      <c r="G540" s="65"/>
      <c r="H540" s="65"/>
      <c r="I540" s="309"/>
      <c r="J540" s="309"/>
    </row>
    <row r="561" spans="1:5" ht="18.75" x14ac:dyDescent="0.3">
      <c r="B561" s="241"/>
      <c r="C561" s="242"/>
      <c r="D561" s="242"/>
      <c r="E561" s="242"/>
    </row>
    <row r="571" spans="1:5" x14ac:dyDescent="0.25">
      <c r="A571" s="21" t="s">
        <v>149</v>
      </c>
    </row>
  </sheetData>
  <mergeCells count="799">
    <mergeCell ref="A51:B52"/>
    <mergeCell ref="A78:B78"/>
    <mergeCell ref="A454:J454"/>
    <mergeCell ref="A455:B455"/>
    <mergeCell ref="I455:J457"/>
    <mergeCell ref="A456:B456"/>
    <mergeCell ref="A457:B457"/>
    <mergeCell ref="C456:H456"/>
    <mergeCell ref="A198:B198"/>
    <mergeCell ref="D198:F198"/>
    <mergeCell ref="G198:J198"/>
    <mergeCell ref="A437:J437"/>
    <mergeCell ref="A442:J442"/>
    <mergeCell ref="A443:B443"/>
    <mergeCell ref="I443:J445"/>
    <mergeCell ref="A444:B444"/>
    <mergeCell ref="A445:B445"/>
    <mergeCell ref="A450:J450"/>
    <mergeCell ref="A451:B451"/>
    <mergeCell ref="I451:J453"/>
    <mergeCell ref="H68:J68"/>
    <mergeCell ref="B73:C74"/>
    <mergeCell ref="D72:E72"/>
    <mergeCell ref="H69:J69"/>
    <mergeCell ref="I264:I267"/>
    <mergeCell ref="A265:B265"/>
    <mergeCell ref="A266:B266"/>
    <mergeCell ref="A267:B267"/>
    <mergeCell ref="A290:B290"/>
    <mergeCell ref="C270:H270"/>
    <mergeCell ref="A466:E466"/>
    <mergeCell ref="F466:I466"/>
    <mergeCell ref="A68:B69"/>
    <mergeCell ref="D75:E75"/>
    <mergeCell ref="F75:G75"/>
    <mergeCell ref="H75:I75"/>
    <mergeCell ref="B75:C75"/>
    <mergeCell ref="F72:G72"/>
    <mergeCell ref="B71:C72"/>
    <mergeCell ref="D70:E70"/>
    <mergeCell ref="F70:G70"/>
    <mergeCell ref="D124:E124"/>
    <mergeCell ref="A124:C124"/>
    <mergeCell ref="F124:G124"/>
    <mergeCell ref="H124:I124"/>
    <mergeCell ref="H71:I71"/>
    <mergeCell ref="A118:B118"/>
    <mergeCell ref="D118:E118"/>
    <mergeCell ref="A119:B119"/>
    <mergeCell ref="A114:B114"/>
    <mergeCell ref="D115:E115"/>
    <mergeCell ref="D114:E114"/>
    <mergeCell ref="A446:J446"/>
    <mergeCell ref="A447:B447"/>
    <mergeCell ref="I447:J449"/>
    <mergeCell ref="A448:B448"/>
    <mergeCell ref="A449:B449"/>
    <mergeCell ref="A168:B168"/>
    <mergeCell ref="D168:E168"/>
    <mergeCell ref="A169:B169"/>
    <mergeCell ref="D169:E169"/>
    <mergeCell ref="A170:B170"/>
    <mergeCell ref="D170:E170"/>
    <mergeCell ref="A436:J436"/>
    <mergeCell ref="A438:J438"/>
    <mergeCell ref="A250:B250"/>
    <mergeCell ref="C246:H246"/>
    <mergeCell ref="A214:B214"/>
    <mergeCell ref="A263:I263"/>
    <mergeCell ref="A264:B264"/>
    <mergeCell ref="A208:B208"/>
    <mergeCell ref="A258:I258"/>
    <mergeCell ref="I259:I262"/>
    <mergeCell ref="A213:B213"/>
    <mergeCell ref="A462:E462"/>
    <mergeCell ref="F462:I462"/>
    <mergeCell ref="A463:E463"/>
    <mergeCell ref="F463:I463"/>
    <mergeCell ref="A215:B215"/>
    <mergeCell ref="A216:B216"/>
    <mergeCell ref="A217:B217"/>
    <mergeCell ref="A218:B218"/>
    <mergeCell ref="I207:J218"/>
    <mergeCell ref="A233:I233"/>
    <mergeCell ref="A234:B234"/>
    <mergeCell ref="A235:B235"/>
    <mergeCell ref="A236:B236"/>
    <mergeCell ref="A237:B237"/>
    <mergeCell ref="A232:I232"/>
    <mergeCell ref="A207:B207"/>
    <mergeCell ref="A209:B209"/>
    <mergeCell ref="A210:B210"/>
    <mergeCell ref="A211:B211"/>
    <mergeCell ref="A251:J251"/>
    <mergeCell ref="A212:B212"/>
    <mergeCell ref="A465:E465"/>
    <mergeCell ref="F465:I465"/>
    <mergeCell ref="A459:I459"/>
    <mergeCell ref="D90:E90"/>
    <mergeCell ref="A91:B91"/>
    <mergeCell ref="D91:E91"/>
    <mergeCell ref="A92:B92"/>
    <mergeCell ref="D92:E92"/>
    <mergeCell ref="A93:B93"/>
    <mergeCell ref="D93:E93"/>
    <mergeCell ref="A94:B94"/>
    <mergeCell ref="D94:E94"/>
    <mergeCell ref="A238:B238"/>
    <mergeCell ref="A245:I245"/>
    <mergeCell ref="A246:B246"/>
    <mergeCell ref="A247:B247"/>
    <mergeCell ref="A248:B248"/>
    <mergeCell ref="A249:B249"/>
    <mergeCell ref="A262:B262"/>
    <mergeCell ref="A460:E460"/>
    <mergeCell ref="F460:I460"/>
    <mergeCell ref="A461:E461"/>
    <mergeCell ref="F461:I461"/>
    <mergeCell ref="A206:J206"/>
    <mergeCell ref="A55:B55"/>
    <mergeCell ref="C55:F55"/>
    <mergeCell ref="H55:J55"/>
    <mergeCell ref="A62:B62"/>
    <mergeCell ref="C62:F62"/>
    <mergeCell ref="A194:B194"/>
    <mergeCell ref="D194:F194"/>
    <mergeCell ref="G194:J194"/>
    <mergeCell ref="A161:B161"/>
    <mergeCell ref="D161:E161"/>
    <mergeCell ref="F161:G170"/>
    <mergeCell ref="H161:J170"/>
    <mergeCell ref="A204:J204"/>
    <mergeCell ref="A205:J205"/>
    <mergeCell ref="A185:B185"/>
    <mergeCell ref="D185:F185"/>
    <mergeCell ref="G185:J185"/>
    <mergeCell ref="A193:B193"/>
    <mergeCell ref="D193:F193"/>
    <mergeCell ref="G193:J193"/>
    <mergeCell ref="A162:B162"/>
    <mergeCell ref="D162:E162"/>
    <mergeCell ref="A163:B163"/>
    <mergeCell ref="D122:E122"/>
    <mergeCell ref="A123:B123"/>
    <mergeCell ref="D123:E123"/>
    <mergeCell ref="A116:B116"/>
    <mergeCell ref="D116:E116"/>
    <mergeCell ref="D113:E113"/>
    <mergeCell ref="F113:G113"/>
    <mergeCell ref="D101:E101"/>
    <mergeCell ref="A157:B157"/>
    <mergeCell ref="C157:J157"/>
    <mergeCell ref="A102:B102"/>
    <mergeCell ref="A109:B109"/>
    <mergeCell ref="A105:B105"/>
    <mergeCell ref="D105:E105"/>
    <mergeCell ref="A106:B106"/>
    <mergeCell ref="D106:E106"/>
    <mergeCell ref="A107:B107"/>
    <mergeCell ref="D107:E107"/>
    <mergeCell ref="A108:B108"/>
    <mergeCell ref="A104:B104"/>
    <mergeCell ref="A155:B156"/>
    <mergeCell ref="C155:E156"/>
    <mergeCell ref="A117:B117"/>
    <mergeCell ref="D117:E117"/>
    <mergeCell ref="G190:J190"/>
    <mergeCell ref="A110:B110"/>
    <mergeCell ref="D120:E120"/>
    <mergeCell ref="A125:B125"/>
    <mergeCell ref="C125:J125"/>
    <mergeCell ref="E126:F126"/>
    <mergeCell ref="I126:J126"/>
    <mergeCell ref="A127:B127"/>
    <mergeCell ref="C127:J127"/>
    <mergeCell ref="F130:G130"/>
    <mergeCell ref="D131:E131"/>
    <mergeCell ref="D164:E164"/>
    <mergeCell ref="A165:B165"/>
    <mergeCell ref="D165:E165"/>
    <mergeCell ref="A172:J172"/>
    <mergeCell ref="G178:J178"/>
    <mergeCell ref="G177:J177"/>
    <mergeCell ref="A177:F177"/>
    <mergeCell ref="A173:J174"/>
    <mergeCell ref="A180:F180"/>
    <mergeCell ref="G180:J180"/>
    <mergeCell ref="D136:E136"/>
    <mergeCell ref="A136:B136"/>
    <mergeCell ref="D153:E153"/>
    <mergeCell ref="C440:H440"/>
    <mergeCell ref="A252:J252"/>
    <mergeCell ref="A253:J253"/>
    <mergeCell ref="A255:B255"/>
    <mergeCell ref="A256:B256"/>
    <mergeCell ref="A259:B259"/>
    <mergeCell ref="A260:B260"/>
    <mergeCell ref="A261:B261"/>
    <mergeCell ref="A475:J478"/>
    <mergeCell ref="A472:J472"/>
    <mergeCell ref="A471:J471"/>
    <mergeCell ref="A470:J470"/>
    <mergeCell ref="A469:J469"/>
    <mergeCell ref="A468:J468"/>
    <mergeCell ref="A467:J467"/>
    <mergeCell ref="A458:J458"/>
    <mergeCell ref="A403:J403"/>
    <mergeCell ref="A407:B407"/>
    <mergeCell ref="A408:B408"/>
    <mergeCell ref="A409:B409"/>
    <mergeCell ref="A410:J410"/>
    <mergeCell ref="A411:B411"/>
    <mergeCell ref="A412:B412"/>
    <mergeCell ref="A413:B413"/>
    <mergeCell ref="I276:J281"/>
    <mergeCell ref="I292:J297"/>
    <mergeCell ref="A298:J298"/>
    <mergeCell ref="A464:E464"/>
    <mergeCell ref="A396:J396"/>
    <mergeCell ref="A389:J389"/>
    <mergeCell ref="A417:J417"/>
    <mergeCell ref="A418:B418"/>
    <mergeCell ref="A416:B416"/>
    <mergeCell ref="I411:I416"/>
    <mergeCell ref="A393:B393"/>
    <mergeCell ref="A394:B394"/>
    <mergeCell ref="A395:B395"/>
    <mergeCell ref="A397:B397"/>
    <mergeCell ref="A398:B398"/>
    <mergeCell ref="A399:B399"/>
    <mergeCell ref="A400:B400"/>
    <mergeCell ref="A401:B401"/>
    <mergeCell ref="A402:B402"/>
    <mergeCell ref="F464:I464"/>
    <mergeCell ref="A439:B439"/>
    <mergeCell ref="I439:J441"/>
    <mergeCell ref="A440:B440"/>
    <mergeCell ref="A441:B441"/>
    <mergeCell ref="I494:J494"/>
    <mergeCell ref="I362:J364"/>
    <mergeCell ref="A365:J365"/>
    <mergeCell ref="A367:J367"/>
    <mergeCell ref="A370:B370"/>
    <mergeCell ref="A371:B371"/>
    <mergeCell ref="A372:B372"/>
    <mergeCell ref="A360:B360"/>
    <mergeCell ref="A366:J366"/>
    <mergeCell ref="A382:J382"/>
    <mergeCell ref="A383:B383"/>
    <mergeCell ref="A384:B384"/>
    <mergeCell ref="A385:B385"/>
    <mergeCell ref="A386:B386"/>
    <mergeCell ref="A387:B387"/>
    <mergeCell ref="A388:B388"/>
    <mergeCell ref="A368:B368"/>
    <mergeCell ref="A369:B369"/>
    <mergeCell ref="A420:B420"/>
    <mergeCell ref="A421:B421"/>
    <mergeCell ref="A422:B422"/>
    <mergeCell ref="A423:B423"/>
    <mergeCell ref="A452:B452"/>
    <mergeCell ref="A453:B453"/>
    <mergeCell ref="I540:J540"/>
    <mergeCell ref="F131:G140"/>
    <mergeCell ref="H131:J140"/>
    <mergeCell ref="A132:B132"/>
    <mergeCell ref="D132:E132"/>
    <mergeCell ref="A133:B133"/>
    <mergeCell ref="D140:E140"/>
    <mergeCell ref="A137:B137"/>
    <mergeCell ref="A138:B138"/>
    <mergeCell ref="D138:E138"/>
    <mergeCell ref="A139:B139"/>
    <mergeCell ref="D139:E139"/>
    <mergeCell ref="A134:B134"/>
    <mergeCell ref="D134:E134"/>
    <mergeCell ref="A135:B135"/>
    <mergeCell ref="D135:E135"/>
    <mergeCell ref="I368:J375"/>
    <mergeCell ref="I357:J360"/>
    <mergeCell ref="A268:I268"/>
    <mergeCell ref="A269:B269"/>
    <mergeCell ref="A271:B271"/>
    <mergeCell ref="A324:B324"/>
    <mergeCell ref="A325:B325"/>
    <mergeCell ref="A164:B164"/>
    <mergeCell ref="B561:E561"/>
    <mergeCell ref="C31:J31"/>
    <mergeCell ref="A128:B129"/>
    <mergeCell ref="C128:E129"/>
    <mergeCell ref="F128:G129"/>
    <mergeCell ref="H128:I129"/>
    <mergeCell ref="A96:B96"/>
    <mergeCell ref="C96:J96"/>
    <mergeCell ref="E97:F97"/>
    <mergeCell ref="I97:J97"/>
    <mergeCell ref="A98:B98"/>
    <mergeCell ref="C98:J98"/>
    <mergeCell ref="A99:B99"/>
    <mergeCell ref="D99:E99"/>
    <mergeCell ref="F99:G99"/>
    <mergeCell ref="H99:J99"/>
    <mergeCell ref="A100:B100"/>
    <mergeCell ref="D100:E100"/>
    <mergeCell ref="A101:B101"/>
    <mergeCell ref="A131:B131"/>
    <mergeCell ref="D119:E119"/>
    <mergeCell ref="A120:B120"/>
    <mergeCell ref="A189:B189"/>
    <mergeCell ref="D189:F189"/>
    <mergeCell ref="D137:E137"/>
    <mergeCell ref="A130:B130"/>
    <mergeCell ref="D130:E130"/>
    <mergeCell ref="H130:J130"/>
    <mergeCell ref="D163:E163"/>
    <mergeCell ref="A167:B167"/>
    <mergeCell ref="D167:E167"/>
    <mergeCell ref="F155:G156"/>
    <mergeCell ref="H155:I156"/>
    <mergeCell ref="A140:B140"/>
    <mergeCell ref="D133:E133"/>
    <mergeCell ref="D149:E149"/>
    <mergeCell ref="A150:B150"/>
    <mergeCell ref="D150:E150"/>
    <mergeCell ref="A151:B151"/>
    <mergeCell ref="E158:F158"/>
    <mergeCell ref="I158:J158"/>
    <mergeCell ref="A159:B159"/>
    <mergeCell ref="C159:J159"/>
    <mergeCell ref="A160:B160"/>
    <mergeCell ref="D160:E160"/>
    <mergeCell ref="F160:G160"/>
    <mergeCell ref="H160:J160"/>
    <mergeCell ref="A154:B154"/>
    <mergeCell ref="A188:B188"/>
    <mergeCell ref="A141:B141"/>
    <mergeCell ref="C141:J141"/>
    <mergeCell ref="E142:F142"/>
    <mergeCell ref="I142:J142"/>
    <mergeCell ref="A182:F182"/>
    <mergeCell ref="G182:J182"/>
    <mergeCell ref="C143:J143"/>
    <mergeCell ref="A144:B144"/>
    <mergeCell ref="D144:E144"/>
    <mergeCell ref="G184:J184"/>
    <mergeCell ref="A187:B187"/>
    <mergeCell ref="A147:B147"/>
    <mergeCell ref="D147:E147"/>
    <mergeCell ref="A148:B148"/>
    <mergeCell ref="D148:E148"/>
    <mergeCell ref="A149:B149"/>
    <mergeCell ref="A171:J171"/>
    <mergeCell ref="A166:B166"/>
    <mergeCell ref="D166:E166"/>
    <mergeCell ref="A181:F181"/>
    <mergeCell ref="G181:J181"/>
    <mergeCell ref="A178:F178"/>
    <mergeCell ref="G176:J176"/>
    <mergeCell ref="C51:F51"/>
    <mergeCell ref="H51:J51"/>
    <mergeCell ref="H113:J113"/>
    <mergeCell ref="C110:J110"/>
    <mergeCell ref="E111:F111"/>
    <mergeCell ref="I111:J111"/>
    <mergeCell ref="A89:B89"/>
    <mergeCell ref="A84:B84"/>
    <mergeCell ref="A85:B85"/>
    <mergeCell ref="F77:G77"/>
    <mergeCell ref="H77:J77"/>
    <mergeCell ref="H85:J85"/>
    <mergeCell ref="D86:E86"/>
    <mergeCell ref="F86:G95"/>
    <mergeCell ref="C79:J79"/>
    <mergeCell ref="C78:I78"/>
    <mergeCell ref="D77:E77"/>
    <mergeCell ref="A88:B88"/>
    <mergeCell ref="A82:B82"/>
    <mergeCell ref="A90:B90"/>
    <mergeCell ref="A103:B103"/>
    <mergeCell ref="A95:B95"/>
    <mergeCell ref="D95:E95"/>
    <mergeCell ref="A60:B61"/>
    <mergeCell ref="A36:E36"/>
    <mergeCell ref="A46:J46"/>
    <mergeCell ref="A47:B47"/>
    <mergeCell ref="C47:F47"/>
    <mergeCell ref="H47:J47"/>
    <mergeCell ref="A42:B42"/>
    <mergeCell ref="C42:F42"/>
    <mergeCell ref="H42:J42"/>
    <mergeCell ref="A43:B43"/>
    <mergeCell ref="C43:F43"/>
    <mergeCell ref="H43:J43"/>
    <mergeCell ref="A44:B44"/>
    <mergeCell ref="C44:F44"/>
    <mergeCell ref="H44:J44"/>
    <mergeCell ref="A45:B45"/>
    <mergeCell ref="C45:F45"/>
    <mergeCell ref="H45:J45"/>
    <mergeCell ref="A53:J53"/>
    <mergeCell ref="A54:B54"/>
    <mergeCell ref="C54:F54"/>
    <mergeCell ref="H54:J54"/>
    <mergeCell ref="C82:J82"/>
    <mergeCell ref="E83:F83"/>
    <mergeCell ref="H49:J49"/>
    <mergeCell ref="D108:E108"/>
    <mergeCell ref="I83:J83"/>
    <mergeCell ref="C84:J84"/>
    <mergeCell ref="D85:E85"/>
    <mergeCell ref="F85:G85"/>
    <mergeCell ref="D102:E102"/>
    <mergeCell ref="D103:E103"/>
    <mergeCell ref="F100:G109"/>
    <mergeCell ref="H100:J109"/>
    <mergeCell ref="D104:E104"/>
    <mergeCell ref="D89:E89"/>
    <mergeCell ref="D74:E74"/>
    <mergeCell ref="F74:G74"/>
    <mergeCell ref="C63:F63"/>
    <mergeCell ref="H63:J63"/>
    <mergeCell ref="D109:E109"/>
    <mergeCell ref="H86:J95"/>
    <mergeCell ref="A199:B199"/>
    <mergeCell ref="D199:F199"/>
    <mergeCell ref="A191:J191"/>
    <mergeCell ref="G199:J199"/>
    <mergeCell ref="H74:I74"/>
    <mergeCell ref="A195:B195"/>
    <mergeCell ref="D190:F190"/>
    <mergeCell ref="D195:F195"/>
    <mergeCell ref="G195:J195"/>
    <mergeCell ref="G189:J189"/>
    <mergeCell ref="A190:B190"/>
    <mergeCell ref="G188:J188"/>
    <mergeCell ref="G187:J187"/>
    <mergeCell ref="A112:B112"/>
    <mergeCell ref="C112:J112"/>
    <mergeCell ref="A113:B113"/>
    <mergeCell ref="A153:B153"/>
    <mergeCell ref="F114:G123"/>
    <mergeCell ref="H114:J123"/>
    <mergeCell ref="A115:B115"/>
    <mergeCell ref="A121:B121"/>
    <mergeCell ref="D121:E121"/>
    <mergeCell ref="A122:B122"/>
    <mergeCell ref="D196:F196"/>
    <mergeCell ref="G196:J196"/>
    <mergeCell ref="A183:J183"/>
    <mergeCell ref="A184:B184"/>
    <mergeCell ref="D184:F184"/>
    <mergeCell ref="A63:B63"/>
    <mergeCell ref="A86:B86"/>
    <mergeCell ref="A87:B87"/>
    <mergeCell ref="A81:J81"/>
    <mergeCell ref="F71:G71"/>
    <mergeCell ref="H73:I73"/>
    <mergeCell ref="D87:E87"/>
    <mergeCell ref="D88:E88"/>
    <mergeCell ref="C66:F66"/>
    <mergeCell ref="H66:J66"/>
    <mergeCell ref="C67:F67"/>
    <mergeCell ref="H67:J67"/>
    <mergeCell ref="D188:F188"/>
    <mergeCell ref="D151:E151"/>
    <mergeCell ref="A176:F176"/>
    <mergeCell ref="A143:B143"/>
    <mergeCell ref="A152:B152"/>
    <mergeCell ref="D152:E152"/>
    <mergeCell ref="D187:F187"/>
    <mergeCell ref="A65:J65"/>
    <mergeCell ref="A79:B79"/>
    <mergeCell ref="C59:F59"/>
    <mergeCell ref="A77:C77"/>
    <mergeCell ref="A76:J76"/>
    <mergeCell ref="A59:B59"/>
    <mergeCell ref="H64:J64"/>
    <mergeCell ref="D73:E73"/>
    <mergeCell ref="F73:G73"/>
    <mergeCell ref="H60:J60"/>
    <mergeCell ref="A64:B64"/>
    <mergeCell ref="C64:F64"/>
    <mergeCell ref="B70:C70"/>
    <mergeCell ref="H70:I70"/>
    <mergeCell ref="C69:F69"/>
    <mergeCell ref="A66:B66"/>
    <mergeCell ref="A67:B67"/>
    <mergeCell ref="C68:F68"/>
    <mergeCell ref="C60:F60"/>
    <mergeCell ref="C61:F61"/>
    <mergeCell ref="H61:J61"/>
    <mergeCell ref="H62:J62"/>
    <mergeCell ref="H72:I72"/>
    <mergeCell ref="B515:E515"/>
    <mergeCell ref="A328:B328"/>
    <mergeCell ref="A329:B329"/>
    <mergeCell ref="A330:B330"/>
    <mergeCell ref="A331:B331"/>
    <mergeCell ref="A332:B332"/>
    <mergeCell ref="A333:J333"/>
    <mergeCell ref="A339:J339"/>
    <mergeCell ref="A334:B334"/>
    <mergeCell ref="A473:J473"/>
    <mergeCell ref="A474:J474"/>
    <mergeCell ref="C357:H357"/>
    <mergeCell ref="C359:H359"/>
    <mergeCell ref="A335:B335"/>
    <mergeCell ref="A336:B336"/>
    <mergeCell ref="A337:B337"/>
    <mergeCell ref="A338:B338"/>
    <mergeCell ref="A392:B392"/>
    <mergeCell ref="I377:I381"/>
    <mergeCell ref="A404:B404"/>
    <mergeCell ref="A405:B405"/>
    <mergeCell ref="A406:B406"/>
    <mergeCell ref="A375:B375"/>
    <mergeCell ref="A390:B390"/>
    <mergeCell ref="A201:J201"/>
    <mergeCell ref="A202:J202"/>
    <mergeCell ref="A175:J175"/>
    <mergeCell ref="F144:G144"/>
    <mergeCell ref="H144:J144"/>
    <mergeCell ref="H145:J154"/>
    <mergeCell ref="D154:E154"/>
    <mergeCell ref="A145:B145"/>
    <mergeCell ref="D145:E145"/>
    <mergeCell ref="F145:G154"/>
    <mergeCell ref="A146:B146"/>
    <mergeCell ref="D146:E146"/>
    <mergeCell ref="A200:B200"/>
    <mergeCell ref="D200:F200"/>
    <mergeCell ref="G200:J200"/>
    <mergeCell ref="G197:J197"/>
    <mergeCell ref="A192:B192"/>
    <mergeCell ref="D192:F192"/>
    <mergeCell ref="G192:J192"/>
    <mergeCell ref="A179:F179"/>
    <mergeCell ref="G179:J179"/>
    <mergeCell ref="A197:B197"/>
    <mergeCell ref="D197:F197"/>
    <mergeCell ref="A196:B196"/>
    <mergeCell ref="A1:J1"/>
    <mergeCell ref="A80:E80"/>
    <mergeCell ref="F80:J80"/>
    <mergeCell ref="A57:J57"/>
    <mergeCell ref="D71:E71"/>
    <mergeCell ref="A29:J29"/>
    <mergeCell ref="A37:E37"/>
    <mergeCell ref="A30:J30"/>
    <mergeCell ref="A28:B28"/>
    <mergeCell ref="A31:B31"/>
    <mergeCell ref="F38:J38"/>
    <mergeCell ref="F40:J40"/>
    <mergeCell ref="A33:J33"/>
    <mergeCell ref="G26:H26"/>
    <mergeCell ref="I27:J27"/>
    <mergeCell ref="A38:E38"/>
    <mergeCell ref="A39:E39"/>
    <mergeCell ref="H56:J56"/>
    <mergeCell ref="H59:J59"/>
    <mergeCell ref="H58:J58"/>
    <mergeCell ref="C28:D28"/>
    <mergeCell ref="E26:F26"/>
    <mergeCell ref="A21:E21"/>
    <mergeCell ref="A27:B27"/>
    <mergeCell ref="A34:J35"/>
    <mergeCell ref="I28:J28"/>
    <mergeCell ref="A32:B32"/>
    <mergeCell ref="C32:J32"/>
    <mergeCell ref="A58:B58"/>
    <mergeCell ref="C58:F58"/>
    <mergeCell ref="A41:E41"/>
    <mergeCell ref="F41:J41"/>
    <mergeCell ref="F36:J36"/>
    <mergeCell ref="F39:J39"/>
    <mergeCell ref="A40:E40"/>
    <mergeCell ref="C52:F52"/>
    <mergeCell ref="H52:J52"/>
    <mergeCell ref="A48:B48"/>
    <mergeCell ref="C48:F48"/>
    <mergeCell ref="H48:J48"/>
    <mergeCell ref="G28:H28"/>
    <mergeCell ref="F37:J37"/>
    <mergeCell ref="A56:B56"/>
    <mergeCell ref="C56:F56"/>
    <mergeCell ref="C50:F50"/>
    <mergeCell ref="H50:J50"/>
    <mergeCell ref="A49:B50"/>
    <mergeCell ref="C49:F49"/>
    <mergeCell ref="A9:E9"/>
    <mergeCell ref="A11:E11"/>
    <mergeCell ref="C13:G13"/>
    <mergeCell ref="A14:B14"/>
    <mergeCell ref="C14:J14"/>
    <mergeCell ref="F11:J11"/>
    <mergeCell ref="A10:E10"/>
    <mergeCell ref="F10:I10"/>
    <mergeCell ref="A13:B13"/>
    <mergeCell ref="I13:J13"/>
    <mergeCell ref="F9:J9"/>
    <mergeCell ref="A12:E12"/>
    <mergeCell ref="F12:J12"/>
    <mergeCell ref="C27:D27"/>
    <mergeCell ref="A24:E24"/>
    <mergeCell ref="A18:B18"/>
    <mergeCell ref="A22:E22"/>
    <mergeCell ref="F22:J22"/>
    <mergeCell ref="A25:E25"/>
    <mergeCell ref="I26:J26"/>
    <mergeCell ref="A26:B26"/>
    <mergeCell ref="C26:D26"/>
    <mergeCell ref="B15:D15"/>
    <mergeCell ref="G17:J17"/>
    <mergeCell ref="C18:E18"/>
    <mergeCell ref="F23:J23"/>
    <mergeCell ref="H18:J18"/>
    <mergeCell ref="A19:E20"/>
    <mergeCell ref="F24:J24"/>
    <mergeCell ref="F25:J25"/>
    <mergeCell ref="F19:J20"/>
    <mergeCell ref="A23:E23"/>
    <mergeCell ref="B17:E17"/>
    <mergeCell ref="H15:J15"/>
    <mergeCell ref="B16:E16"/>
    <mergeCell ref="G16:J16"/>
    <mergeCell ref="F18:G18"/>
    <mergeCell ref="A2:J2"/>
    <mergeCell ref="A3:E3"/>
    <mergeCell ref="F3:J3"/>
    <mergeCell ref="A4:E4"/>
    <mergeCell ref="F4:J4"/>
    <mergeCell ref="F8:J8"/>
    <mergeCell ref="A6:E6"/>
    <mergeCell ref="F6:J6"/>
    <mergeCell ref="A5:E5"/>
    <mergeCell ref="F5:J5"/>
    <mergeCell ref="F7:J7"/>
    <mergeCell ref="A8:E8"/>
    <mergeCell ref="A7:E7"/>
    <mergeCell ref="A203:B203"/>
    <mergeCell ref="F21:J21"/>
    <mergeCell ref="E28:F28"/>
    <mergeCell ref="E27:F27"/>
    <mergeCell ref="G27:H27"/>
    <mergeCell ref="A322:B322"/>
    <mergeCell ref="I352:J355"/>
    <mergeCell ref="A351:J351"/>
    <mergeCell ref="A354:B354"/>
    <mergeCell ref="A355:B355"/>
    <mergeCell ref="A340:B340"/>
    <mergeCell ref="A321:J321"/>
    <mergeCell ref="I322:J326"/>
    <mergeCell ref="C342:H342"/>
    <mergeCell ref="I346:J350"/>
    <mergeCell ref="A308:B308"/>
    <mergeCell ref="A309:B309"/>
    <mergeCell ref="A310:B310"/>
    <mergeCell ref="A312:B312"/>
    <mergeCell ref="A313:B313"/>
    <mergeCell ref="A314:B314"/>
    <mergeCell ref="A316:B316"/>
    <mergeCell ref="A317:B317"/>
    <mergeCell ref="A311:J311"/>
    <mergeCell ref="I308:J310"/>
    <mergeCell ref="I316:J320"/>
    <mergeCell ref="A318:B318"/>
    <mergeCell ref="A319:B319"/>
    <mergeCell ref="A320:B320"/>
    <mergeCell ref="A294:B294"/>
    <mergeCell ref="A295:B295"/>
    <mergeCell ref="A296:B296"/>
    <mergeCell ref="A297:B297"/>
    <mergeCell ref="I312:I314"/>
    <mergeCell ref="A299:B299"/>
    <mergeCell ref="A300:B300"/>
    <mergeCell ref="A301:B301"/>
    <mergeCell ref="A302:B302"/>
    <mergeCell ref="A303:B303"/>
    <mergeCell ref="A304:B304"/>
    <mergeCell ref="I203:J203"/>
    <mergeCell ref="A273:J273"/>
    <mergeCell ref="A274:J274"/>
    <mergeCell ref="A275:J275"/>
    <mergeCell ref="A291:J291"/>
    <mergeCell ref="I283:J290"/>
    <mergeCell ref="A276:B276"/>
    <mergeCell ref="A277:B277"/>
    <mergeCell ref="A278:B278"/>
    <mergeCell ref="A279:B279"/>
    <mergeCell ref="A280:B280"/>
    <mergeCell ref="A281:B281"/>
    <mergeCell ref="A284:B284"/>
    <mergeCell ref="A285:B285"/>
    <mergeCell ref="A286:B286"/>
    <mergeCell ref="A287:B287"/>
    <mergeCell ref="A288:B288"/>
    <mergeCell ref="A289:B289"/>
    <mergeCell ref="A254:J254"/>
    <mergeCell ref="I240:I244"/>
    <mergeCell ref="C257:H257"/>
    <mergeCell ref="A228:B228"/>
    <mergeCell ref="A229:B229"/>
    <mergeCell ref="I255:I257"/>
    <mergeCell ref="I234:I238"/>
    <mergeCell ref="A362:B362"/>
    <mergeCell ref="A363:B363"/>
    <mergeCell ref="A364:B364"/>
    <mergeCell ref="A356:J356"/>
    <mergeCell ref="A305:J305"/>
    <mergeCell ref="A306:J306"/>
    <mergeCell ref="A307:J307"/>
    <mergeCell ref="C301:H301"/>
    <mergeCell ref="A315:J315"/>
    <mergeCell ref="A323:B323"/>
    <mergeCell ref="A359:B359"/>
    <mergeCell ref="A361:J361"/>
    <mergeCell ref="A357:B357"/>
    <mergeCell ref="A358:B358"/>
    <mergeCell ref="I269:I272"/>
    <mergeCell ref="A270:B270"/>
    <mergeCell ref="I299:J304"/>
    <mergeCell ref="A326:B326"/>
    <mergeCell ref="I340:I344"/>
    <mergeCell ref="A346:B346"/>
    <mergeCell ref="A347:B347"/>
    <mergeCell ref="A292:B292"/>
    <mergeCell ref="A293:B293"/>
    <mergeCell ref="A379:B379"/>
    <mergeCell ref="A380:B380"/>
    <mergeCell ref="A381:B381"/>
    <mergeCell ref="A225:B225"/>
    <mergeCell ref="A226:B226"/>
    <mergeCell ref="A227:B227"/>
    <mergeCell ref="A257:B257"/>
    <mergeCell ref="A283:B283"/>
    <mergeCell ref="A230:B230"/>
    <mergeCell ref="A345:J345"/>
    <mergeCell ref="A327:J327"/>
    <mergeCell ref="A348:B348"/>
    <mergeCell ref="A349:B349"/>
    <mergeCell ref="A350:B350"/>
    <mergeCell ref="A352:B352"/>
    <mergeCell ref="A353:B353"/>
    <mergeCell ref="A343:B343"/>
    <mergeCell ref="A344:B344"/>
    <mergeCell ref="A342:B342"/>
    <mergeCell ref="A341:B341"/>
    <mergeCell ref="I328:I332"/>
    <mergeCell ref="I334:I338"/>
    <mergeCell ref="A272:B272"/>
    <mergeCell ref="A282:J282"/>
    <mergeCell ref="A434:B434"/>
    <mergeCell ref="A435:B435"/>
    <mergeCell ref="I383:I388"/>
    <mergeCell ref="I390:J395"/>
    <mergeCell ref="I397:J402"/>
    <mergeCell ref="C404:H404"/>
    <mergeCell ref="C409:H409"/>
    <mergeCell ref="I404:J409"/>
    <mergeCell ref="I418:J423"/>
    <mergeCell ref="I425:J430"/>
    <mergeCell ref="I432:J435"/>
    <mergeCell ref="A429:B429"/>
    <mergeCell ref="A430:B430"/>
    <mergeCell ref="A431:J431"/>
    <mergeCell ref="A432:B432"/>
    <mergeCell ref="A433:B433"/>
    <mergeCell ref="A424:J424"/>
    <mergeCell ref="A425:B425"/>
    <mergeCell ref="A426:B426"/>
    <mergeCell ref="A427:B427"/>
    <mergeCell ref="A391:B391"/>
    <mergeCell ref="A414:B414"/>
    <mergeCell ref="A415:B415"/>
    <mergeCell ref="A419:B419"/>
    <mergeCell ref="A373:B373"/>
    <mergeCell ref="A374:B374"/>
    <mergeCell ref="A231:B231"/>
    <mergeCell ref="A428:B428"/>
    <mergeCell ref="I246:I250"/>
    <mergeCell ref="A186:B186"/>
    <mergeCell ref="D186:F186"/>
    <mergeCell ref="G186:J186"/>
    <mergeCell ref="A239:I239"/>
    <mergeCell ref="A240:B240"/>
    <mergeCell ref="A241:B241"/>
    <mergeCell ref="A242:B242"/>
    <mergeCell ref="A243:B243"/>
    <mergeCell ref="A244:B244"/>
    <mergeCell ref="A219:J219"/>
    <mergeCell ref="A220:B220"/>
    <mergeCell ref="I220:J231"/>
    <mergeCell ref="A221:B221"/>
    <mergeCell ref="A222:B222"/>
    <mergeCell ref="A223:B223"/>
    <mergeCell ref="A224:B224"/>
    <mergeCell ref="A376:J376"/>
    <mergeCell ref="A377:B377"/>
    <mergeCell ref="A378:B378"/>
  </mergeCells>
  <phoneticPr fontId="0" type="noConversion"/>
  <hyperlinks>
    <hyperlink ref="C32" r:id="rId1"/>
  </hyperlinks>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Roman,Bold"Ref No: &amp;F&amp;C&amp;G&amp;R&amp;P</oddFooter>
  </headerFooter>
  <rowBreaks count="4" manualBreakCount="4">
    <brk id="109" max="16383" man="1"/>
    <brk id="478" max="9" man="1"/>
    <brk id="524" max="9" man="1"/>
    <brk id="570"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F6" sqref="F6"/>
    </sheetView>
  </sheetViews>
  <sheetFormatPr defaultColWidth="8.7109375" defaultRowHeight="15" x14ac:dyDescent="0.25"/>
  <cols>
    <col min="1" max="1" width="8.7109375" style="24"/>
    <col min="2" max="2" width="22.140625" style="24" customWidth="1"/>
    <col min="3" max="3" width="37" style="24" customWidth="1"/>
    <col min="4" max="5" width="11.42578125" style="24" customWidth="1"/>
    <col min="6" max="6" width="14" style="24" customWidth="1"/>
    <col min="7" max="7" width="20" style="24" customWidth="1"/>
    <col min="8" max="8" width="16.42578125" style="24" customWidth="1"/>
    <col min="9" max="16384" width="8.7109375" style="24"/>
  </cols>
  <sheetData>
    <row r="1" spans="1:9" ht="15" customHeight="1" x14ac:dyDescent="0.25"/>
    <row r="2" spans="1:9" ht="15" customHeight="1" x14ac:dyDescent="0.25">
      <c r="A2" s="25"/>
      <c r="B2" s="25"/>
      <c r="C2" s="25"/>
      <c r="D2" s="25"/>
      <c r="E2" s="25"/>
      <c r="F2" s="25"/>
      <c r="G2" s="25"/>
      <c r="H2" s="25"/>
    </row>
    <row r="3" spans="1:9" ht="15.75" customHeight="1" x14ac:dyDescent="0.25">
      <c r="A3" s="25"/>
      <c r="B3" s="351" t="s">
        <v>160</v>
      </c>
      <c r="C3" s="351"/>
      <c r="D3" s="351"/>
      <c r="E3" s="351"/>
      <c r="F3" s="351"/>
      <c r="G3" s="351"/>
      <c r="H3" s="351"/>
    </row>
    <row r="4" spans="1:9" x14ac:dyDescent="0.25">
      <c r="A4" s="25"/>
      <c r="B4" s="26" t="s">
        <v>161</v>
      </c>
      <c r="C4" s="26" t="s">
        <v>162</v>
      </c>
      <c r="D4" s="26" t="s">
        <v>106</v>
      </c>
      <c r="E4" s="26" t="s">
        <v>163</v>
      </c>
      <c r="F4" s="26" t="s">
        <v>164</v>
      </c>
      <c r="G4" s="26" t="s">
        <v>165</v>
      </c>
      <c r="H4" s="26" t="s">
        <v>166</v>
      </c>
    </row>
    <row r="5" spans="1:9" ht="15" customHeight="1" x14ac:dyDescent="0.25">
      <c r="A5" s="25"/>
      <c r="B5" s="27" t="s">
        <v>167</v>
      </c>
      <c r="C5" s="34" t="s">
        <v>153</v>
      </c>
      <c r="D5" s="27" t="s">
        <v>124</v>
      </c>
      <c r="E5" s="27">
        <v>839</v>
      </c>
      <c r="F5" s="28">
        <v>1439</v>
      </c>
      <c r="G5" s="28">
        <f>H5/F5</f>
        <v>18068.102849200834</v>
      </c>
      <c r="H5" s="29">
        <v>26000000</v>
      </c>
    </row>
    <row r="6" spans="1:9" x14ac:dyDescent="0.25">
      <c r="A6" s="25"/>
      <c r="B6" s="27" t="s">
        <v>167</v>
      </c>
      <c r="C6" s="34" t="s">
        <v>153</v>
      </c>
      <c r="D6" s="27" t="s">
        <v>132</v>
      </c>
      <c r="E6" s="27">
        <v>1550</v>
      </c>
      <c r="F6" s="28">
        <v>2233</v>
      </c>
      <c r="G6" s="28">
        <f>H6/F6</f>
        <v>20465.741155396328</v>
      </c>
      <c r="H6" s="29">
        <v>45700000</v>
      </c>
    </row>
    <row r="7" spans="1:9" ht="15" customHeight="1" x14ac:dyDescent="0.25">
      <c r="A7" s="25"/>
      <c r="B7" s="27" t="s">
        <v>167</v>
      </c>
      <c r="C7" s="34" t="s">
        <v>153</v>
      </c>
      <c r="D7" s="27" t="s">
        <v>170</v>
      </c>
      <c r="E7" s="27">
        <v>2575</v>
      </c>
      <c r="F7" s="28">
        <v>4022</v>
      </c>
      <c r="G7" s="28">
        <f>H7/F7</f>
        <v>19045.251118846347</v>
      </c>
      <c r="H7" s="29">
        <v>76600000</v>
      </c>
    </row>
    <row r="8" spans="1:9" x14ac:dyDescent="0.25">
      <c r="A8" s="25"/>
      <c r="B8" s="27" t="s">
        <v>167</v>
      </c>
      <c r="C8" s="34" t="s">
        <v>153</v>
      </c>
      <c r="D8" s="27" t="s">
        <v>132</v>
      </c>
      <c r="E8" s="27">
        <v>2500</v>
      </c>
      <c r="F8" s="28">
        <v>4000</v>
      </c>
      <c r="G8" s="28">
        <f>H8/F8</f>
        <v>17325</v>
      </c>
      <c r="H8" s="29">
        <v>69300000</v>
      </c>
    </row>
    <row r="9" spans="1:9" ht="15" customHeight="1" x14ac:dyDescent="0.25">
      <c r="A9" s="25"/>
      <c r="B9" s="30" t="s">
        <v>168</v>
      </c>
      <c r="C9" s="27"/>
      <c r="D9" s="27"/>
      <c r="E9" s="27"/>
      <c r="F9" s="27"/>
      <c r="G9" s="31">
        <f>AVERAGE(G5:G8)</f>
        <v>18726.02378086088</v>
      </c>
      <c r="H9" s="27"/>
    </row>
    <row r="10" spans="1:9" ht="15" customHeight="1" x14ac:dyDescent="0.25">
      <c r="B10" s="30" t="s">
        <v>169</v>
      </c>
      <c r="C10" s="27"/>
      <c r="D10" s="27"/>
      <c r="E10" s="27"/>
      <c r="F10" s="32"/>
      <c r="G10" s="30"/>
      <c r="H10" s="30"/>
      <c r="I10" s="33"/>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5" sqref="C5"/>
    </sheetView>
  </sheetViews>
  <sheetFormatPr defaultRowHeight="15" x14ac:dyDescent="0.25"/>
  <cols>
    <col min="1" max="2" width="11.28515625" customWidth="1"/>
    <col min="3" max="3" width="16" customWidth="1"/>
    <col min="4" max="4" width="12" customWidth="1"/>
    <col min="5" max="5" width="14.5703125" customWidth="1"/>
    <col min="6" max="6" width="4" customWidth="1"/>
    <col min="7" max="7" width="15.140625" customWidth="1"/>
    <col min="8" max="9" width="9.140625" hidden="1" customWidth="1"/>
    <col min="11" max="11" width="12.7109375" customWidth="1"/>
    <col min="12" max="12" width="15.140625" customWidth="1"/>
    <col min="15" max="15" width="16.5703125" customWidth="1"/>
  </cols>
  <sheetData>
    <row r="2" spans="1:16" x14ac:dyDescent="0.25">
      <c r="A2" t="s">
        <v>134</v>
      </c>
      <c r="B2" s="16" t="s">
        <v>135</v>
      </c>
      <c r="C2" s="16">
        <v>14</v>
      </c>
    </row>
    <row r="3" spans="1:16" x14ac:dyDescent="0.25">
      <c r="A3" t="s">
        <v>136</v>
      </c>
      <c r="B3" s="9">
        <v>10</v>
      </c>
      <c r="C3" s="9">
        <v>10</v>
      </c>
      <c r="D3" s="20">
        <f>(100/B3)*C3</f>
        <v>100</v>
      </c>
    </row>
    <row r="4" spans="1:16" x14ac:dyDescent="0.25">
      <c r="A4" t="s">
        <v>137</v>
      </c>
      <c r="B4" s="9">
        <f>C2+1</f>
        <v>15</v>
      </c>
      <c r="C4" s="9">
        <v>14</v>
      </c>
      <c r="D4" s="20">
        <f t="shared" ref="D4:D9" si="0">(100/B4)*C4</f>
        <v>93.333333333333343</v>
      </c>
    </row>
    <row r="5" spans="1:16" x14ac:dyDescent="0.25">
      <c r="A5" t="s">
        <v>143</v>
      </c>
      <c r="B5" s="9">
        <f>C2</f>
        <v>14</v>
      </c>
      <c r="C5" s="9">
        <v>12</v>
      </c>
      <c r="D5" s="20">
        <f t="shared" si="0"/>
        <v>85.714285714285722</v>
      </c>
      <c r="J5" s="9" t="s">
        <v>138</v>
      </c>
      <c r="K5" s="9" t="s">
        <v>139</v>
      </c>
      <c r="L5" s="9" t="s">
        <v>140</v>
      </c>
      <c r="M5" s="9" t="s">
        <v>37</v>
      </c>
      <c r="N5" s="9" t="s">
        <v>44</v>
      </c>
      <c r="O5" s="9" t="s">
        <v>141</v>
      </c>
      <c r="P5" s="9" t="s">
        <v>45</v>
      </c>
    </row>
    <row r="6" spans="1:16" x14ac:dyDescent="0.25">
      <c r="A6" t="s">
        <v>145</v>
      </c>
      <c r="B6" s="9">
        <f>C2</f>
        <v>14</v>
      </c>
      <c r="C6" s="9">
        <f>5/2</f>
        <v>2.5</v>
      </c>
      <c r="D6" s="20">
        <f t="shared" si="0"/>
        <v>17.857142857142858</v>
      </c>
      <c r="G6" s="17" t="s">
        <v>142</v>
      </c>
      <c r="J6" s="17">
        <f>C3</f>
        <v>10</v>
      </c>
      <c r="K6" s="17">
        <f>40/B4*C4</f>
        <v>37.333333333333329</v>
      </c>
      <c r="L6" s="17">
        <f>15/B5*C5</f>
        <v>12.857142857142858</v>
      </c>
      <c r="M6" s="17">
        <f>10/B6*C6</f>
        <v>1.7857142857142858</v>
      </c>
      <c r="N6" s="17">
        <f>10/B7*C7</f>
        <v>0</v>
      </c>
      <c r="O6" s="17">
        <f>5/B8*C8</f>
        <v>0</v>
      </c>
      <c r="P6" s="17">
        <f>5/B9*C9</f>
        <v>0</v>
      </c>
    </row>
    <row r="7" spans="1:16" x14ac:dyDescent="0.25">
      <c r="A7" t="s">
        <v>44</v>
      </c>
      <c r="B7" s="9">
        <f>C2</f>
        <v>14</v>
      </c>
      <c r="C7" s="9">
        <v>0</v>
      </c>
      <c r="D7" s="20">
        <f t="shared" si="0"/>
        <v>0</v>
      </c>
      <c r="G7" s="9" t="s">
        <v>144</v>
      </c>
      <c r="H7" s="9"/>
      <c r="I7" s="9"/>
      <c r="J7" s="9">
        <f>J6+20</f>
        <v>30</v>
      </c>
      <c r="K7" s="9">
        <f>30/B4*C4</f>
        <v>28</v>
      </c>
      <c r="L7" s="9">
        <f>15/B5*C5</f>
        <v>12.857142857142858</v>
      </c>
      <c r="M7" s="9">
        <f>10/B6*C6</f>
        <v>1.7857142857142858</v>
      </c>
      <c r="N7" s="9">
        <f>5/B7*C7</f>
        <v>0</v>
      </c>
      <c r="O7" s="9">
        <f>5/B8*C8</f>
        <v>0</v>
      </c>
      <c r="P7" s="9">
        <f>5/B9*C9</f>
        <v>0</v>
      </c>
    </row>
    <row r="8" spans="1:16" ht="30" x14ac:dyDescent="0.25">
      <c r="A8" s="18" t="s">
        <v>141</v>
      </c>
      <c r="B8" s="9">
        <f>C2</f>
        <v>14</v>
      </c>
      <c r="C8" s="9">
        <v>0</v>
      </c>
      <c r="D8" s="20">
        <f t="shared" si="0"/>
        <v>0</v>
      </c>
    </row>
    <row r="9" spans="1:16" x14ac:dyDescent="0.25">
      <c r="A9" t="s">
        <v>45</v>
      </c>
      <c r="B9" s="9">
        <f>C2</f>
        <v>14</v>
      </c>
      <c r="C9" s="9">
        <v>0</v>
      </c>
      <c r="D9" s="20">
        <f t="shared" si="0"/>
        <v>0</v>
      </c>
    </row>
    <row r="12" spans="1:16" x14ac:dyDescent="0.25">
      <c r="C12" s="9"/>
      <c r="D12" s="9" t="s">
        <v>142</v>
      </c>
      <c r="E12" s="9" t="s">
        <v>146</v>
      </c>
      <c r="M12" t="s">
        <v>147</v>
      </c>
    </row>
    <row r="13" spans="1:16" ht="31.5" customHeight="1" x14ac:dyDescent="0.25">
      <c r="C13" s="9" t="s">
        <v>35</v>
      </c>
      <c r="D13" s="9">
        <f>J6</f>
        <v>10</v>
      </c>
      <c r="E13" s="9">
        <f>J7</f>
        <v>30</v>
      </c>
      <c r="M13" t="s">
        <v>147</v>
      </c>
    </row>
    <row r="14" spans="1:16" x14ac:dyDescent="0.25">
      <c r="C14" s="9" t="s">
        <v>36</v>
      </c>
      <c r="D14" s="9">
        <f>K6</f>
        <v>37.333333333333329</v>
      </c>
      <c r="E14" s="9">
        <f>K7</f>
        <v>28</v>
      </c>
    </row>
    <row r="15" spans="1:16" x14ac:dyDescent="0.25">
      <c r="C15" s="9" t="s">
        <v>140</v>
      </c>
      <c r="D15" s="9">
        <f>L6</f>
        <v>12.857142857142858</v>
      </c>
      <c r="E15" s="9">
        <f>L7</f>
        <v>12.857142857142858</v>
      </c>
    </row>
    <row r="16" spans="1:16" x14ac:dyDescent="0.25">
      <c r="C16" s="9" t="s">
        <v>37</v>
      </c>
      <c r="D16" s="9">
        <f>M6</f>
        <v>1.7857142857142858</v>
      </c>
      <c r="E16" s="9">
        <f>M7</f>
        <v>1.7857142857142858</v>
      </c>
    </row>
    <row r="17" spans="3:5" x14ac:dyDescent="0.25">
      <c r="C17" s="9" t="s">
        <v>44</v>
      </c>
      <c r="D17" s="9">
        <f>N6</f>
        <v>0</v>
      </c>
      <c r="E17" s="9">
        <f>N7</f>
        <v>0</v>
      </c>
    </row>
    <row r="18" spans="3:5" ht="29.25" customHeight="1" x14ac:dyDescent="0.25">
      <c r="C18" s="19" t="s">
        <v>141</v>
      </c>
      <c r="D18" s="9">
        <f>O6</f>
        <v>0</v>
      </c>
      <c r="E18" s="9">
        <f>O7</f>
        <v>0</v>
      </c>
    </row>
    <row r="19" spans="3:5" x14ac:dyDescent="0.25">
      <c r="C19" s="9" t="s">
        <v>45</v>
      </c>
      <c r="D19" s="9">
        <f>P6</f>
        <v>0</v>
      </c>
      <c r="E19" s="9">
        <f>P7</f>
        <v>0</v>
      </c>
    </row>
    <row r="20" spans="3:5" x14ac:dyDescent="0.25">
      <c r="C20" s="9" t="s">
        <v>148</v>
      </c>
      <c r="D20" s="9">
        <f>D13+D14+D15+D16+D17+D18+D19</f>
        <v>61.976190476190474</v>
      </c>
      <c r="E20" s="9">
        <f>E13+E14+E15+E16+E17+E18+E19</f>
        <v>72.642857142857153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B10" sqref="B10"/>
    </sheetView>
  </sheetViews>
  <sheetFormatPr defaultRowHeight="15" x14ac:dyDescent="0.25"/>
  <cols>
    <col min="1" max="2" width="11.28515625" customWidth="1"/>
    <col min="3" max="3" width="16" customWidth="1"/>
    <col min="4" max="4" width="12" customWidth="1"/>
    <col min="5" max="5" width="14.5703125" customWidth="1"/>
    <col min="6" max="6" width="4" customWidth="1"/>
    <col min="7" max="7" width="15.140625" customWidth="1"/>
    <col min="8" max="9" width="9.140625" hidden="1" customWidth="1"/>
    <col min="11" max="11" width="12.7109375" customWidth="1"/>
    <col min="12" max="12" width="15.140625" customWidth="1"/>
    <col min="15" max="15" width="16.5703125" customWidth="1"/>
  </cols>
  <sheetData>
    <row r="2" spans="1:16" x14ac:dyDescent="0.25">
      <c r="A2" t="s">
        <v>134</v>
      </c>
      <c r="B2" s="16" t="s">
        <v>135</v>
      </c>
      <c r="C2" s="16">
        <v>14</v>
      </c>
    </row>
    <row r="3" spans="1:16" x14ac:dyDescent="0.25">
      <c r="A3" t="s">
        <v>136</v>
      </c>
      <c r="B3" s="9">
        <v>10</v>
      </c>
      <c r="C3" s="9">
        <v>10</v>
      </c>
      <c r="D3" s="20">
        <f>(100/B3)*C3</f>
        <v>100</v>
      </c>
    </row>
    <row r="4" spans="1:16" x14ac:dyDescent="0.25">
      <c r="A4" t="s">
        <v>137</v>
      </c>
      <c r="B4" s="9">
        <f>C2+1</f>
        <v>15</v>
      </c>
      <c r="C4" s="9">
        <v>2</v>
      </c>
      <c r="D4" s="20">
        <f t="shared" ref="D4:D9" si="0">(100/B4)*C4</f>
        <v>13.333333333333334</v>
      </c>
    </row>
    <row r="5" spans="1:16" x14ac:dyDescent="0.25">
      <c r="A5" t="s">
        <v>143</v>
      </c>
      <c r="B5" s="9">
        <v>14</v>
      </c>
      <c r="C5" s="9">
        <v>1</v>
      </c>
      <c r="D5" s="20">
        <f t="shared" si="0"/>
        <v>7.1428571428571432</v>
      </c>
      <c r="J5" s="9" t="s">
        <v>138</v>
      </c>
      <c r="K5" s="9" t="s">
        <v>139</v>
      </c>
      <c r="L5" s="9" t="s">
        <v>140</v>
      </c>
      <c r="M5" s="9" t="s">
        <v>37</v>
      </c>
      <c r="N5" s="9" t="s">
        <v>44</v>
      </c>
      <c r="O5" s="9" t="s">
        <v>141</v>
      </c>
      <c r="P5" s="9" t="s">
        <v>45</v>
      </c>
    </row>
    <row r="6" spans="1:16" x14ac:dyDescent="0.25">
      <c r="A6" t="s">
        <v>145</v>
      </c>
      <c r="B6" s="9">
        <v>14</v>
      </c>
      <c r="C6" s="9">
        <v>0</v>
      </c>
      <c r="D6" s="20">
        <f t="shared" si="0"/>
        <v>0</v>
      </c>
      <c r="G6" s="17" t="s">
        <v>142</v>
      </c>
      <c r="J6" s="17">
        <f>C3</f>
        <v>10</v>
      </c>
      <c r="K6" s="17">
        <f>40/B4*C4</f>
        <v>5.333333333333333</v>
      </c>
      <c r="L6" s="17">
        <f>15/B5*C5</f>
        <v>1.0714285714285714</v>
      </c>
      <c r="M6" s="17">
        <f>10/B6*C6</f>
        <v>0</v>
      </c>
      <c r="N6" s="17">
        <f>10/B7*C7</f>
        <v>0</v>
      </c>
      <c r="O6" s="17">
        <f>5/B8*C8</f>
        <v>0</v>
      </c>
      <c r="P6" s="17">
        <f>5/B9*C9</f>
        <v>0</v>
      </c>
    </row>
    <row r="7" spans="1:16" x14ac:dyDescent="0.25">
      <c r="A7" t="s">
        <v>44</v>
      </c>
      <c r="B7" s="9">
        <v>14</v>
      </c>
      <c r="C7" s="9">
        <v>0</v>
      </c>
      <c r="D7" s="20">
        <f t="shared" si="0"/>
        <v>0</v>
      </c>
      <c r="G7" s="9" t="s">
        <v>144</v>
      </c>
      <c r="H7" s="9"/>
      <c r="I7" s="9"/>
      <c r="J7" s="9">
        <f>J6+20</f>
        <v>30</v>
      </c>
      <c r="K7" s="9">
        <f>30/B4*C4</f>
        <v>4</v>
      </c>
      <c r="L7" s="9">
        <f>15/B5*C5</f>
        <v>1.0714285714285714</v>
      </c>
      <c r="M7" s="9">
        <f>10/B6*C6</f>
        <v>0</v>
      </c>
      <c r="N7" s="9">
        <f>5/B7*C7</f>
        <v>0</v>
      </c>
      <c r="O7" s="9">
        <f>5/B8*C8</f>
        <v>0</v>
      </c>
      <c r="P7" s="9">
        <f>5/B9*C9</f>
        <v>0</v>
      </c>
    </row>
    <row r="8" spans="1:16" ht="30" x14ac:dyDescent="0.25">
      <c r="A8" s="18" t="s">
        <v>141</v>
      </c>
      <c r="B8" s="9">
        <v>14</v>
      </c>
      <c r="C8" s="9">
        <v>0</v>
      </c>
      <c r="D8" s="20">
        <f t="shared" si="0"/>
        <v>0</v>
      </c>
    </row>
    <row r="9" spans="1:16" x14ac:dyDescent="0.25">
      <c r="A9" t="s">
        <v>45</v>
      </c>
      <c r="B9" s="9">
        <v>14</v>
      </c>
      <c r="C9" s="9">
        <v>0</v>
      </c>
      <c r="D9" s="20">
        <f t="shared" si="0"/>
        <v>0</v>
      </c>
    </row>
    <row r="12" spans="1:16" x14ac:dyDescent="0.25">
      <c r="C12" s="9"/>
      <c r="D12" s="9" t="s">
        <v>142</v>
      </c>
      <c r="E12" s="9" t="s">
        <v>146</v>
      </c>
      <c r="M12" t="s">
        <v>147</v>
      </c>
    </row>
    <row r="13" spans="1:16" ht="31.5" customHeight="1" x14ac:dyDescent="0.25">
      <c r="C13" s="9" t="s">
        <v>35</v>
      </c>
      <c r="D13" s="9">
        <f>J6</f>
        <v>10</v>
      </c>
      <c r="E13" s="9">
        <f>J7</f>
        <v>30</v>
      </c>
      <c r="M13" t="s">
        <v>147</v>
      </c>
    </row>
    <row r="14" spans="1:16" x14ac:dyDescent="0.25">
      <c r="C14" s="9" t="s">
        <v>36</v>
      </c>
      <c r="D14" s="9">
        <f>K6</f>
        <v>5.333333333333333</v>
      </c>
      <c r="E14" s="9">
        <f>K7</f>
        <v>4</v>
      </c>
    </row>
    <row r="15" spans="1:16" x14ac:dyDescent="0.25">
      <c r="C15" s="9" t="s">
        <v>140</v>
      </c>
      <c r="D15" s="9">
        <f>L6</f>
        <v>1.0714285714285714</v>
      </c>
      <c r="E15" s="9">
        <f>L7</f>
        <v>1.0714285714285714</v>
      </c>
    </row>
    <row r="16" spans="1:16" x14ac:dyDescent="0.25">
      <c r="C16" s="9" t="s">
        <v>37</v>
      </c>
      <c r="D16" s="9">
        <f>M6</f>
        <v>0</v>
      </c>
      <c r="E16" s="9">
        <f>M7</f>
        <v>0</v>
      </c>
    </row>
    <row r="17" spans="3:5" x14ac:dyDescent="0.25">
      <c r="C17" s="9" t="s">
        <v>44</v>
      </c>
      <c r="D17" s="9">
        <f>N6</f>
        <v>0</v>
      </c>
      <c r="E17" s="9">
        <f>N7</f>
        <v>0</v>
      </c>
    </row>
    <row r="18" spans="3:5" ht="29.25" customHeight="1" x14ac:dyDescent="0.25">
      <c r="C18" s="19" t="s">
        <v>141</v>
      </c>
      <c r="D18" s="9">
        <f>O6</f>
        <v>0</v>
      </c>
      <c r="E18" s="9">
        <f>O7</f>
        <v>0</v>
      </c>
    </row>
    <row r="19" spans="3:5" x14ac:dyDescent="0.25">
      <c r="C19" s="9" t="s">
        <v>45</v>
      </c>
      <c r="D19" s="9">
        <f>P6</f>
        <v>0</v>
      </c>
      <c r="E19" s="9">
        <f>P7</f>
        <v>0</v>
      </c>
    </row>
    <row r="20" spans="3:5" x14ac:dyDescent="0.25">
      <c r="C20" s="9" t="s">
        <v>148</v>
      </c>
      <c r="D20" s="9">
        <f>D13+D14+D15+D16+D17+D18+D19</f>
        <v>16.404761904761905</v>
      </c>
      <c r="E20" s="9">
        <f>E13+E14+E15+E16+E17+E18+E19</f>
        <v>35.071428571428569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31" workbookViewId="0">
      <selection activeCell="B37" sqref="B37"/>
    </sheetView>
  </sheetViews>
  <sheetFormatPr defaultRowHeight="15" x14ac:dyDescent="0.25"/>
  <sheetData>
    <row r="2" spans="2:13" x14ac:dyDescent="0.25">
      <c r="C2" s="12" t="s">
        <v>105</v>
      </c>
      <c r="D2" s="352"/>
      <c r="E2" s="352"/>
    </row>
    <row r="3" spans="2:13" x14ac:dyDescent="0.25">
      <c r="E3" s="11"/>
      <c r="F3" s="11"/>
      <c r="G3" s="11"/>
      <c r="H3" s="11"/>
      <c r="I3" s="11"/>
      <c r="J3" s="11"/>
    </row>
    <row r="4" spans="2:13" x14ac:dyDescent="0.25">
      <c r="B4" s="12" t="s">
        <v>106</v>
      </c>
      <c r="C4" s="10" t="s">
        <v>86</v>
      </c>
      <c r="D4" s="353" t="s">
        <v>87</v>
      </c>
      <c r="E4" s="353"/>
      <c r="F4" s="353"/>
      <c r="G4" s="13"/>
      <c r="H4" s="353" t="s">
        <v>88</v>
      </c>
      <c r="I4" s="353"/>
      <c r="J4" s="353"/>
      <c r="K4" s="353" t="s">
        <v>89</v>
      </c>
      <c r="L4" s="353"/>
      <c r="M4" s="353"/>
    </row>
    <row r="5" spans="2:13" x14ac:dyDescent="0.25">
      <c r="B5" s="12">
        <v>1</v>
      </c>
      <c r="C5" s="10"/>
      <c r="D5" s="10" t="s">
        <v>90</v>
      </c>
      <c r="E5" s="10" t="s">
        <v>91</v>
      </c>
      <c r="F5" s="10" t="s">
        <v>92</v>
      </c>
      <c r="G5" s="10"/>
      <c r="H5" s="10" t="s">
        <v>90</v>
      </c>
      <c r="I5" s="10" t="s">
        <v>91</v>
      </c>
      <c r="J5" s="10" t="s">
        <v>92</v>
      </c>
      <c r="K5" s="10" t="s">
        <v>90</v>
      </c>
      <c r="L5" s="10" t="s">
        <v>91</v>
      </c>
      <c r="M5" s="10" t="s">
        <v>92</v>
      </c>
    </row>
    <row r="6" spans="2:13" x14ac:dyDescent="0.25">
      <c r="C6" s="9" t="s">
        <v>93</v>
      </c>
      <c r="D6" s="9"/>
      <c r="E6" s="9"/>
      <c r="F6" s="9">
        <f>D6*E6</f>
        <v>0</v>
      </c>
      <c r="G6" s="9" t="s">
        <v>108</v>
      </c>
      <c r="H6" s="9"/>
      <c r="I6" s="9"/>
      <c r="J6" s="9">
        <f>H6*I6</f>
        <v>0</v>
      </c>
      <c r="K6" s="9"/>
      <c r="L6" s="9"/>
      <c r="M6" s="9">
        <f>K6*L6</f>
        <v>0</v>
      </c>
    </row>
    <row r="7" spans="2:13" x14ac:dyDescent="0.25">
      <c r="C7" s="9"/>
      <c r="D7" s="9"/>
      <c r="E7" s="9"/>
      <c r="F7" s="9">
        <f t="shared" ref="F7:F33" si="0">D7*E7</f>
        <v>0</v>
      </c>
      <c r="G7" s="9" t="s">
        <v>109</v>
      </c>
      <c r="H7" s="9"/>
      <c r="I7" s="9"/>
      <c r="J7" s="9">
        <f t="shared" ref="J7:J29" si="1">H7*I7</f>
        <v>0</v>
      </c>
      <c r="K7" s="9"/>
      <c r="L7" s="9"/>
      <c r="M7" s="9">
        <f t="shared" ref="M7:M29" si="2">K7*L7</f>
        <v>0</v>
      </c>
    </row>
    <row r="8" spans="2:13" x14ac:dyDescent="0.25">
      <c r="C8" s="9"/>
      <c r="D8" s="9"/>
      <c r="E8" s="9"/>
      <c r="F8" s="9">
        <f t="shared" si="0"/>
        <v>0</v>
      </c>
      <c r="G8" s="9"/>
      <c r="H8" s="9"/>
      <c r="I8" s="9"/>
      <c r="J8" s="9">
        <f t="shared" si="1"/>
        <v>0</v>
      </c>
      <c r="K8" s="9"/>
      <c r="L8" s="9"/>
      <c r="M8" s="9">
        <f t="shared" si="2"/>
        <v>0</v>
      </c>
    </row>
    <row r="9" spans="2:13" x14ac:dyDescent="0.25">
      <c r="C9" s="9" t="s">
        <v>96</v>
      </c>
      <c r="D9" s="9"/>
      <c r="E9" s="9"/>
      <c r="F9" s="9">
        <f t="shared" si="0"/>
        <v>0</v>
      </c>
      <c r="G9" s="9" t="s">
        <v>108</v>
      </c>
      <c r="H9" s="9"/>
      <c r="I9" s="9"/>
      <c r="J9" s="9">
        <f t="shared" si="1"/>
        <v>0</v>
      </c>
      <c r="K9" s="9"/>
      <c r="L9" s="9"/>
      <c r="M9" s="9">
        <f t="shared" si="2"/>
        <v>0</v>
      </c>
    </row>
    <row r="10" spans="2:13" x14ac:dyDescent="0.25">
      <c r="C10" s="9"/>
      <c r="D10" s="9"/>
      <c r="E10" s="9"/>
      <c r="F10" s="9">
        <f t="shared" si="0"/>
        <v>0</v>
      </c>
      <c r="G10" s="9" t="s">
        <v>109</v>
      </c>
      <c r="H10" s="9"/>
      <c r="I10" s="9"/>
      <c r="J10" s="9">
        <f t="shared" si="1"/>
        <v>0</v>
      </c>
      <c r="K10" s="9"/>
      <c r="L10" s="9"/>
      <c r="M10" s="9">
        <f t="shared" si="2"/>
        <v>0</v>
      </c>
    </row>
    <row r="11" spans="2:13" x14ac:dyDescent="0.25">
      <c r="C11" s="9"/>
      <c r="D11" s="9"/>
      <c r="E11" s="9"/>
      <c r="F11" s="9">
        <f t="shared" si="0"/>
        <v>0</v>
      </c>
      <c r="G11" s="9"/>
      <c r="H11" s="9"/>
      <c r="I11" s="9"/>
      <c r="J11" s="9">
        <f t="shared" si="1"/>
        <v>0</v>
      </c>
      <c r="K11" s="9"/>
      <c r="L11" s="9"/>
      <c r="M11" s="9">
        <f t="shared" si="2"/>
        <v>0</v>
      </c>
    </row>
    <row r="12" spans="2:13" x14ac:dyDescent="0.25">
      <c r="C12" s="9"/>
      <c r="D12" s="9"/>
      <c r="E12" s="9"/>
      <c r="F12" s="9">
        <f t="shared" si="0"/>
        <v>0</v>
      </c>
      <c r="G12" s="9"/>
      <c r="H12" s="9"/>
      <c r="I12" s="9"/>
      <c r="J12" s="9">
        <f t="shared" si="1"/>
        <v>0</v>
      </c>
      <c r="K12" s="9"/>
      <c r="L12" s="9"/>
      <c r="M12" s="9">
        <f t="shared" si="2"/>
        <v>0</v>
      </c>
    </row>
    <row r="13" spans="2:13" x14ac:dyDescent="0.25">
      <c r="C13" s="9" t="s">
        <v>94</v>
      </c>
      <c r="D13" s="9"/>
      <c r="E13" s="9"/>
      <c r="F13" s="9">
        <f t="shared" si="0"/>
        <v>0</v>
      </c>
      <c r="G13" s="9" t="s">
        <v>108</v>
      </c>
      <c r="H13" s="9"/>
      <c r="I13" s="9"/>
      <c r="J13" s="9">
        <f t="shared" si="1"/>
        <v>0</v>
      </c>
      <c r="K13" s="9"/>
      <c r="L13" s="9"/>
      <c r="M13" s="9">
        <f t="shared" si="2"/>
        <v>0</v>
      </c>
    </row>
    <row r="14" spans="2:13" x14ac:dyDescent="0.25">
      <c r="C14" s="9"/>
      <c r="D14" s="9"/>
      <c r="E14" s="9"/>
      <c r="F14" s="9">
        <f t="shared" si="0"/>
        <v>0</v>
      </c>
      <c r="G14" s="9" t="s">
        <v>109</v>
      </c>
      <c r="H14" s="9"/>
      <c r="I14" s="9"/>
      <c r="J14" s="9">
        <f t="shared" si="1"/>
        <v>0</v>
      </c>
      <c r="K14" s="9"/>
      <c r="L14" s="9"/>
      <c r="M14" s="9">
        <f t="shared" si="2"/>
        <v>0</v>
      </c>
    </row>
    <row r="15" spans="2:13" x14ac:dyDescent="0.25">
      <c r="C15" s="9"/>
      <c r="D15" s="9"/>
      <c r="E15" s="9"/>
      <c r="F15" s="9">
        <f t="shared" si="0"/>
        <v>0</v>
      </c>
      <c r="G15" s="9"/>
      <c r="H15" s="9"/>
      <c r="I15" s="9"/>
      <c r="J15" s="9">
        <f t="shared" si="1"/>
        <v>0</v>
      </c>
      <c r="K15" s="9"/>
      <c r="L15" s="9"/>
      <c r="M15" s="9">
        <f t="shared" si="2"/>
        <v>0</v>
      </c>
    </row>
    <row r="16" spans="2:13" x14ac:dyDescent="0.25">
      <c r="C16" s="9"/>
      <c r="D16" s="9"/>
      <c r="E16" s="9"/>
      <c r="F16" s="9">
        <f t="shared" si="0"/>
        <v>0</v>
      </c>
      <c r="G16" s="9"/>
      <c r="H16" s="9"/>
      <c r="I16" s="9"/>
      <c r="J16" s="9">
        <f t="shared" si="1"/>
        <v>0</v>
      </c>
      <c r="K16" s="9"/>
      <c r="L16" s="9"/>
      <c r="M16" s="9">
        <f t="shared" si="2"/>
        <v>0</v>
      </c>
    </row>
    <row r="17" spans="3:13" x14ac:dyDescent="0.25">
      <c r="C17" s="9" t="s">
        <v>95</v>
      </c>
      <c r="D17" s="9"/>
      <c r="E17" s="9"/>
      <c r="F17" s="9">
        <f t="shared" si="0"/>
        <v>0</v>
      </c>
      <c r="G17" s="9" t="s">
        <v>108</v>
      </c>
      <c r="H17" s="9"/>
      <c r="I17" s="9"/>
      <c r="J17" s="9">
        <f t="shared" si="1"/>
        <v>0</v>
      </c>
      <c r="K17" s="9"/>
      <c r="L17" s="9"/>
      <c r="M17" s="9">
        <f t="shared" si="2"/>
        <v>0</v>
      </c>
    </row>
    <row r="18" spans="3:13" x14ac:dyDescent="0.25">
      <c r="C18" s="9"/>
      <c r="D18" s="9"/>
      <c r="E18" s="9"/>
      <c r="F18" s="9">
        <f t="shared" si="0"/>
        <v>0</v>
      </c>
      <c r="G18" s="9" t="s">
        <v>109</v>
      </c>
      <c r="H18" s="9"/>
      <c r="I18" s="9"/>
      <c r="J18" s="9">
        <f t="shared" si="1"/>
        <v>0</v>
      </c>
      <c r="K18" s="9"/>
      <c r="L18" s="9"/>
      <c r="M18" s="9">
        <f t="shared" si="2"/>
        <v>0</v>
      </c>
    </row>
    <row r="19" spans="3:13" x14ac:dyDescent="0.25">
      <c r="C19" s="9"/>
      <c r="D19" s="9"/>
      <c r="E19" s="9"/>
      <c r="F19" s="9">
        <f t="shared" si="0"/>
        <v>0</v>
      </c>
      <c r="G19" s="9"/>
      <c r="H19" s="9"/>
      <c r="I19" s="9"/>
      <c r="J19" s="9">
        <f t="shared" si="1"/>
        <v>0</v>
      </c>
      <c r="K19" s="9"/>
      <c r="L19" s="9"/>
      <c r="M19" s="9">
        <f t="shared" si="2"/>
        <v>0</v>
      </c>
    </row>
    <row r="20" spans="3:13" x14ac:dyDescent="0.25">
      <c r="C20" s="9" t="s">
        <v>95</v>
      </c>
      <c r="D20" s="9"/>
      <c r="E20" s="9"/>
      <c r="F20" s="9">
        <f t="shared" si="0"/>
        <v>0</v>
      </c>
      <c r="G20" s="9" t="s">
        <v>108</v>
      </c>
      <c r="H20" s="9"/>
      <c r="I20" s="9"/>
      <c r="J20" s="9">
        <f t="shared" si="1"/>
        <v>0</v>
      </c>
      <c r="K20" s="9"/>
      <c r="L20" s="9"/>
      <c r="M20" s="9">
        <f t="shared" si="2"/>
        <v>0</v>
      </c>
    </row>
    <row r="21" spans="3:13" x14ac:dyDescent="0.25">
      <c r="C21" s="9"/>
      <c r="D21" s="9"/>
      <c r="E21" s="9"/>
      <c r="F21" s="9">
        <f t="shared" si="0"/>
        <v>0</v>
      </c>
      <c r="G21" s="9" t="s">
        <v>109</v>
      </c>
      <c r="H21" s="9"/>
      <c r="I21" s="9"/>
      <c r="J21" s="9">
        <f t="shared" si="1"/>
        <v>0</v>
      </c>
      <c r="K21" s="9"/>
      <c r="L21" s="9"/>
      <c r="M21" s="9">
        <f t="shared" si="2"/>
        <v>0</v>
      </c>
    </row>
    <row r="22" spans="3:13" x14ac:dyDescent="0.25">
      <c r="C22" s="9"/>
      <c r="D22" s="9"/>
      <c r="E22" s="9"/>
      <c r="F22" s="9">
        <f t="shared" si="0"/>
        <v>0</v>
      </c>
      <c r="G22" s="9"/>
      <c r="H22" s="9"/>
      <c r="I22" s="9"/>
      <c r="J22" s="9">
        <f t="shared" si="1"/>
        <v>0</v>
      </c>
      <c r="K22" s="9"/>
      <c r="L22" s="9"/>
      <c r="M22" s="9">
        <f t="shared" si="2"/>
        <v>0</v>
      </c>
    </row>
    <row r="23" spans="3:13" x14ac:dyDescent="0.25">
      <c r="C23" s="9" t="s">
        <v>101</v>
      </c>
      <c r="D23" s="9"/>
      <c r="E23" s="9"/>
      <c r="F23" s="9">
        <f t="shared" si="0"/>
        <v>0</v>
      </c>
      <c r="G23" s="9" t="s">
        <v>110</v>
      </c>
      <c r="H23" s="9"/>
      <c r="I23" s="9"/>
      <c r="J23" s="9">
        <f t="shared" si="1"/>
        <v>0</v>
      </c>
      <c r="K23" s="9"/>
      <c r="L23" s="9"/>
      <c r="M23" s="9">
        <f t="shared" si="2"/>
        <v>0</v>
      </c>
    </row>
    <row r="24" spans="3:13" x14ac:dyDescent="0.25">
      <c r="C24" s="9" t="s">
        <v>102</v>
      </c>
      <c r="D24" s="9"/>
      <c r="E24" s="9"/>
      <c r="F24" s="9">
        <f t="shared" si="0"/>
        <v>0</v>
      </c>
      <c r="G24" s="9" t="s">
        <v>110</v>
      </c>
      <c r="H24" s="9"/>
      <c r="I24" s="9"/>
      <c r="J24" s="9">
        <f t="shared" si="1"/>
        <v>0</v>
      </c>
      <c r="K24" s="9"/>
      <c r="L24" s="9"/>
      <c r="M24" s="9">
        <f t="shared" si="2"/>
        <v>0</v>
      </c>
    </row>
    <row r="25" spans="3:13" x14ac:dyDescent="0.25">
      <c r="C25" s="9" t="s">
        <v>103</v>
      </c>
      <c r="D25" s="9"/>
      <c r="E25" s="9"/>
      <c r="F25" s="9">
        <f t="shared" si="0"/>
        <v>0</v>
      </c>
      <c r="G25" s="9" t="s">
        <v>110</v>
      </c>
      <c r="H25" s="9"/>
      <c r="I25" s="9"/>
      <c r="J25" s="9">
        <f t="shared" si="1"/>
        <v>0</v>
      </c>
      <c r="K25" s="9"/>
      <c r="L25" s="9"/>
      <c r="M25" s="9">
        <f t="shared" si="2"/>
        <v>0</v>
      </c>
    </row>
    <row r="26" spans="3:13" x14ac:dyDescent="0.25">
      <c r="C26" s="9"/>
      <c r="D26" s="9"/>
      <c r="E26" s="9"/>
      <c r="F26" s="9">
        <f t="shared" si="0"/>
        <v>0</v>
      </c>
      <c r="G26" s="9"/>
      <c r="H26" s="9"/>
      <c r="I26" s="9"/>
      <c r="J26" s="9">
        <f t="shared" si="1"/>
        <v>0</v>
      </c>
      <c r="K26" s="9"/>
      <c r="L26" s="9"/>
      <c r="M26" s="9">
        <f t="shared" si="2"/>
        <v>0</v>
      </c>
    </row>
    <row r="27" spans="3:13" x14ac:dyDescent="0.25">
      <c r="C27" s="9" t="s">
        <v>97</v>
      </c>
      <c r="D27" s="9"/>
      <c r="E27" s="9"/>
      <c r="F27" s="9">
        <f t="shared" si="0"/>
        <v>0</v>
      </c>
      <c r="G27" s="9"/>
      <c r="H27" s="9"/>
      <c r="I27" s="9"/>
      <c r="J27" s="9">
        <f t="shared" si="1"/>
        <v>0</v>
      </c>
      <c r="K27" s="9"/>
      <c r="L27" s="9"/>
      <c r="M27" s="9">
        <f t="shared" si="2"/>
        <v>0</v>
      </c>
    </row>
    <row r="28" spans="3:13" x14ac:dyDescent="0.25">
      <c r="C28" s="9" t="s">
        <v>98</v>
      </c>
      <c r="D28" s="9"/>
      <c r="E28" s="9"/>
      <c r="F28" s="9">
        <f t="shared" si="0"/>
        <v>0</v>
      </c>
      <c r="G28" s="9"/>
      <c r="H28" s="9"/>
      <c r="I28" s="9"/>
      <c r="J28" s="9">
        <f t="shared" si="1"/>
        <v>0</v>
      </c>
      <c r="K28" s="9"/>
      <c r="L28" s="9"/>
      <c r="M28" s="9">
        <f t="shared" si="2"/>
        <v>0</v>
      </c>
    </row>
    <row r="29" spans="3:13" x14ac:dyDescent="0.25">
      <c r="C29" s="9" t="s">
        <v>99</v>
      </c>
      <c r="D29" s="9"/>
      <c r="E29" s="9"/>
      <c r="F29" s="9">
        <f t="shared" si="0"/>
        <v>0</v>
      </c>
      <c r="G29" s="9"/>
      <c r="H29" s="9"/>
      <c r="I29" s="9"/>
      <c r="J29" s="9">
        <f t="shared" si="1"/>
        <v>0</v>
      </c>
      <c r="K29" s="9"/>
      <c r="L29" s="9"/>
      <c r="M29" s="9">
        <f t="shared" si="2"/>
        <v>0</v>
      </c>
    </row>
    <row r="30" spans="3:13" x14ac:dyDescent="0.25">
      <c r="C30" s="9" t="s">
        <v>100</v>
      </c>
      <c r="D30" s="9"/>
      <c r="E30" s="9"/>
      <c r="F30" s="9">
        <f t="shared" si="0"/>
        <v>0</v>
      </c>
      <c r="G30" s="9"/>
      <c r="H30" s="9"/>
      <c r="I30" s="9"/>
      <c r="J30" s="9">
        <f>H30*I30</f>
        <v>0</v>
      </c>
      <c r="K30" s="9"/>
      <c r="L30" s="9"/>
      <c r="M30" s="9">
        <f>K30*L30</f>
        <v>0</v>
      </c>
    </row>
    <row r="31" spans="3:13" x14ac:dyDescent="0.25">
      <c r="C31" s="9"/>
      <c r="D31" s="9"/>
      <c r="E31" s="9"/>
      <c r="F31" s="9">
        <f t="shared" si="0"/>
        <v>0</v>
      </c>
      <c r="G31" s="9"/>
      <c r="H31" s="9"/>
      <c r="I31" s="9"/>
      <c r="J31" s="9">
        <f>H31*I31</f>
        <v>0</v>
      </c>
      <c r="K31" s="9"/>
      <c r="L31" s="9"/>
      <c r="M31" s="9">
        <f>K31*L31</f>
        <v>0</v>
      </c>
    </row>
    <row r="32" spans="3:13" x14ac:dyDescent="0.25">
      <c r="C32" s="9"/>
      <c r="D32" s="9"/>
      <c r="E32" s="9"/>
      <c r="F32" s="9">
        <f t="shared" si="0"/>
        <v>0</v>
      </c>
      <c r="G32" s="9"/>
      <c r="H32" s="9"/>
      <c r="I32" s="9"/>
      <c r="J32" s="9">
        <f>H32*I32</f>
        <v>0</v>
      </c>
      <c r="K32" s="9"/>
      <c r="L32" s="9"/>
      <c r="M32" s="9">
        <f>K32*L32</f>
        <v>0</v>
      </c>
    </row>
    <row r="33" spans="3:13" x14ac:dyDescent="0.25">
      <c r="C33" s="9"/>
      <c r="D33" s="9"/>
      <c r="E33" s="9"/>
      <c r="F33" s="9">
        <f t="shared" si="0"/>
        <v>0</v>
      </c>
      <c r="G33" s="9"/>
      <c r="H33" s="9"/>
      <c r="I33" s="9"/>
      <c r="J33" s="9">
        <f>H33*I33</f>
        <v>0</v>
      </c>
      <c r="K33" s="9"/>
      <c r="L33" s="9"/>
      <c r="M33" s="9">
        <f>K33*L33</f>
        <v>0</v>
      </c>
    </row>
    <row r="34" spans="3:13" x14ac:dyDescent="0.25">
      <c r="C34" s="9" t="s">
        <v>104</v>
      </c>
      <c r="D34" s="9"/>
      <c r="E34" s="9">
        <f>F34*10.764</f>
        <v>0</v>
      </c>
      <c r="F34" s="9">
        <f>SUM(F6:F33)</f>
        <v>0</v>
      </c>
      <c r="G34" s="9"/>
      <c r="H34" s="9"/>
      <c r="I34" s="9">
        <f>J34*10.764</f>
        <v>0</v>
      </c>
      <c r="J34" s="9">
        <f>SUM(J6:J33)</f>
        <v>0</v>
      </c>
      <c r="K34" s="9"/>
      <c r="L34" s="9">
        <f>M34*10.764</f>
        <v>0</v>
      </c>
      <c r="M34" s="9">
        <f>SUM(M6:M33)</f>
        <v>0</v>
      </c>
    </row>
  </sheetData>
  <mergeCells count="4">
    <mergeCell ref="D2:E2"/>
    <mergeCell ref="D4:F4"/>
    <mergeCell ref="H4:J4"/>
    <mergeCell ref="K4: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12" t="s">
        <v>105</v>
      </c>
      <c r="E3" s="352"/>
      <c r="F3" s="352"/>
    </row>
    <row r="4" spans="3:14" x14ac:dyDescent="0.25">
      <c r="F4" s="11"/>
      <c r="G4" s="11"/>
      <c r="H4" s="11"/>
      <c r="I4" s="11"/>
      <c r="J4" s="11"/>
      <c r="K4" s="11"/>
    </row>
    <row r="5" spans="3:14" x14ac:dyDescent="0.25">
      <c r="C5" s="12" t="s">
        <v>106</v>
      </c>
      <c r="D5" s="10" t="s">
        <v>86</v>
      </c>
      <c r="E5" s="353" t="s">
        <v>87</v>
      </c>
      <c r="F5" s="353"/>
      <c r="G5" s="353"/>
      <c r="H5" s="13"/>
      <c r="I5" s="353" t="s">
        <v>88</v>
      </c>
      <c r="J5" s="353"/>
      <c r="K5" s="353"/>
      <c r="L5" s="353" t="s">
        <v>89</v>
      </c>
      <c r="M5" s="353"/>
      <c r="N5" s="353"/>
    </row>
    <row r="6" spans="3:14" x14ac:dyDescent="0.25">
      <c r="C6" s="12">
        <v>1</v>
      </c>
      <c r="D6" s="10"/>
      <c r="E6" s="10" t="s">
        <v>90</v>
      </c>
      <c r="F6" s="10" t="s">
        <v>91</v>
      </c>
      <c r="G6" s="10" t="s">
        <v>92</v>
      </c>
      <c r="H6" s="10"/>
      <c r="I6" s="10" t="s">
        <v>90</v>
      </c>
      <c r="J6" s="10" t="s">
        <v>91</v>
      </c>
      <c r="K6" s="10" t="s">
        <v>92</v>
      </c>
      <c r="L6" s="10" t="s">
        <v>90</v>
      </c>
      <c r="M6" s="10" t="s">
        <v>91</v>
      </c>
      <c r="N6" s="10" t="s">
        <v>92</v>
      </c>
    </row>
    <row r="7" spans="3:14" x14ac:dyDescent="0.25">
      <c r="D7" s="9" t="s">
        <v>93</v>
      </c>
      <c r="E7" s="9"/>
      <c r="F7" s="9"/>
      <c r="G7" s="9">
        <f>E7*F7</f>
        <v>0</v>
      </c>
      <c r="H7" s="9" t="s">
        <v>108</v>
      </c>
      <c r="I7" s="9"/>
      <c r="J7" s="9"/>
      <c r="K7" s="9">
        <f>I7*J7</f>
        <v>0</v>
      </c>
      <c r="L7" s="9"/>
      <c r="M7" s="9"/>
      <c r="N7" s="9">
        <f>L7*M7</f>
        <v>0</v>
      </c>
    </row>
    <row r="8" spans="3:14" x14ac:dyDescent="0.25">
      <c r="D8" s="9"/>
      <c r="E8" s="9"/>
      <c r="F8" s="9"/>
      <c r="G8" s="9">
        <f t="shared" ref="G8:G34" si="0">E8*F8</f>
        <v>0</v>
      </c>
      <c r="H8" s="9" t="s">
        <v>109</v>
      </c>
      <c r="I8" s="9"/>
      <c r="J8" s="9"/>
      <c r="K8" s="9">
        <f t="shared" ref="K8:K34" si="1">I8*J8</f>
        <v>0</v>
      </c>
      <c r="L8" s="9"/>
      <c r="M8" s="9"/>
      <c r="N8" s="9">
        <f t="shared" ref="N8:N34" si="2">L8*M8</f>
        <v>0</v>
      </c>
    </row>
    <row r="9" spans="3:14" x14ac:dyDescent="0.25">
      <c r="D9" s="9"/>
      <c r="E9" s="9"/>
      <c r="F9" s="9"/>
      <c r="G9" s="9">
        <f t="shared" si="0"/>
        <v>0</v>
      </c>
      <c r="H9" s="9"/>
      <c r="I9" s="9"/>
      <c r="J9" s="9"/>
      <c r="K9" s="9">
        <f t="shared" si="1"/>
        <v>0</v>
      </c>
      <c r="L9" s="9"/>
      <c r="M9" s="9"/>
      <c r="N9" s="9">
        <f t="shared" si="2"/>
        <v>0</v>
      </c>
    </row>
    <row r="10" spans="3:14" x14ac:dyDescent="0.25">
      <c r="D10" s="9" t="s">
        <v>96</v>
      </c>
      <c r="E10" s="9"/>
      <c r="F10" s="9"/>
      <c r="G10" s="9">
        <f t="shared" si="0"/>
        <v>0</v>
      </c>
      <c r="H10" s="9" t="s">
        <v>108</v>
      </c>
      <c r="I10" s="9"/>
      <c r="J10" s="9"/>
      <c r="K10" s="9">
        <f t="shared" si="1"/>
        <v>0</v>
      </c>
      <c r="L10" s="9"/>
      <c r="M10" s="9"/>
      <c r="N10" s="9">
        <f t="shared" si="2"/>
        <v>0</v>
      </c>
    </row>
    <row r="11" spans="3:14" x14ac:dyDescent="0.25">
      <c r="D11" s="9"/>
      <c r="E11" s="9"/>
      <c r="F11" s="9"/>
      <c r="G11" s="9">
        <f t="shared" si="0"/>
        <v>0</v>
      </c>
      <c r="H11" s="9" t="s">
        <v>109</v>
      </c>
      <c r="I11" s="9"/>
      <c r="J11" s="9"/>
      <c r="K11" s="9">
        <f t="shared" si="1"/>
        <v>0</v>
      </c>
      <c r="L11" s="9"/>
      <c r="M11" s="9"/>
      <c r="N11" s="9">
        <f t="shared" si="2"/>
        <v>0</v>
      </c>
    </row>
    <row r="12" spans="3:14" x14ac:dyDescent="0.25">
      <c r="D12" s="9"/>
      <c r="E12" s="9"/>
      <c r="F12" s="9"/>
      <c r="G12" s="9">
        <f t="shared" si="0"/>
        <v>0</v>
      </c>
      <c r="H12" s="9"/>
      <c r="I12" s="9"/>
      <c r="J12" s="9"/>
      <c r="K12" s="9">
        <f t="shared" si="1"/>
        <v>0</v>
      </c>
      <c r="L12" s="9"/>
      <c r="M12" s="9"/>
      <c r="N12" s="9">
        <f t="shared" si="2"/>
        <v>0</v>
      </c>
    </row>
    <row r="13" spans="3:14" x14ac:dyDescent="0.25">
      <c r="D13" s="9"/>
      <c r="E13" s="9"/>
      <c r="F13" s="9"/>
      <c r="G13" s="9">
        <f t="shared" si="0"/>
        <v>0</v>
      </c>
      <c r="H13" s="9"/>
      <c r="I13" s="9"/>
      <c r="J13" s="9"/>
      <c r="K13" s="9">
        <f t="shared" si="1"/>
        <v>0</v>
      </c>
      <c r="L13" s="9"/>
      <c r="M13" s="9"/>
      <c r="N13" s="9">
        <f t="shared" si="2"/>
        <v>0</v>
      </c>
    </row>
    <row r="14" spans="3:14" x14ac:dyDescent="0.25">
      <c r="D14" s="9" t="s">
        <v>94</v>
      </c>
      <c r="E14" s="9"/>
      <c r="F14" s="9"/>
      <c r="G14" s="9">
        <f t="shared" si="0"/>
        <v>0</v>
      </c>
      <c r="H14" s="9" t="s">
        <v>108</v>
      </c>
      <c r="I14" s="9"/>
      <c r="J14" s="9"/>
      <c r="K14" s="9">
        <f t="shared" si="1"/>
        <v>0</v>
      </c>
      <c r="L14" s="9"/>
      <c r="M14" s="9"/>
      <c r="N14" s="9">
        <f t="shared" si="2"/>
        <v>0</v>
      </c>
    </row>
    <row r="15" spans="3:14" x14ac:dyDescent="0.25">
      <c r="D15" s="9"/>
      <c r="E15" s="9"/>
      <c r="F15" s="9"/>
      <c r="G15" s="9">
        <f t="shared" si="0"/>
        <v>0</v>
      </c>
      <c r="H15" s="9" t="s">
        <v>109</v>
      </c>
      <c r="I15" s="9"/>
      <c r="J15" s="9"/>
      <c r="K15" s="9">
        <f t="shared" si="1"/>
        <v>0</v>
      </c>
      <c r="L15" s="9"/>
      <c r="M15" s="9"/>
      <c r="N15" s="9">
        <f t="shared" si="2"/>
        <v>0</v>
      </c>
    </row>
    <row r="16" spans="3:14" x14ac:dyDescent="0.25">
      <c r="D16" s="9"/>
      <c r="E16" s="9"/>
      <c r="F16" s="9"/>
      <c r="G16" s="9">
        <f t="shared" si="0"/>
        <v>0</v>
      </c>
      <c r="H16" s="9"/>
      <c r="I16" s="9"/>
      <c r="J16" s="9"/>
      <c r="K16" s="9">
        <f t="shared" si="1"/>
        <v>0</v>
      </c>
      <c r="L16" s="9"/>
      <c r="M16" s="9"/>
      <c r="N16" s="9">
        <f t="shared" si="2"/>
        <v>0</v>
      </c>
    </row>
    <row r="17" spans="4:14" x14ac:dyDescent="0.25">
      <c r="D17" s="9"/>
      <c r="E17" s="9"/>
      <c r="F17" s="9"/>
      <c r="G17" s="9">
        <f t="shared" si="0"/>
        <v>0</v>
      </c>
      <c r="H17" s="9"/>
      <c r="I17" s="9"/>
      <c r="J17" s="9"/>
      <c r="K17" s="9">
        <f t="shared" si="1"/>
        <v>0</v>
      </c>
      <c r="L17" s="9"/>
      <c r="M17" s="9"/>
      <c r="N17" s="9">
        <f t="shared" si="2"/>
        <v>0</v>
      </c>
    </row>
    <row r="18" spans="4:14" x14ac:dyDescent="0.25">
      <c r="D18" s="9" t="s">
        <v>95</v>
      </c>
      <c r="E18" s="9"/>
      <c r="F18" s="9"/>
      <c r="G18" s="9">
        <f t="shared" si="0"/>
        <v>0</v>
      </c>
      <c r="H18" s="9" t="s">
        <v>108</v>
      </c>
      <c r="I18" s="9"/>
      <c r="J18" s="9"/>
      <c r="K18" s="9">
        <f t="shared" si="1"/>
        <v>0</v>
      </c>
      <c r="L18" s="9"/>
      <c r="M18" s="9"/>
      <c r="N18" s="9">
        <f t="shared" si="2"/>
        <v>0</v>
      </c>
    </row>
    <row r="19" spans="4:14" x14ac:dyDescent="0.25">
      <c r="D19" s="9"/>
      <c r="E19" s="9"/>
      <c r="F19" s="9"/>
      <c r="G19" s="9">
        <f t="shared" si="0"/>
        <v>0</v>
      </c>
      <c r="H19" s="9" t="s">
        <v>109</v>
      </c>
      <c r="I19" s="9"/>
      <c r="J19" s="9"/>
      <c r="K19" s="9">
        <f t="shared" si="1"/>
        <v>0</v>
      </c>
      <c r="L19" s="9"/>
      <c r="M19" s="9"/>
      <c r="N19" s="9">
        <f t="shared" si="2"/>
        <v>0</v>
      </c>
    </row>
    <row r="20" spans="4:14" x14ac:dyDescent="0.25">
      <c r="D20" s="9"/>
      <c r="E20" s="9"/>
      <c r="F20" s="9"/>
      <c r="G20" s="9">
        <f t="shared" si="0"/>
        <v>0</v>
      </c>
      <c r="H20" s="9"/>
      <c r="I20" s="9"/>
      <c r="J20" s="9"/>
      <c r="K20" s="9">
        <f t="shared" si="1"/>
        <v>0</v>
      </c>
      <c r="L20" s="9"/>
      <c r="M20" s="9"/>
      <c r="N20" s="9">
        <f t="shared" si="2"/>
        <v>0</v>
      </c>
    </row>
    <row r="21" spans="4:14" x14ac:dyDescent="0.25">
      <c r="D21" s="9" t="s">
        <v>95</v>
      </c>
      <c r="E21" s="9"/>
      <c r="F21" s="9"/>
      <c r="G21" s="9">
        <f t="shared" si="0"/>
        <v>0</v>
      </c>
      <c r="H21" s="9" t="s">
        <v>108</v>
      </c>
      <c r="I21" s="9"/>
      <c r="J21" s="9"/>
      <c r="K21" s="9">
        <f t="shared" si="1"/>
        <v>0</v>
      </c>
      <c r="L21" s="9"/>
      <c r="M21" s="9"/>
      <c r="N21" s="9">
        <f t="shared" si="2"/>
        <v>0</v>
      </c>
    </row>
    <row r="22" spans="4:14" x14ac:dyDescent="0.25">
      <c r="D22" s="9"/>
      <c r="E22" s="9"/>
      <c r="F22" s="9"/>
      <c r="G22" s="9">
        <f t="shared" si="0"/>
        <v>0</v>
      </c>
      <c r="H22" s="9" t="s">
        <v>109</v>
      </c>
      <c r="I22" s="9"/>
      <c r="J22" s="9"/>
      <c r="K22" s="9">
        <f t="shared" si="1"/>
        <v>0</v>
      </c>
      <c r="L22" s="9"/>
      <c r="M22" s="9"/>
      <c r="N22" s="9">
        <f t="shared" si="2"/>
        <v>0</v>
      </c>
    </row>
    <row r="23" spans="4:14" x14ac:dyDescent="0.25">
      <c r="D23" s="9"/>
      <c r="E23" s="9"/>
      <c r="F23" s="9"/>
      <c r="G23" s="9">
        <f t="shared" si="0"/>
        <v>0</v>
      </c>
      <c r="H23" s="9"/>
      <c r="I23" s="9"/>
      <c r="J23" s="9"/>
      <c r="K23" s="9">
        <f t="shared" si="1"/>
        <v>0</v>
      </c>
      <c r="L23" s="9"/>
      <c r="M23" s="9"/>
      <c r="N23" s="9">
        <f t="shared" si="2"/>
        <v>0</v>
      </c>
    </row>
    <row r="24" spans="4:14" x14ac:dyDescent="0.25">
      <c r="D24" s="9" t="s">
        <v>101</v>
      </c>
      <c r="E24" s="9"/>
      <c r="F24" s="9"/>
      <c r="G24" s="9">
        <f t="shared" si="0"/>
        <v>0</v>
      </c>
      <c r="H24" s="9" t="s">
        <v>110</v>
      </c>
      <c r="I24" s="9"/>
      <c r="J24" s="9"/>
      <c r="K24" s="9">
        <f t="shared" si="1"/>
        <v>0</v>
      </c>
      <c r="L24" s="9"/>
      <c r="M24" s="9"/>
      <c r="N24" s="9">
        <f t="shared" si="2"/>
        <v>0</v>
      </c>
    </row>
    <row r="25" spans="4:14" x14ac:dyDescent="0.25">
      <c r="D25" s="9" t="s">
        <v>102</v>
      </c>
      <c r="E25" s="9"/>
      <c r="F25" s="9"/>
      <c r="G25" s="9">
        <f t="shared" si="0"/>
        <v>0</v>
      </c>
      <c r="H25" s="9" t="s">
        <v>110</v>
      </c>
      <c r="I25" s="9"/>
      <c r="J25" s="9"/>
      <c r="K25" s="9">
        <f t="shared" si="1"/>
        <v>0</v>
      </c>
      <c r="L25" s="9"/>
      <c r="M25" s="9"/>
      <c r="N25" s="9">
        <f t="shared" si="2"/>
        <v>0</v>
      </c>
    </row>
    <row r="26" spans="4:14" x14ac:dyDescent="0.25">
      <c r="D26" s="9" t="s">
        <v>103</v>
      </c>
      <c r="E26" s="9"/>
      <c r="F26" s="9"/>
      <c r="G26" s="9">
        <f t="shared" si="0"/>
        <v>0</v>
      </c>
      <c r="H26" s="9" t="s">
        <v>110</v>
      </c>
      <c r="I26" s="9"/>
      <c r="J26" s="9"/>
      <c r="K26" s="9">
        <f t="shared" si="1"/>
        <v>0</v>
      </c>
      <c r="L26" s="9"/>
      <c r="M26" s="9"/>
      <c r="N26" s="9">
        <f t="shared" si="2"/>
        <v>0</v>
      </c>
    </row>
    <row r="27" spans="4:14" x14ac:dyDescent="0.25">
      <c r="D27" s="9"/>
      <c r="E27" s="9"/>
      <c r="F27" s="9"/>
      <c r="G27" s="9">
        <f t="shared" si="0"/>
        <v>0</v>
      </c>
      <c r="H27" s="9"/>
      <c r="I27" s="9"/>
      <c r="J27" s="9"/>
      <c r="K27" s="9">
        <f t="shared" si="1"/>
        <v>0</v>
      </c>
      <c r="L27" s="9"/>
      <c r="M27" s="9"/>
      <c r="N27" s="9">
        <f t="shared" si="2"/>
        <v>0</v>
      </c>
    </row>
    <row r="28" spans="4:14" x14ac:dyDescent="0.25">
      <c r="D28" s="9" t="s">
        <v>97</v>
      </c>
      <c r="E28" s="9"/>
      <c r="F28" s="9"/>
      <c r="G28" s="9">
        <f t="shared" si="0"/>
        <v>0</v>
      </c>
      <c r="H28" s="9"/>
      <c r="I28" s="9"/>
      <c r="J28" s="9"/>
      <c r="K28" s="9">
        <f t="shared" si="1"/>
        <v>0</v>
      </c>
      <c r="L28" s="9"/>
      <c r="M28" s="9"/>
      <c r="N28" s="9">
        <f t="shared" si="2"/>
        <v>0</v>
      </c>
    </row>
    <row r="29" spans="4:14" x14ac:dyDescent="0.25">
      <c r="D29" s="9" t="s">
        <v>98</v>
      </c>
      <c r="E29" s="9"/>
      <c r="F29" s="9"/>
      <c r="G29" s="9">
        <f t="shared" si="0"/>
        <v>0</v>
      </c>
      <c r="H29" s="9"/>
      <c r="I29" s="9"/>
      <c r="J29" s="9"/>
      <c r="K29" s="9">
        <f t="shared" si="1"/>
        <v>0</v>
      </c>
      <c r="L29" s="9"/>
      <c r="M29" s="9"/>
      <c r="N29" s="9">
        <f t="shared" si="2"/>
        <v>0</v>
      </c>
    </row>
    <row r="30" spans="4:14" x14ac:dyDescent="0.25">
      <c r="D30" s="9" t="s">
        <v>99</v>
      </c>
      <c r="E30" s="9"/>
      <c r="F30" s="9"/>
      <c r="G30" s="9">
        <f t="shared" si="0"/>
        <v>0</v>
      </c>
      <c r="H30" s="9"/>
      <c r="I30" s="9"/>
      <c r="J30" s="9"/>
      <c r="K30" s="9">
        <f t="shared" si="1"/>
        <v>0</v>
      </c>
      <c r="L30" s="9"/>
      <c r="M30" s="9"/>
      <c r="N30" s="9">
        <f t="shared" si="2"/>
        <v>0</v>
      </c>
    </row>
    <row r="31" spans="4:14" x14ac:dyDescent="0.25">
      <c r="D31" s="9" t="s">
        <v>100</v>
      </c>
      <c r="E31" s="9"/>
      <c r="F31" s="9"/>
      <c r="G31" s="9">
        <f t="shared" si="0"/>
        <v>0</v>
      </c>
      <c r="H31" s="9"/>
      <c r="I31" s="9"/>
      <c r="J31" s="9"/>
      <c r="K31" s="9">
        <f t="shared" si="1"/>
        <v>0</v>
      </c>
      <c r="L31" s="9"/>
      <c r="M31" s="9"/>
      <c r="N31" s="9">
        <f t="shared" si="2"/>
        <v>0</v>
      </c>
    </row>
    <row r="32" spans="4:14" x14ac:dyDescent="0.25">
      <c r="D32" s="9"/>
      <c r="E32" s="9"/>
      <c r="F32" s="9"/>
      <c r="G32" s="9">
        <f t="shared" si="0"/>
        <v>0</v>
      </c>
      <c r="H32" s="9"/>
      <c r="I32" s="9"/>
      <c r="J32" s="9"/>
      <c r="K32" s="9">
        <f t="shared" si="1"/>
        <v>0</v>
      </c>
      <c r="L32" s="9"/>
      <c r="M32" s="9"/>
      <c r="N32" s="9">
        <f t="shared" si="2"/>
        <v>0</v>
      </c>
    </row>
    <row r="33" spans="4:14" x14ac:dyDescent="0.25">
      <c r="D33" s="9"/>
      <c r="E33" s="9"/>
      <c r="F33" s="9"/>
      <c r="G33" s="9">
        <f t="shared" si="0"/>
        <v>0</v>
      </c>
      <c r="H33" s="9"/>
      <c r="I33" s="9"/>
      <c r="J33" s="9"/>
      <c r="K33" s="9">
        <f t="shared" si="1"/>
        <v>0</v>
      </c>
      <c r="L33" s="9"/>
      <c r="M33" s="9"/>
      <c r="N33" s="9">
        <f t="shared" si="2"/>
        <v>0</v>
      </c>
    </row>
    <row r="34" spans="4:14" x14ac:dyDescent="0.25">
      <c r="D34" s="9"/>
      <c r="E34" s="9"/>
      <c r="F34" s="9"/>
      <c r="G34" s="9">
        <f t="shared" si="0"/>
        <v>0</v>
      </c>
      <c r="H34" s="9"/>
      <c r="I34" s="9"/>
      <c r="J34" s="9"/>
      <c r="K34" s="9">
        <f t="shared" si="1"/>
        <v>0</v>
      </c>
      <c r="L34" s="9"/>
      <c r="M34" s="9"/>
      <c r="N34" s="9">
        <f t="shared" si="2"/>
        <v>0</v>
      </c>
    </row>
    <row r="35" spans="4:14" x14ac:dyDescent="0.25">
      <c r="D35" s="9" t="s">
        <v>104</v>
      </c>
      <c r="E35" s="9"/>
      <c r="F35" s="9">
        <f>G35*10.764</f>
        <v>0</v>
      </c>
      <c r="G35" s="9">
        <f>SUM(G7:G34)</f>
        <v>0</v>
      </c>
      <c r="H35" s="9"/>
      <c r="I35" s="9"/>
      <c r="J35" s="9">
        <f>K35*10.764</f>
        <v>0</v>
      </c>
      <c r="K35" s="9">
        <f>SUM(K7:K34)</f>
        <v>0</v>
      </c>
      <c r="L35" s="9"/>
      <c r="M35" s="9">
        <f>N35*10.764</f>
        <v>0</v>
      </c>
      <c r="N35" s="9">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VALUATION</vt:lpstr>
      <vt:lpstr>C %</vt:lpstr>
      <vt:lpstr>C % (2)</vt:lpstr>
      <vt:lpstr>Wing A</vt:lpstr>
      <vt:lpstr>Wing C</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2025-09-15T12:12:34Z</cp:lastPrinted>
  <dcterms:created xsi:type="dcterms:W3CDTF">2013-11-23T05:32:33Z</dcterms:created>
  <dcterms:modified xsi:type="dcterms:W3CDTF">2025-09-15T12:13:19Z</dcterms:modified>
</cp:coreProperties>
</file>