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05" yWindow="-105" windowWidth="21840" windowHeight="12450" tabRatio="725"/>
  </bookViews>
  <sheets>
    <sheet name="Report" sheetId="1" r:id="rId1"/>
    <sheet name="valuation" sheetId="5" r:id="rId2"/>
    <sheet name="Note" sheetId="4" r:id="rId3"/>
  </sheets>
  <definedNames>
    <definedName name="_xlnm.Print_Area" localSheetId="0">Report!$A$1:$H$269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1" i="1" l="1"/>
  <c r="J90" i="1"/>
  <c r="J89" i="1"/>
  <c r="J88" i="1"/>
  <c r="J93" i="1" s="1"/>
  <c r="J94" i="1" s="1"/>
  <c r="D122" i="1" l="1"/>
  <c r="F122" i="1" s="1"/>
  <c r="D121" i="1"/>
  <c r="F121" i="1" s="1"/>
  <c r="D120" i="1"/>
  <c r="F120" i="1" s="1"/>
  <c r="D119" i="1"/>
  <c r="F119" i="1" s="1"/>
  <c r="D118" i="1"/>
  <c r="F118" i="1" s="1"/>
  <c r="D117" i="1"/>
  <c r="F117" i="1" s="1"/>
  <c r="D116" i="1"/>
  <c r="D115" i="1"/>
  <c r="D114" i="1"/>
  <c r="D113" i="1"/>
  <c r="G124" i="1"/>
  <c r="D124" i="1"/>
  <c r="F124" i="1" s="1"/>
  <c r="G103" i="1" s="1"/>
  <c r="D133" i="1"/>
  <c r="F133" i="1" s="1"/>
  <c r="D132" i="1"/>
  <c r="D131" i="1"/>
  <c r="D139" i="1"/>
  <c r="F139" i="1" s="1"/>
  <c r="D138" i="1"/>
  <c r="F138" i="1" s="1"/>
  <c r="D137" i="1"/>
  <c r="F137" i="1" s="1"/>
  <c r="D145" i="1"/>
  <c r="F145" i="1" s="1"/>
  <c r="D144" i="1"/>
  <c r="F144" i="1" s="1"/>
  <c r="D143" i="1"/>
  <c r="F143" i="1" s="1"/>
  <c r="D157" i="1"/>
  <c r="F157" i="1" s="1"/>
  <c r="D156" i="1"/>
  <c r="F156" i="1" s="1"/>
  <c r="D155" i="1"/>
  <c r="F155" i="1" s="1"/>
  <c r="D153" i="1"/>
  <c r="F153" i="1" s="1"/>
  <c r="D151" i="1"/>
  <c r="D150" i="1"/>
  <c r="D149" i="1"/>
  <c r="D148" i="1"/>
  <c r="D147" i="1"/>
  <c r="A154" i="1"/>
  <c r="A155" i="1" s="1"/>
  <c r="A156" i="1" s="1"/>
  <c r="A157" i="1" s="1"/>
  <c r="G153" i="1"/>
  <c r="G154" i="1" s="1"/>
  <c r="G155" i="1" s="1"/>
  <c r="G156" i="1" s="1"/>
  <c r="G157" i="1" s="1"/>
  <c r="A142" i="1"/>
  <c r="A143" i="1" s="1"/>
  <c r="A144" i="1" s="1"/>
  <c r="A145" i="1" s="1"/>
  <c r="G141" i="1"/>
  <c r="G142" i="1" s="1"/>
  <c r="G143" i="1" s="1"/>
  <c r="G144" i="1" s="1"/>
  <c r="G145" i="1" s="1"/>
  <c r="A136" i="1"/>
  <c r="A137" i="1" s="1"/>
  <c r="A138" i="1" s="1"/>
  <c r="A139" i="1" s="1"/>
  <c r="G135" i="1"/>
  <c r="G136" i="1" s="1"/>
  <c r="G137" i="1" s="1"/>
  <c r="G138" i="1" s="1"/>
  <c r="G139" i="1" s="1"/>
  <c r="E40" i="1"/>
  <c r="E7" i="1"/>
  <c r="C106" i="1" l="1"/>
  <c r="E106" i="1"/>
  <c r="C102" i="1"/>
  <c r="E103" i="1"/>
  <c r="C103" i="1"/>
  <c r="E102" i="1"/>
  <c r="E27" i="1"/>
  <c r="F131" i="1" l="1"/>
  <c r="F132" i="1"/>
  <c r="A130" i="1"/>
  <c r="A131" i="1" s="1"/>
  <c r="A132" i="1" s="1"/>
  <c r="A133" i="1" s="1"/>
  <c r="G129" i="1"/>
  <c r="G130" i="1" s="1"/>
  <c r="G131" i="1" s="1"/>
  <c r="G132" i="1" s="1"/>
  <c r="G133" i="1" s="1"/>
  <c r="F99" i="1" l="1"/>
  <c r="F114" i="1" l="1"/>
  <c r="F115" i="1"/>
  <c r="F116" i="1"/>
  <c r="F113" i="1"/>
  <c r="G102" i="1" l="1"/>
  <c r="B160" i="1"/>
  <c r="C13" i="1" l="1"/>
  <c r="F151" i="1" l="1"/>
  <c r="I151" i="1" s="1"/>
  <c r="F150" i="1"/>
  <c r="F148" i="1"/>
  <c r="I148" i="1" s="1"/>
  <c r="F147" i="1"/>
  <c r="F149" i="1"/>
  <c r="G106" i="1" l="1"/>
  <c r="B161" i="1"/>
  <c r="F11" i="5" l="1"/>
  <c r="G11" i="5" s="1"/>
  <c r="F10" i="5"/>
  <c r="G10" i="5" s="1"/>
  <c r="F9" i="5"/>
  <c r="G9" i="5" s="1"/>
  <c r="F8" i="5"/>
  <c r="G8" i="5" s="1"/>
  <c r="G7" i="5"/>
  <c r="F6" i="5"/>
  <c r="G6" i="5" s="1"/>
  <c r="F5" i="5"/>
  <c r="G5" i="5" s="1"/>
  <c r="D184" i="1"/>
  <c r="G147" i="1"/>
  <c r="G148" i="1" s="1"/>
  <c r="G149" i="1" s="1"/>
  <c r="G150" i="1" s="1"/>
  <c r="G151" i="1" s="1"/>
  <c r="A148" i="1"/>
  <c r="A149" i="1" s="1"/>
  <c r="A150" i="1" s="1"/>
  <c r="A151" i="1" s="1"/>
  <c r="A114" i="1"/>
  <c r="A115" i="1" s="1"/>
  <c r="A116" i="1" s="1"/>
  <c r="A117" i="1" s="1"/>
  <c r="A118" i="1" s="1"/>
  <c r="A119" i="1" s="1"/>
  <c r="A120" i="1" s="1"/>
  <c r="A121" i="1" s="1"/>
  <c r="A122" i="1" s="1"/>
  <c r="G113" i="1"/>
  <c r="G114" i="1" s="1"/>
  <c r="G115" i="1" s="1"/>
  <c r="G116" i="1" s="1"/>
  <c r="G117" i="1" s="1"/>
  <c r="G118" i="1" s="1"/>
  <c r="G119" i="1" s="1"/>
  <c r="G120" i="1" s="1"/>
  <c r="G121" i="1" s="1"/>
  <c r="G122" i="1" s="1"/>
  <c r="J76" i="1"/>
  <c r="J75" i="1"/>
  <c r="J74" i="1"/>
  <c r="D54" i="1"/>
  <c r="G47" i="1"/>
  <c r="C47" i="1"/>
  <c r="E41" i="1"/>
  <c r="E24" i="1"/>
  <c r="E22" i="1"/>
  <c r="E3" i="1"/>
  <c r="H66" i="1"/>
  <c r="G12" i="5" l="1"/>
  <c r="D59" i="1"/>
  <c r="D78" i="1"/>
  <c r="D76" i="1"/>
  <c r="D75" i="1"/>
  <c r="D74" i="1"/>
  <c r="D72" i="1"/>
  <c r="J65" i="1"/>
  <c r="D77" i="1"/>
  <c r="D73" i="1"/>
  <c r="J69" i="1"/>
  <c r="J70" i="1"/>
  <c r="J68" i="1"/>
  <c r="J71" i="1"/>
  <c r="J72" i="1" s="1"/>
  <c r="J77" i="1" s="1"/>
  <c r="J73" i="1" l="1"/>
  <c r="D71" i="1"/>
  <c r="J67" i="1"/>
  <c r="D69" i="1"/>
  <c r="H80" i="1"/>
  <c r="D90" i="1" l="1"/>
  <c r="D86" i="1"/>
  <c r="J85" i="1"/>
  <c r="J86" i="1" s="1"/>
  <c r="J87" i="1" s="1"/>
  <c r="D83" i="1"/>
  <c r="J79" i="1"/>
  <c r="J81" i="1" s="1"/>
  <c r="D89" i="1"/>
  <c r="D85" i="1"/>
  <c r="J82" i="1"/>
  <c r="J84" i="1"/>
  <c r="D92" i="1"/>
  <c r="D88" i="1"/>
  <c r="D91" i="1"/>
  <c r="D87" i="1"/>
  <c r="J83" i="1"/>
  <c r="J78" i="1"/>
  <c r="C70" i="1" s="1"/>
  <c r="J92" i="1" l="1"/>
  <c r="C84" i="1" s="1"/>
  <c r="D70" i="1"/>
  <c r="I66" i="1" s="1"/>
  <c r="I67" i="1" s="1"/>
  <c r="G69" i="1"/>
  <c r="E69" i="1"/>
  <c r="J66" i="1"/>
  <c r="D63" i="1" l="1"/>
  <c r="D64" i="1" s="1"/>
  <c r="E83" i="1"/>
  <c r="C93" i="1" s="1"/>
  <c r="J80" i="1"/>
  <c r="G83" i="1"/>
  <c r="G93" i="1" s="1"/>
  <c r="D84" i="1"/>
  <c r="I80" i="1" s="1"/>
  <c r="I65" i="1"/>
  <c r="C67" i="1" s="1"/>
  <c r="F64" i="1" l="1"/>
  <c r="I81" i="1"/>
  <c r="I79" i="1" s="1"/>
  <c r="C81" i="1" s="1"/>
</calcChain>
</file>

<file path=xl/sharedStrings.xml><?xml version="1.0" encoding="utf-8"?>
<sst xmlns="http://schemas.openxmlformats.org/spreadsheetml/2006/main" count="339" uniqueCount="225">
  <si>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</si>
  <si>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</si>
  <si>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</si>
  <si>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</si>
  <si>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</si>
  <si>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</si>
  <si>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</si>
  <si>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</si>
  <si>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</si>
  <si>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</si>
  <si>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</si>
  <si>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</si>
  <si>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</si>
  <si>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</si>
  <si>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</si>
  <si>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</si>
  <si>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</si>
  <si>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</si>
  <si>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</si>
  <si>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</si>
  <si>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</si>
  <si>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</si>
  <si>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</si>
  <si>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</si>
  <si>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</si>
  <si>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</si>
  <si>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</si>
  <si>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</si>
  <si>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</si>
  <si>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</si>
  <si>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</si>
  <si>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</si>
  <si>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</si>
  <si>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</si>
  <si>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</si>
  <si>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</si>
  <si>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</si>
  <si>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</si>
  <si>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</si>
  <si>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</si>
  <si>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</si>
  <si>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</si>
  <si>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</si>
  <si>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</si>
  <si>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</si>
  <si>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</si>
  <si>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</si>
  <si>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</si>
  <si>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</si>
  <si>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</si>
  <si>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</si>
  <si>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</si>
  <si>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</si>
  <si>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</si>
  <si>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</si>
  <si>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</si>
  <si>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</si>
  <si>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</si>
  <si>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</si>
  <si>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</si>
  <si>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</si>
  <si>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</si>
  <si>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</si>
  <si>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</si>
  <si>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</si>
  <si>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</si>
  <si>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</si>
  <si>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</si>
  <si>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</si>
  <si>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</si>
  <si>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</si>
  <si>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</si>
  <si>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</si>
  <si>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</si>
  <si>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</si>
  <si>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</si>
  <si>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</si>
  <si>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</si>
  <si>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</si>
  <si>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</si>
  <si>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</si>
  <si>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</si>
  <si>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</si>
  <si>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</si>
  <si>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</si>
  <si>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</si>
  <si>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</si>
  <si>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</si>
  <si>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</si>
  <si>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</si>
  <si>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</si>
  <si>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</si>
  <si>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</si>
  <si>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</si>
  <si>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</si>
  <si>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</si>
  <si>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</si>
  <si>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</si>
  <si>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</si>
  <si>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</si>
  <si>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</si>
  <si>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</si>
  <si>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</si>
  <si>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</si>
  <si>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</si>
  <si>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</si>
  <si>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</si>
  <si>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</si>
  <si>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</si>
  <si>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</si>
  <si>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</si>
  <si>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</si>
  <si>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</si>
  <si>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</si>
  <si>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</si>
  <si>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</si>
  <si>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</si>
  <si>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</si>
  <si>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</si>
  <si>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</si>
  <si>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</si>
  <si>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</si>
  <si>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</si>
  <si>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</si>
  <si>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</si>
  <si>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</si>
  <si>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</si>
  <si>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</si>
  <si>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</si>
  <si>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</si>
  <si>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</si>
  <si>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</si>
  <si>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</si>
  <si>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</si>
  <si>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</si>
  <si>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</si>
  <si>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</si>
  <si>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</si>
  <si>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</si>
  <si>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</si>
  <si>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</si>
  <si>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</si>
  <si>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</si>
  <si>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</si>
  <si>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</si>
  <si>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</si>
  <si>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</si>
  <si>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</si>
  <si>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</si>
  <si>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</si>
  <si>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</si>
  <si>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</si>
  <si>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</si>
  <si>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</si>
  <si>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</si>
  <si>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</si>
  <si>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</si>
  <si>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</si>
  <si>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</si>
  <si>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</si>
  <si>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On Saleable Area</t>
  </si>
  <si>
    <t>Axis Sanpada</t>
  </si>
  <si>
    <t>P51800032632</t>
  </si>
  <si>
    <t>Dream Olympia</t>
  </si>
  <si>
    <t>CTS No</t>
  </si>
  <si>
    <t>Village</t>
  </si>
  <si>
    <t>Lal Bahadur Shastri Road</t>
  </si>
  <si>
    <t>Kurla</t>
  </si>
  <si>
    <t>Mumbai</t>
  </si>
  <si>
    <t>Bhandup Police Station</t>
  </si>
  <si>
    <t>Open Plot</t>
  </si>
  <si>
    <t>Madhuban Garden</t>
  </si>
  <si>
    <t>Maruti Mandir Road</t>
  </si>
  <si>
    <t>CE/1001/BPES/AS</t>
  </si>
  <si>
    <t>As per RERA -  31/12/2026</t>
  </si>
  <si>
    <t>1st &amp; 2nd Basement Floor For parking</t>
  </si>
  <si>
    <t>Shop</t>
  </si>
  <si>
    <t>Ground Floor For Commercial &amp; Entrance Lobby</t>
  </si>
  <si>
    <t>1BHK</t>
  </si>
  <si>
    <t>2BHK</t>
  </si>
  <si>
    <t>1st Floor For Residential, Fitness Center &amp; Part Theatre Area</t>
  </si>
  <si>
    <t>Theatre Area</t>
  </si>
  <si>
    <t>2nd Floor For Residential, Fitness Center &amp; Part Theatre Area</t>
  </si>
  <si>
    <t>3rd &amp; 4th Floor For Residential, Fitness Center &amp; Part Theatre Area</t>
  </si>
  <si>
    <t>5th to 7th &amp; 9th to 12th Floor</t>
  </si>
  <si>
    <t>8th Floor (Part Refuge Area)</t>
  </si>
  <si>
    <t>Refuge Area</t>
  </si>
  <si>
    <t>Theatre</t>
  </si>
  <si>
    <t>Shops</t>
  </si>
  <si>
    <t>Flats</t>
  </si>
  <si>
    <t>Flats - 51, Shops - 10</t>
  </si>
  <si>
    <t>We considered Gross carpet area = Net carpet.</t>
  </si>
  <si>
    <t>1.7 KM from Bhandup Railway Station</t>
  </si>
  <si>
    <t>Bhandup West</t>
  </si>
  <si>
    <t>On Site, we meet Mr.Anshul (Sales) - 9860684151.</t>
  </si>
  <si>
    <t>Approved Plans, CC, Sale Plans</t>
  </si>
  <si>
    <t>459, 459/1 to 4</t>
  </si>
  <si>
    <t>Bhandup</t>
  </si>
  <si>
    <t>M/s.Dream Developers</t>
  </si>
  <si>
    <t xml:space="preserve">Municipal Corporation of Greater Mumbai
</t>
  </si>
  <si>
    <t>2B + G + 1st to 21st Floor</t>
  </si>
  <si>
    <t xml:space="preserve">Office No. 1031, Wing J, Akshar Business Park, Plot No. 03 Sector 25, Near APMC Market, Vashi, Navi Mumbai, Maharashtra 400703 TEL: 022-46090378/79/80                                                                                                                          E mail : vsjcapf@gmail.com. Web site : www.vsjadon.com
</t>
  </si>
  <si>
    <t>Location Link</t>
  </si>
  <si>
    <t>https://goo.gl/maps/vZckLPWTciRsgb787</t>
  </si>
  <si>
    <t xml:space="preserve">2B + G + 1st to 12th Floor
</t>
  </si>
  <si>
    <t xml:space="preserve">1. Vitrified tiles flooring 2. Granite Kitchen Platform 3. Decorative
Enternace etc.
</t>
  </si>
  <si>
    <t>Latitude,Longitude</t>
  </si>
  <si>
    <t>19.151544,72.936889</t>
  </si>
  <si>
    <t>Nainesh Tambe</t>
  </si>
  <si>
    <t>CE/ 1001 /BPES/AS/FCC/1/New</t>
  </si>
  <si>
    <t>Further C.C. is granted for shop no.1 to 9 on ground floor and 1st to 10th upper floors for residential wing as per amended approved plan dated 30.01.2022 for phase - I as per approved phase programme subject to timely renewal of B.G, SWM NOC, Workmen’s compensation policy and taking all sorts of precautions during construction and for air pollution.</t>
  </si>
  <si>
    <t>Part II = 2B + G + 1st to 21st Floor</t>
  </si>
  <si>
    <t>Part I = 2B + G + 1st to 21st Floor</t>
  </si>
  <si>
    <t>Avg. (Part I &amp; II) Progress %</t>
  </si>
  <si>
    <t>Avg. (Part I &amp; II) Disbursement %</t>
  </si>
  <si>
    <t>Part II will start after Part I is completed 18/12/2024</t>
  </si>
  <si>
    <t>As per Visit dtd. 12/12/2024, we have observed that construction work is done in two parts: Part I = 9 slab completed, and Part II = plinth completed (the space kept for material storage).</t>
  </si>
  <si>
    <t>Validity of CC is expired on 29/03/2025. Please provide revised CC.</t>
  </si>
  <si>
    <t>Mr. Vicky Shyamlal Artwani 9320971133</t>
  </si>
  <si>
    <t>CE/ 1001 /BPES/AS/FCC/1/Amend</t>
  </si>
  <si>
    <t>Further CC is granted for 11th and 12th floors, theater and shop no. 10 as per approved plans dtd 30.01.2022,
subject to timely renewal of B.G., SWM NOC, Workmen’s compensation policy and taking all sorts of precautions
during construction along with precautionary measures for air pollution.</t>
  </si>
  <si>
    <t>Shruti Tathare</t>
  </si>
  <si>
    <t>Construction Work resumes (Very Slow Speed)</t>
  </si>
  <si>
    <t>We have updated latest CC from MCGM site On 14/06/2024 &amp; 13/09/2025.</t>
  </si>
  <si>
    <t>Part I = Construction work is in process at the time of Visit (Slow Speed).
Part II = Construction work is same as last visit dtd. 05/06/2025 but work is in process at the time of visit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</si>
</sst>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18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6" fillId="0" borderId="0" xfId="0" applyFont="1" applyProtection="1">
      <protection hidden="1"/>
    </xf>
    <xf numFmtId="0" fontId="16"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2" fillId="0" borderId="0" xfId="1" applyFont="1"/>
    <xf numFmtId="0" fontId="7"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2" fillId="0" borderId="1" xfId="1" applyFont="1" applyBorder="1" applyAlignment="1" applyProtection="1">
      <alignment horizontal="center" vertical="top"/>
      <protection locked="0"/>
    </xf>
    <xf numFmtId="0" fontId="23" fillId="0" borderId="1" xfId="0" applyFont="1" applyBorder="1"/>
    <xf numFmtId="0" fontId="23" fillId="0" borderId="5" xfId="0" applyFont="1" applyBorder="1"/>
    <xf numFmtId="1" fontId="7"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0" fillId="0" borderId="8" xfId="1" applyFont="1" applyBorder="1" applyAlignment="1" applyProtection="1">
      <alignment horizontal="left"/>
      <protection locked="0"/>
    </xf>
    <xf numFmtId="0" fontId="10" fillId="0" borderId="21" xfId="1" applyFont="1" applyBorder="1" applyAlignment="1" applyProtection="1">
      <alignment horizontal="left"/>
      <protection locked="0"/>
    </xf>
    <xf numFmtId="0" fontId="10" fillId="0" borderId="9" xfId="1" applyFont="1" applyBorder="1" applyAlignment="1" applyProtection="1">
      <alignment horizontal="left"/>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25" fillId="0" borderId="8" xfId="10" applyFill="1" applyBorder="1" applyAlignment="1" applyProtection="1">
      <alignment horizontal="left"/>
      <protection locked="0"/>
    </xf>
    <xf numFmtId="0" fontId="25" fillId="0" borderId="21" xfId="10" applyFill="1" applyBorder="1" applyAlignment="1" applyProtection="1">
      <alignment horizontal="left"/>
      <protection locked="0"/>
    </xf>
    <xf numFmtId="0" fontId="25" fillId="0" borderId="9" xfId="10" applyFill="1" applyBorder="1" applyAlignment="1" applyProtection="1">
      <alignment horizontal="left"/>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7" fillId="0" borderId="32" xfId="1" applyFont="1" applyBorder="1" applyAlignment="1" applyProtection="1">
      <alignment horizontal="center" vertical="center" wrapText="1"/>
      <protection locked="0"/>
    </xf>
    <xf numFmtId="0" fontId="7" fillId="0" borderId="33" xfId="1" applyFont="1" applyBorder="1" applyAlignment="1" applyProtection="1">
      <alignment horizontal="center" vertical="center" wrapText="1"/>
      <protection locked="0"/>
    </xf>
    <xf numFmtId="0" fontId="7" fillId="0" borderId="34" xfId="1" applyFont="1" applyBorder="1" applyAlignment="1" applyProtection="1">
      <alignment horizontal="center" vertical="center" wrapText="1"/>
      <protection locked="0"/>
    </xf>
    <xf numFmtId="0" fontId="7" fillId="0" borderId="29" xfId="1" applyFont="1" applyBorder="1" applyAlignment="1" applyProtection="1">
      <alignment horizontal="center" vertical="center" wrapText="1"/>
      <protection locked="0"/>
    </xf>
    <xf numFmtId="9" fontId="7" fillId="0" borderId="35" xfId="1" applyNumberFormat="1" applyFont="1" applyBorder="1" applyAlignment="1" applyProtection="1">
      <alignment horizontal="center" vertical="center" wrapText="1"/>
      <protection locked="0"/>
    </xf>
    <xf numFmtId="0" fontId="7" fillId="0" borderId="28" xfId="1" applyFont="1" applyBorder="1" applyAlignment="1" applyProtection="1">
      <alignment horizontal="center" vertical="center" wrapText="1"/>
      <protection locked="0"/>
    </xf>
    <xf numFmtId="9" fontId="7" fillId="0" borderId="35" xfId="8" applyFont="1" applyFill="1" applyBorder="1" applyAlignment="1" applyProtection="1">
      <alignment horizontal="center" vertical="center" wrapText="1"/>
      <protection locked="0"/>
    </xf>
    <xf numFmtId="9" fontId="7" fillId="0" borderId="33" xfId="8" applyFont="1" applyFill="1" applyBorder="1" applyAlignment="1" applyProtection="1">
      <alignment horizontal="center" vertical="center" wrapText="1"/>
      <protection locked="0"/>
    </xf>
    <xf numFmtId="0" fontId="9" fillId="0" borderId="1" xfId="5" applyFont="1" applyBorder="1" applyAlignment="1">
      <alignment horizontal="left"/>
    </xf>
    <xf numFmtId="0" fontId="7" fillId="0" borderId="0" xfId="0" applyFont="1" applyAlignment="1">
      <alignment horizontal="left"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409528</xdr:colOff>
      <xdr:row>245</xdr:row>
      <xdr:rowOff>148798</xdr:rowOff>
    </xdr:from>
    <xdr:to>
      <xdr:col>6</xdr:col>
      <xdr:colOff>464695</xdr:colOff>
      <xdr:row>263</xdr:row>
      <xdr:rowOff>118091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919" t="11071" r="19748" b="12413"/>
        <a:stretch/>
      </xdr:blipFill>
      <xdr:spPr>
        <a:xfrm>
          <a:off x="1171528" y="47133025"/>
          <a:ext cx="4202872" cy="3554157"/>
        </a:xfrm>
        <a:prstGeom prst="rect">
          <a:avLst/>
        </a:prstGeom>
        <a:ln>
          <a:solidFill>
            <a:schemeClr val="tx1"/>
          </a:solidFill>
        </a:ln>
      </xdr:spPr>
    </xdr:pic>
    <xdr:clientData/>
  </xdr:twoCellAnchor>
  <xdr:twoCellAnchor editAs="oneCell">
    <xdr:from>
      <xdr:col>1</xdr:col>
      <xdr:colOff>392210</xdr:colOff>
      <xdr:row>227</xdr:row>
      <xdr:rowOff>56030</xdr:rowOff>
    </xdr:from>
    <xdr:to>
      <xdr:col>6</xdr:col>
      <xdr:colOff>447377</xdr:colOff>
      <xdr:row>245</xdr:row>
      <xdr:rowOff>25325</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6667" t="10623" r="19245" b="11519"/>
        <a:stretch/>
      </xdr:blipFill>
      <xdr:spPr>
        <a:xfrm>
          <a:off x="1210239" y="46448383"/>
          <a:ext cx="4526314" cy="3600000"/>
        </a:xfrm>
        <a:prstGeom prst="rect">
          <a:avLst/>
        </a:prstGeom>
        <a:ln>
          <a:solidFill>
            <a:schemeClr val="tx1"/>
          </a:solidFill>
        </a:ln>
      </xdr:spPr>
    </xdr:pic>
    <xdr:clientData/>
  </xdr:twoCellAnchor>
  <xdr:twoCellAnchor>
    <xdr:from>
      <xdr:col>9</xdr:col>
      <xdr:colOff>133350</xdr:colOff>
      <xdr:row>190</xdr:row>
      <xdr:rowOff>123825</xdr:rowOff>
    </xdr:from>
    <xdr:to>
      <xdr:col>10</xdr:col>
      <xdr:colOff>419100</xdr:colOff>
      <xdr:row>193</xdr:row>
      <xdr:rowOff>19050</xdr:rowOff>
    </xdr:to>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7781925" y="40452675"/>
          <a:ext cx="1047750"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rgbClr val="C00000"/>
              </a:solidFill>
            </a:rPr>
            <a:t>part I</a:t>
          </a:r>
        </a:p>
      </xdr:txBody>
    </xdr:sp>
    <xdr:clientData/>
  </xdr:twoCellAnchor>
  <xdr:twoCellAnchor>
    <xdr:from>
      <xdr:col>8</xdr:col>
      <xdr:colOff>180975</xdr:colOff>
      <xdr:row>207</xdr:row>
      <xdr:rowOff>28575</xdr:rowOff>
    </xdr:from>
    <xdr:to>
      <xdr:col>8</xdr:col>
      <xdr:colOff>819150</xdr:colOff>
      <xdr:row>208</xdr:row>
      <xdr:rowOff>123825</xdr:rowOff>
    </xdr:to>
    <xdr:sp macro="" textlink="">
      <xdr:nvSpPr>
        <xdr:cNvPr id="22" name="Rectangle 21">
          <a:extLst>
            <a:ext uri="{FF2B5EF4-FFF2-40B4-BE49-F238E27FC236}">
              <a16:creationId xmlns:a16="http://schemas.microsoft.com/office/drawing/2014/main" xmlns="" id="{00000000-0008-0000-0000-000016000000}"/>
            </a:ext>
          </a:extLst>
        </xdr:cNvPr>
        <xdr:cNvSpPr/>
      </xdr:nvSpPr>
      <xdr:spPr>
        <a:xfrm>
          <a:off x="6667500" y="44357925"/>
          <a:ext cx="638175" cy="2952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rgbClr val="C00000"/>
              </a:solidFill>
            </a:rPr>
            <a:t>part II</a:t>
          </a:r>
        </a:p>
      </xdr:txBody>
    </xdr:sp>
    <xdr:clientData/>
  </xdr:twoCellAnchor>
  <xdr:twoCellAnchor>
    <xdr:from>
      <xdr:col>8</xdr:col>
      <xdr:colOff>500063</xdr:colOff>
      <xdr:row>208</xdr:row>
      <xdr:rowOff>123825</xdr:rowOff>
    </xdr:from>
    <xdr:to>
      <xdr:col>8</xdr:col>
      <xdr:colOff>657225</xdr:colOff>
      <xdr:row>213</xdr:row>
      <xdr:rowOff>142875</xdr:rowOff>
    </xdr:to>
    <xdr:cxnSp macro="">
      <xdr:nvCxnSpPr>
        <xdr:cNvPr id="23" name="Straight Arrow Connector 22">
          <a:extLst>
            <a:ext uri="{FF2B5EF4-FFF2-40B4-BE49-F238E27FC236}">
              <a16:creationId xmlns:a16="http://schemas.microsoft.com/office/drawing/2014/main" xmlns="" id="{00000000-0008-0000-0000-000017000000}"/>
            </a:ext>
          </a:extLst>
        </xdr:cNvPr>
        <xdr:cNvCxnSpPr>
          <a:stCxn id="22" idx="2"/>
        </xdr:cNvCxnSpPr>
      </xdr:nvCxnSpPr>
      <xdr:spPr>
        <a:xfrm>
          <a:off x="6986588" y="44653200"/>
          <a:ext cx="157162" cy="101917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566738</xdr:colOff>
      <xdr:row>210</xdr:row>
      <xdr:rowOff>19050</xdr:rowOff>
    </xdr:from>
    <xdr:to>
      <xdr:col>12</xdr:col>
      <xdr:colOff>19050</xdr:colOff>
      <xdr:row>215</xdr:row>
      <xdr:rowOff>38100</xdr:rowOff>
    </xdr:to>
    <xdr:cxnSp macro="">
      <xdr:nvCxnSpPr>
        <xdr:cNvPr id="37" name="Straight Arrow Connector 36">
          <a:extLst>
            <a:ext uri="{FF2B5EF4-FFF2-40B4-BE49-F238E27FC236}">
              <a16:creationId xmlns:a16="http://schemas.microsoft.com/office/drawing/2014/main" xmlns="" id="{00000000-0008-0000-0000-000025000000}"/>
            </a:ext>
          </a:extLst>
        </xdr:cNvPr>
        <xdr:cNvCxnSpPr/>
      </xdr:nvCxnSpPr>
      <xdr:spPr>
        <a:xfrm>
          <a:off x="9682163" y="45177075"/>
          <a:ext cx="157162" cy="101917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200024</xdr:colOff>
      <xdr:row>184</xdr:row>
      <xdr:rowOff>85724</xdr:rowOff>
    </xdr:from>
    <xdr:to>
      <xdr:col>7</xdr:col>
      <xdr:colOff>619125</xdr:colOff>
      <xdr:row>225</xdr:row>
      <xdr:rowOff>140700</xdr:rowOff>
    </xdr:to>
    <xdr:grpSp>
      <xdr:nvGrpSpPr>
        <xdr:cNvPr id="7" name="Group 6"/>
        <xdr:cNvGrpSpPr/>
      </xdr:nvGrpSpPr>
      <xdr:grpSpPr>
        <a:xfrm>
          <a:off x="200024" y="41748074"/>
          <a:ext cx="6076951" cy="8246476"/>
          <a:chOff x="200024" y="41748074"/>
          <a:chExt cx="6076951" cy="8246476"/>
        </a:xfrm>
      </xdr:grpSpPr>
      <xdr:grpSp>
        <xdr:nvGrpSpPr>
          <xdr:cNvPr id="5" name="Group 4"/>
          <xdr:cNvGrpSpPr/>
        </xdr:nvGrpSpPr>
        <xdr:grpSpPr>
          <a:xfrm>
            <a:off x="200024" y="41767124"/>
            <a:ext cx="6076951" cy="8227426"/>
            <a:chOff x="228599" y="41700449"/>
            <a:chExt cx="6076951" cy="8227426"/>
          </a:xfrm>
        </xdr:grpSpPr>
        <xdr:pic>
          <xdr:nvPicPr>
            <xdr:cNvPr id="42" name="Picture 41" descr="https://vsjcllp.vsjadon.com/upload/insp-246595-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362325" y="477678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6595-84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28599" y="45072301"/>
              <a:ext cx="1953641" cy="25976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6595-847.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324225" y="41700449"/>
              <a:ext cx="2471468" cy="3286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595-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343400" y="45072299"/>
              <a:ext cx="1962150" cy="26089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595-860.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295525" y="45072299"/>
              <a:ext cx="1962150" cy="26089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6595-88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62000" y="41700449"/>
              <a:ext cx="2471468" cy="3286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6595-93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619250" y="477583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1" name="TextBox 27">
            <a:extLst>
              <a:ext uri="{FF2B5EF4-FFF2-40B4-BE49-F238E27FC236}">
                <a16:creationId xmlns:a16="http://schemas.microsoft.com/office/drawing/2014/main" xmlns="" id="{62630362-8E1D-1284-D63C-9409744EB8A7}"/>
              </a:ext>
            </a:extLst>
          </xdr:cNvPr>
          <xdr:cNvSpPr txBox="1"/>
        </xdr:nvSpPr>
        <xdr:spPr>
          <a:xfrm>
            <a:off x="2228849" y="41748074"/>
            <a:ext cx="962026" cy="3727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sp macro="" textlink="">
        <xdr:nvSpPr>
          <xdr:cNvPr id="62" name="TextBox 27">
            <a:extLst>
              <a:ext uri="{FF2B5EF4-FFF2-40B4-BE49-F238E27FC236}">
                <a16:creationId xmlns:a16="http://schemas.microsoft.com/office/drawing/2014/main" xmlns="" id="{62630362-8E1D-1284-D63C-9409744EB8A7}"/>
              </a:ext>
            </a:extLst>
          </xdr:cNvPr>
          <xdr:cNvSpPr txBox="1"/>
        </xdr:nvSpPr>
        <xdr:spPr>
          <a:xfrm>
            <a:off x="3428998" y="45091349"/>
            <a:ext cx="819151" cy="3727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sp macro="" textlink="">
        <xdr:nvSpPr>
          <xdr:cNvPr id="63" name="TextBox 27">
            <a:extLst>
              <a:ext uri="{FF2B5EF4-FFF2-40B4-BE49-F238E27FC236}">
                <a16:creationId xmlns:a16="http://schemas.microsoft.com/office/drawing/2014/main" xmlns="" id="{62630362-8E1D-1284-D63C-9409744EB8A7}"/>
              </a:ext>
            </a:extLst>
          </xdr:cNvPr>
          <xdr:cNvSpPr txBox="1"/>
        </xdr:nvSpPr>
        <xdr:spPr>
          <a:xfrm>
            <a:off x="3295649" y="41767124"/>
            <a:ext cx="962026" cy="3727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35</xdr:row>
      <xdr:rowOff>72379</xdr:rowOff>
    </xdr:from>
    <xdr:to>
      <xdr:col>6</xdr:col>
      <xdr:colOff>457200</xdr:colOff>
      <xdr:row>55</xdr:row>
      <xdr:rowOff>118121</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6749404"/>
          <a:ext cx="6858000" cy="3855742"/>
        </a:xfrm>
        <a:prstGeom prst="rect">
          <a:avLst/>
        </a:prstGeom>
      </xdr:spPr>
    </xdr:pic>
    <xdr:clientData/>
  </xdr:twoCellAnchor>
  <xdr:twoCellAnchor editAs="oneCell">
    <xdr:from>
      <xdr:col>6</xdr:col>
      <xdr:colOff>628650</xdr:colOff>
      <xdr:row>14</xdr:row>
      <xdr:rowOff>0</xdr:rowOff>
    </xdr:from>
    <xdr:to>
      <xdr:col>16</xdr:col>
      <xdr:colOff>409575</xdr:colOff>
      <xdr:row>34</xdr:row>
      <xdr:rowOff>45742</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10475" y="2676525"/>
          <a:ext cx="6858000" cy="3855742"/>
        </a:xfrm>
        <a:prstGeom prst="rect">
          <a:avLst/>
        </a:prstGeom>
      </xdr:spPr>
    </xdr:pic>
    <xdr:clientData/>
  </xdr:twoCellAnchor>
  <xdr:twoCellAnchor editAs="oneCell">
    <xdr:from>
      <xdr:col>1</xdr:col>
      <xdr:colOff>0</xdr:colOff>
      <xdr:row>14</xdr:row>
      <xdr:rowOff>0</xdr:rowOff>
    </xdr:from>
    <xdr:to>
      <xdr:col>6</xdr:col>
      <xdr:colOff>457200</xdr:colOff>
      <xdr:row>34</xdr:row>
      <xdr:rowOff>45742</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1025" y="2676525"/>
          <a:ext cx="6858000" cy="3855742"/>
        </a:xfrm>
        <a:prstGeom prst="rect">
          <a:avLst/>
        </a:prstGeom>
      </xdr:spPr>
    </xdr:pic>
    <xdr:clientData/>
  </xdr:twoCellAnchor>
  <xdr:twoCellAnchor editAs="oneCell">
    <xdr:from>
      <xdr:col>6</xdr:col>
      <xdr:colOff>628650</xdr:colOff>
      <xdr:row>35</xdr:row>
      <xdr:rowOff>72379</xdr:rowOff>
    </xdr:from>
    <xdr:to>
      <xdr:col>16</xdr:col>
      <xdr:colOff>409575</xdr:colOff>
      <xdr:row>55</xdr:row>
      <xdr:rowOff>118121</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10475" y="6749404"/>
          <a:ext cx="6858000" cy="3855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ZckLPWTciRsgb78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27"/>
  <sheetViews>
    <sheetView tabSelected="1" view="pageBreakPreview" topLeftCell="A149" zoomScaleNormal="100" zoomScaleSheetLayoutView="100" zoomScalePageLayoutView="85" workbookViewId="0">
      <selection activeCell="M176" sqref="M176"/>
    </sheetView>
  </sheetViews>
  <sheetFormatPr defaultColWidth="9.140625" defaultRowHeight="15.75" x14ac:dyDescent="0.25"/>
  <cols>
    <col min="1" max="1" width="11.42578125" style="38" customWidth="1"/>
    <col min="2" max="2" width="12" style="38" customWidth="1"/>
    <col min="3" max="3" width="12.5703125" style="38" customWidth="1"/>
    <col min="4" max="4" width="14.140625" style="38" customWidth="1"/>
    <col min="5" max="7" width="11.5703125" style="38" customWidth="1"/>
    <col min="8" max="8" width="12.42578125" style="38"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5703125" style="21" customWidth="1"/>
    <col min="17" max="247" width="9.140625" style="21"/>
    <col min="248" max="248" width="8.5703125" style="21" customWidth="1"/>
    <col min="249" max="249" width="9.85546875" style="21" customWidth="1"/>
    <col min="250" max="250" width="14.42578125" style="21" customWidth="1"/>
    <col min="251" max="251" width="7.425781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5703125" style="21" customWidth="1"/>
    <col min="505" max="505" width="9.85546875" style="21" customWidth="1"/>
    <col min="506" max="506" width="14.42578125" style="21" customWidth="1"/>
    <col min="507" max="507" width="7.425781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5703125" style="21" customWidth="1"/>
    <col min="761" max="761" width="9.85546875" style="21" customWidth="1"/>
    <col min="762" max="762" width="14.42578125" style="21" customWidth="1"/>
    <col min="763" max="763" width="7.425781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5703125" style="21" customWidth="1"/>
    <col min="1017" max="1017" width="9.85546875" style="21" customWidth="1"/>
    <col min="1018" max="1018" width="14.42578125" style="21" customWidth="1"/>
    <col min="1019" max="1019" width="7.425781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5703125" style="21" customWidth="1"/>
    <col min="1273" max="1273" width="9.85546875" style="21" customWidth="1"/>
    <col min="1274" max="1274" width="14.42578125" style="21" customWidth="1"/>
    <col min="1275" max="1275" width="7.425781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5703125" style="21" customWidth="1"/>
    <col min="1529" max="1529" width="9.85546875" style="21" customWidth="1"/>
    <col min="1530" max="1530" width="14.42578125" style="21" customWidth="1"/>
    <col min="1531" max="1531" width="7.425781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5703125" style="21" customWidth="1"/>
    <col min="1785" max="1785" width="9.85546875" style="21" customWidth="1"/>
    <col min="1786" max="1786" width="14.42578125" style="21" customWidth="1"/>
    <col min="1787" max="1787" width="7.425781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5703125" style="21" customWidth="1"/>
    <col min="2041" max="2041" width="9.85546875" style="21" customWidth="1"/>
    <col min="2042" max="2042" width="14.42578125" style="21" customWidth="1"/>
    <col min="2043" max="2043" width="7.425781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5703125" style="21" customWidth="1"/>
    <col min="2297" max="2297" width="9.85546875" style="21" customWidth="1"/>
    <col min="2298" max="2298" width="14.42578125" style="21" customWidth="1"/>
    <col min="2299" max="2299" width="7.425781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5703125" style="21" customWidth="1"/>
    <col min="2553" max="2553" width="9.85546875" style="21" customWidth="1"/>
    <col min="2554" max="2554" width="14.42578125" style="21" customWidth="1"/>
    <col min="2555" max="2555" width="7.425781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5703125" style="21" customWidth="1"/>
    <col min="2809" max="2809" width="9.85546875" style="21" customWidth="1"/>
    <col min="2810" max="2810" width="14.42578125" style="21" customWidth="1"/>
    <col min="2811" max="2811" width="7.425781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5703125" style="21" customWidth="1"/>
    <col min="3065" max="3065" width="9.85546875" style="21" customWidth="1"/>
    <col min="3066" max="3066" width="14.42578125" style="21" customWidth="1"/>
    <col min="3067" max="3067" width="7.425781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5703125" style="21" customWidth="1"/>
    <col min="3321" max="3321" width="9.85546875" style="21" customWidth="1"/>
    <col min="3322" max="3322" width="14.42578125" style="21" customWidth="1"/>
    <col min="3323" max="3323" width="7.425781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5703125" style="21" customWidth="1"/>
    <col min="3577" max="3577" width="9.85546875" style="21" customWidth="1"/>
    <col min="3578" max="3578" width="14.42578125" style="21" customWidth="1"/>
    <col min="3579" max="3579" width="7.425781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5703125" style="21" customWidth="1"/>
    <col min="3833" max="3833" width="9.85546875" style="21" customWidth="1"/>
    <col min="3834" max="3834" width="14.42578125" style="21" customWidth="1"/>
    <col min="3835" max="3835" width="7.425781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5703125" style="21" customWidth="1"/>
    <col min="4089" max="4089" width="9.85546875" style="21" customWidth="1"/>
    <col min="4090" max="4090" width="14.42578125" style="21" customWidth="1"/>
    <col min="4091" max="4091" width="7.425781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5703125" style="21" customWidth="1"/>
    <col min="4345" max="4345" width="9.85546875" style="21" customWidth="1"/>
    <col min="4346" max="4346" width="14.42578125" style="21" customWidth="1"/>
    <col min="4347" max="4347" width="7.425781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5703125" style="21" customWidth="1"/>
    <col min="4601" max="4601" width="9.85546875" style="21" customWidth="1"/>
    <col min="4602" max="4602" width="14.42578125" style="21" customWidth="1"/>
    <col min="4603" max="4603" width="7.425781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5703125" style="21" customWidth="1"/>
    <col min="4857" max="4857" width="9.85546875" style="21" customWidth="1"/>
    <col min="4858" max="4858" width="14.42578125" style="21" customWidth="1"/>
    <col min="4859" max="4859" width="7.425781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5703125" style="21" customWidth="1"/>
    <col min="5113" max="5113" width="9.85546875" style="21" customWidth="1"/>
    <col min="5114" max="5114" width="14.42578125" style="21" customWidth="1"/>
    <col min="5115" max="5115" width="7.425781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5703125" style="21" customWidth="1"/>
    <col min="5369" max="5369" width="9.85546875" style="21" customWidth="1"/>
    <col min="5370" max="5370" width="14.42578125" style="21" customWidth="1"/>
    <col min="5371" max="5371" width="7.425781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5703125" style="21" customWidth="1"/>
    <col min="5625" max="5625" width="9.85546875" style="21" customWidth="1"/>
    <col min="5626" max="5626" width="14.42578125" style="21" customWidth="1"/>
    <col min="5627" max="5627" width="7.425781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5703125" style="21" customWidth="1"/>
    <col min="5881" max="5881" width="9.85546875" style="21" customWidth="1"/>
    <col min="5882" max="5882" width="14.42578125" style="21" customWidth="1"/>
    <col min="5883" max="5883" width="7.425781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5703125" style="21" customWidth="1"/>
    <col min="6137" max="6137" width="9.85546875" style="21" customWidth="1"/>
    <col min="6138" max="6138" width="14.42578125" style="21" customWidth="1"/>
    <col min="6139" max="6139" width="7.425781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5703125" style="21" customWidth="1"/>
    <col min="6393" max="6393" width="9.85546875" style="21" customWidth="1"/>
    <col min="6394" max="6394" width="14.42578125" style="21" customWidth="1"/>
    <col min="6395" max="6395" width="7.425781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5703125" style="21" customWidth="1"/>
    <col min="6649" max="6649" width="9.85546875" style="21" customWidth="1"/>
    <col min="6650" max="6650" width="14.42578125" style="21" customWidth="1"/>
    <col min="6651" max="6651" width="7.425781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5703125" style="21" customWidth="1"/>
    <col min="6905" max="6905" width="9.85546875" style="21" customWidth="1"/>
    <col min="6906" max="6906" width="14.42578125" style="21" customWidth="1"/>
    <col min="6907" max="6907" width="7.425781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5703125" style="21" customWidth="1"/>
    <col min="7161" max="7161" width="9.85546875" style="21" customWidth="1"/>
    <col min="7162" max="7162" width="14.42578125" style="21" customWidth="1"/>
    <col min="7163" max="7163" width="7.425781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5703125" style="21" customWidth="1"/>
    <col min="7417" max="7417" width="9.85546875" style="21" customWidth="1"/>
    <col min="7418" max="7418" width="14.42578125" style="21" customWidth="1"/>
    <col min="7419" max="7419" width="7.425781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5703125" style="21" customWidth="1"/>
    <col min="7673" max="7673" width="9.85546875" style="21" customWidth="1"/>
    <col min="7674" max="7674" width="14.42578125" style="21" customWidth="1"/>
    <col min="7675" max="7675" width="7.425781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5703125" style="21" customWidth="1"/>
    <col min="7929" max="7929" width="9.85546875" style="21" customWidth="1"/>
    <col min="7930" max="7930" width="14.42578125" style="21" customWidth="1"/>
    <col min="7931" max="7931" width="7.425781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5703125" style="21" customWidth="1"/>
    <col min="8185" max="8185" width="9.85546875" style="21" customWidth="1"/>
    <col min="8186" max="8186" width="14.42578125" style="21" customWidth="1"/>
    <col min="8187" max="8187" width="7.425781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5703125" style="21" customWidth="1"/>
    <col min="8441" max="8441" width="9.85546875" style="21" customWidth="1"/>
    <col min="8442" max="8442" width="14.42578125" style="21" customWidth="1"/>
    <col min="8443" max="8443" width="7.425781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5703125" style="21" customWidth="1"/>
    <col min="8697" max="8697" width="9.85546875" style="21" customWidth="1"/>
    <col min="8698" max="8698" width="14.42578125" style="21" customWidth="1"/>
    <col min="8699" max="8699" width="7.425781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5703125" style="21" customWidth="1"/>
    <col min="8953" max="8953" width="9.85546875" style="21" customWidth="1"/>
    <col min="8954" max="8954" width="14.42578125" style="21" customWidth="1"/>
    <col min="8955" max="8955" width="7.425781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5703125" style="21" customWidth="1"/>
    <col min="9209" max="9209" width="9.85546875" style="21" customWidth="1"/>
    <col min="9210" max="9210" width="14.42578125" style="21" customWidth="1"/>
    <col min="9211" max="9211" width="7.425781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5703125" style="21" customWidth="1"/>
    <col min="9465" max="9465" width="9.85546875" style="21" customWidth="1"/>
    <col min="9466" max="9466" width="14.42578125" style="21" customWidth="1"/>
    <col min="9467" max="9467" width="7.425781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5703125" style="21" customWidth="1"/>
    <col min="9721" max="9721" width="9.85546875" style="21" customWidth="1"/>
    <col min="9722" max="9722" width="14.42578125" style="21" customWidth="1"/>
    <col min="9723" max="9723" width="7.425781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5703125" style="21" customWidth="1"/>
    <col min="9977" max="9977" width="9.85546875" style="21" customWidth="1"/>
    <col min="9978" max="9978" width="14.42578125" style="21" customWidth="1"/>
    <col min="9979" max="9979" width="7.425781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5703125" style="21" customWidth="1"/>
    <col min="10233" max="10233" width="9.85546875" style="21" customWidth="1"/>
    <col min="10234" max="10234" width="14.42578125" style="21" customWidth="1"/>
    <col min="10235" max="10235" width="7.425781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5703125" style="21" customWidth="1"/>
    <col min="10489" max="10489" width="9.85546875" style="21" customWidth="1"/>
    <col min="10490" max="10490" width="14.42578125" style="21" customWidth="1"/>
    <col min="10491" max="10491" width="7.425781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5703125" style="21" customWidth="1"/>
    <col min="10745" max="10745" width="9.85546875" style="21" customWidth="1"/>
    <col min="10746" max="10746" width="14.42578125" style="21" customWidth="1"/>
    <col min="10747" max="10747" width="7.425781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5703125" style="21" customWidth="1"/>
    <col min="11001" max="11001" width="9.85546875" style="21" customWidth="1"/>
    <col min="11002" max="11002" width="14.42578125" style="21" customWidth="1"/>
    <col min="11003" max="11003" width="7.425781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5703125" style="21" customWidth="1"/>
    <col min="11257" max="11257" width="9.85546875" style="21" customWidth="1"/>
    <col min="11258" max="11258" width="14.42578125" style="21" customWidth="1"/>
    <col min="11259" max="11259" width="7.425781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5703125" style="21" customWidth="1"/>
    <col min="11513" max="11513" width="9.85546875" style="21" customWidth="1"/>
    <col min="11514" max="11514" width="14.42578125" style="21" customWidth="1"/>
    <col min="11515" max="11515" width="7.425781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5703125" style="21" customWidth="1"/>
    <col min="11769" max="11769" width="9.85546875" style="21" customWidth="1"/>
    <col min="11770" max="11770" width="14.42578125" style="21" customWidth="1"/>
    <col min="11771" max="11771" width="7.425781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5703125" style="21" customWidth="1"/>
    <col min="12025" max="12025" width="9.85546875" style="21" customWidth="1"/>
    <col min="12026" max="12026" width="14.42578125" style="21" customWidth="1"/>
    <col min="12027" max="12027" width="7.425781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5703125" style="21" customWidth="1"/>
    <col min="12281" max="12281" width="9.85546875" style="21" customWidth="1"/>
    <col min="12282" max="12282" width="14.42578125" style="21" customWidth="1"/>
    <col min="12283" max="12283" width="7.425781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5703125" style="21" customWidth="1"/>
    <col min="12537" max="12537" width="9.85546875" style="21" customWidth="1"/>
    <col min="12538" max="12538" width="14.42578125" style="21" customWidth="1"/>
    <col min="12539" max="12539" width="7.425781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5703125" style="21" customWidth="1"/>
    <col min="12793" max="12793" width="9.85546875" style="21" customWidth="1"/>
    <col min="12794" max="12794" width="14.42578125" style="21" customWidth="1"/>
    <col min="12795" max="12795" width="7.425781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5703125" style="21" customWidth="1"/>
    <col min="13049" max="13049" width="9.85546875" style="21" customWidth="1"/>
    <col min="13050" max="13050" width="14.42578125" style="21" customWidth="1"/>
    <col min="13051" max="13051" width="7.425781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5703125" style="21" customWidth="1"/>
    <col min="13305" max="13305" width="9.85546875" style="21" customWidth="1"/>
    <col min="13306" max="13306" width="14.42578125" style="21" customWidth="1"/>
    <col min="13307" max="13307" width="7.425781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5703125" style="21" customWidth="1"/>
    <col min="13561" max="13561" width="9.85546875" style="21" customWidth="1"/>
    <col min="13562" max="13562" width="14.42578125" style="21" customWidth="1"/>
    <col min="13563" max="13563" width="7.425781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5703125" style="21" customWidth="1"/>
    <col min="13817" max="13817" width="9.85546875" style="21" customWidth="1"/>
    <col min="13818" max="13818" width="14.42578125" style="21" customWidth="1"/>
    <col min="13819" max="13819" width="7.425781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5703125" style="21" customWidth="1"/>
    <col min="14073" max="14073" width="9.85546875" style="21" customWidth="1"/>
    <col min="14074" max="14074" width="14.42578125" style="21" customWidth="1"/>
    <col min="14075" max="14075" width="7.425781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5703125" style="21" customWidth="1"/>
    <col min="14329" max="14329" width="9.85546875" style="21" customWidth="1"/>
    <col min="14330" max="14330" width="14.42578125" style="21" customWidth="1"/>
    <col min="14331" max="14331" width="7.425781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5703125" style="21" customWidth="1"/>
    <col min="14585" max="14585" width="9.85546875" style="21" customWidth="1"/>
    <col min="14586" max="14586" width="14.42578125" style="21" customWidth="1"/>
    <col min="14587" max="14587" width="7.425781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5703125" style="21" customWidth="1"/>
    <col min="14841" max="14841" width="9.85546875" style="21" customWidth="1"/>
    <col min="14842" max="14842" width="14.42578125" style="21" customWidth="1"/>
    <col min="14843" max="14843" width="7.425781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5703125" style="21" customWidth="1"/>
    <col min="15097" max="15097" width="9.85546875" style="21" customWidth="1"/>
    <col min="15098" max="15098" width="14.42578125" style="21" customWidth="1"/>
    <col min="15099" max="15099" width="7.425781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5703125" style="21" customWidth="1"/>
    <col min="15353" max="15353" width="9.85546875" style="21" customWidth="1"/>
    <col min="15354" max="15354" width="14.42578125" style="21" customWidth="1"/>
    <col min="15355" max="15355" width="7.425781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5703125" style="21" customWidth="1"/>
    <col min="15609" max="15609" width="9.85546875" style="21" customWidth="1"/>
    <col min="15610" max="15610" width="14.42578125" style="21" customWidth="1"/>
    <col min="15611" max="15611" width="7.425781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5703125" style="21" customWidth="1"/>
    <col min="15865" max="15865" width="9.85546875" style="21" customWidth="1"/>
    <col min="15866" max="15866" width="14.42578125" style="21" customWidth="1"/>
    <col min="15867" max="15867" width="7.425781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5703125" style="21" customWidth="1"/>
    <col min="16121" max="16121" width="9.85546875" style="21" customWidth="1"/>
    <col min="16122" max="16122" width="14.42578125" style="21" customWidth="1"/>
    <col min="16123" max="16123" width="7.425781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8" ht="46.5" customHeight="1" x14ac:dyDescent="0.25">
      <c r="A1" s="145" t="s">
        <v>201</v>
      </c>
      <c r="B1" s="145"/>
      <c r="C1" s="145"/>
      <c r="D1" s="145"/>
      <c r="E1" s="145"/>
      <c r="F1" s="145"/>
      <c r="G1" s="145"/>
      <c r="H1" s="145"/>
    </row>
    <row r="2" spans="1:8" ht="16.5" customHeight="1" x14ac:dyDescent="0.25">
      <c r="A2" s="114" t="s">
        <v>0</v>
      </c>
      <c r="B2" s="114"/>
      <c r="C2" s="114"/>
      <c r="D2" s="114"/>
      <c r="E2" s="114"/>
      <c r="F2" s="114"/>
      <c r="G2" s="114"/>
      <c r="H2" s="114"/>
    </row>
    <row r="3" spans="1:8" x14ac:dyDescent="0.25">
      <c r="A3" s="106" t="s">
        <v>1</v>
      </c>
      <c r="B3" s="106"/>
      <c r="C3" s="106"/>
      <c r="D3" s="106"/>
      <c r="E3" s="106" t="str">
        <f ca="1">TEXT(TODAY(),"DD/MM/YYYY")</f>
        <v>13/09/2025</v>
      </c>
      <c r="F3" s="106"/>
      <c r="G3" s="106"/>
      <c r="H3" s="106"/>
    </row>
    <row r="4" spans="1:8" ht="15" customHeight="1" x14ac:dyDescent="0.25">
      <c r="A4" s="106" t="s">
        <v>2</v>
      </c>
      <c r="B4" s="106"/>
      <c r="C4" s="106"/>
      <c r="D4" s="106"/>
      <c r="E4" s="106" t="s">
        <v>161</v>
      </c>
      <c r="F4" s="106"/>
      <c r="G4" s="106"/>
      <c r="H4" s="106"/>
    </row>
    <row r="5" spans="1:8" x14ac:dyDescent="0.25">
      <c r="A5" s="106" t="s">
        <v>3</v>
      </c>
      <c r="B5" s="106"/>
      <c r="C5" s="106"/>
      <c r="D5" s="106"/>
      <c r="E5" s="147">
        <v>45909</v>
      </c>
      <c r="F5" s="106"/>
      <c r="G5" s="106"/>
      <c r="H5" s="106"/>
    </row>
    <row r="6" spans="1:8" ht="16.5" customHeight="1" x14ac:dyDescent="0.25">
      <c r="A6" s="106" t="s">
        <v>4</v>
      </c>
      <c r="B6" s="106"/>
      <c r="C6" s="106"/>
      <c r="D6" s="106"/>
      <c r="E6" s="106" t="s">
        <v>198</v>
      </c>
      <c r="F6" s="106"/>
      <c r="G6" s="106"/>
      <c r="H6" s="106"/>
    </row>
    <row r="7" spans="1:8" ht="15" customHeight="1" x14ac:dyDescent="0.25">
      <c r="A7" s="106" t="s">
        <v>5</v>
      </c>
      <c r="B7" s="106"/>
      <c r="C7" s="106"/>
      <c r="D7" s="106"/>
      <c r="E7" s="106" t="str">
        <f>E6</f>
        <v>M/s.Dream Developers</v>
      </c>
      <c r="F7" s="106"/>
      <c r="G7" s="106"/>
      <c r="H7" s="106"/>
    </row>
    <row r="8" spans="1:8" x14ac:dyDescent="0.25">
      <c r="A8" s="106" t="s">
        <v>6</v>
      </c>
      <c r="B8" s="106"/>
      <c r="C8" s="106"/>
      <c r="D8" s="106"/>
      <c r="E8" s="146" t="s">
        <v>163</v>
      </c>
      <c r="F8" s="146"/>
      <c r="G8" s="146"/>
      <c r="H8" s="146"/>
    </row>
    <row r="9" spans="1:8" x14ac:dyDescent="0.25">
      <c r="A9" s="106" t="s">
        <v>120</v>
      </c>
      <c r="B9" s="106"/>
      <c r="C9" s="106"/>
      <c r="D9" s="106"/>
      <c r="E9" s="106" t="s">
        <v>218</v>
      </c>
      <c r="F9" s="106"/>
      <c r="G9" s="106"/>
      <c r="H9" s="106"/>
    </row>
    <row r="10" spans="1:8" x14ac:dyDescent="0.25">
      <c r="A10" s="106" t="s">
        <v>7</v>
      </c>
      <c r="B10" s="106"/>
      <c r="C10" s="106"/>
      <c r="D10" s="106"/>
      <c r="E10" s="106" t="s">
        <v>121</v>
      </c>
      <c r="F10" s="106"/>
      <c r="G10" s="106"/>
      <c r="H10" s="106"/>
    </row>
    <row r="11" spans="1:8" x14ac:dyDescent="0.25">
      <c r="A11" s="88" t="s">
        <v>8</v>
      </c>
      <c r="B11" s="88"/>
      <c r="C11" s="88"/>
      <c r="D11" s="88"/>
      <c r="E11" s="148" t="s">
        <v>195</v>
      </c>
      <c r="F11" s="148"/>
      <c r="G11" s="148"/>
      <c r="H11" s="148"/>
    </row>
    <row r="12" spans="1:8" x14ac:dyDescent="0.25">
      <c r="A12" s="88" t="s">
        <v>9</v>
      </c>
      <c r="B12" s="88"/>
      <c r="C12" s="88"/>
      <c r="D12" s="88"/>
      <c r="E12" s="105" t="s">
        <v>162</v>
      </c>
      <c r="F12" s="106"/>
      <c r="G12" s="106"/>
      <c r="H12" s="106"/>
    </row>
    <row r="13" spans="1:8" ht="33.75" customHeight="1" x14ac:dyDescent="0.25">
      <c r="A13" s="94" t="s">
        <v>10</v>
      </c>
      <c r="B13" s="94"/>
      <c r="C13" s="94" t="str">
        <f>CONCATENATE((IF(OR(E8="",E8="NA"),"",E8)),", ",(IF(OR(A14="",A14="NA"),"",A14)),".",(IF(OR(C14="",C14="NA"),"",C14)),", near ",(IF(OR(C18="",C18="NA"),"",C18)),", ",(IF(OR(C15="",C15="NA"),"",C15)),", ",(IF(OR(G15="",G15="NA"),"",G15)),", ",(IF(OR(C16="",C16="NA"),"",C16)),", ",(IF(OR(C17="",C17="NA"),"",C17)),", ",(IF(OR(G16="",G16="NA"),"",G16))," - ",(IF(OR(G17="",G17="NA"),"",G17)),".")</f>
        <v>Dream Olympia, CTS No.459, 459/1 to 4, near Madhuban Garden, Lal Bahadur Shastri Road, Bhandup, Bhandup West, Kurla, Mumbai - 400078.</v>
      </c>
      <c r="D13" s="94"/>
      <c r="E13" s="94"/>
      <c r="F13" s="94"/>
      <c r="G13" s="94"/>
      <c r="H13" s="94"/>
    </row>
    <row r="14" spans="1:8" x14ac:dyDescent="0.25">
      <c r="A14" s="105" t="s">
        <v>164</v>
      </c>
      <c r="B14" s="105"/>
      <c r="C14" s="105" t="s">
        <v>196</v>
      </c>
      <c r="D14" s="105"/>
      <c r="E14" s="105"/>
      <c r="F14" s="105"/>
      <c r="G14" s="105"/>
      <c r="H14" s="105"/>
    </row>
    <row r="15" spans="1:8" ht="15.75" customHeight="1" x14ac:dyDescent="0.25">
      <c r="A15" s="94" t="s">
        <v>11</v>
      </c>
      <c r="B15" s="94"/>
      <c r="C15" s="106" t="s">
        <v>166</v>
      </c>
      <c r="D15" s="106"/>
      <c r="E15" s="94" t="s">
        <v>165</v>
      </c>
      <c r="F15" s="94"/>
      <c r="G15" s="105" t="s">
        <v>197</v>
      </c>
      <c r="H15" s="105"/>
    </row>
    <row r="16" spans="1:8" x14ac:dyDescent="0.25">
      <c r="A16" s="88" t="s">
        <v>13</v>
      </c>
      <c r="B16" s="88"/>
      <c r="C16" s="105" t="s">
        <v>193</v>
      </c>
      <c r="D16" s="105"/>
      <c r="E16" s="94" t="s">
        <v>12</v>
      </c>
      <c r="F16" s="94"/>
      <c r="G16" s="149" t="s">
        <v>168</v>
      </c>
      <c r="H16" s="150"/>
    </row>
    <row r="17" spans="1:8" x14ac:dyDescent="0.25">
      <c r="A17" s="88" t="s">
        <v>75</v>
      </c>
      <c r="B17" s="88"/>
      <c r="C17" s="105" t="s">
        <v>167</v>
      </c>
      <c r="D17" s="105"/>
      <c r="E17" s="94" t="s">
        <v>14</v>
      </c>
      <c r="F17" s="94"/>
      <c r="G17" s="105">
        <v>400078</v>
      </c>
      <c r="H17" s="105"/>
    </row>
    <row r="18" spans="1:8" ht="32.25" customHeight="1" x14ac:dyDescent="0.25">
      <c r="A18" s="88" t="s">
        <v>123</v>
      </c>
      <c r="B18" s="88"/>
      <c r="C18" s="105" t="s">
        <v>171</v>
      </c>
      <c r="D18" s="105"/>
      <c r="E18" s="94" t="s">
        <v>15</v>
      </c>
      <c r="F18" s="94"/>
      <c r="G18" s="105" t="s">
        <v>192</v>
      </c>
      <c r="H18" s="105"/>
    </row>
    <row r="19" spans="1:8" ht="15" customHeight="1" x14ac:dyDescent="0.25">
      <c r="A19" s="94" t="s">
        <v>78</v>
      </c>
      <c r="B19" s="94"/>
      <c r="C19" s="94"/>
      <c r="D19" s="94"/>
      <c r="E19" s="106" t="s">
        <v>16</v>
      </c>
      <c r="F19" s="106"/>
      <c r="G19" s="106"/>
      <c r="H19" s="106"/>
    </row>
    <row r="20" spans="1:8" ht="18.75" customHeight="1" x14ac:dyDescent="0.25">
      <c r="A20" s="94"/>
      <c r="B20" s="94"/>
      <c r="C20" s="94"/>
      <c r="D20" s="94"/>
      <c r="E20" s="106"/>
      <c r="F20" s="106"/>
      <c r="G20" s="106"/>
      <c r="H20" s="106"/>
    </row>
    <row r="21" spans="1:8" ht="15" customHeight="1" x14ac:dyDescent="0.25">
      <c r="A21" s="94" t="s">
        <v>17</v>
      </c>
      <c r="B21" s="94"/>
      <c r="C21" s="94"/>
      <c r="D21" s="94"/>
      <c r="E21" s="105" t="s">
        <v>18</v>
      </c>
      <c r="F21" s="105"/>
      <c r="G21" s="105"/>
      <c r="H21" s="105"/>
    </row>
    <row r="22" spans="1:8" ht="15" customHeight="1" x14ac:dyDescent="0.25">
      <c r="A22" s="88" t="s">
        <v>19</v>
      </c>
      <c r="B22" s="88"/>
      <c r="C22" s="88"/>
      <c r="D22" s="88"/>
      <c r="E22" s="105" t="str">
        <f>IF(AND(G16="Mumbai"),"Upper Class","Middle Class")</f>
        <v>Upper Class</v>
      </c>
      <c r="F22" s="105"/>
      <c r="G22" s="105"/>
      <c r="H22" s="105"/>
    </row>
    <row r="23" spans="1:8" x14ac:dyDescent="0.25">
      <c r="A23" s="88" t="s">
        <v>20</v>
      </c>
      <c r="B23" s="88"/>
      <c r="C23" s="88"/>
      <c r="D23" s="88"/>
      <c r="E23" s="105" t="s">
        <v>21</v>
      </c>
      <c r="F23" s="105"/>
      <c r="G23" s="105"/>
      <c r="H23" s="105"/>
    </row>
    <row r="24" spans="1:8" ht="15.75" customHeight="1" x14ac:dyDescent="0.25">
      <c r="A24" s="88" t="s">
        <v>22</v>
      </c>
      <c r="B24" s="88"/>
      <c r="C24" s="88"/>
      <c r="D24" s="88"/>
      <c r="E24" s="105" t="str">
        <f>IF(AND(G16="Mumbai"),"Developed","Developing")</f>
        <v>Developed</v>
      </c>
      <c r="F24" s="105"/>
      <c r="G24" s="105"/>
      <c r="H24" s="105"/>
    </row>
    <row r="25" spans="1:8" x14ac:dyDescent="0.25">
      <c r="A25" s="88" t="s">
        <v>23</v>
      </c>
      <c r="B25" s="88"/>
      <c r="C25" s="88"/>
      <c r="D25" s="88"/>
      <c r="E25" s="105" t="s">
        <v>24</v>
      </c>
      <c r="F25" s="105"/>
      <c r="G25" s="105"/>
      <c r="H25" s="105"/>
    </row>
    <row r="26" spans="1:8" ht="15.75" customHeight="1" x14ac:dyDescent="0.25">
      <c r="A26" s="88" t="s">
        <v>83</v>
      </c>
      <c r="B26" s="88"/>
      <c r="C26" s="88"/>
      <c r="D26" s="88"/>
      <c r="E26" s="105" t="s">
        <v>84</v>
      </c>
      <c r="F26" s="105"/>
      <c r="G26" s="105"/>
      <c r="H26" s="105"/>
    </row>
    <row r="27" spans="1:8" ht="15" customHeight="1" x14ac:dyDescent="0.25">
      <c r="A27" s="88" t="s">
        <v>33</v>
      </c>
      <c r="B27" s="88"/>
      <c r="C27" s="88"/>
      <c r="D27" s="88"/>
      <c r="E27" s="105"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 + Commercial</v>
      </c>
      <c r="F27" s="105"/>
      <c r="G27" s="105"/>
      <c r="H27" s="105"/>
    </row>
    <row r="28" spans="1:8" ht="15.75" customHeight="1" x14ac:dyDescent="0.25">
      <c r="A28" s="88" t="s">
        <v>95</v>
      </c>
      <c r="B28" s="88"/>
      <c r="C28" s="88"/>
      <c r="D28" s="88"/>
      <c r="E28" s="105" t="s">
        <v>34</v>
      </c>
      <c r="F28" s="105"/>
      <c r="G28" s="105"/>
      <c r="H28" s="105"/>
    </row>
    <row r="29" spans="1:8" s="22" customFormat="1" x14ac:dyDescent="0.25">
      <c r="A29" s="154" t="s">
        <v>96</v>
      </c>
      <c r="B29" s="154"/>
      <c r="C29" s="153" t="s">
        <v>29</v>
      </c>
      <c r="D29" s="153"/>
      <c r="E29" s="153"/>
      <c r="F29" s="153" t="s">
        <v>31</v>
      </c>
      <c r="G29" s="153"/>
      <c r="H29" s="153"/>
    </row>
    <row r="30" spans="1:8" s="22" customFormat="1" x14ac:dyDescent="0.25">
      <c r="A30" s="151" t="s">
        <v>25</v>
      </c>
      <c r="B30" s="151" t="s">
        <v>30</v>
      </c>
      <c r="C30" s="152" t="s">
        <v>30</v>
      </c>
      <c r="D30" s="152"/>
      <c r="E30" s="152"/>
      <c r="F30" s="152" t="s">
        <v>172</v>
      </c>
      <c r="G30" s="152"/>
      <c r="H30" s="152"/>
    </row>
    <row r="31" spans="1:8" x14ac:dyDescent="0.25">
      <c r="A31" s="151" t="s">
        <v>26</v>
      </c>
      <c r="B31" s="151" t="s">
        <v>30</v>
      </c>
      <c r="C31" s="152" t="s">
        <v>30</v>
      </c>
      <c r="D31" s="152"/>
      <c r="E31" s="152"/>
      <c r="F31" s="152" t="s">
        <v>169</v>
      </c>
      <c r="G31" s="152"/>
      <c r="H31" s="152"/>
    </row>
    <row r="32" spans="1:8" s="22" customFormat="1" x14ac:dyDescent="0.25">
      <c r="A32" s="151" t="s">
        <v>28</v>
      </c>
      <c r="B32" s="151" t="s">
        <v>30</v>
      </c>
      <c r="C32" s="152" t="s">
        <v>30</v>
      </c>
      <c r="D32" s="152"/>
      <c r="E32" s="152"/>
      <c r="F32" s="152" t="s">
        <v>170</v>
      </c>
      <c r="G32" s="152"/>
      <c r="H32" s="152"/>
    </row>
    <row r="33" spans="1:8" x14ac:dyDescent="0.25">
      <c r="A33" s="151" t="s">
        <v>27</v>
      </c>
      <c r="B33" s="151" t="s">
        <v>30</v>
      </c>
      <c r="C33" s="152" t="s">
        <v>30</v>
      </c>
      <c r="D33" s="152"/>
      <c r="E33" s="152"/>
      <c r="F33" s="152" t="s">
        <v>171</v>
      </c>
      <c r="G33" s="152"/>
      <c r="H33" s="152"/>
    </row>
    <row r="34" spans="1:8" x14ac:dyDescent="0.25">
      <c r="A34" s="88" t="s">
        <v>32</v>
      </c>
      <c r="B34" s="88"/>
      <c r="C34" s="88"/>
      <c r="D34" s="88"/>
      <c r="E34" s="88"/>
      <c r="F34" s="88"/>
      <c r="G34" s="88"/>
      <c r="H34" s="88"/>
    </row>
    <row r="35" spans="1:8" ht="15.75" customHeight="1" x14ac:dyDescent="0.25">
      <c r="A35" s="88" t="s">
        <v>206</v>
      </c>
      <c r="B35" s="88"/>
      <c r="C35" s="155" t="s">
        <v>207</v>
      </c>
      <c r="D35" s="156"/>
      <c r="E35" s="156"/>
      <c r="F35" s="156"/>
      <c r="G35" s="156"/>
      <c r="H35" s="157"/>
    </row>
    <row r="36" spans="1:8" ht="15.75" customHeight="1" x14ac:dyDescent="0.25">
      <c r="A36" s="88" t="s">
        <v>202</v>
      </c>
      <c r="B36" s="88"/>
      <c r="C36" s="169" t="s">
        <v>203</v>
      </c>
      <c r="D36" s="170"/>
      <c r="E36" s="170"/>
      <c r="F36" s="170"/>
      <c r="G36" s="170"/>
      <c r="H36" s="171"/>
    </row>
    <row r="37" spans="1:8" x14ac:dyDescent="0.25">
      <c r="A37" s="110" t="s">
        <v>35</v>
      </c>
      <c r="B37" s="110"/>
      <c r="C37" s="110"/>
      <c r="D37" s="110"/>
      <c r="E37" s="110"/>
      <c r="F37" s="110"/>
      <c r="G37" s="110"/>
      <c r="H37" s="110"/>
    </row>
    <row r="38" spans="1:8" x14ac:dyDescent="0.25">
      <c r="A38" s="88" t="s">
        <v>36</v>
      </c>
      <c r="B38" s="88"/>
      <c r="C38" s="88"/>
      <c r="D38" s="88"/>
      <c r="E38" s="158">
        <v>1469.9</v>
      </c>
      <c r="F38" s="158"/>
      <c r="G38" s="158"/>
      <c r="H38" s="158"/>
    </row>
    <row r="39" spans="1:8" x14ac:dyDescent="0.25">
      <c r="A39" s="88" t="s">
        <v>37</v>
      </c>
      <c r="B39" s="88"/>
      <c r="C39" s="88"/>
      <c r="D39" s="88"/>
      <c r="E39" s="159">
        <v>1</v>
      </c>
      <c r="F39" s="159"/>
      <c r="G39" s="159"/>
      <c r="H39" s="159"/>
    </row>
    <row r="40" spans="1:8" x14ac:dyDescent="0.25">
      <c r="A40" s="88" t="s">
        <v>38</v>
      </c>
      <c r="B40" s="88"/>
      <c r="C40" s="88"/>
      <c r="D40" s="88"/>
      <c r="E40" s="159">
        <f>E42/E38-E39</f>
        <v>0.49999999999999978</v>
      </c>
      <c r="F40" s="159"/>
      <c r="G40" s="159"/>
      <c r="H40" s="159"/>
    </row>
    <row r="41" spans="1:8" x14ac:dyDescent="0.25">
      <c r="A41" s="88" t="s">
        <v>39</v>
      </c>
      <c r="B41" s="88"/>
      <c r="C41" s="88"/>
      <c r="D41" s="88"/>
      <c r="E41" s="159">
        <f>E39+E40</f>
        <v>1.4999999999999998</v>
      </c>
      <c r="F41" s="159"/>
      <c r="G41" s="159"/>
      <c r="H41" s="159"/>
    </row>
    <row r="42" spans="1:8" x14ac:dyDescent="0.25">
      <c r="A42" s="88" t="s">
        <v>94</v>
      </c>
      <c r="B42" s="88"/>
      <c r="C42" s="88"/>
      <c r="D42" s="88"/>
      <c r="E42" s="160">
        <v>2204.85</v>
      </c>
      <c r="F42" s="160"/>
      <c r="G42" s="160"/>
      <c r="H42" s="160"/>
    </row>
    <row r="43" spans="1:8" x14ac:dyDescent="0.25">
      <c r="A43" s="106" t="s">
        <v>40</v>
      </c>
      <c r="B43" s="106"/>
      <c r="C43" s="106"/>
      <c r="D43" s="106"/>
      <c r="E43" s="106" t="s">
        <v>121</v>
      </c>
      <c r="F43" s="106"/>
      <c r="G43" s="106"/>
      <c r="H43" s="106"/>
    </row>
    <row r="44" spans="1:8" x14ac:dyDescent="0.25">
      <c r="A44" s="110" t="s">
        <v>41</v>
      </c>
      <c r="B44" s="110"/>
      <c r="C44" s="110"/>
      <c r="D44" s="110"/>
      <c r="E44" s="110"/>
      <c r="F44" s="110"/>
      <c r="G44" s="110"/>
      <c r="H44" s="110"/>
    </row>
    <row r="45" spans="1:8" ht="33.75" customHeight="1" x14ac:dyDescent="0.25">
      <c r="A45" s="83" t="s">
        <v>151</v>
      </c>
      <c r="B45" s="84"/>
      <c r="C45" s="172" t="s">
        <v>199</v>
      </c>
      <c r="D45" s="173"/>
      <c r="E45" s="173"/>
      <c r="F45" s="173"/>
      <c r="G45" s="173"/>
      <c r="H45" s="174"/>
    </row>
    <row r="46" spans="1:8" ht="15.75" customHeight="1" x14ac:dyDescent="0.25">
      <c r="A46" s="83" t="s">
        <v>42</v>
      </c>
      <c r="B46" s="84"/>
      <c r="C46" s="83" t="s">
        <v>173</v>
      </c>
      <c r="D46" s="85"/>
      <c r="E46" s="84"/>
      <c r="F46" s="18" t="s">
        <v>43</v>
      </c>
      <c r="G46" s="86">
        <v>44591</v>
      </c>
      <c r="H46" s="84"/>
    </row>
    <row r="47" spans="1:8" x14ac:dyDescent="0.25">
      <c r="A47" s="83" t="s">
        <v>44</v>
      </c>
      <c r="B47" s="84"/>
      <c r="C47" s="83" t="str">
        <f>C46</f>
        <v>CE/1001/BPES/AS</v>
      </c>
      <c r="D47" s="85"/>
      <c r="E47" s="84"/>
      <c r="F47" s="18" t="s">
        <v>43</v>
      </c>
      <c r="G47" s="86">
        <f>G46</f>
        <v>44591</v>
      </c>
      <c r="H47" s="87"/>
    </row>
    <row r="48" spans="1:8" s="23" customFormat="1" ht="15.75" customHeight="1" x14ac:dyDescent="0.25">
      <c r="A48" s="161" t="s">
        <v>155</v>
      </c>
      <c r="B48" s="162"/>
      <c r="C48" s="83" t="s">
        <v>209</v>
      </c>
      <c r="D48" s="85"/>
      <c r="E48" s="84"/>
      <c r="F48" s="18" t="s">
        <v>43</v>
      </c>
      <c r="G48" s="86">
        <v>45387</v>
      </c>
      <c r="H48" s="87"/>
    </row>
    <row r="49" spans="1:14" s="23" customFormat="1" ht="143.1" customHeight="1" x14ac:dyDescent="0.25">
      <c r="A49" s="163"/>
      <c r="B49" s="164"/>
      <c r="C49" s="83" t="s">
        <v>210</v>
      </c>
      <c r="D49" s="85"/>
      <c r="E49" s="84"/>
      <c r="F49" s="18" t="s">
        <v>122</v>
      </c>
      <c r="G49" s="86">
        <v>45745</v>
      </c>
      <c r="H49" s="84"/>
    </row>
    <row r="50" spans="1:14" s="23" customFormat="1" ht="15.75" customHeight="1" x14ac:dyDescent="0.25">
      <c r="A50" s="161" t="s">
        <v>155</v>
      </c>
      <c r="B50" s="162"/>
      <c r="C50" s="83" t="s">
        <v>219</v>
      </c>
      <c r="D50" s="85"/>
      <c r="E50" s="84"/>
      <c r="F50" s="18" t="s">
        <v>43</v>
      </c>
      <c r="G50" s="86">
        <v>45762</v>
      </c>
      <c r="H50" s="87"/>
    </row>
    <row r="51" spans="1:14" s="23" customFormat="1" ht="129.75" customHeight="1" x14ac:dyDescent="0.25">
      <c r="A51" s="163"/>
      <c r="B51" s="164"/>
      <c r="C51" s="83" t="s">
        <v>220</v>
      </c>
      <c r="D51" s="85"/>
      <c r="E51" s="84"/>
      <c r="F51" s="18" t="s">
        <v>122</v>
      </c>
      <c r="G51" s="86">
        <v>46110</v>
      </c>
      <c r="H51" s="84"/>
    </row>
    <row r="52" spans="1:14" x14ac:dyDescent="0.25">
      <c r="A52" s="101" t="s">
        <v>45</v>
      </c>
      <c r="B52" s="102"/>
      <c r="C52" s="101" t="s">
        <v>102</v>
      </c>
      <c r="D52" s="103"/>
      <c r="E52" s="102"/>
      <c r="F52" s="44" t="s">
        <v>43</v>
      </c>
      <c r="G52" s="107" t="s">
        <v>30</v>
      </c>
      <c r="H52" s="108"/>
    </row>
    <row r="53" spans="1:14" x14ac:dyDescent="0.25">
      <c r="A53" s="104" t="s">
        <v>47</v>
      </c>
      <c r="B53" s="104"/>
      <c r="C53" s="104"/>
      <c r="D53" s="104"/>
      <c r="E53" s="104"/>
      <c r="F53" s="104"/>
      <c r="G53" s="104"/>
      <c r="H53" s="104"/>
    </row>
    <row r="54" spans="1:14" x14ac:dyDescent="0.25">
      <c r="A54" s="94" t="s">
        <v>93</v>
      </c>
      <c r="B54" s="94"/>
      <c r="C54" s="94"/>
      <c r="D54" s="88">
        <f>E42</f>
        <v>2204.85</v>
      </c>
      <c r="E54" s="88"/>
      <c r="F54" s="88"/>
      <c r="G54" s="88"/>
      <c r="H54" s="88"/>
    </row>
    <row r="55" spans="1:14" x14ac:dyDescent="0.25">
      <c r="A55" s="105" t="s">
        <v>48</v>
      </c>
      <c r="B55" s="106"/>
      <c r="C55" s="106"/>
      <c r="D55" s="106" t="s">
        <v>190</v>
      </c>
      <c r="E55" s="106"/>
      <c r="F55" s="106"/>
      <c r="G55" s="106"/>
      <c r="H55" s="106"/>
      <c r="I55" s="24"/>
    </row>
    <row r="56" spans="1:14" x14ac:dyDescent="0.25">
      <c r="A56" s="89" t="s">
        <v>49</v>
      </c>
      <c r="B56" s="90"/>
      <c r="C56" s="167"/>
      <c r="D56" s="128" t="s">
        <v>204</v>
      </c>
      <c r="E56" s="166"/>
      <c r="F56" s="166"/>
      <c r="G56" s="166"/>
      <c r="H56" s="166"/>
    </row>
    <row r="57" spans="1:14" ht="15.75" customHeight="1" x14ac:dyDescent="0.25">
      <c r="A57" s="89" t="s">
        <v>91</v>
      </c>
      <c r="B57" s="90"/>
      <c r="C57" s="90"/>
      <c r="D57" s="91" t="s">
        <v>200</v>
      </c>
      <c r="E57" s="92"/>
      <c r="F57" s="92"/>
      <c r="G57" s="92"/>
      <c r="H57" s="93"/>
    </row>
    <row r="58" spans="1:14" ht="15.75" customHeight="1" x14ac:dyDescent="0.25">
      <c r="A58" s="88" t="s">
        <v>46</v>
      </c>
      <c r="B58" s="88"/>
      <c r="C58" s="88"/>
      <c r="D58" s="94" t="s">
        <v>174</v>
      </c>
      <c r="E58" s="94"/>
      <c r="F58" s="94"/>
      <c r="G58" s="94"/>
      <c r="H58" s="94"/>
      <c r="J58" s="25"/>
      <c r="K58" s="24"/>
      <c r="N58" s="24"/>
    </row>
    <row r="59" spans="1:14" ht="15.75" customHeight="1" x14ac:dyDescent="0.25">
      <c r="A59" s="88" t="s">
        <v>89</v>
      </c>
      <c r="B59" s="88"/>
      <c r="C59" s="88"/>
      <c r="D59" s="168" t="str">
        <f>(IF(G52="NA","60 Years After Completion",IF(G52&lt;&gt;"NA",""&amp;60-ROUNDDOWN((E3-G52)/360,0)&amp;" Years"," ")))</f>
        <v>60 Years After Completion</v>
      </c>
      <c r="E59" s="168"/>
      <c r="F59" s="168"/>
      <c r="G59" s="168"/>
      <c r="H59" s="168"/>
      <c r="N59" s="24"/>
    </row>
    <row r="60" spans="1:14" ht="15.75" customHeight="1" x14ac:dyDescent="0.25">
      <c r="A60" s="88" t="s">
        <v>90</v>
      </c>
      <c r="B60" s="88"/>
      <c r="C60" s="88"/>
      <c r="D60" s="94" t="s">
        <v>24</v>
      </c>
      <c r="E60" s="94"/>
      <c r="F60" s="94"/>
      <c r="G60" s="94"/>
      <c r="H60" s="94"/>
      <c r="J60" s="26"/>
      <c r="K60" s="26"/>
    </row>
    <row r="61" spans="1:14" ht="30.75" customHeight="1" x14ac:dyDescent="0.25">
      <c r="A61" s="88" t="s">
        <v>76</v>
      </c>
      <c r="B61" s="88"/>
      <c r="C61" s="88"/>
      <c r="D61" s="105" t="s">
        <v>205</v>
      </c>
      <c r="E61" s="94"/>
      <c r="F61" s="94"/>
      <c r="G61" s="94"/>
      <c r="H61" s="94"/>
    </row>
    <row r="62" spans="1:14" x14ac:dyDescent="0.25">
      <c r="A62" s="94" t="s">
        <v>149</v>
      </c>
      <c r="B62" s="94"/>
      <c r="C62" s="94"/>
      <c r="D62" s="94" t="s">
        <v>30</v>
      </c>
      <c r="E62" s="94"/>
      <c r="F62" s="94"/>
      <c r="G62" s="94"/>
      <c r="H62" s="94"/>
      <c r="I62" s="27"/>
      <c r="J62" s="27"/>
      <c r="K62" s="27"/>
      <c r="L62" s="27"/>
      <c r="M62" s="27"/>
      <c r="N62" s="27"/>
    </row>
    <row r="63" spans="1:14" ht="15.75" customHeight="1" x14ac:dyDescent="0.25">
      <c r="A63" s="129" t="s">
        <v>88</v>
      </c>
      <c r="B63" s="129"/>
      <c r="C63" s="129"/>
      <c r="D63" s="128" t="str">
        <f ca="1">(IF(G69&gt;95%,"Nothing",IF(G69&gt;0%,"Cement, Aggregate, Steel, etc",IF(G69=0%,"Work not yet Started"))))</f>
        <v>Cement, Aggregate, Steel, etc</v>
      </c>
      <c r="E63" s="128"/>
      <c r="F63" s="128"/>
      <c r="G63" s="128"/>
      <c r="H63" s="128"/>
      <c r="J63" s="26"/>
    </row>
    <row r="64" spans="1:14" ht="33.75" customHeight="1" thickBot="1" x14ac:dyDescent="0.3">
      <c r="A64" s="127" t="s">
        <v>115</v>
      </c>
      <c r="B64" s="127"/>
      <c r="C64" s="127"/>
      <c r="D64" s="128" t="str">
        <f ca="1">(IF(D63="Nothing","Yes",IF(D63="Cement, Aggregate, Steel, etc","Under Construction",IF(D63="Work not yet Started","Work not yet Started"))))</f>
        <v>Under Construction</v>
      </c>
      <c r="E64" s="128"/>
      <c r="F64" s="128" t="str">
        <f ca="1">(IF(D63="Nothing","Yes",IF(D63="Cement, Aggregate, Steel, etc","Under Construction",IF(D63="Work not yet Started","Work not yet Started"))))</f>
        <v>Under Construction</v>
      </c>
      <c r="G64" s="128"/>
      <c r="H64" s="128"/>
    </row>
    <row r="65" spans="1:10" ht="15.75" customHeight="1" x14ac:dyDescent="0.25">
      <c r="A65" s="130" t="s">
        <v>141</v>
      </c>
      <c r="B65" s="131"/>
      <c r="C65" s="132" t="s">
        <v>212</v>
      </c>
      <c r="D65" s="133"/>
      <c r="E65" s="133"/>
      <c r="F65" s="133"/>
      <c r="G65" s="133"/>
      <c r="H65" s="134"/>
      <c r="I65" s="47" t="str">
        <f ca="1">IF(D78=100%,"All work Completed. Possession granted to the Building.",IF(D77=100%,"All work Completed, Waiting for OC",I66&amp;""&amp;I67&amp;""&amp;J66&amp;""&amp;J65&amp;" "&amp;J67))</f>
        <v>Excavation, Plinth Completed, RCC upto 12 Slab, Brickwork upto 7 Floor Completed</v>
      </c>
      <c r="J65" s="48" t="str">
        <f ca="1">(IF(C71=(D66+F66+H66),"",IF(C71&gt;0,", RCC upto "&amp;C71&amp;" Slab","")))&amp;(IF(C72=H66,"",IF(C72&gt;0,", Brickwork upto "&amp;C72&amp;" Floor","")))&amp;(IF(C73=H66,"",IF(C73&gt;0,", Internal Plaster upto "&amp;C73&amp;" Floor","")))&amp;(IF(C74=H66,"",IF(C74&gt;0,", External Plaster upto "&amp;C74&amp;" Floor","")))&amp;(IF(C75=H66,"",IF(C75&gt;0,", Flooring upto "&amp;C75&amp;" Floor","")))&amp;(IF(C76=H66,"",IF(C76&gt;0,", Painting upto "&amp;C76&amp;" Floor","")))&amp;(IF(C77=H66,"",IF(C77&gt;0,", Finishing upto "&amp;C77&amp;" Floor","")))&amp;(IF(C78=H66,"",IF(C78&gt;0,", Possession upto "&amp;C78&amp;" Floor","")))</f>
        <v>, RCC upto 12 Slab, Brickwork upto 7 Floor</v>
      </c>
    </row>
    <row r="66" spans="1:10" s="23" customFormat="1" x14ac:dyDescent="0.25">
      <c r="A66" s="16" t="s">
        <v>143</v>
      </c>
      <c r="B66" s="51">
        <v>2</v>
      </c>
      <c r="C66" s="51" t="s">
        <v>74</v>
      </c>
      <c r="D66" s="51">
        <v>1</v>
      </c>
      <c r="E66" s="51" t="s">
        <v>73</v>
      </c>
      <c r="F66" s="51">
        <v>0</v>
      </c>
      <c r="G66" s="51" t="s">
        <v>82</v>
      </c>
      <c r="H66" s="17">
        <f ca="1">--TRIM(RIGHT(SUBSTITUTE(LEFT(C65,_xlfn.AGGREGATE(16,6,FIND({0,1,2,3,4,5,6,7,8,9},C65,ROW(INDIRECT("1:"&amp;LEN(C65)))),1))," ",REPT(" ",LEN(C65))),LEN(C65)))</f>
        <v>21</v>
      </c>
      <c r="I66" s="52" t="str">
        <f ca="1">IF(D69=100%,"Excavation","")&amp;IF(D70=100%,", Plinth","")&amp;IF(D71=100%,", RCC Slab","")&amp;IF(D72=100%,", Brickwork","")&amp;IF(D73=100%,", Internal Plaster","")&amp;IF(D74=100%,", External Plaster","")&amp;IF(D75=100%,", Flooring","")&amp;IF(D76=100%,", Painting","")&amp;IF(D77=100%,", Building common Amenities","")</f>
        <v>Excavation, Plinth</v>
      </c>
      <c r="J66" s="53" t="str">
        <f ca="1">(IF(C69=0,"Work not yet Started.",IF(D69=25%,"Piling work in process",IF(D69=50%,"Excavation work in process",IF(D69=100%,"","0")))))&amp;(IF(C70=0%,"",IF(C70=J71,", Footing work is process",IF(C70=J72,", Footing work Completed",IF(C70=J73,", 1st Basement Completed",IF(C70=J74,", 1st &amp; 2nd Basement Completed",IF(C70=J75,", 1st to 3rd Basement Completed",IF(C70=J76,", 1st to 4th Basement Completed",IF(C70=J77,", Plinth work is process",IF(C70=J78,"","0"))))))))))</f>
        <v/>
      </c>
    </row>
    <row r="67" spans="1:10" ht="33.75" customHeight="1" x14ac:dyDescent="0.25">
      <c r="A67" s="165" t="s">
        <v>92</v>
      </c>
      <c r="B67" s="146"/>
      <c r="C67" s="135" t="str">
        <f ca="1">(IF($G$52="NA",I65,"All work Completed. OC Received."))</f>
        <v>Excavation, Plinth Completed, RCC upto 12 Slab, Brickwork upto 7 Floor Completed</v>
      </c>
      <c r="D67" s="135"/>
      <c r="E67" s="135"/>
      <c r="F67" s="135"/>
      <c r="G67" s="135"/>
      <c r="H67" s="136"/>
      <c r="I67" s="49" t="str">
        <f ca="1">IF(I66&lt;&gt;""," Completed","")</f>
        <v xml:space="preserve"> Completed</v>
      </c>
      <c r="J67" s="50" t="str">
        <f ca="1">IF(J65&lt;&gt;"","Completed","")</f>
        <v>Completed</v>
      </c>
    </row>
    <row r="68" spans="1:10" ht="15.75" customHeight="1" x14ac:dyDescent="0.25">
      <c r="A68" s="78" t="s">
        <v>50</v>
      </c>
      <c r="B68" s="79"/>
      <c r="C68" s="42" t="s">
        <v>140</v>
      </c>
      <c r="D68" s="42" t="s">
        <v>85</v>
      </c>
      <c r="E68" s="79" t="s">
        <v>87</v>
      </c>
      <c r="F68" s="79"/>
      <c r="G68" s="79" t="s">
        <v>86</v>
      </c>
      <c r="H68" s="144"/>
      <c r="I68" s="14" t="s">
        <v>142</v>
      </c>
      <c r="J68" s="28">
        <f ca="1">H66*25%</f>
        <v>5.25</v>
      </c>
    </row>
    <row r="69" spans="1:10" x14ac:dyDescent="0.25">
      <c r="A69" s="78" t="s">
        <v>129</v>
      </c>
      <c r="B69" s="79"/>
      <c r="C69" s="42">
        <v>21</v>
      </c>
      <c r="D69" s="19">
        <f ca="1">((100/H66)*C69)/100</f>
        <v>1</v>
      </c>
      <c r="E69" s="95">
        <f ca="1">(((C70/H66*10)+(40/(D66+F66+H66)*C71)+(7.5/(H66)*C72)+(7.5/(H66)*C73)+(10/H66*C74)+(10/H66*C75)+(5/H66*C76)+(5/H66*C77)+(5/H66*C78))/100)</f>
        <v>0.34318181818181814</v>
      </c>
      <c r="F69" s="96"/>
      <c r="G69" s="95">
        <f ca="1">((((C69/H66)*20)+((C70/H66)*25)+(30/(H66+F66+D66)*C71)+(5/H66*C72)+(5/H66*C73)+(5/H66*C74)+(5/H66*C75)+(0/H66*C76)+(0/H66*C77)+(5/H66*C78))/100)</f>
        <v>0.63030303030303025</v>
      </c>
      <c r="H69" s="141"/>
      <c r="I69" s="14" t="s">
        <v>97</v>
      </c>
      <c r="J69" s="29">
        <f ca="1">H66*50%</f>
        <v>10.5</v>
      </c>
    </row>
    <row r="70" spans="1:10" x14ac:dyDescent="0.25">
      <c r="A70" s="78" t="s">
        <v>51</v>
      </c>
      <c r="B70" s="79"/>
      <c r="C70" s="54">
        <f ca="1">J78</f>
        <v>21</v>
      </c>
      <c r="D70" s="19">
        <f ca="1">((100/H66)*C70)/100</f>
        <v>1</v>
      </c>
      <c r="E70" s="97"/>
      <c r="F70" s="98"/>
      <c r="G70" s="97"/>
      <c r="H70" s="142"/>
      <c r="I70" s="14" t="s">
        <v>98</v>
      </c>
      <c r="J70" s="29">
        <f ca="1">H66</f>
        <v>21</v>
      </c>
    </row>
    <row r="71" spans="1:10" ht="15.75" customHeight="1" x14ac:dyDescent="0.25">
      <c r="A71" s="78" t="s">
        <v>130</v>
      </c>
      <c r="B71" s="79"/>
      <c r="C71" s="42">
        <v>12</v>
      </c>
      <c r="D71" s="19">
        <f ca="1">((100/(D66+F66+H66))*C71)/100</f>
        <v>0.54545454545454541</v>
      </c>
      <c r="E71" s="97"/>
      <c r="F71" s="98"/>
      <c r="G71" s="97"/>
      <c r="H71" s="142"/>
      <c r="I71" s="14" t="s">
        <v>99</v>
      </c>
      <c r="J71" s="30">
        <f ca="1">(IF(B66&gt;1,(H66/(B66+2)),H66/4))</f>
        <v>5.25</v>
      </c>
    </row>
    <row r="72" spans="1:10" ht="15.75" customHeight="1" x14ac:dyDescent="0.25">
      <c r="A72" s="78" t="s">
        <v>137</v>
      </c>
      <c r="B72" s="79" t="s">
        <v>131</v>
      </c>
      <c r="C72" s="42">
        <v>7</v>
      </c>
      <c r="D72" s="19">
        <f ca="1">((100/H66)*C72)/100</f>
        <v>0.33333333333333337</v>
      </c>
      <c r="E72" s="97"/>
      <c r="F72" s="98"/>
      <c r="G72" s="97"/>
      <c r="H72" s="142"/>
      <c r="I72" s="14" t="s">
        <v>100</v>
      </c>
      <c r="J72" s="30">
        <f ca="1">(IF(B66&gt;1,(H66/(B66+2)+J71),H66/4+J71))</f>
        <v>10.5</v>
      </c>
    </row>
    <row r="73" spans="1:10" ht="15.75" customHeight="1" x14ac:dyDescent="0.25">
      <c r="A73" s="78" t="s">
        <v>138</v>
      </c>
      <c r="B73" s="79" t="s">
        <v>131</v>
      </c>
      <c r="C73" s="42">
        <v>0</v>
      </c>
      <c r="D73" s="19">
        <f ca="1">((100/H66)*C73)/100</f>
        <v>0</v>
      </c>
      <c r="E73" s="97"/>
      <c r="F73" s="98"/>
      <c r="G73" s="97"/>
      <c r="H73" s="142"/>
      <c r="I73" s="14" t="s">
        <v>147</v>
      </c>
      <c r="J73" s="30">
        <f ca="1">(IF(B66&gt;1,(H66/(B66+2)+J72),0))</f>
        <v>15.75</v>
      </c>
    </row>
    <row r="74" spans="1:10" ht="15" customHeight="1" x14ac:dyDescent="0.25">
      <c r="A74" s="78" t="s">
        <v>136</v>
      </c>
      <c r="B74" s="79" t="s">
        <v>133</v>
      </c>
      <c r="C74" s="42">
        <v>0</v>
      </c>
      <c r="D74" s="19">
        <f ca="1">((100/(H66))*C74)/100</f>
        <v>0</v>
      </c>
      <c r="E74" s="97"/>
      <c r="F74" s="98"/>
      <c r="G74" s="97"/>
      <c r="H74" s="142"/>
      <c r="I74" s="14" t="s">
        <v>144</v>
      </c>
      <c r="J74" s="30">
        <f>(IF(B66&gt;2,(H66/(B66+2)+J73),0))</f>
        <v>0</v>
      </c>
    </row>
    <row r="75" spans="1:10" ht="15.75" customHeight="1" x14ac:dyDescent="0.25">
      <c r="A75" s="78" t="s">
        <v>132</v>
      </c>
      <c r="B75" s="79" t="s">
        <v>132</v>
      </c>
      <c r="C75" s="42">
        <v>0</v>
      </c>
      <c r="D75" s="19">
        <f ca="1">((100/H66)*C75)/100</f>
        <v>0</v>
      </c>
      <c r="E75" s="97"/>
      <c r="F75" s="98"/>
      <c r="G75" s="97"/>
      <c r="H75" s="142"/>
      <c r="I75" s="14" t="s">
        <v>145</v>
      </c>
      <c r="J75" s="31">
        <f>(IF(B66&gt;3,(H66/(B66+2)+J74),0))</f>
        <v>0</v>
      </c>
    </row>
    <row r="76" spans="1:10" ht="15.75" customHeight="1" x14ac:dyDescent="0.25">
      <c r="A76" s="78" t="s">
        <v>139</v>
      </c>
      <c r="B76" s="79"/>
      <c r="C76" s="42">
        <v>0</v>
      </c>
      <c r="D76" s="19">
        <f ca="1">((100/H66)*C76)/100</f>
        <v>0</v>
      </c>
      <c r="E76" s="97"/>
      <c r="F76" s="98"/>
      <c r="G76" s="97"/>
      <c r="H76" s="142"/>
      <c r="I76" s="14" t="s">
        <v>146</v>
      </c>
      <c r="J76" s="30">
        <f>(IF(B66&gt;4,(H66/(B66+2)+J75),0))</f>
        <v>0</v>
      </c>
    </row>
    <row r="77" spans="1:10" ht="15.75" customHeight="1" x14ac:dyDescent="0.25">
      <c r="A77" s="78" t="s">
        <v>134</v>
      </c>
      <c r="B77" s="79" t="s">
        <v>134</v>
      </c>
      <c r="C77" s="42">
        <v>0</v>
      </c>
      <c r="D77" s="19">
        <f ca="1">((100/(H66))*C77)/100</f>
        <v>0</v>
      </c>
      <c r="E77" s="97"/>
      <c r="F77" s="98"/>
      <c r="G77" s="97"/>
      <c r="H77" s="142"/>
      <c r="I77" s="14" t="s">
        <v>148</v>
      </c>
      <c r="J77" s="30">
        <f>(IF(B66=1,(H66/(B66+3)+J72),IF(B66=0,(H66/4+J72),IF(B66&gt;1,0))))</f>
        <v>0</v>
      </c>
    </row>
    <row r="78" spans="1:10" ht="16.5" thickBot="1" x14ac:dyDescent="0.3">
      <c r="A78" s="139" t="s">
        <v>135</v>
      </c>
      <c r="B78" s="140"/>
      <c r="C78" s="43">
        <v>0</v>
      </c>
      <c r="D78" s="20">
        <f ca="1">((100/(H66))*C78)/100</f>
        <v>0</v>
      </c>
      <c r="E78" s="99"/>
      <c r="F78" s="100"/>
      <c r="G78" s="99"/>
      <c r="H78" s="143"/>
      <c r="I78" s="15" t="s">
        <v>101</v>
      </c>
      <c r="J78" s="32">
        <f ca="1">(IF(B66&gt;1.5,(H66/(B66+2)+J72+MAX(0,J73-J72)+MAX(0,J74-J73)+MAX(0,J75-J74)+MAX(0,J76-J75)+MAX(0,J77-J76)),IF(B66=1,(H66/(B66+3)+J77),IF(B66=0,H66/4+J77))))</f>
        <v>21</v>
      </c>
    </row>
    <row r="79" spans="1:10" ht="15.75" customHeight="1" x14ac:dyDescent="0.25">
      <c r="A79" s="130" t="s">
        <v>141</v>
      </c>
      <c r="B79" s="131"/>
      <c r="C79" s="132" t="s">
        <v>211</v>
      </c>
      <c r="D79" s="133"/>
      <c r="E79" s="133"/>
      <c r="F79" s="133"/>
      <c r="G79" s="133"/>
      <c r="H79" s="134"/>
      <c r="I79" s="47" t="str">
        <f ca="1">IF(D92=100%,"All work Completed. Possession granted to the Building.",IF(D91=100%,"All work Completed, Waiting for OC",I80&amp;""&amp;I81&amp;""&amp;J80&amp;""&amp;J79&amp;" "&amp;J81))</f>
        <v>Excavation, Plinth Completed, RCC upto 1 Slab Completed</v>
      </c>
      <c r="J79" s="48"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RCC upto 1 Slab</v>
      </c>
    </row>
    <row r="80" spans="1:10" s="23" customFormat="1" x14ac:dyDescent="0.25">
      <c r="A80" s="16" t="s">
        <v>143</v>
      </c>
      <c r="B80" s="51">
        <v>2</v>
      </c>
      <c r="C80" s="51" t="s">
        <v>74</v>
      </c>
      <c r="D80" s="51">
        <v>1</v>
      </c>
      <c r="E80" s="51" t="s">
        <v>73</v>
      </c>
      <c r="F80" s="51">
        <v>0</v>
      </c>
      <c r="G80" s="51" t="s">
        <v>82</v>
      </c>
      <c r="H80" s="17">
        <f ca="1">--TRIM(RIGHT(SUBSTITUTE(LEFT(C79,_xlfn.AGGREGATE(16,6,FIND({0,1,2,3,4,5,6,7,8,9},C79,ROW(INDIRECT("1:"&amp;LEN(C79)))),1))," ",REPT(" ",LEN(C79))),LEN(C79)))</f>
        <v>21</v>
      </c>
      <c r="I80" s="52" t="str">
        <f ca="1">IF(D83=100%,"Excavation","")&amp;IF(D84=100%,", Plinth","")&amp;IF(D85=100%,", RCC Slab","")&amp;IF(D86=100%,", Brickwork","")&amp;IF(D87=100%,", Internal Plaster","")&amp;IF(D88=100%,", External Plaster","")&amp;IF(D89=100%,", Flooring","")&amp;IF(D90=100%,", Painting","")&amp;IF(D91=100%,", Building common Amenities","")</f>
        <v>Excavation, Plinth</v>
      </c>
      <c r="J80" s="53"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c>
    </row>
    <row r="81" spans="1:11" x14ac:dyDescent="0.25">
      <c r="A81" s="165" t="s">
        <v>92</v>
      </c>
      <c r="B81" s="146"/>
      <c r="C81" s="135" t="str">
        <f ca="1">(IF($G$52="NA",I79,"All work Completed. OC Received."))</f>
        <v>Excavation, Plinth Completed, RCC upto 1 Slab Completed</v>
      </c>
      <c r="D81" s="135"/>
      <c r="E81" s="135"/>
      <c r="F81" s="135"/>
      <c r="G81" s="135"/>
      <c r="H81" s="136"/>
      <c r="I81" s="49" t="str">
        <f ca="1">IF(I80&lt;&gt;""," Completed","")</f>
        <v xml:space="preserve"> Completed</v>
      </c>
      <c r="J81" s="50" t="str">
        <f ca="1">IF(J79&lt;&gt;"","Completed","")</f>
        <v>Completed</v>
      </c>
      <c r="K81" s="22" t="s">
        <v>215</v>
      </c>
    </row>
    <row r="82" spans="1:11" ht="15.75" customHeight="1" x14ac:dyDescent="0.25">
      <c r="A82" s="78" t="s">
        <v>50</v>
      </c>
      <c r="B82" s="79"/>
      <c r="C82" s="42" t="s">
        <v>140</v>
      </c>
      <c r="D82" s="42" t="s">
        <v>85</v>
      </c>
      <c r="E82" s="79" t="s">
        <v>87</v>
      </c>
      <c r="F82" s="79"/>
      <c r="G82" s="79" t="s">
        <v>86</v>
      </c>
      <c r="H82" s="144"/>
      <c r="I82" s="14" t="s">
        <v>142</v>
      </c>
      <c r="J82" s="28">
        <f ca="1">H80*25%</f>
        <v>5.25</v>
      </c>
    </row>
    <row r="83" spans="1:11" x14ac:dyDescent="0.25">
      <c r="A83" s="78" t="s">
        <v>129</v>
      </c>
      <c r="B83" s="79"/>
      <c r="C83" s="42">
        <v>21</v>
      </c>
      <c r="D83" s="19">
        <f ca="1">((100/H80)*C83)/100</f>
        <v>1</v>
      </c>
      <c r="E83" s="95">
        <f ca="1">(((C84/H80*10)+(40/(D80+F80+H80)*C85)+(7.5/(H80)*C86)+(7.5/(H80)*C87)+(10/H80*C88)+(10/H80*C89)+(5/H80*C90)+(5/H80*C91)+(5/H80*C92))/100)</f>
        <v>0.11818181818181818</v>
      </c>
      <c r="F83" s="96"/>
      <c r="G83" s="95">
        <f ca="1">((((C83/H80)*20)+((C84/H80)*25)+(30/(H80+F80+D80)*C85)+(5/H80*C86)+(5/H80*C87)+(5/H80*C88)+(5/H80*C89)+(0/H80*C90)+(0/H80*C91)+(5/H80*C92))/100)</f>
        <v>0.46363636363636368</v>
      </c>
      <c r="H83" s="141"/>
      <c r="I83" s="14" t="s">
        <v>97</v>
      </c>
      <c r="J83" s="29">
        <f ca="1">H80*50%</f>
        <v>10.5</v>
      </c>
    </row>
    <row r="84" spans="1:11" x14ac:dyDescent="0.25">
      <c r="A84" s="78" t="s">
        <v>51</v>
      </c>
      <c r="B84" s="79"/>
      <c r="C84" s="54">
        <f ca="1">J92</f>
        <v>21</v>
      </c>
      <c r="D84" s="19">
        <f ca="1">((100/H80)*C84)/100</f>
        <v>1</v>
      </c>
      <c r="E84" s="97"/>
      <c r="F84" s="98"/>
      <c r="G84" s="97"/>
      <c r="H84" s="142"/>
      <c r="I84" s="14" t="s">
        <v>98</v>
      </c>
      <c r="J84" s="29">
        <f ca="1">H80</f>
        <v>21</v>
      </c>
    </row>
    <row r="85" spans="1:11" ht="15.75" customHeight="1" x14ac:dyDescent="0.25">
      <c r="A85" s="78" t="s">
        <v>130</v>
      </c>
      <c r="B85" s="79"/>
      <c r="C85" s="42">
        <v>1</v>
      </c>
      <c r="D85" s="19">
        <f ca="1">((100/(D80+F80+H80))*C85)/100</f>
        <v>4.5454545454545456E-2</v>
      </c>
      <c r="E85" s="97"/>
      <c r="F85" s="98"/>
      <c r="G85" s="97"/>
      <c r="H85" s="142"/>
      <c r="I85" s="14" t="s">
        <v>99</v>
      </c>
      <c r="J85" s="30">
        <f ca="1">(IF(B80&gt;1,(H80/(B80+2)),H80/4))</f>
        <v>5.25</v>
      </c>
    </row>
    <row r="86" spans="1:11" ht="15.75" customHeight="1" x14ac:dyDescent="0.25">
      <c r="A86" s="78" t="s">
        <v>137</v>
      </c>
      <c r="B86" s="79" t="s">
        <v>131</v>
      </c>
      <c r="C86" s="42">
        <v>0</v>
      </c>
      <c r="D86" s="19">
        <f ca="1">((100/H80)*C86)/100</f>
        <v>0</v>
      </c>
      <c r="E86" s="97"/>
      <c r="F86" s="98"/>
      <c r="G86" s="97"/>
      <c r="H86" s="142"/>
      <c r="I86" s="14" t="s">
        <v>100</v>
      </c>
      <c r="J86" s="30">
        <f ca="1">(IF(B80&gt;1,(H80/(B80+2)+J85),H80/4+J85))</f>
        <v>10.5</v>
      </c>
    </row>
    <row r="87" spans="1:11" ht="15.75" customHeight="1" x14ac:dyDescent="0.25">
      <c r="A87" s="78" t="s">
        <v>138</v>
      </c>
      <c r="B87" s="79" t="s">
        <v>131</v>
      </c>
      <c r="C87" s="42">
        <v>0</v>
      </c>
      <c r="D87" s="19">
        <f ca="1">((100/H80)*C87)/100</f>
        <v>0</v>
      </c>
      <c r="E87" s="97"/>
      <c r="F87" s="98"/>
      <c r="G87" s="97"/>
      <c r="H87" s="142"/>
      <c r="I87" s="14" t="s">
        <v>147</v>
      </c>
      <c r="J87" s="30">
        <f ca="1">(IF(B80&gt;1,(H80/(B80+2)+J86),0))</f>
        <v>15.75</v>
      </c>
    </row>
    <row r="88" spans="1:11" ht="15" customHeight="1" x14ac:dyDescent="0.25">
      <c r="A88" s="78" t="s">
        <v>136</v>
      </c>
      <c r="B88" s="79" t="s">
        <v>133</v>
      </c>
      <c r="C88" s="42">
        <v>0</v>
      </c>
      <c r="D88" s="19">
        <f ca="1">((100/(H80))*C88)/100</f>
        <v>0</v>
      </c>
      <c r="E88" s="97"/>
      <c r="F88" s="98"/>
      <c r="G88" s="97"/>
      <c r="H88" s="142"/>
      <c r="I88" s="14" t="s">
        <v>144</v>
      </c>
      <c r="J88" s="30">
        <f>(IF(B80&gt;2,(H80/(B80+2)+J87),0))</f>
        <v>0</v>
      </c>
    </row>
    <row r="89" spans="1:11" ht="15.75" customHeight="1" x14ac:dyDescent="0.25">
      <c r="A89" s="78" t="s">
        <v>132</v>
      </c>
      <c r="B89" s="79" t="s">
        <v>132</v>
      </c>
      <c r="C89" s="42">
        <v>0</v>
      </c>
      <c r="D89" s="19">
        <f ca="1">((100/H80)*C89)/100</f>
        <v>0</v>
      </c>
      <c r="E89" s="97"/>
      <c r="F89" s="98"/>
      <c r="G89" s="97"/>
      <c r="H89" s="142"/>
      <c r="I89" s="14" t="s">
        <v>145</v>
      </c>
      <c r="J89" s="31">
        <f>(IF(B80&gt;3,(H80/(B80+2)+J88),0))</f>
        <v>0</v>
      </c>
    </row>
    <row r="90" spans="1:11" ht="15.75" customHeight="1" x14ac:dyDescent="0.25">
      <c r="A90" s="78" t="s">
        <v>139</v>
      </c>
      <c r="B90" s="79"/>
      <c r="C90" s="42">
        <v>0</v>
      </c>
      <c r="D90" s="19">
        <f ca="1">((100/H80)*C90)/100</f>
        <v>0</v>
      </c>
      <c r="E90" s="97"/>
      <c r="F90" s="98"/>
      <c r="G90" s="97"/>
      <c r="H90" s="142"/>
      <c r="I90" s="14" t="s">
        <v>146</v>
      </c>
      <c r="J90" s="30">
        <f>(IF(B80&gt;4,(H80/(B80+2)+J89),0))</f>
        <v>0</v>
      </c>
    </row>
    <row r="91" spans="1:11" ht="15.75" customHeight="1" x14ac:dyDescent="0.25">
      <c r="A91" s="78" t="s">
        <v>134</v>
      </c>
      <c r="B91" s="79" t="s">
        <v>134</v>
      </c>
      <c r="C91" s="42">
        <v>0</v>
      </c>
      <c r="D91" s="19">
        <f ca="1">((100/(H80))*C91)/100</f>
        <v>0</v>
      </c>
      <c r="E91" s="97"/>
      <c r="F91" s="98"/>
      <c r="G91" s="97"/>
      <c r="H91" s="142"/>
      <c r="I91" s="14" t="s">
        <v>148</v>
      </c>
      <c r="J91" s="30">
        <f>(IF(B80=1,(H80/(B80+3)+J86),IF(B80=0,(H80/4+J86),IF(B80&gt;1,0))))</f>
        <v>0</v>
      </c>
    </row>
    <row r="92" spans="1:11" ht="16.5" thickBot="1" x14ac:dyDescent="0.3">
      <c r="A92" s="139" t="s">
        <v>135</v>
      </c>
      <c r="B92" s="140"/>
      <c r="C92" s="43">
        <v>0</v>
      </c>
      <c r="D92" s="20">
        <f ca="1">((100/(H80))*C92)/100</f>
        <v>0</v>
      </c>
      <c r="E92" s="99"/>
      <c r="F92" s="100"/>
      <c r="G92" s="99"/>
      <c r="H92" s="143"/>
      <c r="I92" s="15" t="s">
        <v>101</v>
      </c>
      <c r="J92" s="32">
        <f ca="1">(IF(B80&gt;1.5,(H80/(B80+2)+J86+MAX(0,J87-J86)+MAX(0,J88-J87)+MAX(0,J89-J88)+MAX(0,J90-J89)+MAX(0,J91-J90)),IF(B80=1,(H80/(B80+3)+J91),IF(B80=0,H80/4+J91))))</f>
        <v>21</v>
      </c>
    </row>
    <row r="93" spans="1:11" ht="15.75" customHeight="1" x14ac:dyDescent="0.25">
      <c r="A93" s="175" t="s">
        <v>213</v>
      </c>
      <c r="B93" s="176"/>
      <c r="C93" s="179">
        <f ca="1">AVERAGE(E69,E83)</f>
        <v>0.23068181818181815</v>
      </c>
      <c r="D93" s="176"/>
      <c r="E93" s="181" t="s">
        <v>214</v>
      </c>
      <c r="F93" s="182"/>
      <c r="G93" s="179">
        <f ca="1">AVERAGE(G69,G83)</f>
        <v>0.54696969696969699</v>
      </c>
      <c r="H93" s="176"/>
      <c r="I93" s="14" t="s">
        <v>148</v>
      </c>
      <c r="J93" s="30">
        <f>(IF(B82=1,(H82/(B82+3)+J88),IF(B82=0,(H82/4+J88),IF(B82&gt;1,0))))</f>
        <v>0</v>
      </c>
    </row>
    <row r="94" spans="1:11" ht="16.5" thickBot="1" x14ac:dyDescent="0.3">
      <c r="A94" s="177"/>
      <c r="B94" s="178"/>
      <c r="C94" s="180"/>
      <c r="D94" s="178"/>
      <c r="E94" s="99"/>
      <c r="F94" s="100"/>
      <c r="G94" s="180"/>
      <c r="H94" s="178"/>
      <c r="I94" s="15" t="s">
        <v>101</v>
      </c>
      <c r="J94" s="32">
        <f>(IF(B82&gt;1.5,(H82/(B82+2)+J88+MAX(0,J89-J88)+MAX(0,J90-J89)+MAX(0,J91-J90)+MAX(0,J92-J91)+MAX(0,J93-J92)),IF(B82=1,(H82/(B82+3)+J93),IF(B82=0,H82/4+J93))))</f>
        <v>0</v>
      </c>
    </row>
    <row r="95" spans="1:11" x14ac:dyDescent="0.25">
      <c r="A95" s="137" t="s">
        <v>157</v>
      </c>
      <c r="B95" s="137"/>
      <c r="C95" s="137"/>
      <c r="D95" s="137"/>
      <c r="E95" s="137"/>
      <c r="F95" s="138" t="s">
        <v>160</v>
      </c>
      <c r="G95" s="138"/>
      <c r="H95" s="138"/>
    </row>
    <row r="96" spans="1:11" x14ac:dyDescent="0.25">
      <c r="A96" s="88" t="s">
        <v>159</v>
      </c>
      <c r="B96" s="88"/>
      <c r="C96" s="88"/>
      <c r="D96" s="88"/>
      <c r="E96" s="88"/>
      <c r="F96" s="80">
        <v>15000</v>
      </c>
      <c r="G96" s="80"/>
      <c r="H96" s="80"/>
    </row>
    <row r="97" spans="1:10" x14ac:dyDescent="0.25">
      <c r="A97" s="88" t="s">
        <v>158</v>
      </c>
      <c r="B97" s="88"/>
      <c r="C97" s="88"/>
      <c r="D97" s="88"/>
      <c r="E97" s="88"/>
      <c r="F97" s="80">
        <v>23000</v>
      </c>
      <c r="G97" s="80"/>
      <c r="H97" s="80"/>
    </row>
    <row r="98" spans="1:10" x14ac:dyDescent="0.25">
      <c r="A98" s="88" t="s">
        <v>52</v>
      </c>
      <c r="B98" s="88"/>
      <c r="C98" s="88"/>
      <c r="D98" s="88"/>
      <c r="E98" s="88"/>
      <c r="F98" s="80">
        <v>700000</v>
      </c>
      <c r="G98" s="80"/>
      <c r="H98" s="80"/>
    </row>
    <row r="99" spans="1:10" s="33" customFormat="1" x14ac:dyDescent="0.25">
      <c r="A99" s="110" t="s">
        <v>53</v>
      </c>
      <c r="B99" s="110"/>
      <c r="C99" s="110"/>
      <c r="D99" s="110"/>
      <c r="E99" s="110"/>
      <c r="F99" s="80">
        <f>F96*0.8</f>
        <v>12000</v>
      </c>
      <c r="G99" s="80"/>
      <c r="H99" s="80"/>
    </row>
    <row r="100" spans="1:10" s="34" customFormat="1" ht="15.75" customHeight="1" x14ac:dyDescent="0.25">
      <c r="A100" s="109" t="s">
        <v>77</v>
      </c>
      <c r="B100" s="109"/>
      <c r="C100" s="109"/>
      <c r="D100" s="109"/>
      <c r="E100" s="109"/>
      <c r="F100" s="109"/>
      <c r="G100" s="109"/>
      <c r="H100" s="109"/>
    </row>
    <row r="101" spans="1:10" s="34" customFormat="1" ht="15.75" customHeight="1" x14ac:dyDescent="0.25">
      <c r="A101" s="69" t="s">
        <v>54</v>
      </c>
      <c r="B101" s="69"/>
      <c r="C101" s="113" t="s">
        <v>80</v>
      </c>
      <c r="D101" s="113"/>
      <c r="E101" s="112" t="s">
        <v>55</v>
      </c>
      <c r="F101" s="112"/>
      <c r="G101" s="69" t="s">
        <v>56</v>
      </c>
      <c r="H101" s="69"/>
    </row>
    <row r="102" spans="1:10" s="34" customFormat="1" x14ac:dyDescent="0.25">
      <c r="A102" s="109" t="s">
        <v>188</v>
      </c>
      <c r="B102" s="109"/>
      <c r="C102" s="115">
        <f>COUNT(D113:D122)</f>
        <v>10</v>
      </c>
      <c r="D102" s="116"/>
      <c r="E102" s="81">
        <f t="shared" ref="E102" si="0">SUM(D113:D122)</f>
        <v>3395.3961600000002</v>
      </c>
      <c r="F102" s="82"/>
      <c r="G102" s="81">
        <f>SUM(F113:F122)</f>
        <v>5432.6338560000004</v>
      </c>
      <c r="H102" s="82"/>
    </row>
    <row r="103" spans="1:10" s="34" customFormat="1" hidden="1" x14ac:dyDescent="0.25">
      <c r="A103" s="109" t="s">
        <v>187</v>
      </c>
      <c r="B103" s="109"/>
      <c r="C103" s="115">
        <f>COUNT(D124)</f>
        <v>1</v>
      </c>
      <c r="D103" s="116"/>
      <c r="E103" s="81">
        <f>SUM(D124)</f>
        <v>2888.3041199999998</v>
      </c>
      <c r="F103" s="82"/>
      <c r="G103" s="81">
        <f>SUM(F124)</f>
        <v>4621.2865919999995</v>
      </c>
      <c r="H103" s="82"/>
    </row>
    <row r="104" spans="1:10" s="34" customFormat="1" x14ac:dyDescent="0.25">
      <c r="A104" s="109" t="s">
        <v>72</v>
      </c>
      <c r="B104" s="109"/>
      <c r="C104" s="109"/>
      <c r="D104" s="109"/>
      <c r="E104" s="109"/>
      <c r="F104" s="109"/>
      <c r="G104" s="109"/>
      <c r="H104" s="109"/>
    </row>
    <row r="105" spans="1:10" s="34" customFormat="1" ht="15.75" customHeight="1" x14ac:dyDescent="0.25">
      <c r="A105" s="69" t="s">
        <v>54</v>
      </c>
      <c r="B105" s="69"/>
      <c r="C105" s="113" t="s">
        <v>80</v>
      </c>
      <c r="D105" s="113"/>
      <c r="E105" s="112" t="s">
        <v>55</v>
      </c>
      <c r="F105" s="112"/>
      <c r="G105" s="69" t="s">
        <v>56</v>
      </c>
      <c r="H105" s="69"/>
    </row>
    <row r="106" spans="1:10" s="34" customFormat="1" x14ac:dyDescent="0.25">
      <c r="A106" s="109" t="s">
        <v>189</v>
      </c>
      <c r="B106" s="109"/>
      <c r="C106" s="116">
        <f>COUNT(D131:D133)+COUNT(D137:D139)+COUNT(D143:D145)*2+COUNT(D147:D151)*7+COUNT(D153)+COUNT(D155:D157)</f>
        <v>51</v>
      </c>
      <c r="D106" s="116"/>
      <c r="E106" s="81">
        <f>SUM(D131:D133)+SUM(D137:D139)+SUM(D143:D145)*2+SUM(D147:D151)*7+SUM(D153)+SUM(D155:D157)</f>
        <v>21963.61908</v>
      </c>
      <c r="F106" s="81"/>
      <c r="G106" s="81">
        <f>SUM(F131:F133)+SUM(F137:F139)+SUM(F143:F145)*2+SUM(F147:F151)*7+SUM(F153)+SUM(F155:F157)</f>
        <v>32945.428619999999</v>
      </c>
      <c r="H106" s="81"/>
    </row>
    <row r="107" spans="1:10" s="33" customFormat="1" x14ac:dyDescent="0.25">
      <c r="A107" s="114" t="s">
        <v>57</v>
      </c>
      <c r="B107" s="114"/>
      <c r="C107" s="114"/>
      <c r="D107" s="114"/>
      <c r="E107" s="114"/>
      <c r="F107" s="114"/>
      <c r="G107" s="114"/>
      <c r="H107" s="114"/>
    </row>
    <row r="108" spans="1:10" x14ac:dyDescent="0.25">
      <c r="A108" s="114" t="s">
        <v>58</v>
      </c>
      <c r="B108" s="114"/>
      <c r="C108" s="114"/>
      <c r="D108" s="114"/>
      <c r="E108" s="114"/>
      <c r="F108" s="114"/>
      <c r="G108" s="114"/>
      <c r="H108" s="114"/>
    </row>
    <row r="109" spans="1:10" ht="47.25" customHeight="1" x14ac:dyDescent="0.25">
      <c r="A109" s="70" t="s">
        <v>117</v>
      </c>
      <c r="B109" s="70" t="s">
        <v>116</v>
      </c>
      <c r="C109" s="70" t="s">
        <v>59</v>
      </c>
      <c r="D109" s="70" t="s">
        <v>60</v>
      </c>
      <c r="E109" s="72" t="s">
        <v>156</v>
      </c>
      <c r="F109" s="41" t="s">
        <v>150</v>
      </c>
      <c r="G109" s="74" t="s">
        <v>62</v>
      </c>
      <c r="H109" s="75"/>
    </row>
    <row r="110" spans="1:10" s="46" customFormat="1" x14ac:dyDescent="0.25">
      <c r="A110" s="71"/>
      <c r="B110" s="71"/>
      <c r="C110" s="71"/>
      <c r="D110" s="71"/>
      <c r="E110" s="73"/>
      <c r="F110" s="13">
        <v>0.6</v>
      </c>
      <c r="G110" s="76"/>
      <c r="H110" s="77"/>
    </row>
    <row r="111" spans="1:10" s="46" customFormat="1" x14ac:dyDescent="0.25">
      <c r="A111" s="59" t="s">
        <v>175</v>
      </c>
      <c r="B111" s="60"/>
      <c r="C111" s="60"/>
      <c r="D111" s="60"/>
      <c r="E111" s="60"/>
      <c r="F111" s="60"/>
      <c r="G111" s="60"/>
      <c r="H111" s="61"/>
      <c r="J111" s="35"/>
    </row>
    <row r="112" spans="1:10" s="46" customFormat="1" x14ac:dyDescent="0.25">
      <c r="A112" s="59" t="s">
        <v>177</v>
      </c>
      <c r="B112" s="60"/>
      <c r="C112" s="60"/>
      <c r="D112" s="60"/>
      <c r="E112" s="60"/>
      <c r="F112" s="60"/>
      <c r="G112" s="60"/>
      <c r="H112" s="61"/>
      <c r="J112" s="35"/>
    </row>
    <row r="113" spans="1:14" s="46" customFormat="1" x14ac:dyDescent="0.25">
      <c r="A113" s="56">
        <v>1</v>
      </c>
      <c r="B113" s="58"/>
      <c r="C113" s="40" t="s">
        <v>176</v>
      </c>
      <c r="D113" s="40">
        <f>31.18*10.764</f>
        <v>335.62151999999998</v>
      </c>
      <c r="E113" s="40">
        <v>0</v>
      </c>
      <c r="F113" s="40">
        <f>(D113+E113)*(($F$110)+1)</f>
        <v>536.99443199999996</v>
      </c>
      <c r="G113" s="56" t="str">
        <f>A112</f>
        <v>Ground Floor For Commercial &amp; Entrance Lobby</v>
      </c>
      <c r="H113" s="58"/>
      <c r="I113" s="35"/>
      <c r="L113" s="62"/>
      <c r="M113" s="62"/>
      <c r="N113" s="35"/>
    </row>
    <row r="114" spans="1:14" s="46" customFormat="1" x14ac:dyDescent="0.25">
      <c r="A114" s="56">
        <f t="shared" ref="A114:A122" si="1">A113+1</f>
        <v>2</v>
      </c>
      <c r="B114" s="58"/>
      <c r="C114" s="40" t="s">
        <v>176</v>
      </c>
      <c r="D114" s="40">
        <f>24.59*10.764</f>
        <v>264.68675999999999</v>
      </c>
      <c r="E114" s="40">
        <v>0</v>
      </c>
      <c r="F114" s="40">
        <f t="shared" ref="F114:F116" si="2">(D114+E114)*(($F$110)+1)</f>
        <v>423.49881600000003</v>
      </c>
      <c r="G114" s="56" t="str">
        <f t="shared" ref="G114:G122" si="3">G113</f>
        <v>Ground Floor For Commercial &amp; Entrance Lobby</v>
      </c>
      <c r="H114" s="58"/>
      <c r="I114" s="35"/>
      <c r="L114" s="62"/>
      <c r="M114" s="62"/>
      <c r="N114" s="35"/>
    </row>
    <row r="115" spans="1:14" s="46" customFormat="1" x14ac:dyDescent="0.25">
      <c r="A115" s="56">
        <f t="shared" si="1"/>
        <v>3</v>
      </c>
      <c r="B115" s="58"/>
      <c r="C115" s="40" t="s">
        <v>176</v>
      </c>
      <c r="D115" s="40">
        <f>22.67*10.764</f>
        <v>244.01988</v>
      </c>
      <c r="E115" s="40">
        <v>0</v>
      </c>
      <c r="F115" s="40">
        <f t="shared" si="2"/>
        <v>390.43180800000005</v>
      </c>
      <c r="G115" s="56" t="str">
        <f t="shared" si="3"/>
        <v>Ground Floor For Commercial &amp; Entrance Lobby</v>
      </c>
      <c r="H115" s="58"/>
      <c r="I115" s="35"/>
      <c r="L115" s="62"/>
      <c r="M115" s="62"/>
      <c r="N115" s="35"/>
    </row>
    <row r="116" spans="1:14" s="46" customFormat="1" x14ac:dyDescent="0.25">
      <c r="A116" s="56">
        <f t="shared" si="1"/>
        <v>4</v>
      </c>
      <c r="B116" s="58"/>
      <c r="C116" s="40" t="s">
        <v>176</v>
      </c>
      <c r="D116" s="40">
        <f>35.9*10.764</f>
        <v>386.42759999999998</v>
      </c>
      <c r="E116" s="40">
        <v>0</v>
      </c>
      <c r="F116" s="40">
        <f t="shared" si="2"/>
        <v>618.28416000000004</v>
      </c>
      <c r="G116" s="56" t="str">
        <f t="shared" si="3"/>
        <v>Ground Floor For Commercial &amp; Entrance Lobby</v>
      </c>
      <c r="H116" s="58"/>
      <c r="I116" s="35"/>
      <c r="L116" s="62"/>
      <c r="M116" s="62"/>
      <c r="N116" s="35"/>
    </row>
    <row r="117" spans="1:14" s="46" customFormat="1" x14ac:dyDescent="0.25">
      <c r="A117" s="56">
        <f t="shared" si="1"/>
        <v>5</v>
      </c>
      <c r="B117" s="58"/>
      <c r="C117" s="40" t="s">
        <v>176</v>
      </c>
      <c r="D117" s="40">
        <f>31.74*10.764</f>
        <v>341.64935999999994</v>
      </c>
      <c r="E117" s="40">
        <v>0</v>
      </c>
      <c r="F117" s="40">
        <f t="shared" ref="F117:F119" si="4">(D117+E117)*(($F$110)+1)</f>
        <v>546.63897599999996</v>
      </c>
      <c r="G117" s="56" t="str">
        <f t="shared" si="3"/>
        <v>Ground Floor For Commercial &amp; Entrance Lobby</v>
      </c>
      <c r="H117" s="58"/>
      <c r="I117" s="35"/>
      <c r="L117" s="62"/>
      <c r="M117" s="62"/>
      <c r="N117" s="35"/>
    </row>
    <row r="118" spans="1:14" s="46" customFormat="1" x14ac:dyDescent="0.25">
      <c r="A118" s="56">
        <f t="shared" si="1"/>
        <v>6</v>
      </c>
      <c r="B118" s="58"/>
      <c r="C118" s="40" t="s">
        <v>176</v>
      </c>
      <c r="D118" s="40">
        <f>35.71*10.764</f>
        <v>384.38243999999997</v>
      </c>
      <c r="E118" s="40">
        <v>0</v>
      </c>
      <c r="F118" s="40">
        <f t="shared" si="4"/>
        <v>615.01190399999996</v>
      </c>
      <c r="G118" s="56" t="str">
        <f t="shared" si="3"/>
        <v>Ground Floor For Commercial &amp; Entrance Lobby</v>
      </c>
      <c r="H118" s="58"/>
      <c r="I118" s="35"/>
      <c r="L118" s="62"/>
      <c r="M118" s="62"/>
      <c r="N118" s="35"/>
    </row>
    <row r="119" spans="1:14" s="46" customFormat="1" x14ac:dyDescent="0.25">
      <c r="A119" s="56">
        <f t="shared" si="1"/>
        <v>7</v>
      </c>
      <c r="B119" s="58"/>
      <c r="C119" s="40" t="s">
        <v>176</v>
      </c>
      <c r="D119" s="40">
        <f>34.89*10.764</f>
        <v>375.55595999999997</v>
      </c>
      <c r="E119" s="40">
        <v>0</v>
      </c>
      <c r="F119" s="40">
        <f t="shared" si="4"/>
        <v>600.88953600000002</v>
      </c>
      <c r="G119" s="56" t="str">
        <f t="shared" si="3"/>
        <v>Ground Floor For Commercial &amp; Entrance Lobby</v>
      </c>
      <c r="H119" s="58"/>
      <c r="I119" s="35"/>
      <c r="L119" s="62"/>
      <c r="M119" s="62"/>
      <c r="N119" s="35"/>
    </row>
    <row r="120" spans="1:14" s="46" customFormat="1" x14ac:dyDescent="0.25">
      <c r="A120" s="56">
        <f t="shared" si="1"/>
        <v>8</v>
      </c>
      <c r="B120" s="58"/>
      <c r="C120" s="40" t="s">
        <v>176</v>
      </c>
      <c r="D120" s="40">
        <f>34.36*10.764</f>
        <v>369.85103999999995</v>
      </c>
      <c r="E120" s="40">
        <v>0</v>
      </c>
      <c r="F120" s="40">
        <f t="shared" ref="F120:F122" si="5">(D120+E120)*(($F$110)+1)</f>
        <v>591.761664</v>
      </c>
      <c r="G120" s="56" t="str">
        <f t="shared" si="3"/>
        <v>Ground Floor For Commercial &amp; Entrance Lobby</v>
      </c>
      <c r="H120" s="58"/>
      <c r="I120" s="35"/>
      <c r="L120" s="62"/>
      <c r="M120" s="62"/>
      <c r="N120" s="35"/>
    </row>
    <row r="121" spans="1:14" s="46" customFormat="1" x14ac:dyDescent="0.25">
      <c r="A121" s="56">
        <f t="shared" si="1"/>
        <v>9</v>
      </c>
      <c r="B121" s="58"/>
      <c r="C121" s="40" t="s">
        <v>176</v>
      </c>
      <c r="D121" s="40">
        <f>36.28*10.764</f>
        <v>390.51792</v>
      </c>
      <c r="E121" s="40">
        <v>0</v>
      </c>
      <c r="F121" s="40">
        <f t="shared" si="5"/>
        <v>624.8286720000001</v>
      </c>
      <c r="G121" s="56" t="str">
        <f t="shared" si="3"/>
        <v>Ground Floor For Commercial &amp; Entrance Lobby</v>
      </c>
      <c r="H121" s="58"/>
      <c r="I121" s="35"/>
      <c r="L121" s="62"/>
      <c r="M121" s="62"/>
      <c r="N121" s="35"/>
    </row>
    <row r="122" spans="1:14" s="46" customFormat="1" x14ac:dyDescent="0.25">
      <c r="A122" s="56">
        <f t="shared" si="1"/>
        <v>10</v>
      </c>
      <c r="B122" s="58"/>
      <c r="C122" s="40" t="s">
        <v>176</v>
      </c>
      <c r="D122" s="40">
        <f>28.12*10.764</f>
        <v>302.68367999999998</v>
      </c>
      <c r="E122" s="40">
        <v>0</v>
      </c>
      <c r="F122" s="40">
        <f t="shared" si="5"/>
        <v>484.29388799999998</v>
      </c>
      <c r="G122" s="56" t="str">
        <f t="shared" si="3"/>
        <v>Ground Floor For Commercial &amp; Entrance Lobby</v>
      </c>
      <c r="H122" s="58"/>
      <c r="I122" s="35"/>
      <c r="L122" s="62"/>
      <c r="M122" s="62"/>
      <c r="N122" s="35"/>
    </row>
    <row r="123" spans="1:14" s="46" customFormat="1" hidden="1" x14ac:dyDescent="0.25">
      <c r="A123" s="59" t="s">
        <v>180</v>
      </c>
      <c r="B123" s="60"/>
      <c r="C123" s="60"/>
      <c r="D123" s="60"/>
      <c r="E123" s="60"/>
      <c r="F123" s="60"/>
      <c r="G123" s="60"/>
      <c r="H123" s="61"/>
      <c r="J123" s="35"/>
    </row>
    <row r="124" spans="1:14" s="46" customFormat="1" ht="34.5" hidden="1" customHeight="1" x14ac:dyDescent="0.25">
      <c r="A124" s="56">
        <v>1</v>
      </c>
      <c r="B124" s="58"/>
      <c r="C124" s="40" t="s">
        <v>187</v>
      </c>
      <c r="D124" s="40">
        <f>(260.51+7.82)*10.764</f>
        <v>2888.3041199999998</v>
      </c>
      <c r="E124" s="40">
        <v>0</v>
      </c>
      <c r="F124" s="40">
        <f>(D124+E124)*(($F$110)+1)</f>
        <v>4621.2865919999995</v>
      </c>
      <c r="G124" s="56" t="str">
        <f>A123</f>
        <v>1st Floor For Residential, Fitness Center &amp; Part Theatre Area</v>
      </c>
      <c r="H124" s="58"/>
      <c r="I124" s="35"/>
      <c r="L124" s="62"/>
      <c r="M124" s="62"/>
      <c r="N124" s="35"/>
    </row>
    <row r="125" spans="1:14" s="46" customFormat="1" x14ac:dyDescent="0.25">
      <c r="A125" s="56"/>
      <c r="B125" s="57"/>
      <c r="C125" s="57"/>
      <c r="D125" s="57"/>
      <c r="E125" s="57"/>
      <c r="F125" s="57"/>
      <c r="G125" s="57"/>
      <c r="H125" s="58"/>
      <c r="I125" s="35"/>
      <c r="N125" s="35"/>
    </row>
    <row r="126" spans="1:14" ht="47.25" customHeight="1" x14ac:dyDescent="0.25">
      <c r="A126" s="74" t="s">
        <v>118</v>
      </c>
      <c r="B126" s="74" t="s">
        <v>119</v>
      </c>
      <c r="C126" s="70" t="s">
        <v>59</v>
      </c>
      <c r="D126" s="70" t="s">
        <v>60</v>
      </c>
      <c r="E126" s="72" t="s">
        <v>61</v>
      </c>
      <c r="F126" s="41" t="s">
        <v>150</v>
      </c>
      <c r="G126" s="74" t="s">
        <v>62</v>
      </c>
      <c r="H126" s="75"/>
      <c r="I126" s="35"/>
    </row>
    <row r="127" spans="1:14" s="46" customFormat="1" x14ac:dyDescent="0.25">
      <c r="A127" s="76"/>
      <c r="B127" s="76"/>
      <c r="C127" s="71"/>
      <c r="D127" s="71"/>
      <c r="E127" s="73"/>
      <c r="F127" s="13">
        <v>0.5</v>
      </c>
      <c r="G127" s="76"/>
      <c r="H127" s="77"/>
      <c r="I127" s="35"/>
    </row>
    <row r="128" spans="1:14" s="46" customFormat="1" x14ac:dyDescent="0.25">
      <c r="A128" s="59" t="s">
        <v>180</v>
      </c>
      <c r="B128" s="60"/>
      <c r="C128" s="60"/>
      <c r="D128" s="60"/>
      <c r="E128" s="60"/>
      <c r="F128" s="60"/>
      <c r="G128" s="60"/>
      <c r="H128" s="61"/>
      <c r="J128" s="35"/>
    </row>
    <row r="129" spans="1:14" s="46" customFormat="1" x14ac:dyDescent="0.25">
      <c r="A129" s="56">
        <v>1</v>
      </c>
      <c r="B129" s="58"/>
      <c r="C129" s="63" t="s">
        <v>181</v>
      </c>
      <c r="D129" s="64"/>
      <c r="E129" s="64"/>
      <c r="F129" s="65"/>
      <c r="G129" s="56" t="str">
        <f>A128</f>
        <v>1st Floor For Residential, Fitness Center &amp; Part Theatre Area</v>
      </c>
      <c r="H129" s="58"/>
      <c r="I129" s="35"/>
      <c r="L129" s="62"/>
      <c r="M129" s="62"/>
      <c r="N129" s="35"/>
    </row>
    <row r="130" spans="1:14" s="46" customFormat="1" x14ac:dyDescent="0.25">
      <c r="A130" s="56">
        <f t="shared" ref="A130:A133" si="6">A129+1</f>
        <v>2</v>
      </c>
      <c r="B130" s="58"/>
      <c r="C130" s="66"/>
      <c r="D130" s="67"/>
      <c r="E130" s="67"/>
      <c r="F130" s="68"/>
      <c r="G130" s="56" t="str">
        <f t="shared" ref="G130:G133" si="7">G129</f>
        <v>1st Floor For Residential, Fitness Center &amp; Part Theatre Area</v>
      </c>
      <c r="H130" s="58"/>
      <c r="I130" s="35"/>
      <c r="L130" s="62"/>
      <c r="M130" s="62"/>
      <c r="N130" s="35"/>
    </row>
    <row r="131" spans="1:14" s="46" customFormat="1" x14ac:dyDescent="0.25">
      <c r="A131" s="56">
        <f t="shared" si="6"/>
        <v>3</v>
      </c>
      <c r="B131" s="58"/>
      <c r="C131" s="40" t="s">
        <v>178</v>
      </c>
      <c r="D131" s="40">
        <f>37.54*10.764</f>
        <v>404.08055999999999</v>
      </c>
      <c r="E131" s="40">
        <v>0</v>
      </c>
      <c r="F131" s="40">
        <f>D131*(($F$127)+1)+(IF(E131&lt;101,E131,IF(E131&lt;201,E131/2,IF(E131&lt;=301,E131/3,E131/4))))</f>
        <v>606.12084000000004</v>
      </c>
      <c r="G131" s="56" t="str">
        <f t="shared" si="7"/>
        <v>1st Floor For Residential, Fitness Center &amp; Part Theatre Area</v>
      </c>
      <c r="H131" s="58"/>
      <c r="I131" s="35"/>
      <c r="L131" s="62"/>
      <c r="M131" s="62"/>
      <c r="N131" s="35"/>
    </row>
    <row r="132" spans="1:14" s="46" customFormat="1" x14ac:dyDescent="0.25">
      <c r="A132" s="56">
        <f t="shared" si="6"/>
        <v>4</v>
      </c>
      <c r="B132" s="58"/>
      <c r="C132" s="40" t="s">
        <v>179</v>
      </c>
      <c r="D132" s="40">
        <f>46.38*10.764</f>
        <v>499.23432000000003</v>
      </c>
      <c r="E132" s="40">
        <v>0</v>
      </c>
      <c r="F132" s="40">
        <f>D132*(($F$127)+1)+(IF(E132&lt;101,E132,IF(E132&lt;201,E132/2,IF(E132&lt;=301,E132/3,E132/4))))</f>
        <v>748.85148000000004</v>
      </c>
      <c r="G132" s="56" t="str">
        <f t="shared" si="7"/>
        <v>1st Floor For Residential, Fitness Center &amp; Part Theatre Area</v>
      </c>
      <c r="H132" s="58"/>
      <c r="I132" s="35"/>
      <c r="L132" s="62"/>
      <c r="M132" s="62"/>
      <c r="N132" s="35"/>
    </row>
    <row r="133" spans="1:14" s="46" customFormat="1" x14ac:dyDescent="0.25">
      <c r="A133" s="56">
        <f t="shared" si="6"/>
        <v>5</v>
      </c>
      <c r="B133" s="58"/>
      <c r="C133" s="40" t="s">
        <v>178</v>
      </c>
      <c r="D133" s="40">
        <f>34.99*10.764</f>
        <v>376.63236000000001</v>
      </c>
      <c r="E133" s="40">
        <v>0</v>
      </c>
      <c r="F133" s="40">
        <f>D133*(($F$127)+1)+(IF(E133&lt;101,E133,IF(E133&lt;201,E133/2,IF(E133&lt;=301,E133/3,E133/4))))</f>
        <v>564.94853999999998</v>
      </c>
      <c r="G133" s="56" t="str">
        <f t="shared" si="7"/>
        <v>1st Floor For Residential, Fitness Center &amp; Part Theatre Area</v>
      </c>
      <c r="H133" s="58"/>
      <c r="I133" s="35"/>
      <c r="L133" s="62"/>
      <c r="M133" s="62"/>
      <c r="N133" s="35"/>
    </row>
    <row r="134" spans="1:14" s="46" customFormat="1" x14ac:dyDescent="0.25">
      <c r="A134" s="59" t="s">
        <v>182</v>
      </c>
      <c r="B134" s="60"/>
      <c r="C134" s="60"/>
      <c r="D134" s="60"/>
      <c r="E134" s="60"/>
      <c r="F134" s="60"/>
      <c r="G134" s="60"/>
      <c r="H134" s="61"/>
      <c r="J134" s="35"/>
    </row>
    <row r="135" spans="1:14" s="46" customFormat="1" x14ac:dyDescent="0.25">
      <c r="A135" s="56">
        <v>1</v>
      </c>
      <c r="B135" s="58"/>
      <c r="C135" s="63" t="s">
        <v>181</v>
      </c>
      <c r="D135" s="64"/>
      <c r="E135" s="64"/>
      <c r="F135" s="65"/>
      <c r="G135" s="56" t="str">
        <f>A134</f>
        <v>2nd Floor For Residential, Fitness Center &amp; Part Theatre Area</v>
      </c>
      <c r="H135" s="58"/>
      <c r="I135" s="35"/>
      <c r="L135" s="62"/>
      <c r="M135" s="62"/>
      <c r="N135" s="35"/>
    </row>
    <row r="136" spans="1:14" s="46" customFormat="1" x14ac:dyDescent="0.25">
      <c r="A136" s="56">
        <f t="shared" ref="A136:A139" si="8">A135+1</f>
        <v>2</v>
      </c>
      <c r="B136" s="58"/>
      <c r="C136" s="66"/>
      <c r="D136" s="67"/>
      <c r="E136" s="67"/>
      <c r="F136" s="68"/>
      <c r="G136" s="56" t="str">
        <f t="shared" ref="G136:G139" si="9">G135</f>
        <v>2nd Floor For Residential, Fitness Center &amp; Part Theatre Area</v>
      </c>
      <c r="H136" s="58"/>
      <c r="I136" s="35"/>
      <c r="L136" s="62"/>
      <c r="M136" s="62"/>
      <c r="N136" s="35"/>
    </row>
    <row r="137" spans="1:14" s="46" customFormat="1" x14ac:dyDescent="0.25">
      <c r="A137" s="56">
        <f t="shared" si="8"/>
        <v>3</v>
      </c>
      <c r="B137" s="58"/>
      <c r="C137" s="40" t="s">
        <v>178</v>
      </c>
      <c r="D137" s="40">
        <f>37.54*10.764</f>
        <v>404.08055999999999</v>
      </c>
      <c r="E137" s="40">
        <v>0</v>
      </c>
      <c r="F137" s="40">
        <f>D137*(($F$127)+1)+(IF(E137&lt;101,E137,IF(E137&lt;201,E137/2,IF(E137&lt;=301,E137/3,E137/4))))</f>
        <v>606.12084000000004</v>
      </c>
      <c r="G137" s="56" t="str">
        <f t="shared" si="9"/>
        <v>2nd Floor For Residential, Fitness Center &amp; Part Theatre Area</v>
      </c>
      <c r="H137" s="58"/>
      <c r="I137" s="35"/>
      <c r="L137" s="62"/>
      <c r="M137" s="62"/>
      <c r="N137" s="35"/>
    </row>
    <row r="138" spans="1:14" s="46" customFormat="1" x14ac:dyDescent="0.25">
      <c r="A138" s="56">
        <f t="shared" si="8"/>
        <v>4</v>
      </c>
      <c r="B138" s="58"/>
      <c r="C138" s="40" t="s">
        <v>179</v>
      </c>
      <c r="D138" s="40">
        <f>46.38*10.764</f>
        <v>499.23432000000003</v>
      </c>
      <c r="E138" s="40">
        <v>0</v>
      </c>
      <c r="F138" s="40">
        <f>D138*(($F$127)+1)+(IF(E138&lt;101,E138,IF(E138&lt;201,E138/2,IF(E138&lt;=301,E138/3,E138/4))))</f>
        <v>748.85148000000004</v>
      </c>
      <c r="G138" s="56" t="str">
        <f t="shared" si="9"/>
        <v>2nd Floor For Residential, Fitness Center &amp; Part Theatre Area</v>
      </c>
      <c r="H138" s="58"/>
      <c r="I138" s="35"/>
      <c r="L138" s="62"/>
      <c r="M138" s="62"/>
      <c r="N138" s="35"/>
    </row>
    <row r="139" spans="1:14" s="46" customFormat="1" x14ac:dyDescent="0.25">
      <c r="A139" s="56">
        <f t="shared" si="8"/>
        <v>5</v>
      </c>
      <c r="B139" s="58"/>
      <c r="C139" s="40" t="s">
        <v>178</v>
      </c>
      <c r="D139" s="40">
        <f>34.99*10.764</f>
        <v>376.63236000000001</v>
      </c>
      <c r="E139" s="40">
        <v>0</v>
      </c>
      <c r="F139" s="40">
        <f>D139*(($F$127)+1)+(IF(E139&lt;101,E139,IF(E139&lt;201,E139/2,IF(E139&lt;=301,E139/3,E139/4))))</f>
        <v>564.94853999999998</v>
      </c>
      <c r="G139" s="56" t="str">
        <f t="shared" si="9"/>
        <v>2nd Floor For Residential, Fitness Center &amp; Part Theatre Area</v>
      </c>
      <c r="H139" s="58"/>
      <c r="I139" s="35"/>
      <c r="L139" s="62"/>
      <c r="M139" s="62"/>
      <c r="N139" s="35"/>
    </row>
    <row r="140" spans="1:14" s="46" customFormat="1" x14ac:dyDescent="0.25">
      <c r="A140" s="59" t="s">
        <v>183</v>
      </c>
      <c r="B140" s="60"/>
      <c r="C140" s="60"/>
      <c r="D140" s="60"/>
      <c r="E140" s="60"/>
      <c r="F140" s="60"/>
      <c r="G140" s="60"/>
      <c r="H140" s="61"/>
      <c r="J140" s="35"/>
    </row>
    <row r="141" spans="1:14" s="46" customFormat="1" x14ac:dyDescent="0.25">
      <c r="A141" s="56">
        <v>1</v>
      </c>
      <c r="B141" s="58"/>
      <c r="C141" s="63" t="s">
        <v>181</v>
      </c>
      <c r="D141" s="64"/>
      <c r="E141" s="64"/>
      <c r="F141" s="65"/>
      <c r="G141" s="56" t="str">
        <f>A140</f>
        <v>3rd &amp; 4th Floor For Residential, Fitness Center &amp; Part Theatre Area</v>
      </c>
      <c r="H141" s="58"/>
      <c r="I141" s="35"/>
      <c r="L141" s="62"/>
      <c r="M141" s="62"/>
      <c r="N141" s="35"/>
    </row>
    <row r="142" spans="1:14" s="46" customFormat="1" x14ac:dyDescent="0.25">
      <c r="A142" s="56">
        <f t="shared" ref="A142:A145" si="10">A141+1</f>
        <v>2</v>
      </c>
      <c r="B142" s="58"/>
      <c r="C142" s="66"/>
      <c r="D142" s="67"/>
      <c r="E142" s="67"/>
      <c r="F142" s="68"/>
      <c r="G142" s="56" t="str">
        <f t="shared" ref="G142:G145" si="11">G141</f>
        <v>3rd &amp; 4th Floor For Residential, Fitness Center &amp; Part Theatre Area</v>
      </c>
      <c r="H142" s="58"/>
      <c r="I142" s="35"/>
      <c r="L142" s="62"/>
      <c r="M142" s="62"/>
      <c r="N142" s="35"/>
    </row>
    <row r="143" spans="1:14" s="46" customFormat="1" x14ac:dyDescent="0.25">
      <c r="A143" s="56">
        <f t="shared" si="10"/>
        <v>3</v>
      </c>
      <c r="B143" s="58"/>
      <c r="C143" s="40" t="s">
        <v>178</v>
      </c>
      <c r="D143" s="40">
        <f>37.54*10.764</f>
        <v>404.08055999999999</v>
      </c>
      <c r="E143" s="40">
        <v>0</v>
      </c>
      <c r="F143" s="40">
        <f>D143*(($F$127)+1)+(IF(E143&lt;101,E143,IF(E143&lt;201,E143/2,IF(E143&lt;=301,E143/3,E143/4))))</f>
        <v>606.12084000000004</v>
      </c>
      <c r="G143" s="56" t="str">
        <f t="shared" si="11"/>
        <v>3rd &amp; 4th Floor For Residential, Fitness Center &amp; Part Theatre Area</v>
      </c>
      <c r="H143" s="58"/>
      <c r="I143" s="35"/>
      <c r="L143" s="62"/>
      <c r="M143" s="62"/>
      <c r="N143" s="35"/>
    </row>
    <row r="144" spans="1:14" s="46" customFormat="1" x14ac:dyDescent="0.25">
      <c r="A144" s="56">
        <f t="shared" si="10"/>
        <v>4</v>
      </c>
      <c r="B144" s="58"/>
      <c r="C144" s="40" t="s">
        <v>179</v>
      </c>
      <c r="D144" s="40">
        <f>46.38*10.764</f>
        <v>499.23432000000003</v>
      </c>
      <c r="E144" s="40">
        <v>0</v>
      </c>
      <c r="F144" s="40">
        <f>D144*(($F$127)+1)+(IF(E144&lt;101,E144,IF(E144&lt;201,E144/2,IF(E144&lt;=301,E144/3,E144/4))))</f>
        <v>748.85148000000004</v>
      </c>
      <c r="G144" s="56" t="str">
        <f t="shared" si="11"/>
        <v>3rd &amp; 4th Floor For Residential, Fitness Center &amp; Part Theatre Area</v>
      </c>
      <c r="H144" s="58"/>
      <c r="I144" s="35"/>
      <c r="L144" s="62"/>
      <c r="M144" s="62"/>
      <c r="N144" s="35"/>
    </row>
    <row r="145" spans="1:14" s="46" customFormat="1" x14ac:dyDescent="0.25">
      <c r="A145" s="56">
        <f t="shared" si="10"/>
        <v>5</v>
      </c>
      <c r="B145" s="58"/>
      <c r="C145" s="40" t="s">
        <v>178</v>
      </c>
      <c r="D145" s="40">
        <f>34.99*10.764</f>
        <v>376.63236000000001</v>
      </c>
      <c r="E145" s="40">
        <v>0</v>
      </c>
      <c r="F145" s="40">
        <f>D145*(($F$127)+1)+(IF(E145&lt;101,E145,IF(E145&lt;201,E145/2,IF(E145&lt;=301,E145/3,E145/4))))</f>
        <v>564.94853999999998</v>
      </c>
      <c r="G145" s="56" t="str">
        <f t="shared" si="11"/>
        <v>3rd &amp; 4th Floor For Residential, Fitness Center &amp; Part Theatre Area</v>
      </c>
      <c r="H145" s="58"/>
      <c r="I145" s="35"/>
      <c r="L145" s="62"/>
      <c r="M145" s="62"/>
      <c r="N145" s="35"/>
    </row>
    <row r="146" spans="1:14" s="46" customFormat="1" x14ac:dyDescent="0.25">
      <c r="A146" s="111" t="s">
        <v>184</v>
      </c>
      <c r="B146" s="111"/>
      <c r="C146" s="111"/>
      <c r="D146" s="111"/>
      <c r="E146" s="111"/>
      <c r="F146" s="111"/>
      <c r="G146" s="111"/>
      <c r="H146" s="111"/>
      <c r="I146" s="35"/>
      <c r="L146" s="62"/>
      <c r="M146" s="62"/>
    </row>
    <row r="147" spans="1:14" s="46" customFormat="1" x14ac:dyDescent="0.25">
      <c r="A147" s="55">
        <v>1</v>
      </c>
      <c r="B147" s="55"/>
      <c r="C147" s="40" t="s">
        <v>178</v>
      </c>
      <c r="D147" s="40">
        <f>35.55*10.764</f>
        <v>382.66019999999992</v>
      </c>
      <c r="E147" s="40">
        <v>0</v>
      </c>
      <c r="F147" s="40">
        <f t="shared" ref="F147:F148" si="12">D147*(($F$127)+1)+(IF(E147&lt;101,E147,IF(E147&lt;201,E147/2,IF(E147&lt;=301,E147/3,E147/4))))</f>
        <v>573.99029999999993</v>
      </c>
      <c r="G147" s="55" t="str">
        <f>A146</f>
        <v>5th to 7th &amp; 9th to 12th Floor</v>
      </c>
      <c r="H147" s="55"/>
      <c r="I147" s="35"/>
      <c r="N147" s="35"/>
    </row>
    <row r="148" spans="1:14" s="46" customFormat="1" x14ac:dyDescent="0.25">
      <c r="A148" s="55">
        <f>A147+1</f>
        <v>2</v>
      </c>
      <c r="B148" s="55"/>
      <c r="C148" s="40" t="s">
        <v>179</v>
      </c>
      <c r="D148" s="40">
        <f>46.87*10.764</f>
        <v>504.50867999999997</v>
      </c>
      <c r="E148" s="40">
        <v>0</v>
      </c>
      <c r="F148" s="40">
        <f t="shared" si="12"/>
        <v>756.76301999999998</v>
      </c>
      <c r="G148" s="55" t="str">
        <f>G147</f>
        <v>5th to 7th &amp; 9th to 12th Floor</v>
      </c>
      <c r="H148" s="55"/>
      <c r="I148" s="35">
        <f>12500000/F148</f>
        <v>16517.7204351238</v>
      </c>
      <c r="N148" s="35"/>
    </row>
    <row r="149" spans="1:14" s="46" customFormat="1" x14ac:dyDescent="0.25">
      <c r="A149" s="55">
        <f>A148+1</f>
        <v>3</v>
      </c>
      <c r="B149" s="55"/>
      <c r="C149" s="40" t="s">
        <v>178</v>
      </c>
      <c r="D149" s="40">
        <f>37.54*10.764</f>
        <v>404.08055999999999</v>
      </c>
      <c r="E149" s="40">
        <v>0</v>
      </c>
      <c r="F149" s="40">
        <f>D149*(($F$127)+1)+(IF(E149&lt;101,E149,IF(E149&lt;201,E149/2,IF(E149&lt;=301,E149/3,E149/4))))</f>
        <v>606.12084000000004</v>
      </c>
      <c r="G149" s="55" t="str">
        <f>G148</f>
        <v>5th to 7th &amp; 9th to 12th Floor</v>
      </c>
      <c r="H149" s="55"/>
      <c r="I149" s="35"/>
      <c r="N149" s="35"/>
    </row>
    <row r="150" spans="1:14" s="46" customFormat="1" x14ac:dyDescent="0.25">
      <c r="A150" s="55">
        <f>A149+1</f>
        <v>4</v>
      </c>
      <c r="B150" s="55"/>
      <c r="C150" s="40" t="s">
        <v>179</v>
      </c>
      <c r="D150" s="40">
        <f>46.38*10.764</f>
        <v>499.23432000000003</v>
      </c>
      <c r="E150" s="40">
        <v>0</v>
      </c>
      <c r="F150" s="40">
        <f>D150*(($F$127)+1)+(IF(E150&lt;101,E150,IF(E150&lt;201,E150/2,IF(E150&lt;=301,E150/3,E150/4))))</f>
        <v>748.85148000000004</v>
      </c>
      <c r="G150" s="55" t="str">
        <f>G149</f>
        <v>5th to 7th &amp; 9th to 12th Floor</v>
      </c>
      <c r="H150" s="55"/>
      <c r="I150" s="35"/>
      <c r="N150" s="35"/>
    </row>
    <row r="151" spans="1:14" s="46" customFormat="1" x14ac:dyDescent="0.25">
      <c r="A151" s="55">
        <f>A150+1</f>
        <v>5</v>
      </c>
      <c r="B151" s="55"/>
      <c r="C151" s="40" t="s">
        <v>178</v>
      </c>
      <c r="D151" s="40">
        <f>34.99*10.764</f>
        <v>376.63236000000001</v>
      </c>
      <c r="E151" s="40">
        <v>0</v>
      </c>
      <c r="F151" s="40">
        <f>D151*(($F$127)+1)+(IF(E151&lt;101,E151,IF(E151&lt;201,E151/2,IF(E151&lt;=301,E151/3,E151/4))))</f>
        <v>564.94853999999998</v>
      </c>
      <c r="G151" s="55" t="str">
        <f>G150</f>
        <v>5th to 7th &amp; 9th to 12th Floor</v>
      </c>
      <c r="H151" s="55"/>
      <c r="I151" s="35">
        <f>8500000/F151</f>
        <v>15045.618137184672</v>
      </c>
      <c r="N151" s="35"/>
    </row>
    <row r="152" spans="1:14" s="46" customFormat="1" x14ac:dyDescent="0.25">
      <c r="A152" s="111" t="s">
        <v>185</v>
      </c>
      <c r="B152" s="111"/>
      <c r="C152" s="111"/>
      <c r="D152" s="111"/>
      <c r="E152" s="111"/>
      <c r="F152" s="111"/>
      <c r="G152" s="111"/>
      <c r="H152" s="111"/>
      <c r="I152" s="35"/>
      <c r="L152" s="62"/>
      <c r="M152" s="62"/>
    </row>
    <row r="153" spans="1:14" s="46" customFormat="1" x14ac:dyDescent="0.25">
      <c r="A153" s="55">
        <v>1</v>
      </c>
      <c r="B153" s="55"/>
      <c r="C153" s="40" t="s">
        <v>178</v>
      </c>
      <c r="D153" s="40">
        <f>36.61*10.764</f>
        <v>394.07003999999995</v>
      </c>
      <c r="E153" s="40">
        <v>0</v>
      </c>
      <c r="F153" s="40">
        <f>D153*(($F$127)+1)+(IF(E153&lt;101,E153,IF(E153&lt;201,E153/2,IF(E153&lt;=301,E153/3,E153/4))))</f>
        <v>591.10505999999987</v>
      </c>
      <c r="G153" s="55" t="str">
        <f>A152</f>
        <v>8th Floor (Part Refuge Area)</v>
      </c>
      <c r="H153" s="55"/>
      <c r="I153" s="35"/>
      <c r="N153" s="35"/>
    </row>
    <row r="154" spans="1:14" s="46" customFormat="1" x14ac:dyDescent="0.25">
      <c r="A154" s="55">
        <f>A153+1</f>
        <v>2</v>
      </c>
      <c r="B154" s="55"/>
      <c r="C154" s="56" t="s">
        <v>186</v>
      </c>
      <c r="D154" s="57"/>
      <c r="E154" s="57"/>
      <c r="F154" s="58"/>
      <c r="G154" s="55" t="str">
        <f>G153</f>
        <v>8th Floor (Part Refuge Area)</v>
      </c>
      <c r="H154" s="55"/>
      <c r="I154" s="35"/>
      <c r="N154" s="35"/>
    </row>
    <row r="155" spans="1:14" s="46" customFormat="1" x14ac:dyDescent="0.25">
      <c r="A155" s="55">
        <f>A154+1</f>
        <v>3</v>
      </c>
      <c r="B155" s="55"/>
      <c r="C155" s="40" t="s">
        <v>178</v>
      </c>
      <c r="D155" s="40">
        <f>37.54*10.764</f>
        <v>404.08055999999999</v>
      </c>
      <c r="E155" s="40">
        <v>0</v>
      </c>
      <c r="F155" s="40">
        <f>D155*(($F$127)+1)+(IF(E155&lt;101,E155,IF(E155&lt;201,E155/2,IF(E155&lt;=301,E155/3,E155/4))))</f>
        <v>606.12084000000004</v>
      </c>
      <c r="G155" s="55" t="str">
        <f>G154</f>
        <v>8th Floor (Part Refuge Area)</v>
      </c>
      <c r="H155" s="55"/>
      <c r="I155" s="35"/>
      <c r="N155" s="35"/>
    </row>
    <row r="156" spans="1:14" s="46" customFormat="1" x14ac:dyDescent="0.25">
      <c r="A156" s="55">
        <f>A155+1</f>
        <v>4</v>
      </c>
      <c r="B156" s="55"/>
      <c r="C156" s="40" t="s">
        <v>179</v>
      </c>
      <c r="D156" s="40">
        <f>46.38*10.764</f>
        <v>499.23432000000003</v>
      </c>
      <c r="E156" s="40">
        <v>0</v>
      </c>
      <c r="F156" s="40">
        <f>D156*(($F$127)+1)+(IF(E156&lt;101,E156,IF(E156&lt;201,E156/2,IF(E156&lt;=301,E156/3,E156/4))))</f>
        <v>748.85148000000004</v>
      </c>
      <c r="G156" s="55" t="str">
        <f>G155</f>
        <v>8th Floor (Part Refuge Area)</v>
      </c>
      <c r="H156" s="55"/>
      <c r="I156" s="35"/>
      <c r="N156" s="35"/>
    </row>
    <row r="157" spans="1:14" s="46" customFormat="1" x14ac:dyDescent="0.25">
      <c r="A157" s="55">
        <f>A156+1</f>
        <v>5</v>
      </c>
      <c r="B157" s="55"/>
      <c r="C157" s="40" t="s">
        <v>178</v>
      </c>
      <c r="D157" s="40">
        <f>34.99*10.764</f>
        <v>376.63236000000001</v>
      </c>
      <c r="E157" s="40">
        <v>0</v>
      </c>
      <c r="F157" s="40">
        <f>D157*(($F$127)+1)+(IF(E157&lt;101,E157,IF(E157&lt;201,E157/2,IF(E157&lt;=301,E157/3,E157/4))))</f>
        <v>564.94853999999998</v>
      </c>
      <c r="G157" s="55" t="str">
        <f>G156</f>
        <v>8th Floor (Part Refuge Area)</v>
      </c>
      <c r="H157" s="55"/>
      <c r="I157" s="35"/>
      <c r="N157" s="35"/>
    </row>
    <row r="158" spans="1:14" s="34" customFormat="1" x14ac:dyDescent="0.25">
      <c r="A158" s="119" t="s">
        <v>70</v>
      </c>
      <c r="B158" s="119"/>
      <c r="C158" s="119"/>
      <c r="D158" s="119"/>
      <c r="E158" s="119"/>
      <c r="F158" s="119"/>
      <c r="G158" s="119"/>
      <c r="H158" s="119"/>
    </row>
    <row r="159" spans="1:14" s="34" customFormat="1" ht="51" customHeight="1" x14ac:dyDescent="0.25">
      <c r="A159" s="45" t="s">
        <v>153</v>
      </c>
      <c r="B159" s="123" t="s">
        <v>224</v>
      </c>
      <c r="C159" s="124"/>
      <c r="D159" s="124"/>
      <c r="E159" s="124"/>
      <c r="F159" s="124"/>
      <c r="G159" s="124"/>
      <c r="H159" s="125"/>
      <c r="I159" s="184" t="s">
        <v>222</v>
      </c>
    </row>
    <row r="160" spans="1:14" s="34" customFormat="1" x14ac:dyDescent="0.25">
      <c r="A160" s="45" t="s">
        <v>153</v>
      </c>
      <c r="B160" s="123" t="str">
        <f>(IF(F126="Saleable area Loading :","We have considered Saleable area of Flats as per our Calculation.","We considered Saleable area of Flat as per Builder area Sheet."))</f>
        <v>We have considered Saleable area of Flats as per our Calculation.</v>
      </c>
      <c r="C160" s="124"/>
      <c r="D160" s="124"/>
      <c r="E160" s="124"/>
      <c r="F160" s="124"/>
      <c r="G160" s="124"/>
      <c r="H160" s="125"/>
    </row>
    <row r="161" spans="1:8" s="34" customFormat="1" x14ac:dyDescent="0.25">
      <c r="A161" s="45" t="s">
        <v>153</v>
      </c>
      <c r="B161" s="123" t="str">
        <f>(IF(F109="Saleable area Loading :","We have considered Saleable area of Commercial as per our Calculation.","We considered Saleable area of Commercial as per Builder area Sheet."))</f>
        <v>We have considered Saleable area of Commercial as per our Calculation.</v>
      </c>
      <c r="C161" s="124"/>
      <c r="D161" s="124"/>
      <c r="E161" s="124"/>
      <c r="F161" s="124"/>
      <c r="G161" s="124"/>
      <c r="H161" s="125"/>
    </row>
    <row r="162" spans="1:8" s="34" customFormat="1" x14ac:dyDescent="0.25">
      <c r="A162" s="45" t="s">
        <v>153</v>
      </c>
      <c r="B162" s="120" t="s">
        <v>124</v>
      </c>
      <c r="C162" s="121"/>
      <c r="D162" s="121"/>
      <c r="E162" s="121"/>
      <c r="F162" s="121"/>
      <c r="G162" s="121"/>
      <c r="H162" s="122"/>
    </row>
    <row r="163" spans="1:8" s="34" customFormat="1" x14ac:dyDescent="0.25">
      <c r="A163" s="45" t="s">
        <v>153</v>
      </c>
      <c r="B163" s="120" t="s">
        <v>191</v>
      </c>
      <c r="C163" s="121"/>
      <c r="D163" s="121"/>
      <c r="E163" s="121"/>
      <c r="F163" s="121"/>
      <c r="G163" s="121"/>
      <c r="H163" s="122"/>
    </row>
    <row r="164" spans="1:8" s="34" customFormat="1" x14ac:dyDescent="0.25">
      <c r="A164" s="45" t="s">
        <v>153</v>
      </c>
      <c r="B164" s="120" t="s">
        <v>152</v>
      </c>
      <c r="C164" s="121"/>
      <c r="D164" s="121"/>
      <c r="E164" s="121"/>
      <c r="F164" s="121"/>
      <c r="G164" s="121"/>
      <c r="H164" s="122"/>
    </row>
    <row r="165" spans="1:8" s="34" customFormat="1" x14ac:dyDescent="0.25">
      <c r="A165" s="45" t="s">
        <v>153</v>
      </c>
      <c r="B165" s="120" t="s">
        <v>125</v>
      </c>
      <c r="C165" s="121"/>
      <c r="D165" s="121"/>
      <c r="E165" s="121"/>
      <c r="F165" s="121"/>
      <c r="G165" s="121"/>
      <c r="H165" s="122"/>
    </row>
    <row r="166" spans="1:8" s="34" customFormat="1" ht="34.5" customHeight="1" x14ac:dyDescent="0.25">
      <c r="A166" s="45" t="s">
        <v>153</v>
      </c>
      <c r="B166" s="120" t="s">
        <v>154</v>
      </c>
      <c r="C166" s="121"/>
      <c r="D166" s="121"/>
      <c r="E166" s="121"/>
      <c r="F166" s="121"/>
      <c r="G166" s="121"/>
      <c r="H166" s="122"/>
    </row>
    <row r="167" spans="1:8" s="34" customFormat="1" x14ac:dyDescent="0.25">
      <c r="A167" s="45" t="s">
        <v>153</v>
      </c>
      <c r="B167" s="120" t="s">
        <v>126</v>
      </c>
      <c r="C167" s="121"/>
      <c r="D167" s="121"/>
      <c r="E167" s="121"/>
      <c r="F167" s="121"/>
      <c r="G167" s="121"/>
      <c r="H167" s="122"/>
    </row>
    <row r="168" spans="1:8" s="34" customFormat="1" hidden="1" x14ac:dyDescent="0.25">
      <c r="A168" s="45" t="s">
        <v>153</v>
      </c>
      <c r="B168" s="123" t="s">
        <v>194</v>
      </c>
      <c r="C168" s="124"/>
      <c r="D168" s="124"/>
      <c r="E168" s="124"/>
      <c r="F168" s="124"/>
      <c r="G168" s="124"/>
      <c r="H168" s="125"/>
    </row>
    <row r="169" spans="1:8" s="34" customFormat="1" x14ac:dyDescent="0.25">
      <c r="A169" s="45" t="s">
        <v>153</v>
      </c>
      <c r="B169" s="120" t="s">
        <v>223</v>
      </c>
      <c r="C169" s="121"/>
      <c r="D169" s="121"/>
      <c r="E169" s="121"/>
      <c r="F169" s="121"/>
      <c r="G169" s="121"/>
      <c r="H169" s="122"/>
    </row>
    <row r="170" spans="1:8" s="34" customFormat="1" ht="47.25" hidden="1" customHeight="1" x14ac:dyDescent="0.25">
      <c r="A170" s="45" t="s">
        <v>153</v>
      </c>
      <c r="B170" s="120" t="s">
        <v>216</v>
      </c>
      <c r="C170" s="121"/>
      <c r="D170" s="121"/>
      <c r="E170" s="121"/>
      <c r="F170" s="121"/>
      <c r="G170" s="121"/>
      <c r="H170" s="122"/>
    </row>
    <row r="171" spans="1:8" s="34" customFormat="1" hidden="1" x14ac:dyDescent="0.25">
      <c r="A171" s="45" t="s">
        <v>153</v>
      </c>
      <c r="B171" s="120" t="s">
        <v>217</v>
      </c>
      <c r="C171" s="121"/>
      <c r="D171" s="121"/>
      <c r="E171" s="121"/>
      <c r="F171" s="121"/>
      <c r="G171" s="121"/>
      <c r="H171" s="122"/>
    </row>
    <row r="172" spans="1:8" x14ac:dyDescent="0.25">
      <c r="A172" s="104" t="s">
        <v>63</v>
      </c>
      <c r="B172" s="104"/>
      <c r="C172" s="104"/>
      <c r="D172" s="104"/>
      <c r="E172" s="104"/>
      <c r="F172" s="104"/>
      <c r="G172" s="104"/>
      <c r="H172" s="104"/>
    </row>
    <row r="173" spans="1:8" x14ac:dyDescent="0.25">
      <c r="A173" s="88" t="s">
        <v>64</v>
      </c>
      <c r="B173" s="88"/>
      <c r="C173" s="88"/>
      <c r="D173" s="88"/>
      <c r="E173" s="88"/>
      <c r="F173" s="88"/>
      <c r="G173" s="88"/>
      <c r="H173" s="88"/>
    </row>
    <row r="174" spans="1:8" ht="15.75" customHeight="1" x14ac:dyDescent="0.25">
      <c r="A174" s="126" t="s">
        <v>65</v>
      </c>
      <c r="B174" s="126"/>
      <c r="C174" s="126"/>
      <c r="D174" s="126"/>
      <c r="E174" s="126"/>
      <c r="F174" s="126"/>
      <c r="G174" s="126"/>
      <c r="H174" s="126"/>
    </row>
    <row r="175" spans="1:8" x14ac:dyDescent="0.25">
      <c r="A175" s="88" t="s">
        <v>66</v>
      </c>
      <c r="B175" s="88"/>
      <c r="C175" s="88"/>
      <c r="D175" s="88"/>
      <c r="E175" s="88"/>
      <c r="F175" s="88"/>
      <c r="G175" s="88"/>
      <c r="H175" s="88"/>
    </row>
    <row r="176" spans="1:8" x14ac:dyDescent="0.25">
      <c r="A176" s="88" t="s">
        <v>67</v>
      </c>
      <c r="B176" s="88"/>
      <c r="C176" s="88"/>
      <c r="D176" s="88"/>
      <c r="E176" s="88"/>
      <c r="F176" s="88"/>
      <c r="G176" s="88"/>
      <c r="H176" s="88"/>
    </row>
    <row r="177" spans="1:8" x14ac:dyDescent="0.25">
      <c r="A177" s="88" t="s">
        <v>127</v>
      </c>
      <c r="B177" s="88"/>
      <c r="C177" s="88"/>
      <c r="D177" s="88"/>
      <c r="E177" s="88"/>
      <c r="F177" s="88"/>
      <c r="G177" s="88"/>
      <c r="H177" s="88"/>
    </row>
    <row r="178" spans="1:8" hidden="1" x14ac:dyDescent="0.25">
      <c r="A178" s="94" t="s">
        <v>128</v>
      </c>
      <c r="B178" s="94"/>
      <c r="C178" s="94"/>
      <c r="D178" s="94"/>
      <c r="E178" s="94"/>
      <c r="F178" s="94"/>
      <c r="G178" s="94"/>
      <c r="H178" s="94"/>
    </row>
    <row r="179" spans="1:8" x14ac:dyDescent="0.25">
      <c r="A179" s="118" t="s">
        <v>79</v>
      </c>
      <c r="B179" s="118"/>
      <c r="C179" s="118" t="s">
        <v>208</v>
      </c>
      <c r="D179" s="118"/>
      <c r="E179" s="118" t="s">
        <v>103</v>
      </c>
      <c r="F179" s="118"/>
      <c r="G179" s="118" t="s">
        <v>221</v>
      </c>
      <c r="H179" s="118"/>
    </row>
    <row r="180" spans="1:8" x14ac:dyDescent="0.25">
      <c r="A180" s="117" t="s">
        <v>81</v>
      </c>
      <c r="B180" s="117"/>
      <c r="C180" s="117"/>
      <c r="D180" s="117"/>
      <c r="E180" s="117"/>
      <c r="F180" s="117"/>
      <c r="G180" s="117"/>
      <c r="H180" s="117"/>
    </row>
    <row r="181" spans="1:8" x14ac:dyDescent="0.25">
      <c r="A181" s="117"/>
      <c r="B181" s="117"/>
      <c r="C181" s="117"/>
      <c r="D181" s="117"/>
      <c r="E181" s="117"/>
      <c r="F181" s="117"/>
      <c r="G181" s="117"/>
      <c r="H181" s="117"/>
    </row>
    <row r="182" spans="1:8" x14ac:dyDescent="0.25">
      <c r="A182" s="117"/>
      <c r="B182" s="117"/>
      <c r="C182" s="117"/>
      <c r="D182" s="117"/>
      <c r="E182" s="117"/>
      <c r="F182" s="117"/>
      <c r="G182" s="117"/>
      <c r="H182" s="117"/>
    </row>
    <row r="183" spans="1:8" x14ac:dyDescent="0.25">
      <c r="A183" s="117"/>
      <c r="B183" s="117"/>
      <c r="C183" s="117"/>
      <c r="D183" s="117"/>
      <c r="E183" s="117"/>
      <c r="F183" s="117"/>
      <c r="G183" s="117"/>
      <c r="H183" s="117"/>
    </row>
    <row r="184" spans="1:8" x14ac:dyDescent="0.25">
      <c r="A184" s="36" t="s">
        <v>68</v>
      </c>
      <c r="B184" s="37"/>
      <c r="C184" s="37"/>
      <c r="D184" s="36" t="str">
        <f>E8</f>
        <v>Dream Olympia</v>
      </c>
      <c r="F184" s="37"/>
      <c r="G184" s="37"/>
      <c r="H184" s="37"/>
    </row>
    <row r="185" spans="1:8" x14ac:dyDescent="0.25">
      <c r="A185" s="37"/>
      <c r="B185" s="37"/>
      <c r="C185" s="37"/>
      <c r="D185" s="37"/>
      <c r="E185" s="37"/>
      <c r="F185" s="37"/>
      <c r="G185" s="37"/>
      <c r="H185" s="37"/>
    </row>
    <row r="186" spans="1:8" x14ac:dyDescent="0.25">
      <c r="A186" s="37"/>
      <c r="B186" s="37"/>
      <c r="C186" s="37"/>
      <c r="D186" s="37"/>
      <c r="E186" s="37"/>
      <c r="F186" s="37"/>
      <c r="G186" s="37"/>
      <c r="H186" s="37"/>
    </row>
    <row r="187" spans="1:8" ht="15" customHeight="1" x14ac:dyDescent="0.25"/>
    <row r="193" spans="5:5" x14ac:dyDescent="0.25">
      <c r="E193"/>
    </row>
    <row r="227" spans="1:1" x14ac:dyDescent="0.25">
      <c r="A227" s="39" t="s">
        <v>69</v>
      </c>
    </row>
  </sheetData>
  <mergeCells count="365">
    <mergeCell ref="A48:B49"/>
    <mergeCell ref="C48:E48"/>
    <mergeCell ref="G48:H48"/>
    <mergeCell ref="C49:E49"/>
    <mergeCell ref="G49:H49"/>
    <mergeCell ref="A93:B94"/>
    <mergeCell ref="C93:D94"/>
    <mergeCell ref="E93:F94"/>
    <mergeCell ref="G93:H94"/>
    <mergeCell ref="B169:H169"/>
    <mergeCell ref="A79:B79"/>
    <mergeCell ref="C79:H79"/>
    <mergeCell ref="A81:B81"/>
    <mergeCell ref="C81:H81"/>
    <mergeCell ref="A82:B82"/>
    <mergeCell ref="E82:F82"/>
    <mergeCell ref="G82:H82"/>
    <mergeCell ref="A83:B83"/>
    <mergeCell ref="E83:F92"/>
    <mergeCell ref="G83:H92"/>
    <mergeCell ref="A84:B84"/>
    <mergeCell ref="A85:B85"/>
    <mergeCell ref="A86:B86"/>
    <mergeCell ref="A87:B87"/>
    <mergeCell ref="A88:B88"/>
    <mergeCell ref="A89:B89"/>
    <mergeCell ref="A90:B90"/>
    <mergeCell ref="A91:B91"/>
    <mergeCell ref="A92:B92"/>
    <mergeCell ref="L116:M116"/>
    <mergeCell ref="L115:M115"/>
    <mergeCell ref="C36:H36"/>
    <mergeCell ref="A45:B45"/>
    <mergeCell ref="C45:H45"/>
    <mergeCell ref="B164:H164"/>
    <mergeCell ref="F97:H97"/>
    <mergeCell ref="A97:E97"/>
    <mergeCell ref="G154:H154"/>
    <mergeCell ref="G150:H150"/>
    <mergeCell ref="G147:H147"/>
    <mergeCell ref="D109:D110"/>
    <mergeCell ref="A113:B113"/>
    <mergeCell ref="A114:B114"/>
    <mergeCell ref="A115:B115"/>
    <mergeCell ref="A116:B116"/>
    <mergeCell ref="A132:B132"/>
    <mergeCell ref="B162:H162"/>
    <mergeCell ref="B163:H163"/>
    <mergeCell ref="G103:H103"/>
    <mergeCell ref="A103:B103"/>
    <mergeCell ref="C103:D103"/>
    <mergeCell ref="E103:F103"/>
    <mergeCell ref="C105:D105"/>
    <mergeCell ref="L146:M146"/>
    <mergeCell ref="A125:H125"/>
    <mergeCell ref="A126:A127"/>
    <mergeCell ref="A151:B151"/>
    <mergeCell ref="A148:B148"/>
    <mergeCell ref="A149:B149"/>
    <mergeCell ref="A150:B150"/>
    <mergeCell ref="G151:H151"/>
    <mergeCell ref="L132:M132"/>
    <mergeCell ref="G129:H129"/>
    <mergeCell ref="L129:M129"/>
    <mergeCell ref="A130:B130"/>
    <mergeCell ref="G130:H130"/>
    <mergeCell ref="L130:M130"/>
    <mergeCell ref="A131:B131"/>
    <mergeCell ref="G131:H131"/>
    <mergeCell ref="L131:M131"/>
    <mergeCell ref="L135:M135"/>
    <mergeCell ref="L136:M136"/>
    <mergeCell ref="G148:H148"/>
    <mergeCell ref="L133:M133"/>
    <mergeCell ref="A128:H128"/>
    <mergeCell ref="A136:B136"/>
    <mergeCell ref="G136:H136"/>
    <mergeCell ref="A44:H44"/>
    <mergeCell ref="G47:H47"/>
    <mergeCell ref="A50:B51"/>
    <mergeCell ref="A75:B75"/>
    <mergeCell ref="A68:B68"/>
    <mergeCell ref="A71:B71"/>
    <mergeCell ref="A67:B67"/>
    <mergeCell ref="L114:M114"/>
    <mergeCell ref="L113:M113"/>
    <mergeCell ref="A76:B76"/>
    <mergeCell ref="C106:D106"/>
    <mergeCell ref="E106:F106"/>
    <mergeCell ref="G106:H106"/>
    <mergeCell ref="A96:E96"/>
    <mergeCell ref="A112:H112"/>
    <mergeCell ref="E109:E110"/>
    <mergeCell ref="G109:H110"/>
    <mergeCell ref="A58:C58"/>
    <mergeCell ref="G105:H105"/>
    <mergeCell ref="D56:H56"/>
    <mergeCell ref="A56:C56"/>
    <mergeCell ref="A59:C59"/>
    <mergeCell ref="D59:H59"/>
    <mergeCell ref="D63:H63"/>
    <mergeCell ref="A38:D38"/>
    <mergeCell ref="E38:H38"/>
    <mergeCell ref="A40:D40"/>
    <mergeCell ref="E40:H40"/>
    <mergeCell ref="E41:H41"/>
    <mergeCell ref="E42:H42"/>
    <mergeCell ref="E43:H43"/>
    <mergeCell ref="A41:D41"/>
    <mergeCell ref="A42:D42"/>
    <mergeCell ref="A43:D43"/>
    <mergeCell ref="E39:H39"/>
    <mergeCell ref="A39:D39"/>
    <mergeCell ref="A37:H37"/>
    <mergeCell ref="A35:B35"/>
    <mergeCell ref="C33:E33"/>
    <mergeCell ref="E23:H23"/>
    <mergeCell ref="A25:D25"/>
    <mergeCell ref="E25:H25"/>
    <mergeCell ref="F30:H30"/>
    <mergeCell ref="F31:H31"/>
    <mergeCell ref="C29:E29"/>
    <mergeCell ref="F32:H32"/>
    <mergeCell ref="F33:H33"/>
    <mergeCell ref="A36:B36"/>
    <mergeCell ref="F29:H29"/>
    <mergeCell ref="A30:B30"/>
    <mergeCell ref="A29:B29"/>
    <mergeCell ref="C30:E30"/>
    <mergeCell ref="A31:B31"/>
    <mergeCell ref="C31:E31"/>
    <mergeCell ref="A34:H34"/>
    <mergeCell ref="A33:B33"/>
    <mergeCell ref="C35:H35"/>
    <mergeCell ref="A22:D22"/>
    <mergeCell ref="E22:H22"/>
    <mergeCell ref="A26:D26"/>
    <mergeCell ref="E26:H26"/>
    <mergeCell ref="A23:D23"/>
    <mergeCell ref="A32:B32"/>
    <mergeCell ref="C32:E32"/>
    <mergeCell ref="A27:D27"/>
    <mergeCell ref="E27:H27"/>
    <mergeCell ref="A28:D28"/>
    <mergeCell ref="E28:H28"/>
    <mergeCell ref="A24:D24"/>
    <mergeCell ref="E24:H2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4:B14"/>
    <mergeCell ref="A11:D11"/>
    <mergeCell ref="E11:H11"/>
    <mergeCell ref="A12:D12"/>
    <mergeCell ref="A19:D20"/>
    <mergeCell ref="E19:H20"/>
    <mergeCell ref="E12:H12"/>
    <mergeCell ref="A13:B13"/>
    <mergeCell ref="C13:H13"/>
    <mergeCell ref="C14:H14"/>
    <mergeCell ref="F95:H95"/>
    <mergeCell ref="A78:B78"/>
    <mergeCell ref="G69:H78"/>
    <mergeCell ref="A77:B77"/>
    <mergeCell ref="A69:B69"/>
    <mergeCell ref="G68:H68"/>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61:C61"/>
    <mergeCell ref="D61:H61"/>
    <mergeCell ref="A64:C64"/>
    <mergeCell ref="D64:H64"/>
    <mergeCell ref="A62:C62"/>
    <mergeCell ref="D62:H62"/>
    <mergeCell ref="A63:C63"/>
    <mergeCell ref="A137:B137"/>
    <mergeCell ref="G137:H137"/>
    <mergeCell ref="A129:B129"/>
    <mergeCell ref="E101:F101"/>
    <mergeCell ref="A107:H107"/>
    <mergeCell ref="A65:B65"/>
    <mergeCell ref="C65:H65"/>
    <mergeCell ref="A73:B73"/>
    <mergeCell ref="C67:H67"/>
    <mergeCell ref="A70:B70"/>
    <mergeCell ref="A72:B72"/>
    <mergeCell ref="E68:F68"/>
    <mergeCell ref="G115:H115"/>
    <mergeCell ref="G113:H113"/>
    <mergeCell ref="G114:H114"/>
    <mergeCell ref="G116:H116"/>
    <mergeCell ref="A95:E95"/>
    <mergeCell ref="A180:H183"/>
    <mergeCell ref="A179:B179"/>
    <mergeCell ref="E179:F179"/>
    <mergeCell ref="C179:D179"/>
    <mergeCell ref="G179:H179"/>
    <mergeCell ref="A175:H175"/>
    <mergeCell ref="A178:H178"/>
    <mergeCell ref="A176:H176"/>
    <mergeCell ref="A158:H158"/>
    <mergeCell ref="B165:H165"/>
    <mergeCell ref="B161:H161"/>
    <mergeCell ref="B159:H159"/>
    <mergeCell ref="B160:H160"/>
    <mergeCell ref="B166:H166"/>
    <mergeCell ref="A173:H173"/>
    <mergeCell ref="B167:H167"/>
    <mergeCell ref="B168:H168"/>
    <mergeCell ref="A172:H172"/>
    <mergeCell ref="A177:H177"/>
    <mergeCell ref="A174:H174"/>
    <mergeCell ref="B170:H170"/>
    <mergeCell ref="B171:H171"/>
    <mergeCell ref="G149:H149"/>
    <mergeCell ref="A101:B101"/>
    <mergeCell ref="C101:D101"/>
    <mergeCell ref="A154:B154"/>
    <mergeCell ref="A108:H108"/>
    <mergeCell ref="G101:H101"/>
    <mergeCell ref="C102:D102"/>
    <mergeCell ref="E102:F102"/>
    <mergeCell ref="A111:H111"/>
    <mergeCell ref="A117:B117"/>
    <mergeCell ref="G117:H117"/>
    <mergeCell ref="C129:F130"/>
    <mergeCell ref="B109:B110"/>
    <mergeCell ref="A109:A110"/>
    <mergeCell ref="C126:C127"/>
    <mergeCell ref="C109:C110"/>
    <mergeCell ref="B126:B127"/>
    <mergeCell ref="A152:H152"/>
    <mergeCell ref="A153:B153"/>
    <mergeCell ref="A120:B120"/>
    <mergeCell ref="G120:H120"/>
    <mergeCell ref="A134:H134"/>
    <mergeCell ref="C135:F136"/>
    <mergeCell ref="G135:H135"/>
    <mergeCell ref="A156:B156"/>
    <mergeCell ref="A143:B143"/>
    <mergeCell ref="A52:B52"/>
    <mergeCell ref="C52:E52"/>
    <mergeCell ref="A47:B47"/>
    <mergeCell ref="A53:H53"/>
    <mergeCell ref="A54:C54"/>
    <mergeCell ref="A55:C55"/>
    <mergeCell ref="D55:H55"/>
    <mergeCell ref="G52:H52"/>
    <mergeCell ref="G143:H143"/>
    <mergeCell ref="G155:H155"/>
    <mergeCell ref="G156:H156"/>
    <mergeCell ref="A100:H100"/>
    <mergeCell ref="A98:E98"/>
    <mergeCell ref="F98:H98"/>
    <mergeCell ref="A99:E99"/>
    <mergeCell ref="F99:H99"/>
    <mergeCell ref="A146:H146"/>
    <mergeCell ref="A106:B106"/>
    <mergeCell ref="A155:B155"/>
    <mergeCell ref="A102:B102"/>
    <mergeCell ref="A104:H104"/>
    <mergeCell ref="E105:F105"/>
    <mergeCell ref="A147:B147"/>
    <mergeCell ref="A105:B105"/>
    <mergeCell ref="D126:D127"/>
    <mergeCell ref="E126:E127"/>
    <mergeCell ref="G126:H127"/>
    <mergeCell ref="A74:B74"/>
    <mergeCell ref="F96:H96"/>
    <mergeCell ref="G102:H102"/>
    <mergeCell ref="A46:B46"/>
    <mergeCell ref="C46:E46"/>
    <mergeCell ref="C51:E51"/>
    <mergeCell ref="G51:H51"/>
    <mergeCell ref="G46:H46"/>
    <mergeCell ref="G50:H50"/>
    <mergeCell ref="D54:H54"/>
    <mergeCell ref="C50:E50"/>
    <mergeCell ref="A57:C57"/>
    <mergeCell ref="D57:H57"/>
    <mergeCell ref="C47:E47"/>
    <mergeCell ref="G132:H132"/>
    <mergeCell ref="D58:H58"/>
    <mergeCell ref="E69:F78"/>
    <mergeCell ref="A60:C60"/>
    <mergeCell ref="D60:H60"/>
    <mergeCell ref="L117:M117"/>
    <mergeCell ref="A118:B118"/>
    <mergeCell ref="G118:H118"/>
    <mergeCell ref="L118:M118"/>
    <mergeCell ref="A119:B119"/>
    <mergeCell ref="G119:H119"/>
    <mergeCell ref="L119:M119"/>
    <mergeCell ref="A141:B141"/>
    <mergeCell ref="C141:F142"/>
    <mergeCell ref="G141:H141"/>
    <mergeCell ref="L141:M141"/>
    <mergeCell ref="A142:B142"/>
    <mergeCell ref="G142:H142"/>
    <mergeCell ref="L142:M142"/>
    <mergeCell ref="L120:M120"/>
    <mergeCell ref="A121:B121"/>
    <mergeCell ref="G121:H121"/>
    <mergeCell ref="L121:M121"/>
    <mergeCell ref="A122:B122"/>
    <mergeCell ref="G122:H122"/>
    <mergeCell ref="L122:M122"/>
    <mergeCell ref="A133:B133"/>
    <mergeCell ref="G133:H133"/>
    <mergeCell ref="A135:B135"/>
    <mergeCell ref="G157:H157"/>
    <mergeCell ref="C154:F154"/>
    <mergeCell ref="A123:H123"/>
    <mergeCell ref="A124:B124"/>
    <mergeCell ref="G124:H124"/>
    <mergeCell ref="L124:M124"/>
    <mergeCell ref="L143:M143"/>
    <mergeCell ref="A144:B144"/>
    <mergeCell ref="G144:H144"/>
    <mergeCell ref="L144:M144"/>
    <mergeCell ref="A145:B145"/>
    <mergeCell ref="G145:H145"/>
    <mergeCell ref="L145:M145"/>
    <mergeCell ref="L152:M152"/>
    <mergeCell ref="G153:H153"/>
    <mergeCell ref="L137:M137"/>
    <mergeCell ref="A138:B138"/>
    <mergeCell ref="G138:H138"/>
    <mergeCell ref="L138:M138"/>
    <mergeCell ref="A139:B139"/>
    <mergeCell ref="G139:H139"/>
    <mergeCell ref="L139:M139"/>
    <mergeCell ref="A140:H140"/>
    <mergeCell ref="A157:B157"/>
  </mergeCells>
  <hyperlinks>
    <hyperlink ref="C36" r:id="rId1"/>
  </hyperlinks>
  <printOptions horizontalCentered="1"/>
  <pageMargins left="0.39370078740157483" right="0.39370078740157483" top="0.78740157480314965"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64" max="16383" man="1"/>
    <brk id="183" max="16383" man="1"/>
    <brk id="22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Normal="100" workbookViewId="0">
      <selection activeCell="B15" sqref="B15"/>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183" t="s">
        <v>104</v>
      </c>
      <c r="C3" s="183"/>
      <c r="D3" s="183"/>
      <c r="E3" s="183"/>
      <c r="F3" s="183"/>
      <c r="G3" s="183"/>
      <c r="H3" s="183"/>
    </row>
    <row r="4" spans="1:9" x14ac:dyDescent="0.25">
      <c r="A4" s="2"/>
      <c r="B4" s="3" t="s">
        <v>105</v>
      </c>
      <c r="C4" s="3" t="s">
        <v>106</v>
      </c>
      <c r="D4" s="3" t="s">
        <v>71</v>
      </c>
      <c r="E4" s="3" t="s">
        <v>107</v>
      </c>
      <c r="F4" s="3" t="s">
        <v>113</v>
      </c>
      <c r="G4" s="3" t="s">
        <v>114</v>
      </c>
      <c r="H4" s="3" t="s">
        <v>108</v>
      </c>
    </row>
    <row r="5" spans="1:9" ht="15" customHeight="1" x14ac:dyDescent="0.25">
      <c r="A5" s="2"/>
      <c r="B5" s="5" t="s">
        <v>110</v>
      </c>
      <c r="C5" s="6"/>
      <c r="D5" s="5"/>
      <c r="E5" s="5">
        <v>404</v>
      </c>
      <c r="F5" s="7">
        <f>E5*1.6</f>
        <v>646.40000000000009</v>
      </c>
      <c r="G5" s="7">
        <f>H5/F5</f>
        <v>14077.9702970297</v>
      </c>
      <c r="H5" s="8">
        <v>9100000</v>
      </c>
    </row>
    <row r="6" spans="1:9" x14ac:dyDescent="0.25">
      <c r="A6" s="2"/>
      <c r="B6" s="5" t="s">
        <v>109</v>
      </c>
      <c r="C6" s="9"/>
      <c r="D6" s="5"/>
      <c r="E6" s="5">
        <v>499</v>
      </c>
      <c r="F6" s="7">
        <f t="shared" ref="F6:F11" si="0">E6*1.6</f>
        <v>798.40000000000009</v>
      </c>
      <c r="G6" s="7">
        <f t="shared" ref="G6:G11" si="1">H6/F6</f>
        <v>16157.314629258515</v>
      </c>
      <c r="H6" s="8">
        <v>12900000</v>
      </c>
    </row>
    <row r="7" spans="1:9" ht="15" customHeight="1" x14ac:dyDescent="0.25">
      <c r="A7" s="2"/>
      <c r="B7" s="5" t="s">
        <v>110</v>
      </c>
      <c r="C7" s="6"/>
      <c r="D7" s="5"/>
      <c r="E7" s="5">
        <v>404</v>
      </c>
      <c r="F7" s="7">
        <v>646</v>
      </c>
      <c r="G7" s="7">
        <f t="shared" si="1"/>
        <v>13467.492260061919</v>
      </c>
      <c r="H7" s="8">
        <v>8700000</v>
      </c>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2025-09-13T07:14:26Z</cp:lastPrinted>
  <dcterms:created xsi:type="dcterms:W3CDTF">2019-07-16T09:29:46Z</dcterms:created>
  <dcterms:modified xsi:type="dcterms:W3CDTF">2025-09-13T07:16:18Z</dcterms:modified>
</cp:coreProperties>
</file>