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6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Report!$A$1:$H$522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2" i="1" l="1"/>
  <c r="C111" i="1"/>
  <c r="C110" i="1"/>
  <c r="C96" i="1" l="1"/>
  <c r="C97" i="1" s="1"/>
  <c r="C98" i="1" l="1"/>
  <c r="C82" i="1"/>
  <c r="C84" i="1" l="1"/>
  <c r="C83" i="1"/>
  <c r="I308" i="1" l="1"/>
  <c r="I309" i="1"/>
  <c r="I306" i="1"/>
  <c r="I228" i="1"/>
  <c r="I226" i="1"/>
  <c r="I190" i="1"/>
  <c r="I187" i="1"/>
  <c r="I180" i="1"/>
  <c r="I160" i="1"/>
  <c r="I155" i="1"/>
  <c r="I150" i="1"/>
  <c r="E335" i="1"/>
  <c r="D335" i="1"/>
  <c r="E334" i="1"/>
  <c r="D334" i="1"/>
  <c r="E333" i="1"/>
  <c r="D333" i="1"/>
  <c r="E332" i="1"/>
  <c r="D332" i="1"/>
  <c r="E331" i="1"/>
  <c r="D331" i="1"/>
  <c r="E330" i="1"/>
  <c r="D330" i="1"/>
  <c r="A331" i="1"/>
  <c r="A332" i="1" s="1"/>
  <c r="A333" i="1" s="1"/>
  <c r="A334" i="1" s="1"/>
  <c r="A335" i="1" s="1"/>
  <c r="A336" i="1" s="1"/>
  <c r="E328" i="1"/>
  <c r="D328" i="1"/>
  <c r="E327" i="1"/>
  <c r="D327" i="1"/>
  <c r="E326" i="1"/>
  <c r="D326" i="1"/>
  <c r="E325" i="1"/>
  <c r="D325" i="1"/>
  <c r="E324" i="1"/>
  <c r="D324" i="1"/>
  <c r="E323" i="1"/>
  <c r="D323" i="1"/>
  <c r="E322" i="1"/>
  <c r="D322" i="1"/>
  <c r="E319" i="1"/>
  <c r="D319" i="1"/>
  <c r="E318" i="1"/>
  <c r="D318" i="1"/>
  <c r="E317" i="1"/>
  <c r="D317" i="1"/>
  <c r="E316" i="1"/>
  <c r="D316" i="1"/>
  <c r="E315" i="1"/>
  <c r="D315" i="1"/>
  <c r="E314" i="1"/>
  <c r="D314" i="1"/>
  <c r="A315" i="1"/>
  <c r="A316" i="1" s="1"/>
  <c r="A317" i="1" s="1"/>
  <c r="A318" i="1" s="1"/>
  <c r="A319" i="1" s="1"/>
  <c r="A320" i="1" s="1"/>
  <c r="A323" i="1"/>
  <c r="A324" i="1" s="1"/>
  <c r="A325" i="1" s="1"/>
  <c r="A326" i="1" s="1"/>
  <c r="A327" i="1" s="1"/>
  <c r="A328" i="1" s="1"/>
  <c r="E312" i="1"/>
  <c r="D312" i="1"/>
  <c r="E311" i="1"/>
  <c r="D311" i="1"/>
  <c r="E310" i="1"/>
  <c r="D310" i="1"/>
  <c r="E309" i="1"/>
  <c r="D309" i="1"/>
  <c r="E308" i="1"/>
  <c r="D308" i="1"/>
  <c r="E307" i="1"/>
  <c r="D307" i="1"/>
  <c r="E306" i="1"/>
  <c r="D306" i="1"/>
  <c r="A307" i="1"/>
  <c r="A308" i="1" s="1"/>
  <c r="A309" i="1" s="1"/>
  <c r="A310" i="1" s="1"/>
  <c r="A311" i="1" s="1"/>
  <c r="A312" i="1" s="1"/>
  <c r="E301" i="1"/>
  <c r="D301" i="1"/>
  <c r="E300" i="1"/>
  <c r="D300" i="1"/>
  <c r="E299" i="1"/>
  <c r="D299" i="1"/>
  <c r="D296" i="1"/>
  <c r="D295" i="1"/>
  <c r="D294" i="1"/>
  <c r="D293" i="1"/>
  <c r="E283" i="1"/>
  <c r="E293" i="1"/>
  <c r="E296" i="1"/>
  <c r="E295" i="1"/>
  <c r="E294" i="1"/>
  <c r="A294" i="1"/>
  <c r="A295" i="1" s="1"/>
  <c r="A296" i="1" s="1"/>
  <c r="D291" i="1"/>
  <c r="D290" i="1"/>
  <c r="D289" i="1"/>
  <c r="E291" i="1"/>
  <c r="E290" i="1"/>
  <c r="E289" i="1"/>
  <c r="A289" i="1"/>
  <c r="A290" i="1" s="1"/>
  <c r="A291" i="1" s="1"/>
  <c r="A299" i="1"/>
  <c r="A300" i="1" s="1"/>
  <c r="A301" i="1" s="1"/>
  <c r="E286" i="1"/>
  <c r="D286" i="1"/>
  <c r="E285" i="1"/>
  <c r="D285" i="1"/>
  <c r="E284" i="1"/>
  <c r="D284" i="1"/>
  <c r="D283" i="1"/>
  <c r="A284" i="1"/>
  <c r="A285" i="1" s="1"/>
  <c r="A286" i="1" s="1"/>
  <c r="D212" i="1"/>
  <c r="F212" i="1" s="1"/>
  <c r="H212" i="1" s="1"/>
  <c r="D211" i="1"/>
  <c r="F211" i="1" s="1"/>
  <c r="H211" i="1" s="1"/>
  <c r="D210" i="1"/>
  <c r="F210" i="1" s="1"/>
  <c r="H210" i="1" s="1"/>
  <c r="D209" i="1"/>
  <c r="F209" i="1" s="1"/>
  <c r="H209" i="1" s="1"/>
  <c r="D208" i="1"/>
  <c r="F208" i="1" s="1"/>
  <c r="H208" i="1" s="1"/>
  <c r="D207" i="1"/>
  <c r="F207" i="1" s="1"/>
  <c r="H207" i="1" s="1"/>
  <c r="D206" i="1"/>
  <c r="F206" i="1" s="1"/>
  <c r="H206" i="1" s="1"/>
  <c r="D205" i="1"/>
  <c r="F205" i="1" s="1"/>
  <c r="H205" i="1" s="1"/>
  <c r="A206" i="1"/>
  <c r="A207" i="1" s="1"/>
  <c r="A208" i="1" s="1"/>
  <c r="A209" i="1" s="1"/>
  <c r="A210" i="1" s="1"/>
  <c r="A211" i="1" s="1"/>
  <c r="A212" i="1" s="1"/>
  <c r="D197" i="1"/>
  <c r="F197" i="1" s="1"/>
  <c r="H197" i="1" s="1"/>
  <c r="D196" i="1"/>
  <c r="F196" i="1" s="1"/>
  <c r="H196" i="1" s="1"/>
  <c r="D195" i="1"/>
  <c r="F195" i="1" s="1"/>
  <c r="H195" i="1" s="1"/>
  <c r="D194" i="1"/>
  <c r="F194" i="1" s="1"/>
  <c r="H194" i="1" s="1"/>
  <c r="D193" i="1"/>
  <c r="F193" i="1" s="1"/>
  <c r="H193" i="1" s="1"/>
  <c r="D192" i="1"/>
  <c r="F192" i="1" s="1"/>
  <c r="H192" i="1" s="1"/>
  <c r="F202" i="1"/>
  <c r="H202" i="1" s="1"/>
  <c r="F201" i="1"/>
  <c r="H201" i="1" s="1"/>
  <c r="F200" i="1"/>
  <c r="H200" i="1" s="1"/>
  <c r="F199" i="1"/>
  <c r="H199" i="1" s="1"/>
  <c r="D190" i="1"/>
  <c r="F190" i="1" s="1"/>
  <c r="H190" i="1" s="1"/>
  <c r="D189" i="1"/>
  <c r="F189" i="1" s="1"/>
  <c r="H189" i="1" s="1"/>
  <c r="D188" i="1"/>
  <c r="F188" i="1" s="1"/>
  <c r="H188" i="1" s="1"/>
  <c r="D187" i="1"/>
  <c r="F187" i="1" s="1"/>
  <c r="H187" i="1" s="1"/>
  <c r="D186" i="1"/>
  <c r="F186" i="1" s="1"/>
  <c r="H186" i="1" s="1"/>
  <c r="D185" i="1"/>
  <c r="F185" i="1" s="1"/>
  <c r="H185" i="1" s="1"/>
  <c r="D184" i="1"/>
  <c r="F184" i="1" s="1"/>
  <c r="H184" i="1" s="1"/>
  <c r="D183" i="1"/>
  <c r="D182" i="1"/>
  <c r="D181" i="1"/>
  <c r="D180" i="1"/>
  <c r="A194" i="1"/>
  <c r="A195" i="1" s="1"/>
  <c r="A196" i="1" s="1"/>
  <c r="A197" i="1" s="1"/>
  <c r="J244" i="1"/>
  <c r="E278" i="1"/>
  <c r="D278" i="1"/>
  <c r="E276" i="1"/>
  <c r="D276" i="1"/>
  <c r="E275" i="1"/>
  <c r="D275" i="1"/>
  <c r="E274" i="1"/>
  <c r="D274" i="1"/>
  <c r="E273" i="1"/>
  <c r="D273" i="1"/>
  <c r="E272" i="1"/>
  <c r="D272" i="1"/>
  <c r="E271" i="1"/>
  <c r="D271" i="1"/>
  <c r="E269" i="1"/>
  <c r="D269" i="1"/>
  <c r="E268" i="1"/>
  <c r="D268" i="1"/>
  <c r="E267" i="1"/>
  <c r="D267" i="1"/>
  <c r="E266" i="1"/>
  <c r="D266" i="1"/>
  <c r="E265" i="1"/>
  <c r="D265" i="1"/>
  <c r="E264" i="1"/>
  <c r="D264" i="1"/>
  <c r="E263" i="1"/>
  <c r="D263" i="1"/>
  <c r="E262" i="1"/>
  <c r="D262" i="1"/>
  <c r="A263" i="1"/>
  <c r="A264" i="1" s="1"/>
  <c r="A265" i="1" s="1"/>
  <c r="A266" i="1" s="1"/>
  <c r="A267" i="1" s="1"/>
  <c r="A268" i="1" s="1"/>
  <c r="A269" i="1" s="1"/>
  <c r="A272" i="1"/>
  <c r="A273" i="1" s="1"/>
  <c r="A274" i="1" s="1"/>
  <c r="A275" i="1" s="1"/>
  <c r="A276" i="1" s="1"/>
  <c r="A277" i="1" s="1"/>
  <c r="A278" i="1" s="1"/>
  <c r="E260" i="1"/>
  <c r="D260" i="1"/>
  <c r="E259" i="1"/>
  <c r="D259" i="1"/>
  <c r="E258" i="1"/>
  <c r="D258" i="1"/>
  <c r="E257" i="1"/>
  <c r="D257" i="1"/>
  <c r="E256" i="1"/>
  <c r="D256" i="1"/>
  <c r="E255" i="1"/>
  <c r="D255" i="1"/>
  <c r="E254" i="1"/>
  <c r="D254" i="1"/>
  <c r="E253" i="1"/>
  <c r="D253" i="1"/>
  <c r="D251" i="1"/>
  <c r="D249" i="1"/>
  <c r="D248" i="1"/>
  <c r="F248" i="1" s="1"/>
  <c r="H248" i="1" s="1"/>
  <c r="D247" i="1"/>
  <c r="D246" i="1"/>
  <c r="D245" i="1"/>
  <c r="D244" i="1"/>
  <c r="E251" i="1"/>
  <c r="E249" i="1"/>
  <c r="E248" i="1"/>
  <c r="E247" i="1"/>
  <c r="E246" i="1"/>
  <c r="E245" i="1"/>
  <c r="E244" i="1"/>
  <c r="D239" i="1"/>
  <c r="D238" i="1"/>
  <c r="D242" i="1"/>
  <c r="D236" i="1"/>
  <c r="D235" i="1"/>
  <c r="E242" i="1"/>
  <c r="E241" i="1"/>
  <c r="D241" i="1"/>
  <c r="E240" i="1"/>
  <c r="D240" i="1"/>
  <c r="E239" i="1"/>
  <c r="E238" i="1"/>
  <c r="E237" i="1"/>
  <c r="D237" i="1"/>
  <c r="E236" i="1"/>
  <c r="A236" i="1"/>
  <c r="A237" i="1" s="1"/>
  <c r="A238" i="1" s="1"/>
  <c r="A239" i="1" s="1"/>
  <c r="A240" i="1" s="1"/>
  <c r="A241" i="1" s="1"/>
  <c r="A242" i="1" s="1"/>
  <c r="E235" i="1"/>
  <c r="A245" i="1"/>
  <c r="A246" i="1" s="1"/>
  <c r="A247" i="1" s="1"/>
  <c r="A248" i="1" s="1"/>
  <c r="A249" i="1" s="1"/>
  <c r="A250" i="1" s="1"/>
  <c r="A251" i="1" s="1"/>
  <c r="A254" i="1"/>
  <c r="A255" i="1" s="1"/>
  <c r="A256" i="1" s="1"/>
  <c r="A257" i="1" s="1"/>
  <c r="A258" i="1" s="1"/>
  <c r="A259" i="1" s="1"/>
  <c r="A260" i="1" s="1"/>
  <c r="E233" i="1"/>
  <c r="E232" i="1"/>
  <c r="E231" i="1"/>
  <c r="E230" i="1"/>
  <c r="E229" i="1"/>
  <c r="E228" i="1"/>
  <c r="E227" i="1"/>
  <c r="E226" i="1"/>
  <c r="F330" i="1" l="1"/>
  <c r="H330" i="1" s="1"/>
  <c r="F278" i="1"/>
  <c r="H278" i="1" s="1"/>
  <c r="F309" i="1"/>
  <c r="H309" i="1" s="1"/>
  <c r="F324" i="1"/>
  <c r="H324" i="1" s="1"/>
  <c r="C140" i="1"/>
  <c r="C139" i="1"/>
  <c r="F284" i="1"/>
  <c r="H284" i="1" s="1"/>
  <c r="F335" i="1"/>
  <c r="H335" i="1" s="1"/>
  <c r="C133" i="1"/>
  <c r="F263" i="1"/>
  <c r="H263" i="1" s="1"/>
  <c r="F315" i="1"/>
  <c r="H315" i="1" s="1"/>
  <c r="F319" i="1"/>
  <c r="H319" i="1" s="1"/>
  <c r="F293" i="1"/>
  <c r="H293" i="1" s="1"/>
  <c r="F334" i="1"/>
  <c r="H334" i="1" s="1"/>
  <c r="F308" i="1"/>
  <c r="H308" i="1" s="1"/>
  <c r="F312" i="1"/>
  <c r="H312" i="1" s="1"/>
  <c r="F316" i="1"/>
  <c r="H316" i="1" s="1"/>
  <c r="F283" i="1"/>
  <c r="H283" i="1" s="1"/>
  <c r="F294" i="1"/>
  <c r="H294" i="1" s="1"/>
  <c r="F295" i="1"/>
  <c r="H295" i="1" s="1"/>
  <c r="F323" i="1"/>
  <c r="H323" i="1" s="1"/>
  <c r="F332" i="1"/>
  <c r="H332" i="1" s="1"/>
  <c r="F314" i="1"/>
  <c r="H314" i="1" s="1"/>
  <c r="F325" i="1"/>
  <c r="H325" i="1" s="1"/>
  <c r="F333" i="1"/>
  <c r="H333" i="1" s="1"/>
  <c r="C134" i="1"/>
  <c r="F285" i="1"/>
  <c r="H285" i="1" s="1"/>
  <c r="F289" i="1"/>
  <c r="H289" i="1" s="1"/>
  <c r="F301" i="1"/>
  <c r="H301" i="1" s="1"/>
  <c r="F311" i="1"/>
  <c r="H311" i="1" s="1"/>
  <c r="F318" i="1"/>
  <c r="H318" i="1" s="1"/>
  <c r="F328" i="1"/>
  <c r="H328" i="1" s="1"/>
  <c r="F322" i="1"/>
  <c r="H322" i="1" s="1"/>
  <c r="F326" i="1"/>
  <c r="H326" i="1" s="1"/>
  <c r="F296" i="1"/>
  <c r="H296" i="1" s="1"/>
  <c r="F306" i="1"/>
  <c r="H306" i="1" s="1"/>
  <c r="F327" i="1"/>
  <c r="H327" i="1" s="1"/>
  <c r="F299" i="1"/>
  <c r="H299" i="1" s="1"/>
  <c r="F331" i="1"/>
  <c r="H331" i="1" s="1"/>
  <c r="G134" i="1"/>
  <c r="F307" i="1"/>
  <c r="H307" i="1" s="1"/>
  <c r="F300" i="1"/>
  <c r="H300" i="1" s="1"/>
  <c r="F239" i="1"/>
  <c r="H239" i="1" s="1"/>
  <c r="F258" i="1"/>
  <c r="H258" i="1" s="1"/>
  <c r="F310" i="1"/>
  <c r="H310" i="1" s="1"/>
  <c r="F317" i="1"/>
  <c r="H317" i="1" s="1"/>
  <c r="E134" i="1"/>
  <c r="F291" i="1"/>
  <c r="H291" i="1" s="1"/>
  <c r="F242" i="1"/>
  <c r="H242" i="1" s="1"/>
  <c r="F236" i="1"/>
  <c r="H236" i="1" s="1"/>
  <c r="F238" i="1"/>
  <c r="H238" i="1" s="1"/>
  <c r="F262" i="1"/>
  <c r="H262" i="1" s="1"/>
  <c r="F264" i="1"/>
  <c r="H264" i="1" s="1"/>
  <c r="F265" i="1"/>
  <c r="H265" i="1" s="1"/>
  <c r="F266" i="1"/>
  <c r="H266" i="1" s="1"/>
  <c r="F267" i="1"/>
  <c r="H267" i="1" s="1"/>
  <c r="F268" i="1"/>
  <c r="H268" i="1" s="1"/>
  <c r="F269" i="1"/>
  <c r="H269" i="1" s="1"/>
  <c r="F271" i="1"/>
  <c r="H271" i="1" s="1"/>
  <c r="F272" i="1"/>
  <c r="H272" i="1" s="1"/>
  <c r="F273" i="1"/>
  <c r="H273" i="1" s="1"/>
  <c r="F274" i="1"/>
  <c r="H274" i="1" s="1"/>
  <c r="F275" i="1"/>
  <c r="H275" i="1" s="1"/>
  <c r="F276" i="1"/>
  <c r="H276" i="1" s="1"/>
  <c r="F286" i="1"/>
  <c r="H286" i="1" s="1"/>
  <c r="F237" i="1"/>
  <c r="H237" i="1" s="1"/>
  <c r="F240" i="1"/>
  <c r="H240" i="1" s="1"/>
  <c r="F241" i="1"/>
  <c r="H241" i="1" s="1"/>
  <c r="F245" i="1"/>
  <c r="H245" i="1" s="1"/>
  <c r="F247" i="1"/>
  <c r="H247" i="1" s="1"/>
  <c r="F249" i="1"/>
  <c r="H249" i="1" s="1"/>
  <c r="F244" i="1"/>
  <c r="H244" i="1" s="1"/>
  <c r="F251" i="1"/>
  <c r="H251" i="1" s="1"/>
  <c r="F253" i="1"/>
  <c r="H253" i="1" s="1"/>
  <c r="F257" i="1"/>
  <c r="H257" i="1" s="1"/>
  <c r="F290" i="1"/>
  <c r="H290" i="1" s="1"/>
  <c r="F235" i="1"/>
  <c r="H235" i="1" s="1"/>
  <c r="F246" i="1"/>
  <c r="H246" i="1" s="1"/>
  <c r="F254" i="1"/>
  <c r="H254" i="1" s="1"/>
  <c r="F255" i="1"/>
  <c r="H255" i="1" s="1"/>
  <c r="F256" i="1"/>
  <c r="H256" i="1" s="1"/>
  <c r="F259" i="1"/>
  <c r="H259" i="1" s="1"/>
  <c r="F260" i="1"/>
  <c r="H260" i="1" s="1"/>
  <c r="A198" i="1"/>
  <c r="A199" i="1" s="1"/>
  <c r="A200" i="1" s="1"/>
  <c r="A201" i="1" s="1"/>
  <c r="A202" i="1" s="1"/>
  <c r="D233" i="1"/>
  <c r="D232" i="1"/>
  <c r="D231" i="1"/>
  <c r="D230" i="1"/>
  <c r="D229" i="1"/>
  <c r="D228" i="1"/>
  <c r="D227" i="1"/>
  <c r="D226" i="1"/>
  <c r="G233" i="1"/>
  <c r="G230" i="1"/>
  <c r="G229" i="1"/>
  <c r="G227" i="1"/>
  <c r="G139" i="1" l="1"/>
  <c r="C138" i="1"/>
  <c r="C141" i="1" s="1"/>
  <c r="G140" i="1"/>
  <c r="E140" i="1"/>
  <c r="E139" i="1"/>
  <c r="G226" i="1"/>
  <c r="F345" i="1"/>
  <c r="H345" i="1" s="1"/>
  <c r="F344" i="1"/>
  <c r="H344" i="1" s="1"/>
  <c r="F343" i="1"/>
  <c r="H343" i="1" s="1"/>
  <c r="F342" i="1"/>
  <c r="H342" i="1" s="1"/>
  <c r="F233" i="1"/>
  <c r="H233" i="1" s="1"/>
  <c r="F232" i="1"/>
  <c r="H232" i="1" s="1"/>
  <c r="F231" i="1"/>
  <c r="H231" i="1" s="1"/>
  <c r="F230" i="1"/>
  <c r="H230" i="1" s="1"/>
  <c r="F229" i="1"/>
  <c r="H229" i="1" s="1"/>
  <c r="F228" i="1"/>
  <c r="H228" i="1" s="1"/>
  <c r="F227" i="1"/>
  <c r="H227" i="1" s="1"/>
  <c r="A227" i="1"/>
  <c r="A228" i="1" s="1"/>
  <c r="A229" i="1" s="1"/>
  <c r="A230" i="1" s="1"/>
  <c r="A231" i="1" s="1"/>
  <c r="A232" i="1" s="1"/>
  <c r="A233" i="1" s="1"/>
  <c r="F226" i="1"/>
  <c r="H226" i="1" l="1"/>
  <c r="G138" i="1" s="1"/>
  <c r="G141" i="1" s="1"/>
  <c r="E138" i="1"/>
  <c r="E141" i="1" s="1"/>
  <c r="F183" i="1"/>
  <c r="H183" i="1" s="1"/>
  <c r="F182" i="1"/>
  <c r="H182" i="1" s="1"/>
  <c r="F181" i="1"/>
  <c r="H181" i="1" s="1"/>
  <c r="A181" i="1"/>
  <c r="A182" i="1" s="1"/>
  <c r="A183" i="1" s="1"/>
  <c r="A184" i="1" s="1"/>
  <c r="A185" i="1" s="1"/>
  <c r="A186" i="1" s="1"/>
  <c r="A187" i="1" s="1"/>
  <c r="A188" i="1" s="1"/>
  <c r="A189" i="1" s="1"/>
  <c r="A190" i="1" s="1"/>
  <c r="F180" i="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70" i="1"/>
  <c r="F170" i="1" s="1"/>
  <c r="H170" i="1" s="1"/>
  <c r="D169" i="1"/>
  <c r="F169" i="1" s="1"/>
  <c r="H169" i="1" s="1"/>
  <c r="D168" i="1"/>
  <c r="F168" i="1" s="1"/>
  <c r="H168" i="1" s="1"/>
  <c r="D167" i="1"/>
  <c r="F167" i="1" s="1"/>
  <c r="H167" i="1" s="1"/>
  <c r="D166" i="1"/>
  <c r="F166" i="1" s="1"/>
  <c r="H166" i="1" s="1"/>
  <c r="D165" i="1"/>
  <c r="F165" i="1" s="1"/>
  <c r="H165"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52" i="1"/>
  <c r="D151" i="1"/>
  <c r="D150" i="1"/>
  <c r="D149" i="1"/>
  <c r="A166" i="1"/>
  <c r="A167" i="1" s="1"/>
  <c r="A168" i="1" s="1"/>
  <c r="A169" i="1" s="1"/>
  <c r="A170" i="1" s="1"/>
  <c r="A171" i="1" s="1"/>
  <c r="A172" i="1" s="1"/>
  <c r="A173" i="1" s="1"/>
  <c r="A174" i="1" s="1"/>
  <c r="A175" i="1" s="1"/>
  <c r="A176" i="1" s="1"/>
  <c r="A177" i="1" s="1"/>
  <c r="F217" i="1"/>
  <c r="H217" i="1" s="1"/>
  <c r="F216" i="1"/>
  <c r="H216" i="1" s="1"/>
  <c r="F215" i="1"/>
  <c r="H215" i="1" s="1"/>
  <c r="A215" i="1"/>
  <c r="A216" i="1" s="1"/>
  <c r="A217" i="1" s="1"/>
  <c r="F214" i="1"/>
  <c r="H214" i="1" s="1"/>
  <c r="C132" i="1" l="1"/>
  <c r="C135" i="1" s="1"/>
  <c r="E133" i="1"/>
  <c r="H180" i="1"/>
  <c r="G133" i="1" s="1"/>
  <c r="E43" i="1"/>
  <c r="F149" i="1" l="1"/>
  <c r="H149"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97" i="1"/>
  <c r="B373" i="1"/>
  <c r="B372" i="1"/>
  <c r="F369" i="1"/>
  <c r="H369" i="1" s="1"/>
  <c r="F368" i="1"/>
  <c r="H368" i="1" s="1"/>
  <c r="F367" i="1"/>
  <c r="H367" i="1" s="1"/>
  <c r="F366" i="1"/>
  <c r="H366" i="1" s="1"/>
  <c r="F365" i="1"/>
  <c r="H365" i="1" s="1"/>
  <c r="F363" i="1"/>
  <c r="H363" i="1" s="1"/>
  <c r="F362" i="1"/>
  <c r="H362" i="1" s="1"/>
  <c r="F361" i="1"/>
  <c r="H361" i="1" s="1"/>
  <c r="F360" i="1"/>
  <c r="H360" i="1" s="1"/>
  <c r="F359" i="1"/>
  <c r="H359" i="1" s="1"/>
  <c r="F357" i="1"/>
  <c r="H357" i="1" s="1"/>
  <c r="F356" i="1"/>
  <c r="H356" i="1" s="1"/>
  <c r="F355" i="1"/>
  <c r="H355" i="1" s="1"/>
  <c r="F354" i="1"/>
  <c r="H354" i="1" s="1"/>
  <c r="F353" i="1"/>
  <c r="H353" i="1" s="1"/>
  <c r="F351" i="1"/>
  <c r="H351" i="1" s="1"/>
  <c r="F350" i="1"/>
  <c r="H350" i="1" s="1"/>
  <c r="F349" i="1"/>
  <c r="H349" i="1" s="1"/>
  <c r="F348" i="1"/>
  <c r="H348" i="1" s="1"/>
  <c r="F347" i="1"/>
  <c r="H347" i="1" s="1"/>
  <c r="A347" i="1"/>
  <c r="A348" i="1" s="1"/>
  <c r="A349" i="1" s="1"/>
  <c r="A350" i="1" s="1"/>
  <c r="A351" i="1" s="1"/>
  <c r="F341" i="1"/>
  <c r="H341" i="1" s="1"/>
  <c r="F340" i="1"/>
  <c r="H340" i="1" s="1"/>
  <c r="F339" i="1"/>
  <c r="H339" i="1" s="1"/>
  <c r="A339" i="1"/>
  <c r="A340" i="1" s="1"/>
  <c r="A341" i="1" s="1"/>
  <c r="A342" i="1" s="1"/>
  <c r="A343" i="1" s="1"/>
  <c r="A344" i="1" s="1"/>
  <c r="A345" i="1" s="1"/>
  <c r="F338" i="1"/>
  <c r="H338" i="1" s="1"/>
  <c r="F152" i="1"/>
  <c r="H152" i="1" s="1"/>
  <c r="F151" i="1"/>
  <c r="H151" i="1" s="1"/>
  <c r="F150" i="1"/>
  <c r="H150" i="1" s="1"/>
  <c r="A150" i="1"/>
  <c r="A151" i="1" s="1"/>
  <c r="A152" i="1" s="1"/>
  <c r="A153" i="1" s="1"/>
  <c r="A154" i="1" s="1"/>
  <c r="A155" i="1" s="1"/>
  <c r="A156" i="1" s="1"/>
  <c r="A157" i="1" s="1"/>
  <c r="A158" i="1" s="1"/>
  <c r="A159" i="1" s="1"/>
  <c r="A160" i="1" s="1"/>
  <c r="A161" i="1" s="1"/>
  <c r="A162" i="1" s="1"/>
  <c r="C142" i="1"/>
  <c r="F129" i="1"/>
  <c r="B76" i="1"/>
  <c r="J83" i="1" s="1"/>
  <c r="D69" i="1"/>
  <c r="D62" i="1"/>
  <c r="K54" i="1"/>
  <c r="G51" i="1"/>
  <c r="C51" i="1"/>
  <c r="C52" i="1" s="1"/>
  <c r="E44" i="1"/>
  <c r="E45" i="1" s="1"/>
  <c r="S33" i="1"/>
  <c r="E31" i="1"/>
  <c r="E28" i="1"/>
  <c r="E26" i="1"/>
  <c r="C16" i="1"/>
  <c r="I15" i="1"/>
  <c r="Z13" i="1"/>
  <c r="E8" i="1"/>
  <c r="E3" i="1"/>
  <c r="B382" i="1" s="1"/>
  <c r="H90" i="1"/>
  <c r="A365" i="1"/>
  <c r="A359" i="1"/>
  <c r="A353" i="1"/>
  <c r="H76" i="1"/>
  <c r="I42" i="7" l="1"/>
  <c r="H42" i="7" s="1"/>
  <c r="E132" i="1"/>
  <c r="E135" i="1" s="1"/>
  <c r="E142" i="1" s="1"/>
  <c r="G132" i="1"/>
  <c r="G135" i="1" s="1"/>
  <c r="G142" i="1" s="1"/>
  <c r="E42" i="7"/>
  <c r="L42" i="7"/>
  <c r="K42" i="7" s="1"/>
  <c r="J84" i="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L54" i="1"/>
  <c r="B90" i="1"/>
  <c r="J85" i="1"/>
  <c r="J86" i="1"/>
  <c r="I52" i="1"/>
  <c r="J81" i="1"/>
  <c r="J82" i="1" s="1"/>
  <c r="J87" i="1" s="1"/>
  <c r="J88" i="1" s="1"/>
  <c r="C80" i="1" s="1"/>
  <c r="A360" i="1"/>
  <c r="A366" i="1"/>
  <c r="A354" i="1"/>
  <c r="E44" i="7" l="1"/>
  <c r="D42" i="7"/>
  <c r="D44" i="7" s="1"/>
  <c r="E79" i="1"/>
  <c r="D80" i="1"/>
  <c r="G79" i="1"/>
  <c r="D73" i="1" s="1"/>
  <c r="D79" i="1"/>
  <c r="D93" i="1"/>
  <c r="J98" i="1"/>
  <c r="J95" i="1"/>
  <c r="J96" i="1" s="1"/>
  <c r="J101" i="1" s="1"/>
  <c r="J102" i="1" s="1"/>
  <c r="C94" i="1" s="1"/>
  <c r="J100" i="1"/>
  <c r="J97" i="1"/>
  <c r="J99" i="1"/>
  <c r="A361" i="1"/>
  <c r="A367" i="1"/>
  <c r="A355" i="1"/>
  <c r="B104" i="1" l="1"/>
  <c r="I76" i="1"/>
  <c r="I77" i="1" s="1"/>
  <c r="J76" i="1"/>
  <c r="E93" i="1"/>
  <c r="D94" i="1"/>
  <c r="I90" i="1" s="1"/>
  <c r="J90" i="1"/>
  <c r="G93" i="1"/>
  <c r="D74" i="1"/>
  <c r="F74" i="1"/>
  <c r="A362" i="1"/>
  <c r="A368" i="1"/>
  <c r="H104" i="1"/>
  <c r="A356" i="1"/>
  <c r="D115" i="1" l="1"/>
  <c r="D109" i="1"/>
  <c r="J108" i="1"/>
  <c r="C107" i="1" s="1"/>
  <c r="D107" i="1" s="1"/>
  <c r="D112" i="1"/>
  <c r="D114" i="1"/>
  <c r="D113" i="1"/>
  <c r="J107" i="1"/>
  <c r="J103" i="1"/>
  <c r="J105" i="1" s="1"/>
  <c r="D111" i="1"/>
  <c r="J106" i="1"/>
  <c r="D116" i="1"/>
  <c r="D110" i="1"/>
  <c r="J114" i="1"/>
  <c r="J113" i="1"/>
  <c r="J112" i="1"/>
  <c r="J111" i="1"/>
  <c r="J109" i="1"/>
  <c r="J110" i="1" s="1"/>
  <c r="J115" i="1" s="1"/>
  <c r="J116" i="1" s="1"/>
  <c r="C108" i="1" s="1"/>
  <c r="I75" i="1"/>
  <c r="C77" i="1" s="1"/>
  <c r="I91" i="1"/>
  <c r="I89" i="1" s="1"/>
  <c r="C91" i="1" s="1"/>
  <c r="A363" i="1"/>
  <c r="A357" i="1"/>
  <c r="A369" i="1"/>
  <c r="E107" i="1" l="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21"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<sst xmlns="http://schemas.openxmlformats.org/spreadsheetml/2006/main" count="865" uniqueCount="435">
  <si>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</si>
  <si>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</si>
  <si>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</si>
  <si>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</si>
  <si>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</si>
  <si>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</si>
  <si>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</si>
  <si>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</si>
  <si>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</si>
  <si>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</si>
  <si>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</si>
  <si>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</si>
  <si>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</si>
  <si>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</si>
  <si>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</si>
  <si>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</si>
  <si>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</si>
  <si>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</si>
  <si>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</si>
  <si>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</si>
  <si>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</si>
  <si>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</si>
  <si>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</si>
  <si>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</si>
  <si>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</si>
  <si>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</si>
  <si>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</si>
  <si>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</si>
  <si>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</si>
  <si>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</si>
  <si>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</si>
  <si>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</si>
  <si>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</si>
  <si>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</si>
  <si>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</si>
  <si>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</si>
  <si>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</si>
  <si>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</si>
  <si>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</si>
  <si>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</si>
  <si>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</si>
  <si>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</si>
  <si>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</si>
  <si>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</si>
  <si>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</si>
  <si>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</si>
  <si>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</si>
  <si>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</si>
  <si>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</si>
  <si>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</si>
  <si>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</si>
  <si>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</si>
  <si>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</si>
  <si>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</si>
  <si>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</si>
  <si>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</si>
  <si>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</si>
  <si>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</si>
  <si>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</si>
  <si>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</si>
  <si>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</si>
  <si>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</si>
  <si>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</si>
  <si>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</si>
  <si>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</si>
  <si>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</si>
  <si>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</si>
  <si>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</si>
  <si>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</si>
  <si>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</si>
  <si>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</si>
  <si>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</si>
  <si>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</si>
  <si>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</si>
  <si>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</si>
  <si>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</si>
  <si>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</si>
  <si>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</si>
  <si>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</si>
  <si>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</si>
  <si>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</si>
  <si>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</si>
  <si>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</si>
  <si>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</si>
  <si>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</si>
  <si>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</si>
  <si>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</si>
  <si>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</si>
  <si>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</si>
  <si>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</si>
  <si>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</si>
  <si>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</si>
  <si>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</si>
  <si>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</si>
  <si>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</si>
  <si>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</si>
  <si>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</si>
  <si>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</si>
  <si>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</si>
  <si>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</si>
  <si>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</si>
  <si>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</si>
  <si>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</si>
  <si>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</si>
  <si>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</si>
  <si>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</si>
  <si>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</si>
  <si>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</si>
  <si>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</si>
  <si>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</si>
  <si>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</si>
  <si>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</si>
  <si>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</si>
  <si>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</si>
  <si>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</si>
  <si>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</si>
  <si>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</si>
  <si>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</si>
  <si>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</si>
  <si>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</si>
  <si>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</si>
  <si>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</si>
  <si>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</si>
  <si>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</si>
  <si>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</si>
  <si>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</si>
  <si>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</si>
  <si>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</si>
  <si>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</si>
  <si>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</si>
  <si>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</si>
  <si>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</si>
  <si>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</si>
  <si>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</si>
  <si>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</si>
  <si>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</si>
  <si>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</si>
  <si>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</si>
  <si>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</si>
  <si>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</si>
  <si>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</si>
  <si>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</si>
  <si>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</si>
  <si>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</si>
  <si>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</si>
  <si>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</si>
  <si>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</si>
  <si>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</si>
  <si>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</si>
  <si>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</si>
  <si>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</si>
  <si>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</si>
  <si>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</si>
  <si>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</si>
  <si>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</si>
  <si>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</si>
  <si>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</si>
  <si>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</si>
  <si>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</si>
  <si>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</si>
  <si>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</si>
  <si>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</si>
  <si>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</si>
  <si>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</si>
  <si>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</si>
  <si>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</si>
  <si>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</si>
  <si>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</si>
  <si>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</si>
  <si>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</si>
  <si>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</si>
  <si>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</si>
  <si>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</si>
  <si>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</si>
  <si>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</si>
  <si>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</si>
  <si>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</si>
  <si>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</si>
  <si>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</si>
  <si>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</si>
  <si>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</si>
  <si>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</si>
  <si>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</si>
  <si>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</si>
  <si>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</si>
  <si>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</si>
  <si>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</si>
  <si>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</si>
  <si>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</si>
  <si>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</si>
  <si>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</si>
  <si>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</si>
  <si>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</si>
  <si>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</si>
  <si>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</si>
  <si>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</si>
  <si>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</si>
  <si>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</si>
  <si>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</si>
  <si>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</si>
  <si>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</si>
  <si>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</si>
  <si>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</si>
  <si>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</si>
  <si>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</si>
  <si>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</si>
  <si>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</si>
  <si>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</si>
  <si>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</si>
  <si>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</si>
  <si>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</si>
  <si>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</si>
  <si>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</si>
  <si>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</si>
  <si>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</si>
  <si>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</si>
  <si>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</si>
  <si>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</si>
  <si>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</si>
  <si>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</si>
  <si>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</si>
  <si>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</si>
  <si>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</si>
  <si>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</si>
  <si>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</si>
  <si>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</si>
  <si>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</si>
  <si>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</si>
  <si>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</si>
  <si>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</si>
  <si>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</si>
  <si>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</si>
  <si>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</si>
  <si>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</si>
  <si>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</si>
  <si>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</si>
  <si>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</si>
  <si>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</si>
  <si>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</si>
  <si>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</si>
  <si>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</si>
  <si>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</si>
  <si>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</si>
  <si>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</si>
  <si>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</si>
  <si>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</si>
  <si>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</si>
  <si>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</si>
  <si>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</si>
  <si>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</si>
  <si>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</si>
  <si>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</si>
  <si>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</si>
  <si>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</si>
  <si>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</si>
  <si>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</si>
  <si>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</si>
  <si>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</si>
  <si>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</si>
  <si>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</si>
  <si>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</si>
  <si>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</si>
  <si>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</si>
  <si>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</si>
  <si>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</si>
  <si>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</si>
  <si>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</si>
  <si>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</si>
  <si>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</si>
  <si>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</si>
  <si>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</si>
  <si>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</si>
  <si>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</si>
  <si>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</si>
  <si>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</si>
  <si>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</si>
  <si>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</si>
  <si>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</si>
  <si>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</si>
  <si>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</si>
  <si>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</si>
  <si>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</si>
  <si>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</si>
  <si>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</si>
  <si>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</si>
  <si>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</si>
  <si>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</si>
  <si>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</si>
  <si>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</si>
  <si>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</si>
  <si>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</si>
  <si>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</si>
  <si>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</si>
  <si>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</si>
  <si>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</si>
  <si>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</si>
  <si>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</si>
  <si>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</si>
  <si>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</si>
  <si>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</si>
  <si>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</si>
  <si>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</si>
  <si>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</si>
  <si>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</si>
  <si>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</si>
  <si>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</si>
  <si>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</si>
  <si>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</si>
  <si>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</si>
  <si>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</si>
  <si>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</si>
  <si>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</si>
  <si>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</si>
  <si>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</si>
  <si>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</si>
  <si>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</si>
  <si>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</si>
  <si>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</si>
  <si>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</si>
  <si>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</si>
  <si>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</si>
  <si>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</si>
  <si>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</si>
  <si>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</si>
  <si>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</si>
  <si>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</si>
  <si>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</si>
  <si>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</si>
  <si>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</si>
  <si>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</si>
  <si>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</si>
  <si>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</si>
  <si>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</si>
  <si>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</si>
  <si>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</si>
  <si>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</si>
  <si>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</si>
  <si>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</si>
  <si>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</si>
  <si>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</si>
  <si>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</si>
  <si>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</si>
  <si>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</si>
  <si>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</si>
  <si>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</si>
  <si>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</si>
  <si>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</si>
  <si>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</si>
  <si>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</si>
  <si>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</si>
  <si>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</si>
  <si>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</si>
  <si>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</si>
  <si>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</si>
  <si>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</si>
  <si>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</si>
  <si>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</si>
  <si>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</si>
  <si>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</si>
  <si>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P52000051188</t>
  </si>
  <si>
    <t>Lal Gebi Infra Private Limited</t>
  </si>
  <si>
    <t>Gami Bianca</t>
  </si>
  <si>
    <t>Mr. Abhishek Singh 9321331182</t>
  </si>
  <si>
    <t>Wing A, B &amp; C</t>
  </si>
  <si>
    <t>Plot No</t>
  </si>
  <si>
    <t>Dronagiri</t>
  </si>
  <si>
    <t>CIDCO Road</t>
  </si>
  <si>
    <t>18.876372,72.957431</t>
  </si>
  <si>
    <t>https://maps.app.goo.gl/Nn9W4ashYrmWjEDV7</t>
  </si>
  <si>
    <t>Unimount Coral</t>
  </si>
  <si>
    <t>Plot No. 51</t>
  </si>
  <si>
    <t>Plot No. 33A + 33B</t>
  </si>
  <si>
    <t>Proposed 12.00M Wide Road</t>
  </si>
  <si>
    <t>Existing 11.00M Wide Road</t>
  </si>
  <si>
    <t>Open Plot</t>
  </si>
  <si>
    <t>03 Wings</t>
  </si>
  <si>
    <t>CIDCO/BP-17937/TPO(NM &amp; K)/2021/12251</t>
  </si>
  <si>
    <t>SIA/MH/INFRA2/429299/2023</t>
  </si>
  <si>
    <t>As per RERA - 31/12/2027</t>
  </si>
  <si>
    <t>Kids Pool, Grand Club House, Gazebo, Fitness Center, Muiltipurpose Court, Swimming Pool, Jogging Track, Library, Serene Garden etc.</t>
  </si>
  <si>
    <t>https://www.99acres.com/gami-bianca-dronagiri-navi-mumbai-npxid-r418660?nn_source=Performance&amp;nn_account=Google_99acres-NPGoogle-Account&amp;nn_campaign=21308664433_159874220782_699878897664&amp;nn_medium=21308664433_159874220782_699878897664&amp;nn_adtype=g_&amp;nn_keyword=&amp;nn_placement=&amp;gad_source=1&amp;gclid=CjwKCAiAmfq6BhAsEiwAX1jsZ9214sJ5kvoFUvO98VP5JxmM_ubW_j07oCbk7MauuXIMfQP14UqjSRoCn8oQAvD_BwE#showModal</t>
  </si>
  <si>
    <r>
      <t xml:space="preserve">Proposed Amenities :                                                                                                                                                                                                                         </t>
    </r>
    <r>
      <rPr>
        <b/>
        <sz val="12"/>
        <color theme="1"/>
        <rFont val="Times New Roman"/>
        <family val="1"/>
      </rPr>
      <t xml:space="preserve">                                               </t>
    </r>
  </si>
  <si>
    <t>Wing A</t>
  </si>
  <si>
    <t>Shop</t>
  </si>
  <si>
    <t>Ground Floor For Commercial, Entrance Lobby, Meter Room &amp; Parking</t>
  </si>
  <si>
    <t>Shop 
(Duplex With 1st Floor)</t>
  </si>
  <si>
    <t>1st Podium Floor For Commercial &amp; Parking</t>
  </si>
  <si>
    <t>Wing B</t>
  </si>
  <si>
    <t>2nd, 3rd &amp; 4th Podium Floor For Parking</t>
  </si>
  <si>
    <t>5th Podium Floor For Fitness Center / Society Office, Indoor Games &amp; Driver Room</t>
  </si>
  <si>
    <t>2BHK</t>
  </si>
  <si>
    <t>3BHK</t>
  </si>
  <si>
    <t>Chajja Area</t>
  </si>
  <si>
    <t>7th, 11th, 15th &amp; 19th Floor For Part Refuge Area</t>
  </si>
  <si>
    <t>6th Floor For Residential</t>
  </si>
  <si>
    <t>Refuge Area</t>
  </si>
  <si>
    <t>20th Floor</t>
  </si>
  <si>
    <t>21st, 22nd, 24th, 25th &amp; 26th Floor</t>
  </si>
  <si>
    <t>23rd Floor For Part Refuge Area</t>
  </si>
  <si>
    <t>Shop 
(Duplex with 1st Floor)</t>
  </si>
  <si>
    <t>Ground Floor For Commercial, Entrance Lobby, Meter Room, Air Condtion Plant Room &amp; Parking</t>
  </si>
  <si>
    <t>1st Floor For Commercial</t>
  </si>
  <si>
    <t>Wing C</t>
  </si>
  <si>
    <t>5th Podium Floor</t>
  </si>
  <si>
    <t>(Void)</t>
  </si>
  <si>
    <t>6th, 8th, 9th, 10th, 12th, 13th, 14th, 16th, 17th, 18th &amp; 20th Floor For Residential</t>
  </si>
  <si>
    <t>1st Podium Floor For Parking</t>
  </si>
  <si>
    <t>2nd, 3rd, 4th Podium Floor For Parking</t>
  </si>
  <si>
    <t>5th Podium Floor (Void )</t>
  </si>
  <si>
    <t>1BHK</t>
  </si>
  <si>
    <t>8th, 9th, 10th, 12th, 13th, 14th, 16th, 17th &amp; 18th Floor</t>
  </si>
  <si>
    <t>Flats - 384, Shops - 52</t>
  </si>
  <si>
    <t>We considered Gross carpet area = Net carpet + Chajja Area.</t>
  </si>
  <si>
    <t>1.3KM from Dronagiri Railway Station</t>
  </si>
  <si>
    <t>52, Sector 47</t>
  </si>
  <si>
    <t>G + 4P + 5th to 26th Floor 
Net BUA = 35784.6Sq.mt (Residential - 384, Commercial - 52)</t>
  </si>
  <si>
    <t>Plot No. 52, Sector - 47
Proposed BUA (FSI + Non FSI) = 56656.199 Sq.mt
Building 1 = Stilt + 1st to 4th Podium + 5th Amenity + 6th to 26th Floor
(Flats - 384, Shops - 52)</t>
  </si>
  <si>
    <t>Wing A, B &amp; C = G + P1 to P4 + 5th Amenity + 6th to 26th Floor</t>
  </si>
  <si>
    <t>-</t>
  </si>
  <si>
    <t>Duplex With Ground Floor Shop No. 1</t>
  </si>
  <si>
    <t>Duplex With Ground Floor Shop No. 21</t>
  </si>
  <si>
    <r>
      <t xml:space="preserve">Flat No.
</t>
    </r>
    <r>
      <rPr>
        <b/>
        <sz val="11"/>
        <rFont val="Times New Roman"/>
        <family val="1"/>
      </rPr>
      <t>(Approved Plan)</t>
    </r>
  </si>
  <si>
    <r>
      <t xml:space="preserve">Shop No.
</t>
    </r>
    <r>
      <rPr>
        <b/>
        <sz val="11"/>
        <rFont val="Times New Roman"/>
        <family val="1"/>
      </rPr>
      <t>(Approved Plan)</t>
    </r>
  </si>
  <si>
    <t>Grill Charges</t>
  </si>
  <si>
    <t>CIDCO/FIRE/HQ/2022/E-245868</t>
  </si>
  <si>
    <t xml:space="preserve">G + 4P + 5th to 26th Floor </t>
  </si>
  <si>
    <t>Approved Plans, CC, Cost Sheet, EC, Fire NOC</t>
  </si>
  <si>
    <t>Rate 100+ by smith verbal   On 18/02/2025</t>
  </si>
  <si>
    <t>Recommended Rates of the Property have been revised on 18/02/2025.</t>
  </si>
  <si>
    <t>Wing C = G + P1 to P4 + 5th Amenity + 6th to 26th Floor</t>
  </si>
  <si>
    <t>Sunil Peravi</t>
  </si>
  <si>
    <t>Wing A = G + P1 to P4 + 5th Amenity + 6th to 26th Floor</t>
  </si>
  <si>
    <t>Wing B = G + P1 to P4 + 5th Amenity + 6th to 26th Floor</t>
  </si>
  <si>
    <t>Shruti Tathare</t>
  </si>
  <si>
    <t xml:space="preserve">Wing A, B &amp; C = Construction work is in process at the time of Visit. Internal visit was not allowed.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</si>
</sst>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27" xfId="0" applyFont="1" applyFill="1" applyBorder="1"/>
    <xf numFmtId="0" fontId="24" fillId="0" borderId="28"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2"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2"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5" fillId="0" borderId="0" xfId="10"/>
    <xf numFmtId="0" fontId="6"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16" fillId="0" borderId="0" xfId="1" applyFont="1" applyAlignment="1">
      <alignment horizontal="center" vertical="center"/>
    </xf>
    <xf numFmtId="164" fontId="6" fillId="0" borderId="0" xfId="1" applyNumberFormat="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23" fillId="2" borderId="13" xfId="0" applyFont="1" applyFill="1" applyBorder="1"/>
    <xf numFmtId="0" fontId="24" fillId="0" borderId="9" xfId="0" applyFont="1" applyBorder="1"/>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5" xfId="8" applyFont="1" applyFill="1" applyBorder="1" applyAlignment="1" applyProtection="1">
      <alignment horizontal="center" vertical="center" wrapText="1"/>
      <protection locked="0"/>
    </xf>
    <xf numFmtId="9" fontId="6" fillId="0" borderId="16" xfId="8" applyFont="1" applyFill="1" applyBorder="1" applyAlignment="1" applyProtection="1">
      <alignment horizontal="center" vertical="center" wrapText="1"/>
      <protection locked="0"/>
    </xf>
    <xf numFmtId="9" fontId="6" fillId="0" borderId="22" xfId="8" applyFont="1" applyFill="1" applyBorder="1" applyAlignment="1" applyProtection="1">
      <alignment horizontal="center" vertical="center" wrapText="1"/>
      <protection locked="0"/>
    </xf>
    <xf numFmtId="9" fontId="6" fillId="0" borderId="23"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5" borderId="8" xfId="1" applyNumberFormat="1" applyFont="1" applyFill="1" applyBorder="1" applyAlignment="1" applyProtection="1">
      <alignment horizontal="center" vertical="center" wrapText="1"/>
      <protection locked="0"/>
    </xf>
    <xf numFmtId="1" fontId="7" fillId="5" borderId="19"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1" fontId="7" fillId="6" borderId="8" xfId="1" applyNumberFormat="1" applyFont="1" applyFill="1" applyBorder="1" applyAlignment="1" applyProtection="1">
      <alignment horizontal="center" vertical="center" wrapText="1"/>
      <protection locked="0"/>
    </xf>
    <xf numFmtId="1" fontId="7" fillId="6" borderId="19" xfId="1" applyNumberFormat="1" applyFont="1" applyFill="1" applyBorder="1" applyAlignment="1" applyProtection="1">
      <alignment horizontal="center" vertical="center" wrapText="1"/>
      <protection locked="0"/>
    </xf>
    <xf numFmtId="1" fontId="7" fillId="6" borderId="9" xfId="1" applyNumberFormat="1"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19"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1" fillId="0" borderId="5"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1" fontId="7" fillId="0" borderId="30" xfId="0" applyNumberFormat="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top" wrapText="1"/>
      <protection locked="0"/>
    </xf>
    <xf numFmtId="0" fontId="7" fillId="0" borderId="20"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1" fontId="29" fillId="0" borderId="1" xfId="1" applyNumberFormat="1" applyFont="1" applyBorder="1" applyAlignment="1" applyProtection="1">
      <alignment horizontal="center" vertical="top" wrapText="1"/>
      <protection locked="0"/>
    </xf>
    <xf numFmtId="9" fontId="11" fillId="0" borderId="24"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9" fillId="0" borderId="30" xfId="0" applyNumberFormat="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4"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19"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4" fillId="0" borderId="22" xfId="1" applyFont="1" applyBorder="1" applyAlignment="1" applyProtection="1">
      <alignment horizontal="left" vertical="top"/>
      <protection locked="0"/>
    </xf>
    <xf numFmtId="0" fontId="14" fillId="0" borderId="0" xfId="1" applyFont="1" applyAlignment="1" applyProtection="1">
      <alignment horizontal="left" vertical="top"/>
      <protection locked="0"/>
    </xf>
    <xf numFmtId="0" fontId="14" fillId="0" borderId="23"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9" fillId="0" borderId="30" xfId="0" applyFont="1" applyBorder="1" applyAlignment="1" applyProtection="1">
      <alignment horizontal="center" vertical="center"/>
      <protection locked="0"/>
    </xf>
    <xf numFmtId="1" fontId="7" fillId="0" borderId="29" xfId="0" applyNumberFormat="1" applyFont="1" applyBorder="1" applyAlignment="1" applyProtection="1">
      <alignment horizontal="center" vertical="center" wrapText="1"/>
      <protection locked="0"/>
    </xf>
    <xf numFmtId="1" fontId="7" fillId="0" borderId="30" xfId="0" applyNumberFormat="1" applyFont="1" applyBorder="1" applyAlignment="1" applyProtection="1">
      <alignment horizontal="center" vertical="center" wrapText="1"/>
      <protection locked="0"/>
    </xf>
    <xf numFmtId="0" fontId="7" fillId="0" borderId="14"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4"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22"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protection locked="0"/>
    </xf>
    <xf numFmtId="0" fontId="14" fillId="0" borderId="2" xfId="1" applyFont="1" applyBorder="1" applyAlignment="1" applyProtection="1">
      <alignment horizontal="left" vertical="top"/>
      <protection locked="0"/>
    </xf>
    <xf numFmtId="0" fontId="14" fillId="0" borderId="18"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1" fontId="7" fillId="3" borderId="1" xfId="1" applyNumberFormat="1" applyFont="1" applyFill="1" applyBorder="1" applyAlignment="1" applyProtection="1">
      <alignment horizontal="center" vertical="center" wrapText="1"/>
      <protection locked="0"/>
    </xf>
    <xf numFmtId="1" fontId="7" fillId="6" borderId="1" xfId="1" applyNumberFormat="1" applyFont="1" applyFill="1" applyBorder="1" applyAlignment="1" applyProtection="1">
      <alignment horizontal="center" vertical="center" wrapText="1"/>
      <protection locked="0"/>
    </xf>
    <xf numFmtId="1" fontId="7" fillId="3" borderId="8" xfId="1" applyNumberFormat="1" applyFont="1" applyFill="1" applyBorder="1" applyAlignment="1" applyProtection="1">
      <alignment horizontal="center" vertical="center" wrapText="1"/>
      <protection locked="0"/>
    </xf>
    <xf numFmtId="1" fontId="7" fillId="3" borderId="19"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emf"/><Relationship Id="rId43"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drawing1.xml><?xml version="1.0" encoding="utf-8"?>
<xdr:wsDr xmlns:xdr="http://schemas.openxmlformats.org/drawingml/2006/spreadsheetDrawing" xmlns:a="http://schemas.openxmlformats.org/drawingml/2006/main">
  <xdr:twoCellAnchor editAs="oneCell">
    <xdr:from>
      <xdr:col>11</xdr:col>
      <xdr:colOff>371475</xdr:colOff>
      <xdr:row>70</xdr:row>
      <xdr:rowOff>85726</xdr:rowOff>
    </xdr:from>
    <xdr:to>
      <xdr:col>15</xdr:col>
      <xdr:colOff>609150</xdr:colOff>
      <xdr:row>77</xdr:row>
      <xdr:rowOff>111595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63075" y="15497176"/>
          <a:ext cx="3600000" cy="2521419"/>
        </a:xfrm>
        <a:prstGeom prst="rect">
          <a:avLst/>
        </a:prstGeom>
        <a:ln>
          <a:solidFill>
            <a:schemeClr val="tx1"/>
          </a:solidFill>
        </a:ln>
      </xdr:spPr>
    </xdr:pic>
    <xdr:clientData/>
  </xdr:twoCellAnchor>
  <xdr:twoCellAnchor editAs="oneCell">
    <xdr:from>
      <xdr:col>8</xdr:col>
      <xdr:colOff>1123950</xdr:colOff>
      <xdr:row>146</xdr:row>
      <xdr:rowOff>142876</xdr:rowOff>
    </xdr:from>
    <xdr:to>
      <xdr:col>12</xdr:col>
      <xdr:colOff>763500</xdr:colOff>
      <xdr:row>157</xdr:row>
      <xdr:rowOff>40057</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7439025" y="26260426"/>
          <a:ext cx="3240000" cy="2667273"/>
        </a:xfrm>
        <a:prstGeom prst="rect">
          <a:avLst/>
        </a:prstGeom>
        <a:ln>
          <a:solidFill>
            <a:schemeClr val="tx1"/>
          </a:solidFill>
        </a:ln>
      </xdr:spPr>
    </xdr:pic>
    <xdr:clientData/>
  </xdr:twoCellAnchor>
  <xdr:twoCellAnchor editAs="oneCell">
    <xdr:from>
      <xdr:col>8</xdr:col>
      <xdr:colOff>638175</xdr:colOff>
      <xdr:row>163</xdr:row>
      <xdr:rowOff>171450</xdr:rowOff>
    </xdr:from>
    <xdr:to>
      <xdr:col>12</xdr:col>
      <xdr:colOff>277725</xdr:colOff>
      <xdr:row>173</xdr:row>
      <xdr:rowOff>128528</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6953250" y="30070425"/>
          <a:ext cx="3240000" cy="1957326"/>
        </a:xfrm>
        <a:prstGeom prst="rect">
          <a:avLst/>
        </a:prstGeom>
        <a:ln>
          <a:solidFill>
            <a:schemeClr val="tx1"/>
          </a:solidFill>
        </a:ln>
      </xdr:spPr>
    </xdr:pic>
    <xdr:clientData/>
  </xdr:twoCellAnchor>
  <xdr:twoCellAnchor editAs="oneCell">
    <xdr:from>
      <xdr:col>9</xdr:col>
      <xdr:colOff>219075</xdr:colOff>
      <xdr:row>178</xdr:row>
      <xdr:rowOff>190500</xdr:rowOff>
    </xdr:from>
    <xdr:to>
      <xdr:col>13</xdr:col>
      <xdr:colOff>230100</xdr:colOff>
      <xdr:row>186</xdr:row>
      <xdr:rowOff>146556</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7696200" y="33089850"/>
          <a:ext cx="3240000" cy="2216842"/>
        </a:xfrm>
        <a:prstGeom prst="rect">
          <a:avLst/>
        </a:prstGeom>
        <a:ln>
          <a:solidFill>
            <a:schemeClr val="tx1"/>
          </a:solidFill>
        </a:ln>
      </xdr:spPr>
    </xdr:pic>
    <xdr:clientData/>
  </xdr:twoCellAnchor>
  <xdr:twoCellAnchor editAs="oneCell">
    <xdr:from>
      <xdr:col>8</xdr:col>
      <xdr:colOff>628650</xdr:colOff>
      <xdr:row>191</xdr:row>
      <xdr:rowOff>1</xdr:rowOff>
    </xdr:from>
    <xdr:to>
      <xdr:col>12</xdr:col>
      <xdr:colOff>268200</xdr:colOff>
      <xdr:row>196</xdr:row>
      <xdr:rowOff>98870</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6943725" y="35937826"/>
          <a:ext cx="3240000" cy="1098995"/>
        </a:xfrm>
        <a:prstGeom prst="rect">
          <a:avLst/>
        </a:prstGeom>
        <a:ln>
          <a:solidFill>
            <a:schemeClr val="tx1"/>
          </a:solidFill>
        </a:ln>
      </xdr:spPr>
    </xdr:pic>
    <xdr:clientData/>
  </xdr:twoCellAnchor>
  <xdr:twoCellAnchor editAs="oneCell">
    <xdr:from>
      <xdr:col>8</xdr:col>
      <xdr:colOff>676275</xdr:colOff>
      <xdr:row>202</xdr:row>
      <xdr:rowOff>190500</xdr:rowOff>
    </xdr:from>
    <xdr:to>
      <xdr:col>12</xdr:col>
      <xdr:colOff>315825</xdr:colOff>
      <xdr:row>218</xdr:row>
      <xdr:rowOff>2561</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tretch>
          <a:fillRect/>
        </a:stretch>
      </xdr:blipFill>
      <xdr:spPr>
        <a:xfrm>
          <a:off x="6991350" y="37528500"/>
          <a:ext cx="3240000" cy="2009162"/>
        </a:xfrm>
        <a:prstGeom prst="rect">
          <a:avLst/>
        </a:prstGeom>
      </xdr:spPr>
    </xdr:pic>
    <xdr:clientData/>
  </xdr:twoCellAnchor>
  <xdr:twoCellAnchor editAs="oneCell">
    <xdr:from>
      <xdr:col>8</xdr:col>
      <xdr:colOff>904875</xdr:colOff>
      <xdr:row>224</xdr:row>
      <xdr:rowOff>123825</xdr:rowOff>
    </xdr:from>
    <xdr:to>
      <xdr:col>13</xdr:col>
      <xdr:colOff>237659</xdr:colOff>
      <xdr:row>230</xdr:row>
      <xdr:rowOff>171292</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tretch>
          <a:fillRect/>
        </a:stretch>
      </xdr:blipFill>
      <xdr:spPr>
        <a:xfrm>
          <a:off x="7219950" y="41262300"/>
          <a:ext cx="3723809" cy="1247619"/>
        </a:xfrm>
        <a:prstGeom prst="rect">
          <a:avLst/>
        </a:prstGeom>
        <a:ln>
          <a:solidFill>
            <a:schemeClr val="tx1"/>
          </a:solidFill>
        </a:ln>
      </xdr:spPr>
    </xdr:pic>
    <xdr:clientData/>
  </xdr:twoCellAnchor>
  <xdr:twoCellAnchor editAs="oneCell">
    <xdr:from>
      <xdr:col>8</xdr:col>
      <xdr:colOff>876300</xdr:colOff>
      <xdr:row>234</xdr:row>
      <xdr:rowOff>95250</xdr:rowOff>
    </xdr:from>
    <xdr:to>
      <xdr:col>13</xdr:col>
      <xdr:colOff>199561</xdr:colOff>
      <xdr:row>241</xdr:row>
      <xdr:rowOff>18887</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tretch>
          <a:fillRect/>
        </a:stretch>
      </xdr:blipFill>
      <xdr:spPr>
        <a:xfrm>
          <a:off x="7191375" y="43233975"/>
          <a:ext cx="3714286" cy="1323810"/>
        </a:xfrm>
        <a:prstGeom prst="rect">
          <a:avLst/>
        </a:prstGeom>
        <a:ln>
          <a:solidFill>
            <a:schemeClr val="tx1"/>
          </a:solidFill>
        </a:ln>
      </xdr:spPr>
    </xdr:pic>
    <xdr:clientData/>
  </xdr:twoCellAnchor>
  <xdr:twoCellAnchor editAs="oneCell">
    <xdr:from>
      <xdr:col>8</xdr:col>
      <xdr:colOff>895350</xdr:colOff>
      <xdr:row>244</xdr:row>
      <xdr:rowOff>47625</xdr:rowOff>
    </xdr:from>
    <xdr:to>
      <xdr:col>13</xdr:col>
      <xdr:colOff>218611</xdr:colOff>
      <xdr:row>249</xdr:row>
      <xdr:rowOff>37977</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tretch>
          <a:fillRect/>
        </a:stretch>
      </xdr:blipFill>
      <xdr:spPr>
        <a:xfrm>
          <a:off x="7210425" y="45186600"/>
          <a:ext cx="3714286" cy="990476"/>
        </a:xfrm>
        <a:prstGeom prst="rect">
          <a:avLst/>
        </a:prstGeom>
        <a:ln>
          <a:solidFill>
            <a:schemeClr val="tx1"/>
          </a:solidFill>
        </a:ln>
      </xdr:spPr>
    </xdr:pic>
    <xdr:clientData/>
  </xdr:twoCellAnchor>
  <xdr:twoCellAnchor editAs="oneCell">
    <xdr:from>
      <xdr:col>9</xdr:col>
      <xdr:colOff>0</xdr:colOff>
      <xdr:row>261</xdr:row>
      <xdr:rowOff>123825</xdr:rowOff>
    </xdr:from>
    <xdr:to>
      <xdr:col>13</xdr:col>
      <xdr:colOff>494834</xdr:colOff>
      <xdr:row>268</xdr:row>
      <xdr:rowOff>66506</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7477125" y="48663225"/>
          <a:ext cx="3723809" cy="1342857"/>
        </a:xfrm>
        <a:prstGeom prst="rect">
          <a:avLst/>
        </a:prstGeom>
        <a:ln>
          <a:solidFill>
            <a:schemeClr val="tx1"/>
          </a:solidFill>
        </a:ln>
      </xdr:spPr>
    </xdr:pic>
    <xdr:clientData/>
  </xdr:twoCellAnchor>
  <xdr:twoCellAnchor editAs="oneCell">
    <xdr:from>
      <xdr:col>8</xdr:col>
      <xdr:colOff>981075</xdr:colOff>
      <xdr:row>252</xdr:row>
      <xdr:rowOff>38100</xdr:rowOff>
    </xdr:from>
    <xdr:to>
      <xdr:col>13</xdr:col>
      <xdr:colOff>304336</xdr:colOff>
      <xdr:row>258</xdr:row>
      <xdr:rowOff>161761</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8"/>
        <a:stretch>
          <a:fillRect/>
        </a:stretch>
      </xdr:blipFill>
      <xdr:spPr>
        <a:xfrm>
          <a:off x="7296150" y="46777275"/>
          <a:ext cx="3714286" cy="1323810"/>
        </a:xfrm>
        <a:prstGeom prst="rect">
          <a:avLst/>
        </a:prstGeom>
        <a:ln>
          <a:solidFill>
            <a:schemeClr val="tx1"/>
          </a:solidFill>
        </a:ln>
      </xdr:spPr>
    </xdr:pic>
    <xdr:clientData/>
  </xdr:twoCellAnchor>
  <xdr:twoCellAnchor editAs="oneCell">
    <xdr:from>
      <xdr:col>9</xdr:col>
      <xdr:colOff>19050</xdr:colOff>
      <xdr:row>270</xdr:row>
      <xdr:rowOff>85725</xdr:rowOff>
    </xdr:from>
    <xdr:to>
      <xdr:col>13</xdr:col>
      <xdr:colOff>513884</xdr:colOff>
      <xdr:row>276</xdr:row>
      <xdr:rowOff>28431</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1"/>
        <a:stretch>
          <a:fillRect/>
        </a:stretch>
      </xdr:blipFill>
      <xdr:spPr>
        <a:xfrm>
          <a:off x="7496175" y="50425350"/>
          <a:ext cx="3723809" cy="1142857"/>
        </a:xfrm>
        <a:prstGeom prst="rect">
          <a:avLst/>
        </a:prstGeom>
        <a:ln>
          <a:solidFill>
            <a:schemeClr val="tx1"/>
          </a:solidFill>
        </a:ln>
      </xdr:spPr>
    </xdr:pic>
    <xdr:clientData/>
  </xdr:twoCellAnchor>
  <xdr:twoCellAnchor editAs="oneCell">
    <xdr:from>
      <xdr:col>8</xdr:col>
      <xdr:colOff>266700</xdr:colOff>
      <xdr:row>136</xdr:row>
      <xdr:rowOff>180975</xdr:rowOff>
    </xdr:from>
    <xdr:to>
      <xdr:col>12</xdr:col>
      <xdr:colOff>399583</xdr:colOff>
      <xdr:row>137</xdr:row>
      <xdr:rowOff>190474</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2"/>
        <a:stretch>
          <a:fillRect/>
        </a:stretch>
      </xdr:blipFill>
      <xdr:spPr>
        <a:xfrm>
          <a:off x="6581775" y="23879175"/>
          <a:ext cx="3733333" cy="209524"/>
        </a:xfrm>
        <a:prstGeom prst="rect">
          <a:avLst/>
        </a:prstGeom>
        <a:ln>
          <a:solidFill>
            <a:schemeClr val="tx1"/>
          </a:solidFill>
        </a:ln>
      </xdr:spPr>
    </xdr:pic>
    <xdr:clientData/>
  </xdr:twoCellAnchor>
  <xdr:twoCellAnchor editAs="oneCell">
    <xdr:from>
      <xdr:col>9</xdr:col>
      <xdr:colOff>152400</xdr:colOff>
      <xdr:row>279</xdr:row>
      <xdr:rowOff>0</xdr:rowOff>
    </xdr:from>
    <xdr:to>
      <xdr:col>13</xdr:col>
      <xdr:colOff>694854</xdr:colOff>
      <xdr:row>284</xdr:row>
      <xdr:rowOff>171303</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3"/>
        <a:stretch>
          <a:fillRect/>
        </a:stretch>
      </xdr:blipFill>
      <xdr:spPr>
        <a:xfrm>
          <a:off x="7629525" y="52139850"/>
          <a:ext cx="3771429" cy="1171429"/>
        </a:xfrm>
        <a:prstGeom prst="rect">
          <a:avLst/>
        </a:prstGeom>
        <a:ln>
          <a:solidFill>
            <a:schemeClr val="tx1"/>
          </a:solidFill>
        </a:ln>
      </xdr:spPr>
    </xdr:pic>
    <xdr:clientData/>
  </xdr:twoCellAnchor>
  <xdr:twoCellAnchor editAs="oneCell">
    <xdr:from>
      <xdr:col>9</xdr:col>
      <xdr:colOff>142875</xdr:colOff>
      <xdr:row>286</xdr:row>
      <xdr:rowOff>9525</xdr:rowOff>
    </xdr:from>
    <xdr:to>
      <xdr:col>13</xdr:col>
      <xdr:colOff>694852</xdr:colOff>
      <xdr:row>290</xdr:row>
      <xdr:rowOff>76092</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4"/>
        <a:stretch>
          <a:fillRect/>
        </a:stretch>
      </xdr:blipFill>
      <xdr:spPr>
        <a:xfrm>
          <a:off x="7620000" y="53549550"/>
          <a:ext cx="3780952" cy="866667"/>
        </a:xfrm>
        <a:prstGeom prst="rect">
          <a:avLst/>
        </a:prstGeom>
        <a:ln>
          <a:solidFill>
            <a:schemeClr val="tx1"/>
          </a:solidFill>
        </a:ln>
      </xdr:spPr>
    </xdr:pic>
    <xdr:clientData/>
  </xdr:twoCellAnchor>
  <xdr:twoCellAnchor editAs="oneCell">
    <xdr:from>
      <xdr:col>9</xdr:col>
      <xdr:colOff>104775</xdr:colOff>
      <xdr:row>291</xdr:row>
      <xdr:rowOff>66675</xdr:rowOff>
    </xdr:from>
    <xdr:to>
      <xdr:col>13</xdr:col>
      <xdr:colOff>656752</xdr:colOff>
      <xdr:row>296</xdr:row>
      <xdr:rowOff>95120</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5"/>
        <a:stretch>
          <a:fillRect/>
        </a:stretch>
      </xdr:blipFill>
      <xdr:spPr>
        <a:xfrm>
          <a:off x="7581900" y="54606825"/>
          <a:ext cx="3780952" cy="1028571"/>
        </a:xfrm>
        <a:prstGeom prst="rect">
          <a:avLst/>
        </a:prstGeom>
        <a:ln>
          <a:solidFill>
            <a:schemeClr val="tx1"/>
          </a:solidFill>
        </a:ln>
      </xdr:spPr>
    </xdr:pic>
    <xdr:clientData/>
  </xdr:twoCellAnchor>
  <xdr:twoCellAnchor editAs="oneCell">
    <xdr:from>
      <xdr:col>9</xdr:col>
      <xdr:colOff>114300</xdr:colOff>
      <xdr:row>297</xdr:row>
      <xdr:rowOff>0</xdr:rowOff>
    </xdr:from>
    <xdr:to>
      <xdr:col>13</xdr:col>
      <xdr:colOff>694849</xdr:colOff>
      <xdr:row>300</xdr:row>
      <xdr:rowOff>114213</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6"/>
        <a:stretch>
          <a:fillRect/>
        </a:stretch>
      </xdr:blipFill>
      <xdr:spPr>
        <a:xfrm>
          <a:off x="7591425" y="55740300"/>
          <a:ext cx="3809524" cy="714286"/>
        </a:xfrm>
        <a:prstGeom prst="rect">
          <a:avLst/>
        </a:prstGeom>
        <a:ln>
          <a:solidFill>
            <a:schemeClr val="tx1"/>
          </a:solidFill>
        </a:ln>
      </xdr:spPr>
    </xdr:pic>
    <xdr:clientData/>
  </xdr:twoCellAnchor>
  <xdr:twoCellAnchor editAs="oneCell">
    <xdr:from>
      <xdr:col>9</xdr:col>
      <xdr:colOff>152400</xdr:colOff>
      <xdr:row>303</xdr:row>
      <xdr:rowOff>57150</xdr:rowOff>
    </xdr:from>
    <xdr:to>
      <xdr:col>13</xdr:col>
      <xdr:colOff>294854</xdr:colOff>
      <xdr:row>309</xdr:row>
      <xdr:rowOff>190334</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7"/>
        <a:stretch>
          <a:fillRect/>
        </a:stretch>
      </xdr:blipFill>
      <xdr:spPr>
        <a:xfrm>
          <a:off x="7629525" y="56997600"/>
          <a:ext cx="3371429" cy="1333333"/>
        </a:xfrm>
        <a:prstGeom prst="rect">
          <a:avLst/>
        </a:prstGeom>
        <a:ln>
          <a:solidFill>
            <a:schemeClr val="tx1"/>
          </a:solidFill>
        </a:ln>
      </xdr:spPr>
    </xdr:pic>
    <xdr:clientData/>
  </xdr:twoCellAnchor>
  <xdr:twoCellAnchor editAs="oneCell">
    <xdr:from>
      <xdr:col>9</xdr:col>
      <xdr:colOff>190500</xdr:colOff>
      <xdr:row>313</xdr:row>
      <xdr:rowOff>28575</xdr:rowOff>
    </xdr:from>
    <xdr:to>
      <xdr:col>13</xdr:col>
      <xdr:colOff>285334</xdr:colOff>
      <xdr:row>319</xdr:row>
      <xdr:rowOff>3028</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8"/>
        <a:stretch>
          <a:fillRect/>
        </a:stretch>
      </xdr:blipFill>
      <xdr:spPr>
        <a:xfrm>
          <a:off x="7667625" y="58969275"/>
          <a:ext cx="3323809" cy="1171429"/>
        </a:xfrm>
        <a:prstGeom prst="rect">
          <a:avLst/>
        </a:prstGeom>
        <a:ln>
          <a:solidFill>
            <a:schemeClr val="tx1"/>
          </a:solidFill>
        </a:ln>
      </xdr:spPr>
    </xdr:pic>
    <xdr:clientData/>
  </xdr:twoCellAnchor>
  <xdr:twoCellAnchor editAs="oneCell">
    <xdr:from>
      <xdr:col>9</xdr:col>
      <xdr:colOff>180975</xdr:colOff>
      <xdr:row>321</xdr:row>
      <xdr:rowOff>190500</xdr:rowOff>
    </xdr:from>
    <xdr:to>
      <xdr:col>13</xdr:col>
      <xdr:colOff>361524</xdr:colOff>
      <xdr:row>327</xdr:row>
      <xdr:rowOff>161778</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9"/>
        <a:stretch>
          <a:fillRect/>
        </a:stretch>
      </xdr:blipFill>
      <xdr:spPr>
        <a:xfrm>
          <a:off x="7658100" y="60731400"/>
          <a:ext cx="3409524" cy="1171429"/>
        </a:xfrm>
        <a:prstGeom prst="rect">
          <a:avLst/>
        </a:prstGeom>
        <a:ln>
          <a:solidFill>
            <a:schemeClr val="tx1"/>
          </a:solidFill>
        </a:ln>
      </xdr:spPr>
    </xdr:pic>
    <xdr:clientData/>
  </xdr:twoCellAnchor>
  <xdr:twoCellAnchor editAs="oneCell">
    <xdr:from>
      <xdr:col>9</xdr:col>
      <xdr:colOff>152400</xdr:colOff>
      <xdr:row>329</xdr:row>
      <xdr:rowOff>104775</xdr:rowOff>
    </xdr:from>
    <xdr:to>
      <xdr:col>13</xdr:col>
      <xdr:colOff>275806</xdr:colOff>
      <xdr:row>334</xdr:row>
      <xdr:rowOff>57032</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0"/>
        <a:stretch>
          <a:fillRect/>
        </a:stretch>
      </xdr:blipFill>
      <xdr:spPr>
        <a:xfrm>
          <a:off x="7629525" y="62245875"/>
          <a:ext cx="3352381" cy="952381"/>
        </a:xfrm>
        <a:prstGeom prst="rect">
          <a:avLst/>
        </a:prstGeom>
        <a:ln>
          <a:solidFill>
            <a:schemeClr val="tx1"/>
          </a:solidFill>
        </a:ln>
      </xdr:spPr>
    </xdr:pic>
    <xdr:clientData/>
  </xdr:twoCellAnchor>
  <xdr:twoCellAnchor editAs="oneCell">
    <xdr:from>
      <xdr:col>8</xdr:col>
      <xdr:colOff>219075</xdr:colOff>
      <xdr:row>138</xdr:row>
      <xdr:rowOff>114300</xdr:rowOff>
    </xdr:from>
    <xdr:to>
      <xdr:col>12</xdr:col>
      <xdr:colOff>437673</xdr:colOff>
      <xdr:row>139</xdr:row>
      <xdr:rowOff>114275</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1"/>
        <a:stretch>
          <a:fillRect/>
        </a:stretch>
      </xdr:blipFill>
      <xdr:spPr>
        <a:xfrm>
          <a:off x="6534150" y="24212550"/>
          <a:ext cx="3819048" cy="200000"/>
        </a:xfrm>
        <a:prstGeom prst="rect">
          <a:avLst/>
        </a:prstGeom>
        <a:ln>
          <a:solidFill>
            <a:schemeClr val="tx1"/>
          </a:solidFill>
        </a:ln>
      </xdr:spPr>
    </xdr:pic>
    <xdr:clientData/>
  </xdr:twoCellAnchor>
  <xdr:twoCellAnchor editAs="oneCell">
    <xdr:from>
      <xdr:col>8</xdr:col>
      <xdr:colOff>666750</xdr:colOff>
      <xdr:row>140</xdr:row>
      <xdr:rowOff>57150</xdr:rowOff>
    </xdr:from>
    <xdr:to>
      <xdr:col>12</xdr:col>
      <xdr:colOff>456776</xdr:colOff>
      <xdr:row>141</xdr:row>
      <xdr:rowOff>57126</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2"/>
        <a:stretch>
          <a:fillRect/>
        </a:stretch>
      </xdr:blipFill>
      <xdr:spPr>
        <a:xfrm>
          <a:off x="6981825" y="24555450"/>
          <a:ext cx="3390476" cy="209524"/>
        </a:xfrm>
        <a:prstGeom prst="rect">
          <a:avLst/>
        </a:prstGeom>
        <a:ln>
          <a:solidFill>
            <a:schemeClr val="tx1"/>
          </a:solidFill>
        </a:ln>
      </xdr:spPr>
    </xdr:pic>
    <xdr:clientData/>
  </xdr:twoCellAnchor>
  <xdr:twoCellAnchor editAs="oneCell">
    <xdr:from>
      <xdr:col>8</xdr:col>
      <xdr:colOff>838200</xdr:colOff>
      <xdr:row>15</xdr:row>
      <xdr:rowOff>190500</xdr:rowOff>
    </xdr:from>
    <xdr:to>
      <xdr:col>12</xdr:col>
      <xdr:colOff>437750</xdr:colOff>
      <xdr:row>18</xdr:row>
      <xdr:rowOff>171349</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3"/>
        <a:stretch>
          <a:fillRect/>
        </a:stretch>
      </xdr:blipFill>
      <xdr:spPr>
        <a:xfrm>
          <a:off x="7153275" y="3571875"/>
          <a:ext cx="3200000" cy="809524"/>
        </a:xfrm>
        <a:prstGeom prst="rect">
          <a:avLst/>
        </a:prstGeom>
        <a:ln>
          <a:solidFill>
            <a:schemeClr val="tx1"/>
          </a:solidFill>
        </a:ln>
      </xdr:spPr>
    </xdr:pic>
    <xdr:clientData/>
  </xdr:twoCellAnchor>
  <xdr:twoCellAnchor editAs="oneCell">
    <xdr:from>
      <xdr:col>8</xdr:col>
      <xdr:colOff>47625</xdr:colOff>
      <xdr:row>47</xdr:row>
      <xdr:rowOff>123826</xdr:rowOff>
    </xdr:from>
    <xdr:to>
      <xdr:col>14</xdr:col>
      <xdr:colOff>218400</xdr:colOff>
      <xdr:row>48</xdr:row>
      <xdr:rowOff>256108</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4"/>
        <a:stretch>
          <a:fillRect/>
        </a:stretch>
      </xdr:blipFill>
      <xdr:spPr>
        <a:xfrm>
          <a:off x="6362700" y="10344151"/>
          <a:ext cx="5400000" cy="332307"/>
        </a:xfrm>
        <a:prstGeom prst="rect">
          <a:avLst/>
        </a:prstGeom>
        <a:ln>
          <a:solidFill>
            <a:schemeClr val="tx1"/>
          </a:solidFill>
        </a:ln>
      </xdr:spPr>
    </xdr:pic>
    <xdr:clientData/>
  </xdr:twoCellAnchor>
  <xdr:twoCellAnchor editAs="oneCell">
    <xdr:from>
      <xdr:col>8</xdr:col>
      <xdr:colOff>57150</xdr:colOff>
      <xdr:row>48</xdr:row>
      <xdr:rowOff>276225</xdr:rowOff>
    </xdr:from>
    <xdr:to>
      <xdr:col>13</xdr:col>
      <xdr:colOff>166125</xdr:colOff>
      <xdr:row>54</xdr:row>
      <xdr:rowOff>184058</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5"/>
        <a:stretch>
          <a:fillRect/>
        </a:stretch>
      </xdr:blipFill>
      <xdr:spPr>
        <a:xfrm>
          <a:off x="6372225" y="10696575"/>
          <a:ext cx="4500000" cy="2193833"/>
        </a:xfrm>
        <a:prstGeom prst="rect">
          <a:avLst/>
        </a:prstGeom>
        <a:ln>
          <a:solidFill>
            <a:schemeClr val="tx1"/>
          </a:solidFill>
        </a:ln>
      </xdr:spPr>
    </xdr:pic>
    <xdr:clientData/>
  </xdr:twoCellAnchor>
  <xdr:twoCellAnchor editAs="oneCell">
    <xdr:from>
      <xdr:col>9</xdr:col>
      <xdr:colOff>431800</xdr:colOff>
      <xdr:row>127</xdr:row>
      <xdr:rowOff>73026</xdr:rowOff>
    </xdr:from>
    <xdr:to>
      <xdr:col>12</xdr:col>
      <xdr:colOff>529275</xdr:colOff>
      <xdr:row>144</xdr:row>
      <xdr:rowOff>145773</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8274050" y="21447126"/>
          <a:ext cx="2650175" cy="3425547"/>
        </a:xfrm>
        <a:prstGeom prst="rect">
          <a:avLst/>
        </a:prstGeom>
        <a:ln>
          <a:solidFill>
            <a:schemeClr val="tx1"/>
          </a:solidFill>
        </a:ln>
      </xdr:spPr>
    </xdr:pic>
    <xdr:clientData/>
  </xdr:twoCellAnchor>
  <xdr:twoCellAnchor editAs="oneCell">
    <xdr:from>
      <xdr:col>10</xdr:col>
      <xdr:colOff>371475</xdr:colOff>
      <xdr:row>57</xdr:row>
      <xdr:rowOff>95250</xdr:rowOff>
    </xdr:from>
    <xdr:to>
      <xdr:col>15</xdr:col>
      <xdr:colOff>9056</xdr:colOff>
      <xdr:row>60</xdr:row>
      <xdr:rowOff>57118</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27"/>
        <a:stretch>
          <a:fillRect/>
        </a:stretch>
      </xdr:blipFill>
      <xdr:spPr>
        <a:xfrm>
          <a:off x="8610600" y="14249400"/>
          <a:ext cx="3752381" cy="257143"/>
        </a:xfrm>
        <a:prstGeom prst="rect">
          <a:avLst/>
        </a:prstGeom>
        <a:ln>
          <a:solidFill>
            <a:schemeClr val="tx1"/>
          </a:solidFill>
        </a:ln>
      </xdr:spPr>
    </xdr:pic>
    <xdr:clientData/>
  </xdr:twoCellAnchor>
  <xdr:twoCellAnchor editAs="oneCell">
    <xdr:from>
      <xdr:col>8</xdr:col>
      <xdr:colOff>95250</xdr:colOff>
      <xdr:row>58</xdr:row>
      <xdr:rowOff>66675</xdr:rowOff>
    </xdr:from>
    <xdr:to>
      <xdr:col>12</xdr:col>
      <xdr:colOff>94800</xdr:colOff>
      <xdr:row>70</xdr:row>
      <xdr:rowOff>154742</xdr:rowOff>
    </xdr:to>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6410325" y="14420850"/>
          <a:ext cx="3600000" cy="1954967"/>
        </a:xfrm>
        <a:prstGeom prst="rect">
          <a:avLst/>
        </a:prstGeom>
        <a:ln>
          <a:solidFill>
            <a:schemeClr val="tx1"/>
          </a:solidFill>
        </a:ln>
      </xdr:spPr>
    </xdr:pic>
    <xdr:clientData/>
  </xdr:twoCellAnchor>
  <xdr:twoCellAnchor editAs="oneCell">
    <xdr:from>
      <xdr:col>1</xdr:col>
      <xdr:colOff>721927</xdr:colOff>
      <xdr:row>465</xdr:row>
      <xdr:rowOff>7868</xdr:rowOff>
    </xdr:from>
    <xdr:to>
      <xdr:col>6</xdr:col>
      <xdr:colOff>102802</xdr:colOff>
      <xdr:row>481</xdr:row>
      <xdr:rowOff>26918</xdr:rowOff>
    </xdr:to>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29"/>
        <a:stretch>
          <a:fillRect/>
        </a:stretch>
      </xdr:blipFill>
      <xdr:spPr>
        <a:xfrm>
          <a:off x="1483927" y="82608668"/>
          <a:ext cx="3467100" cy="3219450"/>
        </a:xfrm>
        <a:prstGeom prst="rect">
          <a:avLst/>
        </a:prstGeom>
        <a:ln>
          <a:solidFill>
            <a:schemeClr val="tx1"/>
          </a:solidFill>
        </a:ln>
      </xdr:spPr>
    </xdr:pic>
    <xdr:clientData/>
  </xdr:twoCellAnchor>
  <xdr:twoCellAnchor>
    <xdr:from>
      <xdr:col>0</xdr:col>
      <xdr:colOff>514350</xdr:colOff>
      <xdr:row>440</xdr:row>
      <xdr:rowOff>28575</xdr:rowOff>
    </xdr:from>
    <xdr:to>
      <xdr:col>7</xdr:col>
      <xdr:colOff>332700</xdr:colOff>
      <xdr:row>464</xdr:row>
      <xdr:rowOff>38569</xdr:rowOff>
    </xdr:to>
    <xdr:grpSp>
      <xdr:nvGrpSpPr>
        <xdr:cNvPr id="32" name="Group 31">
          <a:extLst>
            <a:ext uri="{FF2B5EF4-FFF2-40B4-BE49-F238E27FC236}">
              <a16:creationId xmlns:a16="http://schemas.microsoft.com/office/drawing/2014/main" xmlns="" id="{00000000-0008-0000-0000-000020000000}"/>
            </a:ext>
          </a:extLst>
        </xdr:cNvPr>
        <xdr:cNvGrpSpPr/>
      </xdr:nvGrpSpPr>
      <xdr:grpSpPr>
        <a:xfrm>
          <a:off x="514350" y="84401025"/>
          <a:ext cx="5400000" cy="4810594"/>
          <a:chOff x="655080" y="165184"/>
          <a:chExt cx="5400000" cy="4810594"/>
        </a:xfrm>
      </xdr:grpSpPr>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0"/>
          <a:stretch>
            <a:fillRect/>
          </a:stretch>
        </xdr:blipFill>
        <xdr:spPr>
          <a:xfrm>
            <a:off x="655080" y="165184"/>
            <a:ext cx="5400000" cy="4810594"/>
          </a:xfrm>
          <a:prstGeom prst="rect">
            <a:avLst/>
          </a:prstGeom>
          <a:ln>
            <a:solidFill>
              <a:schemeClr val="tx1"/>
            </a:solidFill>
          </a:ln>
        </xdr:spPr>
      </xdr:pic>
      <xdr:sp macro="" textlink="">
        <xdr:nvSpPr>
          <xdr:cNvPr id="34" name="Rectangle 33">
            <a:extLst>
              <a:ext uri="{FF2B5EF4-FFF2-40B4-BE49-F238E27FC236}">
                <a16:creationId xmlns:a16="http://schemas.microsoft.com/office/drawing/2014/main" xmlns="" id="{00000000-0008-0000-0000-000022000000}"/>
              </a:ext>
            </a:extLst>
          </xdr:cNvPr>
          <xdr:cNvSpPr/>
        </xdr:nvSpPr>
        <xdr:spPr>
          <a:xfrm>
            <a:off x="1238250" y="2690119"/>
            <a:ext cx="2686050" cy="141061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Rectangle 34">
            <a:extLst>
              <a:ext uri="{FF2B5EF4-FFF2-40B4-BE49-F238E27FC236}">
                <a16:creationId xmlns:a16="http://schemas.microsoft.com/office/drawing/2014/main" xmlns="" id="{00000000-0008-0000-0000-000023000000}"/>
              </a:ext>
            </a:extLst>
          </xdr:cNvPr>
          <xdr:cNvSpPr/>
        </xdr:nvSpPr>
        <xdr:spPr>
          <a:xfrm>
            <a:off x="3924300" y="2545207"/>
            <a:ext cx="1801450" cy="155552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a:extLst>
              <a:ext uri="{FF2B5EF4-FFF2-40B4-BE49-F238E27FC236}">
                <a16:creationId xmlns:a16="http://schemas.microsoft.com/office/drawing/2014/main" xmlns="" id="{00000000-0008-0000-0000-000024000000}"/>
              </a:ext>
            </a:extLst>
          </xdr:cNvPr>
          <xdr:cNvSpPr/>
        </xdr:nvSpPr>
        <xdr:spPr>
          <a:xfrm>
            <a:off x="3290307" y="629727"/>
            <a:ext cx="1801450" cy="187069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38">
            <a:extLst>
              <a:ext uri="{FF2B5EF4-FFF2-40B4-BE49-F238E27FC236}">
                <a16:creationId xmlns:a16="http://schemas.microsoft.com/office/drawing/2014/main" xmlns="" id="{00000000-0008-0000-0000-000025000000}"/>
              </a:ext>
            </a:extLst>
          </xdr:cNvPr>
          <xdr:cNvSpPr txBox="1"/>
        </xdr:nvSpPr>
        <xdr:spPr>
          <a:xfrm>
            <a:off x="2175617" y="403955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38" name="TextBox 87">
            <a:extLst>
              <a:ext uri="{FF2B5EF4-FFF2-40B4-BE49-F238E27FC236}">
                <a16:creationId xmlns:a16="http://schemas.microsoft.com/office/drawing/2014/main" xmlns="" id="{00000000-0008-0000-0000-000026000000}"/>
              </a:ext>
            </a:extLst>
          </xdr:cNvPr>
          <xdr:cNvSpPr txBox="1"/>
        </xdr:nvSpPr>
        <xdr:spPr>
          <a:xfrm>
            <a:off x="4331230" y="4052443"/>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39" name="TextBox 88">
            <a:extLst>
              <a:ext uri="{FF2B5EF4-FFF2-40B4-BE49-F238E27FC236}">
                <a16:creationId xmlns:a16="http://schemas.microsoft.com/office/drawing/2014/main" xmlns="" id="{00000000-0008-0000-0000-000027000000}"/>
              </a:ext>
            </a:extLst>
          </xdr:cNvPr>
          <xdr:cNvSpPr txBox="1"/>
        </xdr:nvSpPr>
        <xdr:spPr>
          <a:xfrm>
            <a:off x="4063399" y="313985"/>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grpSp>
    <xdr:clientData/>
  </xdr:twoCellAnchor>
  <xdr:twoCellAnchor editAs="oneCell">
    <xdr:from>
      <xdr:col>1</xdr:col>
      <xdr:colOff>604561</xdr:colOff>
      <xdr:row>483</xdr:row>
      <xdr:rowOff>104775</xdr:rowOff>
    </xdr:from>
    <xdr:to>
      <xdr:col>5</xdr:col>
      <xdr:colOff>501286</xdr:colOff>
      <xdr:row>495</xdr:row>
      <xdr:rowOff>43513</xdr:rowOff>
    </xdr:to>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a:xfrm>
          <a:off x="1366561" y="86506050"/>
          <a:ext cx="3240000" cy="2339037"/>
        </a:xfrm>
        <a:prstGeom prst="rect">
          <a:avLst/>
        </a:prstGeom>
        <a:ln>
          <a:solidFill>
            <a:schemeClr val="tx1"/>
          </a:solidFill>
        </a:ln>
      </xdr:spPr>
    </xdr:pic>
    <xdr:clientData/>
  </xdr:twoCellAnchor>
  <xdr:twoCellAnchor>
    <xdr:from>
      <xdr:col>0</xdr:col>
      <xdr:colOff>400050</xdr:colOff>
      <xdr:row>496</xdr:row>
      <xdr:rowOff>147909</xdr:rowOff>
    </xdr:from>
    <xdr:to>
      <xdr:col>7</xdr:col>
      <xdr:colOff>218400</xdr:colOff>
      <xdr:row>512</xdr:row>
      <xdr:rowOff>7509</xdr:rowOff>
    </xdr:to>
    <xdr:grpSp>
      <xdr:nvGrpSpPr>
        <xdr:cNvPr id="48" name="Group 47">
          <a:extLst>
            <a:ext uri="{FF2B5EF4-FFF2-40B4-BE49-F238E27FC236}">
              <a16:creationId xmlns:a16="http://schemas.microsoft.com/office/drawing/2014/main" xmlns="" id="{00000000-0008-0000-0000-000030000000}"/>
            </a:ext>
          </a:extLst>
        </xdr:cNvPr>
        <xdr:cNvGrpSpPr/>
      </xdr:nvGrpSpPr>
      <xdr:grpSpPr>
        <a:xfrm>
          <a:off x="400050" y="95721759"/>
          <a:ext cx="5400000" cy="3060000"/>
          <a:chOff x="692351" y="4279827"/>
          <a:chExt cx="5660571" cy="2902857"/>
        </a:xfrm>
      </xdr:grpSpPr>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rotWithShape="1">
          <a:blip xmlns:r="http://schemas.openxmlformats.org/officeDocument/2006/relationships" r:embed="rId32" cstate="screen">
            <a:extLst>
              <a:ext uri="{28A0092B-C50C-407E-A947-70E740481C1C}">
                <a14:useLocalDpi xmlns:a14="http://schemas.microsoft.com/office/drawing/2010/main"/>
              </a:ext>
            </a:extLst>
          </a:blip>
          <a:srcRect/>
          <a:stretch/>
        </xdr:blipFill>
        <xdr:spPr>
          <a:xfrm>
            <a:off x="692351" y="4279827"/>
            <a:ext cx="5660571" cy="2902857"/>
          </a:xfrm>
          <a:prstGeom prst="rect">
            <a:avLst/>
          </a:prstGeom>
          <a:ln>
            <a:solidFill>
              <a:schemeClr val="tx1"/>
            </a:solidFill>
          </a:ln>
        </xdr:spPr>
      </xdr:pic>
      <xdr:sp macro="" textlink="">
        <xdr:nvSpPr>
          <xdr:cNvPr id="50" name="Rectangle 49">
            <a:extLst>
              <a:ext uri="{FF2B5EF4-FFF2-40B4-BE49-F238E27FC236}">
                <a16:creationId xmlns:a16="http://schemas.microsoft.com/office/drawing/2014/main" xmlns="" id="{00000000-0008-0000-0000-000032000000}"/>
              </a:ext>
            </a:extLst>
          </xdr:cNvPr>
          <xdr:cNvSpPr/>
        </xdr:nvSpPr>
        <xdr:spPr>
          <a:xfrm>
            <a:off x="3638551" y="5741759"/>
            <a:ext cx="330200" cy="405042"/>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12</xdr:col>
      <xdr:colOff>601436</xdr:colOff>
      <xdr:row>128</xdr:row>
      <xdr:rowOff>19050</xdr:rowOff>
    </xdr:from>
    <xdr:to>
      <xdr:col>20</xdr:col>
      <xdr:colOff>321461</xdr:colOff>
      <xdr:row>145</xdr:row>
      <xdr:rowOff>153131</xdr:rowOff>
    </xdr:to>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33"/>
        <a:stretch>
          <a:fillRect/>
        </a:stretch>
      </xdr:blipFill>
      <xdr:spPr>
        <a:xfrm>
          <a:off x="10516961" y="22507575"/>
          <a:ext cx="5596950" cy="3947256"/>
        </a:xfrm>
        <a:prstGeom prst="rect">
          <a:avLst/>
        </a:prstGeom>
        <a:ln>
          <a:solidFill>
            <a:schemeClr val="tx1"/>
          </a:solidFill>
        </a:ln>
      </xdr:spPr>
    </xdr:pic>
    <xdr:clientData/>
  </xdr:twoCellAnchor>
  <xdr:twoCellAnchor editAs="oneCell">
    <xdr:from>
      <xdr:col>13</xdr:col>
      <xdr:colOff>728382</xdr:colOff>
      <xdr:row>302</xdr:row>
      <xdr:rowOff>-1</xdr:rowOff>
    </xdr:from>
    <xdr:to>
      <xdr:col>21</xdr:col>
      <xdr:colOff>435794</xdr:colOff>
      <xdr:row>320</xdr:row>
      <xdr:rowOff>88974</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34"/>
        <a:stretch>
          <a:fillRect/>
        </a:stretch>
      </xdr:blipFill>
      <xdr:spPr>
        <a:xfrm>
          <a:off x="11430000" y="57575823"/>
          <a:ext cx="5400000" cy="3719680"/>
        </a:xfrm>
        <a:prstGeom prst="rect">
          <a:avLst/>
        </a:prstGeom>
        <a:ln>
          <a:solidFill>
            <a:schemeClr val="tx1"/>
          </a:solidFill>
        </a:ln>
      </xdr:spPr>
    </xdr:pic>
    <xdr:clientData/>
  </xdr:twoCellAnchor>
  <xdr:twoCellAnchor editAs="oneCell">
    <xdr:from>
      <xdr:col>8</xdr:col>
      <xdr:colOff>123826</xdr:colOff>
      <xdr:row>52</xdr:row>
      <xdr:rowOff>238125</xdr:rowOff>
    </xdr:from>
    <xdr:to>
      <xdr:col>14</xdr:col>
      <xdr:colOff>527568</xdr:colOff>
      <xdr:row>59</xdr:row>
      <xdr:rowOff>171225</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6438901" y="12315825"/>
          <a:ext cx="5632967"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127748</xdr:colOff>
      <xdr:row>397</xdr:row>
      <xdr:rowOff>61875</xdr:rowOff>
    </xdr:from>
    <xdr:to>
      <xdr:col>7</xdr:col>
      <xdr:colOff>672354</xdr:colOff>
      <xdr:row>434</xdr:row>
      <xdr:rowOff>99384</xdr:rowOff>
    </xdr:to>
    <xdr:grpSp>
      <xdr:nvGrpSpPr>
        <xdr:cNvPr id="41" name="Group 40"/>
        <xdr:cNvGrpSpPr/>
      </xdr:nvGrpSpPr>
      <xdr:grpSpPr>
        <a:xfrm>
          <a:off x="127748" y="75842775"/>
          <a:ext cx="6126256" cy="7428909"/>
          <a:chOff x="127748" y="76048963"/>
          <a:chExt cx="6125135" cy="7489421"/>
        </a:xfrm>
      </xdr:grpSpPr>
      <xdr:pic>
        <xdr:nvPicPr>
          <xdr:cNvPr id="55" name="Picture 54" descr="https://vsjcllp.vsjadon.com/upload/insp-246596-1525.jpg"/>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3328147" y="81343501"/>
            <a:ext cx="1610518" cy="21863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6596-845.jpg"/>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369794" y="78806487"/>
            <a:ext cx="1792150" cy="24258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6596-847.jpg"/>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2247900" y="78827340"/>
            <a:ext cx="1792150" cy="24258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46596-849.jpg"/>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4159627" y="78822859"/>
            <a:ext cx="1792150" cy="24290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6596-851.jpg"/>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27748" y="76053448"/>
            <a:ext cx="1973929" cy="26719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6596-861.jpg"/>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2196353" y="76048963"/>
            <a:ext cx="1973929" cy="26754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596-862.jpg"/>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4269440" y="76058611"/>
            <a:ext cx="1983443" cy="26754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6596-874.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a:ext>
            </a:extLst>
          </a:blip>
          <a:srcRect/>
          <a:stretch>
            <a:fillRect/>
          </a:stretch>
        </xdr:blipFill>
        <xdr:spPr bwMode="auto">
          <a:xfrm>
            <a:off x="1596887" y="81346229"/>
            <a:ext cx="1632929" cy="21921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0" name="TextBox 39"/>
          <xdr:cNvSpPr txBox="1"/>
        </xdr:nvSpPr>
        <xdr:spPr>
          <a:xfrm>
            <a:off x="134471" y="76054323"/>
            <a:ext cx="493059"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t>A</a:t>
            </a:r>
          </a:p>
        </xdr:txBody>
      </xdr:sp>
      <xdr:sp macro="" textlink="">
        <xdr:nvSpPr>
          <xdr:cNvPr id="69" name="TextBox 68"/>
          <xdr:cNvSpPr txBox="1"/>
        </xdr:nvSpPr>
        <xdr:spPr>
          <a:xfrm>
            <a:off x="4280648" y="76054324"/>
            <a:ext cx="493059"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t>C</a:t>
            </a:r>
          </a:p>
        </xdr:txBody>
      </xdr:sp>
      <xdr:sp macro="" textlink="">
        <xdr:nvSpPr>
          <xdr:cNvPr id="78" name="TextBox 77"/>
          <xdr:cNvSpPr txBox="1"/>
        </xdr:nvSpPr>
        <xdr:spPr>
          <a:xfrm>
            <a:off x="2191871" y="76049841"/>
            <a:ext cx="493059"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t>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n9W4ashYrmWjEDV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83"/>
  <sheetViews>
    <sheetView tabSelected="1" view="pageBreakPreview" zoomScaleNormal="100" zoomScaleSheetLayoutView="100" zoomScalePageLayoutView="85" workbookViewId="0">
      <selection activeCell="L378" sqref="L378"/>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41" t="s">
        <v>164</v>
      </c>
      <c r="B1" s="241"/>
      <c r="C1" s="241"/>
      <c r="D1" s="241"/>
      <c r="E1" s="241"/>
      <c r="F1" s="241"/>
      <c r="G1" s="241"/>
      <c r="H1" s="241"/>
    </row>
    <row r="2" spans="1:26" ht="16.5" customHeight="1" x14ac:dyDescent="0.25">
      <c r="A2" s="242" t="s">
        <v>0</v>
      </c>
      <c r="B2" s="242"/>
      <c r="C2" s="242"/>
      <c r="D2" s="242"/>
      <c r="E2" s="242"/>
      <c r="F2" s="242"/>
      <c r="G2" s="242"/>
      <c r="H2" s="242"/>
    </row>
    <row r="3" spans="1:26" x14ac:dyDescent="0.25">
      <c r="A3" s="218" t="s">
        <v>1</v>
      </c>
      <c r="B3" s="218"/>
      <c r="C3" s="218"/>
      <c r="D3" s="218"/>
      <c r="E3" s="218" t="str">
        <f ca="1">TEXT(TODAY(),"DD/MM/YYYY")</f>
        <v>10/09/2025</v>
      </c>
      <c r="F3" s="218"/>
      <c r="G3" s="218"/>
      <c r="H3" s="218"/>
      <c r="K3" s="56" t="s">
        <v>237</v>
      </c>
      <c r="L3" s="54" t="s">
        <v>235</v>
      </c>
      <c r="M3" s="54" t="s">
        <v>240</v>
      </c>
      <c r="N3" s="54" t="s">
        <v>238</v>
      </c>
      <c r="O3" s="54" t="s">
        <v>343</v>
      </c>
      <c r="P3" s="54" t="s">
        <v>241</v>
      </c>
    </row>
    <row r="4" spans="1:26" ht="15" customHeight="1" x14ac:dyDescent="0.25">
      <c r="A4" s="218" t="s">
        <v>234</v>
      </c>
      <c r="B4" s="218"/>
      <c r="C4" s="218"/>
      <c r="D4" s="218"/>
      <c r="E4" s="222" t="s">
        <v>235</v>
      </c>
      <c r="F4" s="222"/>
      <c r="G4" s="222"/>
      <c r="H4" s="222"/>
      <c r="K4" s="53" t="s">
        <v>236</v>
      </c>
      <c r="L4" s="54" t="s">
        <v>171</v>
      </c>
      <c r="M4" s="54" t="s">
        <v>245</v>
      </c>
      <c r="N4" s="54" t="s">
        <v>247</v>
      </c>
      <c r="O4" s="54" t="s">
        <v>344</v>
      </c>
      <c r="P4" s="54"/>
    </row>
    <row r="5" spans="1:26" ht="15" customHeight="1" x14ac:dyDescent="0.25">
      <c r="A5" s="218" t="s">
        <v>2</v>
      </c>
      <c r="B5" s="218"/>
      <c r="C5" s="218"/>
      <c r="D5" s="218"/>
      <c r="E5" s="222" t="s">
        <v>243</v>
      </c>
      <c r="F5" s="222"/>
      <c r="G5" s="222"/>
      <c r="H5" s="222"/>
      <c r="K5" s="53"/>
      <c r="L5" s="54" t="s">
        <v>242</v>
      </c>
      <c r="M5" s="54" t="s">
        <v>246</v>
      </c>
      <c r="N5" s="54" t="s">
        <v>248</v>
      </c>
      <c r="O5" s="54" t="s">
        <v>345</v>
      </c>
      <c r="P5" s="54"/>
    </row>
    <row r="6" spans="1:26" x14ac:dyDescent="0.25">
      <c r="A6" s="218" t="s">
        <v>3</v>
      </c>
      <c r="B6" s="218"/>
      <c r="C6" s="218"/>
      <c r="D6" s="218"/>
      <c r="E6" s="243">
        <v>45909</v>
      </c>
      <c r="F6" s="218"/>
      <c r="G6" s="218"/>
      <c r="H6" s="218"/>
      <c r="K6" s="53"/>
      <c r="L6" s="54" t="s">
        <v>243</v>
      </c>
      <c r="M6" s="54" t="s">
        <v>358</v>
      </c>
      <c r="N6" s="54"/>
      <c r="O6" s="54" t="s">
        <v>346</v>
      </c>
      <c r="P6" s="54"/>
    </row>
    <row r="7" spans="1:26" ht="16.5" customHeight="1" x14ac:dyDescent="0.25">
      <c r="A7" s="218" t="s">
        <v>4</v>
      </c>
      <c r="B7" s="218"/>
      <c r="C7" s="218"/>
      <c r="D7" s="218"/>
      <c r="E7" s="218" t="s">
        <v>360</v>
      </c>
      <c r="F7" s="218"/>
      <c r="G7" s="218"/>
      <c r="H7" s="218"/>
      <c r="K7" s="53"/>
      <c r="L7" s="54" t="s">
        <v>244</v>
      </c>
      <c r="M7" s="54"/>
      <c r="N7" s="54"/>
      <c r="O7" s="54" t="s">
        <v>346</v>
      </c>
      <c r="P7" s="54"/>
    </row>
    <row r="8" spans="1:26" ht="15" customHeight="1" x14ac:dyDescent="0.25">
      <c r="A8" s="218" t="s">
        <v>5</v>
      </c>
      <c r="B8" s="218"/>
      <c r="C8" s="218"/>
      <c r="D8" s="218"/>
      <c r="E8" s="218" t="str">
        <f>E7</f>
        <v>Lal Gebi Infra Private Limited</v>
      </c>
      <c r="F8" s="218"/>
      <c r="G8" s="218"/>
      <c r="H8" s="218"/>
      <c r="K8" s="53"/>
      <c r="L8" s="54"/>
      <c r="M8" s="54"/>
      <c r="N8" s="54"/>
      <c r="O8" s="54" t="s">
        <v>347</v>
      </c>
      <c r="P8" s="54"/>
    </row>
    <row r="9" spans="1:26" x14ac:dyDescent="0.25">
      <c r="A9" s="218" t="s">
        <v>6</v>
      </c>
      <c r="B9" s="218"/>
      <c r="C9" s="218"/>
      <c r="D9" s="218"/>
      <c r="E9" s="120" t="s">
        <v>361</v>
      </c>
      <c r="F9" s="120"/>
      <c r="G9" s="120"/>
      <c r="H9" s="120"/>
      <c r="K9" s="53"/>
      <c r="L9" s="54"/>
      <c r="M9" s="54"/>
      <c r="N9" s="54"/>
      <c r="O9" s="54" t="s">
        <v>348</v>
      </c>
      <c r="P9" s="54"/>
    </row>
    <row r="10" spans="1:26" x14ac:dyDescent="0.25">
      <c r="A10" s="218" t="s">
        <v>167</v>
      </c>
      <c r="B10" s="218"/>
      <c r="C10" s="218"/>
      <c r="D10" s="218"/>
      <c r="E10" s="218" t="s">
        <v>362</v>
      </c>
      <c r="F10" s="218"/>
      <c r="G10" s="218"/>
      <c r="H10" s="218"/>
      <c r="K10" s="53"/>
      <c r="L10" s="54"/>
      <c r="M10" s="54"/>
      <c r="N10" s="54"/>
      <c r="O10" s="54" t="s">
        <v>349</v>
      </c>
      <c r="P10" s="54"/>
    </row>
    <row r="11" spans="1:26" x14ac:dyDescent="0.25">
      <c r="A11" s="218" t="s">
        <v>168</v>
      </c>
      <c r="B11" s="218"/>
      <c r="C11" s="218"/>
      <c r="D11" s="218"/>
      <c r="E11" s="218" t="s">
        <v>362</v>
      </c>
      <c r="F11" s="218"/>
      <c r="G11" s="218"/>
      <c r="H11" s="218"/>
      <c r="O11" s="54" t="s">
        <v>350</v>
      </c>
    </row>
    <row r="12" spans="1:26" x14ac:dyDescent="0.25">
      <c r="A12" s="218" t="s">
        <v>7</v>
      </c>
      <c r="B12" s="218"/>
      <c r="C12" s="218"/>
      <c r="D12" s="218"/>
      <c r="E12" s="218" t="s">
        <v>363</v>
      </c>
      <c r="F12" s="218"/>
      <c r="G12" s="218"/>
      <c r="H12" s="218"/>
    </row>
    <row r="13" spans="1:26" x14ac:dyDescent="0.25">
      <c r="A13" s="222" t="s">
        <v>172</v>
      </c>
      <c r="B13" s="222"/>
      <c r="C13" s="222"/>
      <c r="D13" s="222"/>
      <c r="E13" s="218" t="s">
        <v>28</v>
      </c>
      <c r="F13" s="218"/>
      <c r="G13" s="218"/>
      <c r="H13" s="218"/>
      <c r="S13" s="54" t="s">
        <v>181</v>
      </c>
      <c r="T13" s="54" t="s">
        <v>190</v>
      </c>
      <c r="U13" s="54" t="s">
        <v>173</v>
      </c>
      <c r="V13" s="54" t="s">
        <v>195</v>
      </c>
      <c r="W13" s="54" t="s">
        <v>213</v>
      </c>
      <c r="X13"/>
      <c r="Y13" t="s">
        <v>195</v>
      </c>
      <c r="Z13" t="e">
        <f ca="1">OFFSET($S$13,1,MATCH($G20,$S$13:$W$13,0)-1,15,1)</f>
        <v>#VALUE!</v>
      </c>
    </row>
    <row r="14" spans="1:26" x14ac:dyDescent="0.25">
      <c r="A14" s="172" t="s">
        <v>280</v>
      </c>
      <c r="B14" s="172"/>
      <c r="C14" s="172"/>
      <c r="D14" s="172"/>
      <c r="E14" s="232" t="s">
        <v>426</v>
      </c>
      <c r="F14" s="232"/>
      <c r="G14" s="232"/>
      <c r="H14" s="232"/>
      <c r="S14" s="54" t="s">
        <v>181</v>
      </c>
      <c r="T14" s="54" t="s">
        <v>188</v>
      </c>
      <c r="U14" s="54" t="s">
        <v>210</v>
      </c>
      <c r="V14" s="54" t="s">
        <v>196</v>
      </c>
      <c r="W14" s="54" t="s">
        <v>214</v>
      </c>
      <c r="X14"/>
      <c r="Y14"/>
      <c r="Z14"/>
    </row>
    <row r="15" spans="1:26" x14ac:dyDescent="0.25">
      <c r="A15" s="172" t="s">
        <v>8</v>
      </c>
      <c r="B15" s="172"/>
      <c r="C15" s="172"/>
      <c r="D15" s="172"/>
      <c r="E15" s="232" t="s">
        <v>359</v>
      </c>
      <c r="F15" s="222"/>
      <c r="G15" s="222"/>
      <c r="H15" s="222"/>
      <c r="I15" s="262" t="e">
        <f ca="1">OFFSET($D$5,1,MATCH($J13,$D$5:$H$5,0)-1,15,1)</f>
        <v>#N/A</v>
      </c>
      <c r="J15" s="263"/>
      <c r="K15" s="263"/>
      <c r="L15" s="263"/>
      <c r="M15" s="263"/>
      <c r="N15" s="263"/>
      <c r="O15" s="263"/>
      <c r="P15" s="263"/>
      <c r="S15" s="54" t="s">
        <v>182</v>
      </c>
      <c r="T15" s="54" t="s">
        <v>189</v>
      </c>
      <c r="U15" s="54" t="s">
        <v>211</v>
      </c>
      <c r="V15" s="54" t="s">
        <v>197</v>
      </c>
      <c r="W15" s="54" t="s">
        <v>227</v>
      </c>
      <c r="X15"/>
      <c r="Y15"/>
      <c r="Z15"/>
    </row>
    <row r="16" spans="1:26" ht="33.75" customHeight="1" x14ac:dyDescent="0.25">
      <c r="A16" s="237" t="s">
        <v>9</v>
      </c>
      <c r="B16" s="237"/>
      <c r="C16" s="237" t="str">
        <f>CONCATENATE((IF(OR(E9="",E9="NA"),"",E9)),", ",(IF(OR(A17="",A17="NA"),"",A17)),".",(IF(OR(C17="",C17="NA"),"",C17)),", near ",(IF(OR(C22="",C22="NA"),"",C22)),", ",(IF(OR(C19="",C19="NA"),"",C19)),", ",(IF(OR(C18="",C18="NA"),"",C18)),", ",(IF(OR(G19="",G19="NA"),"",G19)),", ",(IF(OR(C20="",C20="NA"),"",C20)),", ",(IF(OR(C21="",C21="NA"),"",C21)),", ",(IF(OR(G20="",G20="NA"),"",G20))," - ",(IF(OR(G21="",G21="NA"),"",G21)),".")</f>
        <v>Gami Bianca, Plot No.52, Sector 47, near Unimount Coral, CIDCO Road, , Dronagiri, , Uran, Raigad - 400702.</v>
      </c>
      <c r="D16" s="237"/>
      <c r="E16" s="237"/>
      <c r="F16" s="237"/>
      <c r="G16" s="237"/>
      <c r="H16" s="237"/>
      <c r="S16" s="54" t="s">
        <v>183</v>
      </c>
      <c r="T16" s="54" t="s">
        <v>191</v>
      </c>
      <c r="U16" s="54" t="s">
        <v>212</v>
      </c>
      <c r="V16" s="54" t="s">
        <v>198</v>
      </c>
      <c r="W16" s="54" t="s">
        <v>215</v>
      </c>
      <c r="X16"/>
      <c r="Y16"/>
      <c r="Z16"/>
    </row>
    <row r="17" spans="1:26" x14ac:dyDescent="0.25">
      <c r="A17" s="232" t="s">
        <v>364</v>
      </c>
      <c r="B17" s="232"/>
      <c r="C17" s="232" t="s">
        <v>414</v>
      </c>
      <c r="D17" s="232"/>
      <c r="E17" s="232"/>
      <c r="F17" s="232"/>
      <c r="G17" s="232"/>
      <c r="H17" s="232"/>
      <c r="S17" s="54" t="s">
        <v>184</v>
      </c>
      <c r="T17" s="54" t="s">
        <v>192</v>
      </c>
      <c r="U17" s="54" t="s">
        <v>173</v>
      </c>
      <c r="V17" s="54" t="s">
        <v>199</v>
      </c>
      <c r="W17" s="54" t="s">
        <v>216</v>
      </c>
      <c r="X17"/>
      <c r="Y17"/>
      <c r="Z17"/>
    </row>
    <row r="18" spans="1:26" ht="15.75" customHeight="1" x14ac:dyDescent="0.25">
      <c r="A18" s="185" t="s">
        <v>162</v>
      </c>
      <c r="B18" s="185"/>
      <c r="C18" s="185" t="s">
        <v>28</v>
      </c>
      <c r="D18" s="185"/>
      <c r="E18" s="185"/>
      <c r="F18" s="185"/>
      <c r="G18" s="185"/>
      <c r="H18" s="185"/>
      <c r="S18" s="54" t="s">
        <v>185</v>
      </c>
      <c r="T18" s="54" t="s">
        <v>190</v>
      </c>
      <c r="U18" s="54"/>
      <c r="V18" s="54" t="s">
        <v>200</v>
      </c>
      <c r="W18" s="54" t="s">
        <v>217</v>
      </c>
      <c r="X18"/>
      <c r="Y18"/>
      <c r="Z18"/>
    </row>
    <row r="19" spans="1:26" ht="15.75" customHeight="1" x14ac:dyDescent="0.25">
      <c r="A19" s="237" t="s">
        <v>10</v>
      </c>
      <c r="B19" s="237"/>
      <c r="C19" s="218" t="s">
        <v>366</v>
      </c>
      <c r="D19" s="218"/>
      <c r="E19" s="237" t="s">
        <v>70</v>
      </c>
      <c r="F19" s="237"/>
      <c r="G19" s="185" t="s">
        <v>365</v>
      </c>
      <c r="H19" s="185"/>
      <c r="S19" s="54" t="s">
        <v>186</v>
      </c>
      <c r="T19" s="54" t="s">
        <v>193</v>
      </c>
      <c r="U19" s="54"/>
      <c r="V19" s="54" t="s">
        <v>201</v>
      </c>
      <c r="W19" s="54" t="s">
        <v>218</v>
      </c>
      <c r="X19"/>
      <c r="Y19"/>
      <c r="Z19"/>
    </row>
    <row r="20" spans="1:26" x14ac:dyDescent="0.25">
      <c r="A20" s="172" t="s">
        <v>12</v>
      </c>
      <c r="B20" s="172"/>
      <c r="C20" s="185" t="s">
        <v>28</v>
      </c>
      <c r="D20" s="185"/>
      <c r="E20" s="237" t="s">
        <v>11</v>
      </c>
      <c r="F20" s="237"/>
      <c r="G20" s="240" t="s">
        <v>195</v>
      </c>
      <c r="H20" s="240"/>
      <c r="S20" s="54" t="s">
        <v>187</v>
      </c>
      <c r="T20" s="54" t="s">
        <v>194</v>
      </c>
      <c r="U20" s="54"/>
      <c r="V20" s="54" t="s">
        <v>202</v>
      </c>
      <c r="W20" s="54" t="s">
        <v>219</v>
      </c>
      <c r="X20"/>
      <c r="Y20"/>
      <c r="Z20"/>
    </row>
    <row r="21" spans="1:26" x14ac:dyDescent="0.25">
      <c r="A21" s="172" t="s">
        <v>71</v>
      </c>
      <c r="B21" s="172"/>
      <c r="C21" s="232" t="s">
        <v>198</v>
      </c>
      <c r="D21" s="232"/>
      <c r="E21" s="237" t="s">
        <v>13</v>
      </c>
      <c r="F21" s="237"/>
      <c r="G21" s="185">
        <v>400702</v>
      </c>
      <c r="H21" s="185"/>
      <c r="S21" s="54"/>
      <c r="T21" s="54"/>
      <c r="U21" s="54"/>
      <c r="V21" s="54" t="s">
        <v>203</v>
      </c>
      <c r="W21" s="54" t="s">
        <v>220</v>
      </c>
      <c r="X21"/>
      <c r="Y21"/>
      <c r="Z21"/>
    </row>
    <row r="22" spans="1:26" ht="32.25" customHeight="1" x14ac:dyDescent="0.25">
      <c r="A22" s="172" t="s">
        <v>118</v>
      </c>
      <c r="B22" s="172"/>
      <c r="C22" s="185" t="s">
        <v>369</v>
      </c>
      <c r="D22" s="185"/>
      <c r="E22" s="237" t="s">
        <v>14</v>
      </c>
      <c r="F22" s="237"/>
      <c r="G22" s="232" t="s">
        <v>413</v>
      </c>
      <c r="H22" s="232"/>
      <c r="S22" s="54"/>
      <c r="T22" s="54"/>
      <c r="U22" s="54"/>
      <c r="V22" s="54" t="s">
        <v>204</v>
      </c>
      <c r="W22" s="54" t="s">
        <v>221</v>
      </c>
      <c r="X22"/>
      <c r="Y22"/>
      <c r="Z22"/>
    </row>
    <row r="23" spans="1:26" ht="15" customHeight="1" x14ac:dyDescent="0.25">
      <c r="A23" s="237" t="s">
        <v>73</v>
      </c>
      <c r="B23" s="237"/>
      <c r="C23" s="237"/>
      <c r="D23" s="237"/>
      <c r="E23" s="218" t="s">
        <v>15</v>
      </c>
      <c r="F23" s="218"/>
      <c r="G23" s="218"/>
      <c r="H23" s="218"/>
      <c r="S23" s="54"/>
      <c r="T23" s="54"/>
      <c r="U23" s="54"/>
      <c r="V23" s="54" t="s">
        <v>205</v>
      </c>
      <c r="W23" s="54" t="s">
        <v>222</v>
      </c>
      <c r="X23"/>
      <c r="Y23"/>
      <c r="Z23"/>
    </row>
    <row r="24" spans="1:26" ht="18.75" customHeight="1" x14ac:dyDescent="0.25">
      <c r="A24" s="237"/>
      <c r="B24" s="237"/>
      <c r="C24" s="237"/>
      <c r="D24" s="237"/>
      <c r="E24" s="218"/>
      <c r="F24" s="218"/>
      <c r="G24" s="218"/>
      <c r="H24" s="218"/>
      <c r="S24" s="54"/>
      <c r="T24" s="54"/>
      <c r="U24" s="54"/>
      <c r="V24" s="54" t="s">
        <v>206</v>
      </c>
      <c r="W24" s="54" t="s">
        <v>223</v>
      </c>
      <c r="X24"/>
      <c r="Y24"/>
      <c r="Z24"/>
    </row>
    <row r="25" spans="1:26" ht="15" customHeight="1" x14ac:dyDescent="0.25">
      <c r="A25" s="237" t="s">
        <v>16</v>
      </c>
      <c r="B25" s="237"/>
      <c r="C25" s="237"/>
      <c r="D25" s="237"/>
      <c r="E25" s="185" t="s">
        <v>17</v>
      </c>
      <c r="F25" s="185"/>
      <c r="G25" s="185"/>
      <c r="H25" s="185"/>
      <c r="S25" s="54"/>
      <c r="T25" s="54"/>
      <c r="U25" s="54"/>
      <c r="V25" s="54" t="s">
        <v>207</v>
      </c>
      <c r="W25" s="54" t="s">
        <v>224</v>
      </c>
      <c r="X25"/>
      <c r="Y25"/>
      <c r="Z25"/>
    </row>
    <row r="26" spans="1:26" ht="15" customHeight="1" x14ac:dyDescent="0.25">
      <c r="A26" s="172" t="s">
        <v>18</v>
      </c>
      <c r="B26" s="172"/>
      <c r="C26" s="172"/>
      <c r="D26" s="172"/>
      <c r="E26" s="185" t="str">
        <f>IF(AND(G20="Mumbai"),"Upper Class","Middle Class")</f>
        <v>Middle Class</v>
      </c>
      <c r="F26" s="185"/>
      <c r="G26" s="185"/>
      <c r="H26" s="185"/>
      <c r="S26" s="54"/>
      <c r="T26" s="54"/>
      <c r="U26" s="54"/>
      <c r="V26" s="54" t="s">
        <v>208</v>
      </c>
      <c r="W26" s="54" t="s">
        <v>225</v>
      </c>
      <c r="X26"/>
      <c r="Y26"/>
      <c r="Z26"/>
    </row>
    <row r="27" spans="1:26" x14ac:dyDescent="0.25">
      <c r="A27" s="172" t="s">
        <v>19</v>
      </c>
      <c r="B27" s="172"/>
      <c r="C27" s="172"/>
      <c r="D27" s="172"/>
      <c r="E27" s="185" t="s">
        <v>20</v>
      </c>
      <c r="F27" s="185"/>
      <c r="G27" s="185"/>
      <c r="H27" s="185"/>
      <c r="S27" s="54"/>
      <c r="T27" s="54"/>
      <c r="U27" s="54"/>
      <c r="V27" s="54" t="s">
        <v>209</v>
      </c>
      <c r="W27" s="54" t="s">
        <v>226</v>
      </c>
      <c r="X27"/>
      <c r="Y27"/>
      <c r="Z27"/>
    </row>
    <row r="28" spans="1:26" ht="15.75" customHeight="1" x14ac:dyDescent="0.25">
      <c r="A28" s="172" t="s">
        <v>21</v>
      </c>
      <c r="B28" s="172"/>
      <c r="C28" s="172"/>
      <c r="D28" s="172"/>
      <c r="E28" s="185" t="str">
        <f>IF(AND(G20="Mumbai"),"Developed","Developing")</f>
        <v>Developing</v>
      </c>
      <c r="F28" s="185"/>
      <c r="G28" s="185"/>
      <c r="H28" s="185"/>
    </row>
    <row r="29" spans="1:26" x14ac:dyDescent="0.25">
      <c r="A29" s="172" t="s">
        <v>22</v>
      </c>
      <c r="B29" s="172"/>
      <c r="C29" s="172"/>
      <c r="D29" s="172"/>
      <c r="E29" s="185" t="s">
        <v>23</v>
      </c>
      <c r="F29" s="185"/>
      <c r="G29" s="185"/>
      <c r="H29" s="185"/>
    </row>
    <row r="30" spans="1:26" ht="15.75" customHeight="1" x14ac:dyDescent="0.25">
      <c r="A30" s="172" t="s">
        <v>78</v>
      </c>
      <c r="B30" s="172"/>
      <c r="C30" s="172"/>
      <c r="D30" s="172"/>
      <c r="E30" s="185" t="s">
        <v>79</v>
      </c>
      <c r="F30" s="185"/>
      <c r="G30" s="185"/>
      <c r="H30" s="185"/>
    </row>
    <row r="31" spans="1:26" ht="15" customHeight="1" x14ac:dyDescent="0.25">
      <c r="A31" s="172" t="s">
        <v>30</v>
      </c>
      <c r="B31" s="172"/>
      <c r="C31" s="172"/>
      <c r="D31" s="172"/>
      <c r="E31" s="18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85"/>
      <c r="G31" s="185"/>
      <c r="H31" s="185"/>
    </row>
    <row r="32" spans="1:26" ht="15.75" customHeight="1" x14ac:dyDescent="0.25">
      <c r="A32" s="172" t="s">
        <v>90</v>
      </c>
      <c r="B32" s="172"/>
      <c r="C32" s="172"/>
      <c r="D32" s="172"/>
      <c r="E32" s="185" t="s">
        <v>31</v>
      </c>
      <c r="F32" s="185"/>
      <c r="G32" s="185"/>
      <c r="H32" s="185"/>
    </row>
    <row r="33" spans="1:19" s="21" customFormat="1" x14ac:dyDescent="0.25">
      <c r="A33" s="239" t="s">
        <v>91</v>
      </c>
      <c r="B33" s="239"/>
      <c r="C33" s="238" t="s">
        <v>174</v>
      </c>
      <c r="D33" s="238"/>
      <c r="E33" s="238"/>
      <c r="F33" s="238" t="s">
        <v>29</v>
      </c>
      <c r="G33" s="238"/>
      <c r="H33" s="238"/>
      <c r="S33" s="21" t="e">
        <f ca="1">OFFSET($S$13,1,MATCH($G20,$S$13:$W$13,0)-1,15,1)</f>
        <v>#VALUE!</v>
      </c>
    </row>
    <row r="34" spans="1:19" s="21" customFormat="1" x14ac:dyDescent="0.25">
      <c r="A34" s="197" t="s">
        <v>24</v>
      </c>
      <c r="B34" s="197" t="s">
        <v>28</v>
      </c>
      <c r="C34" s="198" t="s">
        <v>371</v>
      </c>
      <c r="D34" s="198"/>
      <c r="E34" s="198"/>
      <c r="F34" s="198" t="s">
        <v>374</v>
      </c>
      <c r="G34" s="198"/>
      <c r="H34" s="198"/>
    </row>
    <row r="35" spans="1:19" x14ac:dyDescent="0.25">
      <c r="A35" s="197" t="s">
        <v>25</v>
      </c>
      <c r="B35" s="197" t="s">
        <v>28</v>
      </c>
      <c r="C35" s="198" t="s">
        <v>373</v>
      </c>
      <c r="D35" s="198"/>
      <c r="E35" s="198"/>
      <c r="F35" s="198" t="s">
        <v>10</v>
      </c>
      <c r="G35" s="198"/>
      <c r="H35" s="198"/>
    </row>
    <row r="36" spans="1:19" s="21" customFormat="1" x14ac:dyDescent="0.25">
      <c r="A36" s="197" t="s">
        <v>27</v>
      </c>
      <c r="B36" s="197" t="s">
        <v>28</v>
      </c>
      <c r="C36" s="198" t="s">
        <v>370</v>
      </c>
      <c r="D36" s="198"/>
      <c r="E36" s="198"/>
      <c r="F36" s="198" t="s">
        <v>374</v>
      </c>
      <c r="G36" s="198"/>
      <c r="H36" s="198"/>
    </row>
    <row r="37" spans="1:19" x14ac:dyDescent="0.25">
      <c r="A37" s="197" t="s">
        <v>26</v>
      </c>
      <c r="B37" s="197" t="s">
        <v>28</v>
      </c>
      <c r="C37" s="198" t="s">
        <v>372</v>
      </c>
      <c r="D37" s="198"/>
      <c r="E37" s="198"/>
      <c r="F37" s="198" t="s">
        <v>374</v>
      </c>
      <c r="G37" s="198"/>
      <c r="H37" s="198"/>
    </row>
    <row r="38" spans="1:19" x14ac:dyDescent="0.25">
      <c r="A38" s="172" t="s">
        <v>281</v>
      </c>
      <c r="B38" s="172"/>
      <c r="C38" s="172"/>
      <c r="D38" s="172"/>
      <c r="E38" s="172"/>
      <c r="F38" s="172"/>
      <c r="G38" s="172"/>
      <c r="H38" s="172"/>
    </row>
    <row r="39" spans="1:19" ht="15.75" customHeight="1" x14ac:dyDescent="0.25">
      <c r="A39" s="172" t="s">
        <v>165</v>
      </c>
      <c r="B39" s="172"/>
      <c r="C39" s="200" t="s">
        <v>367</v>
      </c>
      <c r="D39" s="200"/>
      <c r="E39" s="200"/>
      <c r="F39" s="200"/>
      <c r="G39" s="200"/>
      <c r="H39" s="200"/>
    </row>
    <row r="40" spans="1:19" x14ac:dyDescent="0.25">
      <c r="A40" s="172" t="s">
        <v>161</v>
      </c>
      <c r="B40" s="172"/>
      <c r="C40" s="184" t="s">
        <v>368</v>
      </c>
      <c r="D40" s="185"/>
      <c r="E40" s="185"/>
      <c r="F40" s="185"/>
      <c r="G40" s="185"/>
      <c r="H40" s="185"/>
    </row>
    <row r="41" spans="1:19" x14ac:dyDescent="0.25">
      <c r="A41" s="200" t="s">
        <v>32</v>
      </c>
      <c r="B41" s="200"/>
      <c r="C41" s="200"/>
      <c r="D41" s="200"/>
      <c r="E41" s="200"/>
      <c r="F41" s="200"/>
      <c r="G41" s="200"/>
      <c r="H41" s="200"/>
    </row>
    <row r="42" spans="1:19" x14ac:dyDescent="0.25">
      <c r="A42" s="172" t="s">
        <v>33</v>
      </c>
      <c r="B42" s="172"/>
      <c r="C42" s="172"/>
      <c r="D42" s="172"/>
      <c r="E42" s="199">
        <v>6349.89</v>
      </c>
      <c r="F42" s="199"/>
      <c r="G42" s="199"/>
      <c r="H42" s="199"/>
    </row>
    <row r="43" spans="1:19" x14ac:dyDescent="0.25">
      <c r="A43" s="172" t="s">
        <v>34</v>
      </c>
      <c r="B43" s="172"/>
      <c r="C43" s="172"/>
      <c r="D43" s="172"/>
      <c r="E43" s="220">
        <f>9524.835/E42</f>
        <v>1.4999999999999998</v>
      </c>
      <c r="F43" s="220"/>
      <c r="G43" s="220"/>
      <c r="H43" s="220"/>
    </row>
    <row r="44" spans="1:19" x14ac:dyDescent="0.25">
      <c r="A44" s="172" t="s">
        <v>35</v>
      </c>
      <c r="B44" s="172"/>
      <c r="C44" s="172"/>
      <c r="D44" s="172"/>
      <c r="E44" s="220">
        <f>E46/E42-E43</f>
        <v>4.1354692758457228</v>
      </c>
      <c r="F44" s="220"/>
      <c r="G44" s="220"/>
      <c r="H44" s="220"/>
    </row>
    <row r="45" spans="1:19" x14ac:dyDescent="0.25">
      <c r="A45" s="172" t="s">
        <v>36</v>
      </c>
      <c r="B45" s="172"/>
      <c r="C45" s="172"/>
      <c r="D45" s="172"/>
      <c r="E45" s="220">
        <f>E43+E44</f>
        <v>5.6354692758457228</v>
      </c>
      <c r="F45" s="220"/>
      <c r="G45" s="220"/>
      <c r="H45" s="220"/>
    </row>
    <row r="46" spans="1:19" x14ac:dyDescent="0.25">
      <c r="A46" s="172" t="s">
        <v>89</v>
      </c>
      <c r="B46" s="172"/>
      <c r="C46" s="172"/>
      <c r="D46" s="172"/>
      <c r="E46" s="221">
        <v>35784.61</v>
      </c>
      <c r="F46" s="221"/>
      <c r="G46" s="221"/>
      <c r="H46" s="221"/>
    </row>
    <row r="47" spans="1:19" x14ac:dyDescent="0.25">
      <c r="A47" s="218" t="s">
        <v>37</v>
      </c>
      <c r="B47" s="218"/>
      <c r="C47" s="218"/>
      <c r="D47" s="218"/>
      <c r="E47" s="222" t="s">
        <v>375</v>
      </c>
      <c r="F47" s="222"/>
      <c r="G47" s="222"/>
      <c r="H47" s="222"/>
    </row>
    <row r="48" spans="1:19" x14ac:dyDescent="0.25">
      <c r="A48" s="200" t="s">
        <v>38</v>
      </c>
      <c r="B48" s="200"/>
      <c r="C48" s="200"/>
      <c r="D48" s="200"/>
      <c r="E48" s="200"/>
      <c r="F48" s="200"/>
      <c r="G48" s="200"/>
      <c r="H48" s="200"/>
    </row>
    <row r="49" spans="1:24" ht="33.75" customHeight="1" x14ac:dyDescent="0.25">
      <c r="A49" s="202" t="s">
        <v>150</v>
      </c>
      <c r="B49" s="204"/>
      <c r="C49" s="226" t="s">
        <v>269</v>
      </c>
      <c r="D49" s="227"/>
      <c r="E49" s="227"/>
      <c r="F49" s="227"/>
      <c r="G49" s="227"/>
      <c r="H49" s="228"/>
      <c r="R49" t="s">
        <v>254</v>
      </c>
      <c r="S49" s="57" t="s">
        <v>173</v>
      </c>
      <c r="T49" s="57" t="s">
        <v>181</v>
      </c>
      <c r="U49" s="57" t="s">
        <v>195</v>
      </c>
      <c r="V49" s="57" t="s">
        <v>190</v>
      </c>
    </row>
    <row r="50" spans="1:24" ht="32.25" customHeight="1" x14ac:dyDescent="0.25">
      <c r="A50" s="202" t="s">
        <v>39</v>
      </c>
      <c r="B50" s="204"/>
      <c r="C50" s="202" t="s">
        <v>376</v>
      </c>
      <c r="D50" s="203"/>
      <c r="E50" s="204"/>
      <c r="F50" s="17" t="s">
        <v>40</v>
      </c>
      <c r="G50" s="205">
        <v>45457</v>
      </c>
      <c r="H50" s="206"/>
      <c r="R50"/>
      <c r="S50" s="57" t="s">
        <v>255</v>
      </c>
      <c r="T50" s="57" t="s">
        <v>260</v>
      </c>
      <c r="U50" s="57" t="s">
        <v>271</v>
      </c>
      <c r="V50" s="57" t="s">
        <v>276</v>
      </c>
    </row>
    <row r="51" spans="1:24" ht="32.25" customHeight="1" x14ac:dyDescent="0.25">
      <c r="A51" s="202" t="s">
        <v>41</v>
      </c>
      <c r="B51" s="204"/>
      <c r="C51" s="202" t="str">
        <f>C50</f>
        <v>CIDCO/BP-17937/TPO(NM &amp; K)/2021/12251</v>
      </c>
      <c r="D51" s="203"/>
      <c r="E51" s="204"/>
      <c r="F51" s="17" t="s">
        <v>40</v>
      </c>
      <c r="G51" s="205">
        <f>G50</f>
        <v>45457</v>
      </c>
      <c r="H51" s="206"/>
      <c r="R51"/>
      <c r="S51" s="57" t="s">
        <v>256</v>
      </c>
      <c r="T51" s="57" t="s">
        <v>261</v>
      </c>
      <c r="U51" s="57" t="s">
        <v>269</v>
      </c>
      <c r="V51" s="57" t="s">
        <v>277</v>
      </c>
    </row>
    <row r="52" spans="1:24" s="22" customFormat="1" ht="32.25" customHeight="1" x14ac:dyDescent="0.25">
      <c r="A52" s="211" t="s">
        <v>154</v>
      </c>
      <c r="B52" s="212"/>
      <c r="C52" s="202" t="str">
        <f>C51</f>
        <v>CIDCO/BP-17937/TPO(NM &amp; K)/2021/12251</v>
      </c>
      <c r="D52" s="203"/>
      <c r="E52" s="204"/>
      <c r="F52" s="17" t="s">
        <v>40</v>
      </c>
      <c r="G52" s="205">
        <v>45457</v>
      </c>
      <c r="H52" s="206"/>
      <c r="I52" s="21" t="str">
        <f ca="1">IF(G52&gt;EDATE(E3,-48),"NO REMARK","CC REMARK FOR CC")</f>
        <v>NO REMARK</v>
      </c>
      <c r="J52" s="84"/>
      <c r="R52"/>
      <c r="S52" s="57" t="s">
        <v>257</v>
      </c>
      <c r="T52" s="57" t="s">
        <v>262</v>
      </c>
      <c r="U52" s="57" t="s">
        <v>259</v>
      </c>
      <c r="V52" s="57" t="s">
        <v>278</v>
      </c>
    </row>
    <row r="53" spans="1:24" s="22" customFormat="1" ht="33.75" customHeight="1" x14ac:dyDescent="0.25">
      <c r="A53" s="213"/>
      <c r="B53" s="214"/>
      <c r="C53" s="202" t="s">
        <v>415</v>
      </c>
      <c r="D53" s="203"/>
      <c r="E53" s="203"/>
      <c r="F53" s="203"/>
      <c r="G53" s="203"/>
      <c r="H53" s="204"/>
      <c r="R53"/>
      <c r="S53" s="57" t="s">
        <v>258</v>
      </c>
      <c r="T53" s="57" t="s">
        <v>265</v>
      </c>
      <c r="U53" s="57" t="s">
        <v>272</v>
      </c>
      <c r="V53" s="77" t="s">
        <v>352</v>
      </c>
    </row>
    <row r="54" spans="1:24" s="22" customFormat="1" x14ac:dyDescent="0.25">
      <c r="A54" s="211" t="s">
        <v>282</v>
      </c>
      <c r="B54" s="212"/>
      <c r="C54" s="202" t="s">
        <v>424</v>
      </c>
      <c r="D54" s="203"/>
      <c r="E54" s="204"/>
      <c r="F54" s="17" t="s">
        <v>40</v>
      </c>
      <c r="G54" s="205">
        <v>45195</v>
      </c>
      <c r="H54" s="206"/>
      <c r="K54" s="85">
        <f>EDATE(G52,-48)</f>
        <v>43996</v>
      </c>
      <c r="L54" s="22" t="str">
        <f ca="1">IF(G52&gt;EDATE(E3,-48),"NO REMARK","CC REMARK FOR CC")</f>
        <v>NO REMARK</v>
      </c>
      <c r="R54"/>
      <c r="S54" s="57" t="s">
        <v>257</v>
      </c>
      <c r="T54" s="57" t="s">
        <v>262</v>
      </c>
      <c r="U54" s="57" t="s">
        <v>259</v>
      </c>
      <c r="V54" s="57" t="s">
        <v>278</v>
      </c>
    </row>
    <row r="55" spans="1:24" s="22" customFormat="1" x14ac:dyDescent="0.25">
      <c r="A55" s="213"/>
      <c r="B55" s="214"/>
      <c r="C55" s="215" t="s">
        <v>425</v>
      </c>
      <c r="D55" s="216"/>
      <c r="E55" s="216"/>
      <c r="F55" s="216"/>
      <c r="G55" s="216"/>
      <c r="H55" s="217"/>
      <c r="R55"/>
      <c r="S55" s="57" t="s">
        <v>259</v>
      </c>
      <c r="T55" s="57" t="s">
        <v>263</v>
      </c>
      <c r="U55" s="57" t="s">
        <v>273</v>
      </c>
      <c r="V55" s="78"/>
      <c r="W55" s="20"/>
      <c r="X55" s="20"/>
    </row>
    <row r="56" spans="1:24" s="22" customFormat="1" x14ac:dyDescent="0.25">
      <c r="A56" s="211" t="s">
        <v>283</v>
      </c>
      <c r="B56" s="212"/>
      <c r="C56" s="202" t="s">
        <v>377</v>
      </c>
      <c r="D56" s="203"/>
      <c r="E56" s="204"/>
      <c r="F56" s="17" t="s">
        <v>40</v>
      </c>
      <c r="G56" s="205">
        <v>45330</v>
      </c>
      <c r="H56" s="206"/>
      <c r="R56"/>
      <c r="S56" s="78"/>
      <c r="T56" s="57" t="s">
        <v>264</v>
      </c>
      <c r="U56" s="57" t="s">
        <v>274</v>
      </c>
      <c r="V56" s="78"/>
      <c r="W56" s="20"/>
      <c r="X56" s="20"/>
    </row>
    <row r="57" spans="1:24" s="22" customFormat="1" ht="66" customHeight="1" x14ac:dyDescent="0.25">
      <c r="A57" s="213"/>
      <c r="B57" s="214"/>
      <c r="C57" s="202" t="s">
        <v>416</v>
      </c>
      <c r="D57" s="203"/>
      <c r="E57" s="203"/>
      <c r="F57" s="203"/>
      <c r="G57" s="203"/>
      <c r="H57" s="204"/>
      <c r="R57"/>
      <c r="S57" s="78"/>
      <c r="T57" s="57" t="s">
        <v>266</v>
      </c>
      <c r="U57" s="57" t="s">
        <v>275</v>
      </c>
      <c r="V57" s="78"/>
      <c r="W57" s="20"/>
      <c r="X57" s="20"/>
    </row>
    <row r="58" spans="1:24" s="22" customFormat="1" ht="15.75" hidden="1" customHeight="1" x14ac:dyDescent="0.25">
      <c r="A58" s="207" t="s">
        <v>355</v>
      </c>
      <c r="B58" s="208"/>
      <c r="C58" s="202"/>
      <c r="D58" s="203"/>
      <c r="E58" s="204"/>
      <c r="F58" s="17" t="s">
        <v>40</v>
      </c>
      <c r="G58" s="205"/>
      <c r="H58" s="206"/>
      <c r="R58"/>
      <c r="S58" s="78"/>
      <c r="T58" s="57" t="s">
        <v>267</v>
      </c>
      <c r="U58" s="78" t="s">
        <v>297</v>
      </c>
      <c r="V58" s="78"/>
      <c r="W58" s="20"/>
      <c r="X58" s="20"/>
    </row>
    <row r="59" spans="1:24" s="22" customFormat="1" ht="33.75" hidden="1" customHeight="1" x14ac:dyDescent="0.25">
      <c r="A59" s="209"/>
      <c r="B59" s="210"/>
      <c r="C59" s="237" t="s">
        <v>357</v>
      </c>
      <c r="D59" s="237"/>
      <c r="E59" s="237"/>
      <c r="F59" s="17" t="s">
        <v>356</v>
      </c>
      <c r="G59" s="205"/>
      <c r="H59" s="206"/>
      <c r="R59"/>
      <c r="S59" s="78"/>
      <c r="T59" s="57" t="s">
        <v>268</v>
      </c>
      <c r="U59" s="78"/>
      <c r="V59" s="78"/>
      <c r="W59" s="20"/>
      <c r="X59" s="20"/>
    </row>
    <row r="60" spans="1:24" x14ac:dyDescent="0.25">
      <c r="A60" s="265" t="s">
        <v>42</v>
      </c>
      <c r="B60" s="266"/>
      <c r="C60" s="265" t="s">
        <v>102</v>
      </c>
      <c r="D60" s="267"/>
      <c r="E60" s="266"/>
      <c r="F60" s="44" t="s">
        <v>40</v>
      </c>
      <c r="G60" s="268" t="s">
        <v>28</v>
      </c>
      <c r="H60" s="269"/>
      <c r="R60"/>
      <c r="S60" s="78"/>
      <c r="T60" s="57" t="s">
        <v>270</v>
      </c>
      <c r="U60" s="78"/>
      <c r="V60" s="78"/>
    </row>
    <row r="61" spans="1:24" x14ac:dyDescent="0.25">
      <c r="A61" s="236" t="s">
        <v>44</v>
      </c>
      <c r="B61" s="236"/>
      <c r="C61" s="236"/>
      <c r="D61" s="236"/>
      <c r="E61" s="236"/>
      <c r="F61" s="236"/>
      <c r="G61" s="236"/>
      <c r="H61" s="236"/>
      <c r="S61" s="78"/>
      <c r="T61" s="57" t="s">
        <v>279</v>
      </c>
      <c r="U61" s="78"/>
      <c r="V61" s="78"/>
    </row>
    <row r="62" spans="1:24" x14ac:dyDescent="0.25">
      <c r="A62" s="237" t="s">
        <v>88</v>
      </c>
      <c r="B62" s="237"/>
      <c r="C62" s="237"/>
      <c r="D62" s="172">
        <f>E46</f>
        <v>35784.61</v>
      </c>
      <c r="E62" s="172"/>
      <c r="F62" s="172"/>
      <c r="G62" s="172"/>
      <c r="H62" s="172"/>
      <c r="R62"/>
    </row>
    <row r="63" spans="1:24" x14ac:dyDescent="0.25">
      <c r="A63" s="185" t="s">
        <v>45</v>
      </c>
      <c r="B63" s="218"/>
      <c r="C63" s="218"/>
      <c r="D63" s="222" t="s">
        <v>411</v>
      </c>
      <c r="E63" s="222"/>
      <c r="F63" s="222"/>
      <c r="G63" s="222"/>
      <c r="H63" s="222"/>
      <c r="I63" s="23"/>
      <c r="R63"/>
    </row>
    <row r="64" spans="1:24" x14ac:dyDescent="0.25">
      <c r="A64" s="211" t="s">
        <v>46</v>
      </c>
      <c r="B64" s="225"/>
      <c r="C64" s="212"/>
      <c r="D64" s="223" t="s">
        <v>417</v>
      </c>
      <c r="E64" s="224"/>
      <c r="F64" s="224"/>
      <c r="G64" s="224"/>
      <c r="H64" s="224"/>
      <c r="R64"/>
    </row>
    <row r="65" spans="1:19" x14ac:dyDescent="0.25">
      <c r="A65" s="211" t="s">
        <v>86</v>
      </c>
      <c r="B65" s="225"/>
      <c r="C65" s="225"/>
      <c r="D65" s="232" t="s">
        <v>417</v>
      </c>
      <c r="E65" s="222"/>
      <c r="F65" s="222"/>
      <c r="G65" s="222"/>
      <c r="H65" s="222"/>
      <c r="R65"/>
    </row>
    <row r="66" spans="1:19" ht="15.75" hidden="1" customHeight="1" x14ac:dyDescent="0.25">
      <c r="A66" s="229"/>
      <c r="B66" s="230"/>
      <c r="C66" s="230"/>
      <c r="D66" s="233" t="s">
        <v>298</v>
      </c>
      <c r="E66" s="234"/>
      <c r="F66" s="234"/>
      <c r="G66" s="234"/>
      <c r="H66" s="235"/>
      <c r="R66"/>
    </row>
    <row r="67" spans="1:19" ht="15.75" hidden="1" customHeight="1" x14ac:dyDescent="0.25">
      <c r="A67" s="213"/>
      <c r="B67" s="231"/>
      <c r="C67" s="231"/>
      <c r="D67" s="270" t="s">
        <v>169</v>
      </c>
      <c r="E67" s="271"/>
      <c r="F67" s="271"/>
      <c r="G67" s="271"/>
      <c r="H67" s="272"/>
      <c r="S67"/>
    </row>
    <row r="68" spans="1:19" ht="15.75" customHeight="1" x14ac:dyDescent="0.25">
      <c r="A68" s="172" t="s">
        <v>43</v>
      </c>
      <c r="B68" s="172"/>
      <c r="C68" s="172"/>
      <c r="D68" s="201" t="s">
        <v>378</v>
      </c>
      <c r="E68" s="201"/>
      <c r="F68" s="201"/>
      <c r="G68" s="201"/>
      <c r="H68" s="201"/>
      <c r="J68" s="24"/>
      <c r="K68" s="23"/>
      <c r="N68" s="23"/>
      <c r="S68"/>
    </row>
    <row r="69" spans="1:19" ht="15.75" customHeight="1" x14ac:dyDescent="0.25">
      <c r="A69" s="172" t="s">
        <v>84</v>
      </c>
      <c r="B69" s="172"/>
      <c r="C69" s="172"/>
      <c r="D69" s="219" t="str">
        <f>(IF(G60="NA","60 Years After Completion",IF(G60&lt;&gt;"NA",""&amp;60-ROUNDDOWN((E3-G60)/360,0)&amp;" Years"," ")))</f>
        <v>60 Years After Completion</v>
      </c>
      <c r="E69" s="219"/>
      <c r="F69" s="219"/>
      <c r="G69" s="219"/>
      <c r="H69" s="219"/>
      <c r="N69" s="23"/>
      <c r="S69"/>
    </row>
    <row r="70" spans="1:19" ht="15.75" customHeight="1" x14ac:dyDescent="0.25">
      <c r="A70" s="172" t="s">
        <v>85</v>
      </c>
      <c r="B70" s="172"/>
      <c r="C70" s="172"/>
      <c r="D70" s="237" t="s">
        <v>23</v>
      </c>
      <c r="E70" s="237"/>
      <c r="F70" s="237"/>
      <c r="G70" s="237"/>
      <c r="H70" s="237"/>
      <c r="J70" s="25"/>
      <c r="K70" s="25"/>
      <c r="S70"/>
    </row>
    <row r="71" spans="1:19" ht="51.75" customHeight="1" x14ac:dyDescent="0.25">
      <c r="A71" s="222" t="s">
        <v>381</v>
      </c>
      <c r="B71" s="222"/>
      <c r="C71" s="222"/>
      <c r="D71" s="185" t="s">
        <v>379</v>
      </c>
      <c r="E71" s="237"/>
      <c r="F71" s="237"/>
      <c r="G71" s="237"/>
      <c r="H71" s="237"/>
      <c r="I71" s="92" t="s">
        <v>380</v>
      </c>
      <c r="S71"/>
    </row>
    <row r="72" spans="1:19" x14ac:dyDescent="0.25">
      <c r="A72" s="237" t="s">
        <v>146</v>
      </c>
      <c r="B72" s="237"/>
      <c r="C72" s="237"/>
      <c r="D72" s="237" t="s">
        <v>28</v>
      </c>
      <c r="E72" s="237"/>
      <c r="F72" s="237"/>
      <c r="G72" s="237"/>
      <c r="H72" s="237"/>
      <c r="I72" s="26"/>
      <c r="J72" s="26"/>
      <c r="K72" s="26"/>
      <c r="L72" s="26"/>
      <c r="M72" s="26"/>
      <c r="N72" s="26"/>
    </row>
    <row r="73" spans="1:19" ht="15.75" customHeight="1" x14ac:dyDescent="0.25">
      <c r="A73" s="172" t="s">
        <v>83</v>
      </c>
      <c r="B73" s="172"/>
      <c r="C73" s="172"/>
      <c r="D73" s="185" t="str">
        <f ca="1">(IF(G79&gt;95%,"Nothing",IF(G79&gt;0%,"Cement, Aggregate, Steel, etc",IF(G79=0%,"Work not yet Started"))))</f>
        <v>Cement, Aggregate, Steel, etc</v>
      </c>
      <c r="E73" s="185"/>
      <c r="F73" s="185"/>
      <c r="G73" s="185"/>
      <c r="H73" s="185"/>
      <c r="J73" s="25"/>
      <c r="S73"/>
    </row>
    <row r="74" spans="1:19" ht="33.75" customHeight="1" thickBot="1" x14ac:dyDescent="0.3">
      <c r="A74" s="237" t="s">
        <v>115</v>
      </c>
      <c r="B74" s="237"/>
      <c r="C74" s="237"/>
      <c r="D74" s="185" t="str">
        <f ca="1">(IF(D73="Nothing","Yes",IF(D73="Cement, Aggregate, Steel, etc","Under Construction",IF(D73="Work not yet Started","Work not yet Started"))))</f>
        <v>Under Construction</v>
      </c>
      <c r="E74" s="185"/>
      <c r="F74" s="185" t="str">
        <f ca="1">(IF(D73="Nothing","Yes",IF(D73="Cement, Aggregate, Steel, etc","Under Construction",IF(D73="Work not yet Started","Work not yet Started"))))</f>
        <v>Under Construction</v>
      </c>
      <c r="G74" s="185"/>
      <c r="H74" s="185"/>
      <c r="S74"/>
    </row>
    <row r="75" spans="1:19" ht="15.75" customHeight="1" x14ac:dyDescent="0.25">
      <c r="A75" s="118" t="s">
        <v>136</v>
      </c>
      <c r="B75" s="118"/>
      <c r="C75" s="118" t="s">
        <v>431</v>
      </c>
      <c r="D75" s="118"/>
      <c r="E75" s="118"/>
      <c r="F75" s="118"/>
      <c r="G75" s="118"/>
      <c r="H75" s="118"/>
      <c r="I75" s="107" t="str">
        <f ca="1">IF(D88=100%,"All work Completed. Possession granted to the Building.",IF(D87=100%,"All work Completed, Waiting for OC",I76&amp;""&amp;I77&amp;""&amp;J76&amp;""&amp;J75&amp;" "&amp;J77))</f>
        <v>Excavation, Plinth Completed, RCC upto 20 Slab, Brickwork upto 19 Floor, Internal Plaster upto 14.25 Floor, External Plaster upto 12.35 Floor Completed</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20 Slab, Brickwork upto 19 Floor, Internal Plaster upto 14.25 Floor, External Plaster upto 12.35 Floor</v>
      </c>
      <c r="S75"/>
    </row>
    <row r="76" spans="1:19" x14ac:dyDescent="0.25">
      <c r="A76" s="51" t="s">
        <v>138</v>
      </c>
      <c r="B76" s="51">
        <f>IF(AND(ISNUMBER(SEARCH("1B",C75))),1,IF(AND(ISNUMBER(SEARCH("2B",C75))),2,IF(AND(ISNUMBER(SEARCH("3B",C75))),3,IF(AND(ISNUMBER(SEARCH("4B",C75))),4,IF(ISNUMBER(SEARCH("5B",C75)),5,0)))))</f>
        <v>0</v>
      </c>
      <c r="C76" s="51" t="s">
        <v>69</v>
      </c>
      <c r="D76" s="51">
        <v>1</v>
      </c>
      <c r="E76" s="51" t="s">
        <v>68</v>
      </c>
      <c r="F76" s="93">
        <v>0</v>
      </c>
      <c r="G76" s="46" t="s">
        <v>77</v>
      </c>
      <c r="H76" s="51">
        <f ca="1">--TRIM(RIGHT(SUBSTITUTE(LEFT(C75,_xlfn.AGGREGATE(16,6,FIND({0,1,2,3,4,5,6,7,8,9},C75,ROW(INDIRECT("1:"&amp;LEN(C75)))),1))," ",REPT(" ",LEN(C75))),LEN(C75)))</f>
        <v>26</v>
      </c>
      <c r="I76" s="108" t="str">
        <f ca="1">IF(D79=100%,"Excavation","")&amp;IF(D80=100%,", Plinth","")&amp;IF(D81=100%,", RCC Slab","")&amp;IF(D82=100%,", Brickwork","")&amp;IF(D83=100%,", Internal Plaster","")&amp;IF(D84=100%,", External Plaster","")&amp;IF(D85=100%,", Flooring","")&amp;IF(D86=100%,", Painting","")&amp;IF(D87=100%,", Building common Amenities","")</f>
        <v>Excavation, Plinth</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 customHeight="1" x14ac:dyDescent="0.25">
      <c r="A77" s="119" t="s">
        <v>87</v>
      </c>
      <c r="B77" s="120"/>
      <c r="C77" s="121" t="str">
        <f ca="1">I75</f>
        <v>Excavation, Plinth Completed, RCC upto 20 Slab, Brickwork upto 19 Floor, Internal Plaster upto 14.25 Floor, External Plaster upto 12.35 Floor Completed</v>
      </c>
      <c r="D77" s="121"/>
      <c r="E77" s="121"/>
      <c r="F77" s="121"/>
      <c r="G77" s="121"/>
      <c r="H77" s="122"/>
      <c r="I77" s="49" t="str">
        <f ca="1">IF(I76&lt;&gt;""," Completed","")</f>
        <v xml:space="preserve"> Completed</v>
      </c>
      <c r="J77" s="50" t="str">
        <f ca="1">IF(J75&lt;&gt;"","Completed","")</f>
        <v>Completed</v>
      </c>
      <c r="S77"/>
    </row>
    <row r="78" spans="1:19" ht="15.75" customHeight="1" x14ac:dyDescent="0.25">
      <c r="A78" s="123" t="s">
        <v>47</v>
      </c>
      <c r="B78" s="124"/>
      <c r="C78" s="42" t="s">
        <v>135</v>
      </c>
      <c r="D78" s="42" t="s">
        <v>80</v>
      </c>
      <c r="E78" s="124" t="s">
        <v>82</v>
      </c>
      <c r="F78" s="124"/>
      <c r="G78" s="124" t="s">
        <v>81</v>
      </c>
      <c r="H78" s="125"/>
      <c r="I78" s="13" t="s">
        <v>137</v>
      </c>
      <c r="J78" s="27">
        <f ca="1">H76*25%</f>
        <v>6.5</v>
      </c>
      <c r="S78"/>
    </row>
    <row r="79" spans="1:19" x14ac:dyDescent="0.25">
      <c r="A79" s="123" t="s">
        <v>124</v>
      </c>
      <c r="B79" s="124"/>
      <c r="C79" s="87">
        <f ca="1">J80</f>
        <v>26</v>
      </c>
      <c r="D79" s="18">
        <f ca="1">((100/H76)*C79)/100</f>
        <v>1</v>
      </c>
      <c r="E79" s="126">
        <f ca="1">(((C80/H76*10)+(40/(D76+F76+H76)*C81)+(7.5/(H76)*C82)+(7.5/(H76)*C83)+(10/H76*C84)+(10/H76*C85)+(5/H76*C86)+(5/H76*C87)+(5/H76*C88))/100)</f>
        <v>0.53970975783475783</v>
      </c>
      <c r="F79" s="127"/>
      <c r="G79" s="126">
        <f ca="1">((((C79/H76)*20)+((C80/H76)*25)+(30/(H76+F76+D76)*C81)+(5/H76*C82)+(5/H76*C83)+(5/H76*C84)+(5/H76*C85)+(0/H76*C86)+(0/H76*C87)+(5/H76*C88))/100)</f>
        <v>0.75991452991453001</v>
      </c>
      <c r="H79" s="132"/>
      <c r="I79" s="13" t="s">
        <v>97</v>
      </c>
      <c r="J79" s="28">
        <f ca="1">H76*50%</f>
        <v>13</v>
      </c>
    </row>
    <row r="80" spans="1:19" x14ac:dyDescent="0.25">
      <c r="A80" s="123" t="s">
        <v>48</v>
      </c>
      <c r="B80" s="124"/>
      <c r="C80" s="42">
        <f ca="1">J88</f>
        <v>26</v>
      </c>
      <c r="D80" s="18">
        <f ca="1">((100/H76)*C80)/100</f>
        <v>1</v>
      </c>
      <c r="E80" s="128"/>
      <c r="F80" s="129"/>
      <c r="G80" s="128"/>
      <c r="H80" s="133"/>
      <c r="I80" s="13" t="s">
        <v>98</v>
      </c>
      <c r="J80" s="28">
        <f ca="1">H76</f>
        <v>26</v>
      </c>
      <c r="S80"/>
    </row>
    <row r="81" spans="1:19" ht="15.75" customHeight="1" x14ac:dyDescent="0.25">
      <c r="A81" s="123" t="s">
        <v>125</v>
      </c>
      <c r="B81" s="124"/>
      <c r="C81" s="42">
        <v>20</v>
      </c>
      <c r="D81" s="18">
        <f ca="1">((100/(D76+F76+H76))*C81)/100</f>
        <v>0.74074074074074081</v>
      </c>
      <c r="E81" s="128"/>
      <c r="F81" s="129"/>
      <c r="G81" s="128"/>
      <c r="H81" s="133"/>
      <c r="I81" s="13" t="s">
        <v>99</v>
      </c>
      <c r="J81" s="29">
        <f ca="1">(IF(B76&gt;1,(H76/(B76+2)),H76/4))</f>
        <v>6.5</v>
      </c>
      <c r="S81"/>
    </row>
    <row r="82" spans="1:19" ht="15.75" customHeight="1" x14ac:dyDescent="0.25">
      <c r="A82" s="123" t="s">
        <v>132</v>
      </c>
      <c r="B82" s="124" t="s">
        <v>126</v>
      </c>
      <c r="C82" s="42">
        <f>C81-D76-F76</f>
        <v>19</v>
      </c>
      <c r="D82" s="18">
        <f ca="1">((100/H76)*C82)/100</f>
        <v>0.73076923076923084</v>
      </c>
      <c r="E82" s="128"/>
      <c r="F82" s="129"/>
      <c r="G82" s="128"/>
      <c r="H82" s="133"/>
      <c r="I82" s="13" t="s">
        <v>100</v>
      </c>
      <c r="J82" s="29">
        <f ca="1">(IF(B76&gt;1,(H76/(B76+2)+J81),H76/4+J81))</f>
        <v>13</v>
      </c>
    </row>
    <row r="83" spans="1:19" ht="15.75" customHeight="1" x14ac:dyDescent="0.25">
      <c r="A83" s="123" t="s">
        <v>133</v>
      </c>
      <c r="B83" s="124" t="s">
        <v>126</v>
      </c>
      <c r="C83" s="111">
        <f>C82*0.75</f>
        <v>14.25</v>
      </c>
      <c r="D83" s="18">
        <f ca="1">((100/H76)*C83)/100</f>
        <v>0.54807692307692302</v>
      </c>
      <c r="E83" s="128"/>
      <c r="F83" s="129"/>
      <c r="G83" s="128"/>
      <c r="H83" s="133"/>
      <c r="I83" s="13" t="s">
        <v>144</v>
      </c>
      <c r="J83" s="29">
        <f>(IF(B76&gt;1,(H76/(B76+2)+J82),0))</f>
        <v>0</v>
      </c>
    </row>
    <row r="84" spans="1:19" ht="15" customHeight="1" x14ac:dyDescent="0.25">
      <c r="A84" s="123" t="s">
        <v>131</v>
      </c>
      <c r="B84" s="124" t="s">
        <v>128</v>
      </c>
      <c r="C84" s="111">
        <f>C82*0.65</f>
        <v>12.35</v>
      </c>
      <c r="D84" s="18">
        <f ca="1">((100/(H76))*C84)/100</f>
        <v>0.47499999999999998</v>
      </c>
      <c r="E84" s="128"/>
      <c r="F84" s="129"/>
      <c r="G84" s="128"/>
      <c r="H84" s="133"/>
      <c r="I84" s="13" t="s">
        <v>139</v>
      </c>
      <c r="J84" s="29">
        <f>(IF(B76&gt;2,(H76/(B76+2)+J83),0))</f>
        <v>0</v>
      </c>
    </row>
    <row r="85" spans="1:19" ht="15.75" customHeight="1" x14ac:dyDescent="0.25">
      <c r="A85" s="123" t="s">
        <v>127</v>
      </c>
      <c r="B85" s="124" t="s">
        <v>127</v>
      </c>
      <c r="C85" s="42">
        <v>0</v>
      </c>
      <c r="D85" s="18">
        <f ca="1">((100/H76)*C85)/100</f>
        <v>0</v>
      </c>
      <c r="E85" s="128"/>
      <c r="F85" s="129"/>
      <c r="G85" s="128"/>
      <c r="H85" s="133"/>
      <c r="I85" s="13" t="s">
        <v>140</v>
      </c>
      <c r="J85" s="30">
        <f>(IF(B76&gt;3,(H76/(B76+2)+J84),0))</f>
        <v>0</v>
      </c>
    </row>
    <row r="86" spans="1:19" ht="15.75" customHeight="1" x14ac:dyDescent="0.25">
      <c r="A86" s="123" t="s">
        <v>134</v>
      </c>
      <c r="B86" s="124"/>
      <c r="C86" s="42">
        <v>0</v>
      </c>
      <c r="D86" s="18">
        <f ca="1">((100/H76)*C86)/100</f>
        <v>0</v>
      </c>
      <c r="E86" s="128"/>
      <c r="F86" s="129"/>
      <c r="G86" s="128"/>
      <c r="H86" s="133"/>
      <c r="I86" s="13" t="s">
        <v>141</v>
      </c>
      <c r="J86" s="29">
        <f>(IF(B76&gt;4,(H76/(B76+2)+J85),0))</f>
        <v>0</v>
      </c>
    </row>
    <row r="87" spans="1:19" ht="15.75" customHeight="1" x14ac:dyDescent="0.25">
      <c r="A87" s="123" t="s">
        <v>129</v>
      </c>
      <c r="B87" s="124" t="s">
        <v>129</v>
      </c>
      <c r="C87" s="42">
        <v>0</v>
      </c>
      <c r="D87" s="18">
        <f ca="1">((100/(H76))*C87)/100</f>
        <v>0</v>
      </c>
      <c r="E87" s="128"/>
      <c r="F87" s="129"/>
      <c r="G87" s="128"/>
      <c r="H87" s="133"/>
      <c r="I87" s="13" t="s">
        <v>145</v>
      </c>
      <c r="J87" s="29">
        <f ca="1">(IF(B76=1,(H76/(B76+3)+J82),IF(B76=0,(H76/4+J82),IF(B76&gt;1,0))))</f>
        <v>19.5</v>
      </c>
    </row>
    <row r="88" spans="1:19" ht="16.5" thickBot="1" x14ac:dyDescent="0.3">
      <c r="A88" s="135" t="s">
        <v>130</v>
      </c>
      <c r="B88" s="136"/>
      <c r="C88" s="43">
        <v>0</v>
      </c>
      <c r="D88" s="19">
        <f ca="1">((100/(H76))*C88)/100</f>
        <v>0</v>
      </c>
      <c r="E88" s="130"/>
      <c r="F88" s="131"/>
      <c r="G88" s="130"/>
      <c r="H88" s="134"/>
      <c r="I88" s="14" t="s">
        <v>101</v>
      </c>
      <c r="J88" s="31">
        <f ca="1">(IF(B76&gt;1.5,(H76/(B76+2)+J82+MAX(0,J83-J82)+MAX(0,J84-J83)+MAX(0,J85-J84)+MAX(0,J86-J85)+MAX(0,J87-J86)),IF(B76=1,(H76/(B76+3)+J87),IF(B76=0,H76/4+J87))))</f>
        <v>26</v>
      </c>
    </row>
    <row r="89" spans="1:19" ht="15.75" customHeight="1" x14ac:dyDescent="0.25">
      <c r="A89" s="190" t="s">
        <v>136</v>
      </c>
      <c r="B89" s="191"/>
      <c r="C89" s="118" t="s">
        <v>432</v>
      </c>
      <c r="D89" s="118"/>
      <c r="E89" s="118"/>
      <c r="F89" s="118"/>
      <c r="G89" s="118"/>
      <c r="H89" s="118"/>
      <c r="I89" s="47" t="str">
        <f ca="1">IF(D102=100%,"All work Completed. Possession granted to the Building.",IF(D101=100%,"All work Completed, Waiting for OC",I90&amp;""&amp;I91&amp;""&amp;J90&amp;""&amp;J89&amp;" "&amp;J91))</f>
        <v>Excavation, Plinth Completed, RCC upto 17 Slab, Brickwork upto 16 Floor, Internal Plaster upto 12 Floor, External Plaster upto 10.4 Floor Completed</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17 Slab, Brickwork upto 16 Floor, Internal Plaster upto 12 Floor, External Plaster upto 10.4 Floor</v>
      </c>
      <c r="S89"/>
    </row>
    <row r="90" spans="1:19" x14ac:dyDescent="0.25">
      <c r="A90" s="15" t="s">
        <v>138</v>
      </c>
      <c r="B90" s="112">
        <f>IF(AND(ISNUMBER(SEARCH("1B",C89))),1,IF(AND(ISNUMBER(SEARCH("2B",C89))),2,IF(AND(ISNUMBER(SEARCH("3B",C89))),3,IF(AND(ISNUMBER(SEARCH("4B",C89))),4,IF(ISNUMBER(SEARCH("5B",C89)),5,0)))))</f>
        <v>0</v>
      </c>
      <c r="C90" s="112" t="s">
        <v>69</v>
      </c>
      <c r="D90" s="112">
        <v>1</v>
      </c>
      <c r="E90" s="112" t="s">
        <v>68</v>
      </c>
      <c r="F90" s="112">
        <v>0</v>
      </c>
      <c r="G90" s="112" t="s">
        <v>77</v>
      </c>
      <c r="H90" s="16">
        <f ca="1">--TRIM(RIGHT(SUBSTITUTE(LEFT(C89,_xlfn.AGGREGATE(16,6,FIND({0,1,2,3,4,5,6,7,8,9},C89,ROW(INDIRECT("1:"&amp;LEN(C89)))),1))," ",REPT(" ",LEN(C89))),LEN(C89)))</f>
        <v>26</v>
      </c>
      <c r="I90" s="49" t="str">
        <f ca="1">IF(D93=100%,"Excavation","")&amp;IF(D94=100%,", Plinth","")&amp;IF(D95=100%,", RCC Slab","")&amp;IF(D96=100%,", Brickwork","")&amp;IF(D97=100%,", Internal Plaster","")&amp;IF(D98=100%,", External Plaster","")&amp;IF(D99=100%,", Flooring","")&amp;IF(D100=100%,", Painting","")&amp;IF(D101=100%,", Building common Amenities","")</f>
        <v>Excavation, Plinth</v>
      </c>
      <c r="J90" s="5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48" customHeight="1" x14ac:dyDescent="0.25">
      <c r="A91" s="119" t="s">
        <v>87</v>
      </c>
      <c r="B91" s="120"/>
      <c r="C91" s="121" t="str">
        <f ca="1">I89</f>
        <v>Excavation, Plinth Completed, RCC upto 17 Slab, Brickwork upto 16 Floor, Internal Plaster upto 12 Floor, External Plaster upto 10.4 Floor Completed</v>
      </c>
      <c r="D91" s="121"/>
      <c r="E91" s="121"/>
      <c r="F91" s="121"/>
      <c r="G91" s="121"/>
      <c r="H91" s="122"/>
      <c r="I91" s="49" t="str">
        <f ca="1">IF(I90&lt;&gt;""," Completed","")</f>
        <v xml:space="preserve"> Completed</v>
      </c>
      <c r="J91" s="50" t="str">
        <f ca="1">IF(J89&lt;&gt;"","Completed","")</f>
        <v>Completed</v>
      </c>
      <c r="S91"/>
    </row>
    <row r="92" spans="1:19" ht="15.75" customHeight="1" x14ac:dyDescent="0.25">
      <c r="A92" s="164" t="s">
        <v>47</v>
      </c>
      <c r="B92" s="165"/>
      <c r="C92" s="113" t="s">
        <v>135</v>
      </c>
      <c r="D92" s="113" t="s">
        <v>80</v>
      </c>
      <c r="E92" s="165" t="s">
        <v>82</v>
      </c>
      <c r="F92" s="165"/>
      <c r="G92" s="165" t="s">
        <v>81</v>
      </c>
      <c r="H92" s="179"/>
      <c r="I92" s="13" t="s">
        <v>137</v>
      </c>
      <c r="J92" s="27">
        <f ca="1">H90*25%</f>
        <v>6.5</v>
      </c>
      <c r="S92"/>
    </row>
    <row r="93" spans="1:19" x14ac:dyDescent="0.25">
      <c r="A93" s="164" t="s">
        <v>124</v>
      </c>
      <c r="B93" s="165"/>
      <c r="C93" s="113">
        <f ca="1">J94</f>
        <v>26</v>
      </c>
      <c r="D93" s="114">
        <f ca="1">((100/H90)*C93)/100</f>
        <v>1</v>
      </c>
      <c r="E93" s="166">
        <f ca="1">(((C94/H90*10)+(40/(D90+F90+H90)*C95)+(7.5/(H90)*C96)+(7.5/(H90)*C97)+(10/H90*C98)+(10/H90*C99)+(5/H90*C100)+(5/H90*C101)+(5/H90*C102))/100)</f>
        <v>0.47262108262108254</v>
      </c>
      <c r="F93" s="167"/>
      <c r="G93" s="166">
        <f ca="1">((((C93/H90)*20)+((C94/H90)*25)+(30/(H90+F90+D90)*C95)+(5/H90*C96)+(5/H90*C97)+(5/H90*C98)+(5/H90*C99)+(0/H90*C100)+(0/H90*C101)+(5/H90*C102))/100)</f>
        <v>0.71273504273504273</v>
      </c>
      <c r="H93" s="193"/>
      <c r="I93" s="13" t="s">
        <v>97</v>
      </c>
      <c r="J93" s="28">
        <f ca="1">H90*50%</f>
        <v>13</v>
      </c>
    </row>
    <row r="94" spans="1:19" x14ac:dyDescent="0.25">
      <c r="A94" s="164" t="s">
        <v>48</v>
      </c>
      <c r="B94" s="165"/>
      <c r="C94" s="113">
        <f ca="1">J102</f>
        <v>26</v>
      </c>
      <c r="D94" s="114">
        <f ca="1">((100/H90)*C94)/100</f>
        <v>1</v>
      </c>
      <c r="E94" s="168"/>
      <c r="F94" s="169"/>
      <c r="G94" s="168"/>
      <c r="H94" s="194"/>
      <c r="I94" s="13" t="s">
        <v>98</v>
      </c>
      <c r="J94" s="28">
        <f ca="1">H90</f>
        <v>26</v>
      </c>
      <c r="S94"/>
    </row>
    <row r="95" spans="1:19" ht="15.75" customHeight="1" x14ac:dyDescent="0.25">
      <c r="A95" s="164" t="s">
        <v>125</v>
      </c>
      <c r="B95" s="165"/>
      <c r="C95" s="113">
        <v>17</v>
      </c>
      <c r="D95" s="114">
        <f ca="1">((100/(D90+F90+H90))*C95)/100</f>
        <v>0.62962962962962965</v>
      </c>
      <c r="E95" s="168"/>
      <c r="F95" s="169"/>
      <c r="G95" s="168"/>
      <c r="H95" s="194"/>
      <c r="I95" s="13" t="s">
        <v>99</v>
      </c>
      <c r="J95" s="29">
        <f ca="1">(IF(B90&gt;1,(H90/(B90+2)),H90/4))</f>
        <v>6.5</v>
      </c>
      <c r="S95"/>
    </row>
    <row r="96" spans="1:19" ht="15.75" customHeight="1" x14ac:dyDescent="0.25">
      <c r="A96" s="164" t="s">
        <v>132</v>
      </c>
      <c r="B96" s="165" t="s">
        <v>126</v>
      </c>
      <c r="C96" s="113">
        <f>C95-D90-F90</f>
        <v>16</v>
      </c>
      <c r="D96" s="114">
        <f ca="1">((100/H90)*C96)/100</f>
        <v>0.61538461538461542</v>
      </c>
      <c r="E96" s="168"/>
      <c r="F96" s="169"/>
      <c r="G96" s="168"/>
      <c r="H96" s="194"/>
      <c r="I96" s="13" t="s">
        <v>100</v>
      </c>
      <c r="J96" s="29">
        <f ca="1">(IF(B90&gt;1,(H90/(B90+2)+J95),H90/4+J95))</f>
        <v>13</v>
      </c>
    </row>
    <row r="97" spans="1:19" ht="15.75" customHeight="1" x14ac:dyDescent="0.25">
      <c r="A97" s="164" t="s">
        <v>133</v>
      </c>
      <c r="B97" s="165" t="s">
        <v>126</v>
      </c>
      <c r="C97" s="117">
        <f>C96*0.75</f>
        <v>12</v>
      </c>
      <c r="D97" s="114">
        <f ca="1">((100/H90)*C97)/100</f>
        <v>0.46153846153846151</v>
      </c>
      <c r="E97" s="168"/>
      <c r="F97" s="169"/>
      <c r="G97" s="168"/>
      <c r="H97" s="194"/>
      <c r="I97" s="13" t="s">
        <v>144</v>
      </c>
      <c r="J97" s="29">
        <f>(IF(B90&gt;1,(H90/(B90+2)+J96),0))</f>
        <v>0</v>
      </c>
    </row>
    <row r="98" spans="1:19" ht="15" customHeight="1" x14ac:dyDescent="0.25">
      <c r="A98" s="164" t="s">
        <v>131</v>
      </c>
      <c r="B98" s="165" t="s">
        <v>128</v>
      </c>
      <c r="C98" s="117">
        <f>C96*0.65</f>
        <v>10.4</v>
      </c>
      <c r="D98" s="114">
        <f ca="1">((100/(H90))*C98)/100</f>
        <v>0.4</v>
      </c>
      <c r="E98" s="168"/>
      <c r="F98" s="169"/>
      <c r="G98" s="168"/>
      <c r="H98" s="194"/>
      <c r="I98" s="13" t="s">
        <v>139</v>
      </c>
      <c r="J98" s="29">
        <f>(IF(B90&gt;2,(H90/(B90+2)+J97),0))</f>
        <v>0</v>
      </c>
    </row>
    <row r="99" spans="1:19" ht="15.75" customHeight="1" x14ac:dyDescent="0.25">
      <c r="A99" s="164" t="s">
        <v>127</v>
      </c>
      <c r="B99" s="165" t="s">
        <v>127</v>
      </c>
      <c r="C99" s="113">
        <v>0</v>
      </c>
      <c r="D99" s="114">
        <f ca="1">((100/H90)*C99)/100</f>
        <v>0</v>
      </c>
      <c r="E99" s="168"/>
      <c r="F99" s="169"/>
      <c r="G99" s="168"/>
      <c r="H99" s="194"/>
      <c r="I99" s="13" t="s">
        <v>140</v>
      </c>
      <c r="J99" s="30">
        <f>(IF(B90&gt;3,(H90/(B90+2)+J98),0))</f>
        <v>0</v>
      </c>
    </row>
    <row r="100" spans="1:19" ht="15.75" customHeight="1" x14ac:dyDescent="0.25">
      <c r="A100" s="164" t="s">
        <v>134</v>
      </c>
      <c r="B100" s="165"/>
      <c r="C100" s="113">
        <v>0</v>
      </c>
      <c r="D100" s="114">
        <f ca="1">((100/H90)*C100)/100</f>
        <v>0</v>
      </c>
      <c r="E100" s="168"/>
      <c r="F100" s="169"/>
      <c r="G100" s="168"/>
      <c r="H100" s="194"/>
      <c r="I100" s="13" t="s">
        <v>141</v>
      </c>
      <c r="J100" s="29">
        <f>(IF(B90&gt;4,(H90/(B90+2)+J99),0))</f>
        <v>0</v>
      </c>
    </row>
    <row r="101" spans="1:19" ht="15.75" customHeight="1" x14ac:dyDescent="0.25">
      <c r="A101" s="164" t="s">
        <v>129</v>
      </c>
      <c r="B101" s="165" t="s">
        <v>129</v>
      </c>
      <c r="C101" s="113">
        <v>0</v>
      </c>
      <c r="D101" s="114">
        <f ca="1">((100/(H90))*C101)/100</f>
        <v>0</v>
      </c>
      <c r="E101" s="168"/>
      <c r="F101" s="169"/>
      <c r="G101" s="168"/>
      <c r="H101" s="194"/>
      <c r="I101" s="13" t="s">
        <v>145</v>
      </c>
      <c r="J101" s="29">
        <f ca="1">(IF(B90=1,(H90/(B90+3)+J96),IF(B90=0,(H90/4+J96),IF(B90&gt;1,0))))</f>
        <v>19.5</v>
      </c>
    </row>
    <row r="102" spans="1:19" ht="16.5" thickBot="1" x14ac:dyDescent="0.3">
      <c r="A102" s="260" t="s">
        <v>130</v>
      </c>
      <c r="B102" s="261"/>
      <c r="C102" s="115">
        <v>0</v>
      </c>
      <c r="D102" s="116">
        <f ca="1">((100/(H90))*C102)/100</f>
        <v>0</v>
      </c>
      <c r="E102" s="170"/>
      <c r="F102" s="171"/>
      <c r="G102" s="170"/>
      <c r="H102" s="195"/>
      <c r="I102" s="14" t="s">
        <v>101</v>
      </c>
      <c r="J102" s="31">
        <f ca="1">(IF(B90&gt;1.5,(H90/(B90+2)+J96+MAX(0,J97-J96)+MAX(0,J98-J97)+MAX(0,J99-J98)+MAX(0,J100-J99)+MAX(0,J101-J100)),IF(B90=1,(H90/(B90+3)+J101),IF(B90=0,H90/4+J101))))</f>
        <v>26</v>
      </c>
    </row>
    <row r="103" spans="1:19" ht="15.75" customHeight="1" x14ac:dyDescent="0.25">
      <c r="A103" s="118" t="s">
        <v>136</v>
      </c>
      <c r="B103" s="118"/>
      <c r="C103" s="118" t="s">
        <v>429</v>
      </c>
      <c r="D103" s="118"/>
      <c r="E103" s="118"/>
      <c r="F103" s="118"/>
      <c r="G103" s="118"/>
      <c r="H103" s="118"/>
      <c r="I103" s="107" t="str">
        <f ca="1">IF(D116=100%,"All work Completed. Possession granted to the Building.",IF(D115=100%,"All work Completed, Waiting for OC",I104&amp;""&amp;I105&amp;""&amp;J104&amp;""&amp;J103&amp;" "&amp;J105))</f>
        <v>Excavation, Plinth Completed, RCC upto 9 Slab, Brickwork upto 4 Floor, Internal Plaster upto 3 Floor, External Plaster upto 2.6 Floor Completed</v>
      </c>
      <c r="J103" s="48"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RCC upto 9 Slab, Brickwork upto 4 Floor, Internal Plaster upto 3 Floor, External Plaster upto 2.6 Floor</v>
      </c>
      <c r="S103"/>
    </row>
    <row r="104" spans="1:19" x14ac:dyDescent="0.25">
      <c r="A104" s="106" t="s">
        <v>138</v>
      </c>
      <c r="B104" s="106">
        <f>IF(AND(ISNUMBER(SEARCH("1B",C103))),1,IF(AND(ISNUMBER(SEARCH("2B",C103))),2,IF(AND(ISNUMBER(SEARCH("3B",C103))),3,IF(AND(ISNUMBER(SEARCH("4B",C103))),4,IF(ISNUMBER(SEARCH("5B",C103)),5,0)))))</f>
        <v>0</v>
      </c>
      <c r="C104" s="106" t="s">
        <v>69</v>
      </c>
      <c r="D104" s="106">
        <v>1</v>
      </c>
      <c r="E104" s="106" t="s">
        <v>68</v>
      </c>
      <c r="F104" s="93">
        <v>0</v>
      </c>
      <c r="G104" s="46" t="s">
        <v>77</v>
      </c>
      <c r="H104" s="106">
        <f ca="1">--TRIM(RIGHT(SUBSTITUTE(LEFT(C103,_xlfn.AGGREGATE(16,6,FIND({0,1,2,3,4,5,6,7,8,9},C103,ROW(INDIRECT("1:"&amp;LEN(C103)))),1))," ",REPT(" ",LEN(C103))),LEN(C103)))</f>
        <v>26</v>
      </c>
      <c r="I104" s="108" t="str">
        <f ca="1">IF(D107=100%,"Excavation","")&amp;IF(D108=100%,", Plinth","")&amp;IF(D109=100%,", RCC Slab","")&amp;IF(D110=100%,", Brickwork","")&amp;IF(D111=100%,", Internal Plaster","")&amp;IF(D112=100%,", External Plaster","")&amp;IF(D113=100%,", Flooring","")&amp;IF(D114=100%,", Painting","")&amp;IF(D115=100%,", Building common Amenities","")</f>
        <v>Excavation, Plinth</v>
      </c>
      <c r="J104" s="50"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2.25" customHeight="1" x14ac:dyDescent="0.25">
      <c r="A105" s="119" t="s">
        <v>87</v>
      </c>
      <c r="B105" s="120"/>
      <c r="C105" s="121" t="str">
        <f ca="1">I103</f>
        <v>Excavation, Plinth Completed, RCC upto 9 Slab, Brickwork upto 4 Floor, Internal Plaster upto 3 Floor, External Plaster upto 2.6 Floor Completed</v>
      </c>
      <c r="D105" s="121"/>
      <c r="E105" s="121"/>
      <c r="F105" s="121"/>
      <c r="G105" s="121"/>
      <c r="H105" s="122"/>
      <c r="I105" s="49" t="str">
        <f ca="1">IF(I104&lt;&gt;""," Completed","")</f>
        <v xml:space="preserve"> Completed</v>
      </c>
      <c r="J105" s="50" t="str">
        <f ca="1">IF(J103&lt;&gt;"","Completed","")</f>
        <v>Completed</v>
      </c>
      <c r="S105"/>
    </row>
    <row r="106" spans="1:19" ht="15.75" customHeight="1" x14ac:dyDescent="0.25">
      <c r="A106" s="123" t="s">
        <v>47</v>
      </c>
      <c r="B106" s="124"/>
      <c r="C106" s="105" t="s">
        <v>135</v>
      </c>
      <c r="D106" s="105" t="s">
        <v>80</v>
      </c>
      <c r="E106" s="124" t="s">
        <v>82</v>
      </c>
      <c r="F106" s="124"/>
      <c r="G106" s="124" t="s">
        <v>81</v>
      </c>
      <c r="H106" s="125"/>
      <c r="I106" s="13" t="s">
        <v>137</v>
      </c>
      <c r="J106" s="27">
        <f ca="1">H104*25%</f>
        <v>6.5</v>
      </c>
      <c r="S106"/>
    </row>
    <row r="107" spans="1:19" x14ac:dyDescent="0.25">
      <c r="A107" s="123" t="s">
        <v>124</v>
      </c>
      <c r="B107" s="124"/>
      <c r="C107" s="105">
        <f ca="1">J108</f>
        <v>26</v>
      </c>
      <c r="D107" s="18">
        <f ca="1">((100/H104)*C107)/100</f>
        <v>1</v>
      </c>
      <c r="E107" s="126">
        <f ca="1">(((C108/H104*10)+(40/(D104+F104+H104)*C109)+(7.5/(H104)*C110)+(7.5/(H104)*C111)+(10/H104*C112)+(10/H104*C113)+(5/H104*C114)+(5/H104*C115)+(5/H104*C116))/100)</f>
        <v>0.26352564102564102</v>
      </c>
      <c r="F107" s="127"/>
      <c r="G107" s="126">
        <f ca="1">((((C107/H104)*20)+((C108/H104)*25)+(30/(H104+F104+D104)*C109)+(5/H104*C110)+(5/H104*C111)+(5/H104*C112)+(5/H104*C113)+(0/H104*C114)+(0/H104*C115)+(5/H104*C116))/100)</f>
        <v>0.56846153846153846</v>
      </c>
      <c r="H107" s="132"/>
      <c r="I107" s="13" t="s">
        <v>97</v>
      </c>
      <c r="J107" s="28">
        <f ca="1">H104*50%</f>
        <v>13</v>
      </c>
    </row>
    <row r="108" spans="1:19" x14ac:dyDescent="0.25">
      <c r="A108" s="123" t="s">
        <v>48</v>
      </c>
      <c r="B108" s="124"/>
      <c r="C108" s="105">
        <f ca="1">J116</f>
        <v>26</v>
      </c>
      <c r="D108" s="18">
        <f ca="1">((100/H104)*C108)/100</f>
        <v>1</v>
      </c>
      <c r="E108" s="128"/>
      <c r="F108" s="129"/>
      <c r="G108" s="128"/>
      <c r="H108" s="133"/>
      <c r="I108" s="13" t="s">
        <v>98</v>
      </c>
      <c r="J108" s="28">
        <f ca="1">H104</f>
        <v>26</v>
      </c>
      <c r="S108"/>
    </row>
    <row r="109" spans="1:19" ht="15.75" customHeight="1" x14ac:dyDescent="0.25">
      <c r="A109" s="123" t="s">
        <v>125</v>
      </c>
      <c r="B109" s="124"/>
      <c r="C109" s="105">
        <v>9</v>
      </c>
      <c r="D109" s="18">
        <f ca="1">((100/(D104+F104+H104))*C109)/100</f>
        <v>0.33333333333333337</v>
      </c>
      <c r="E109" s="128"/>
      <c r="F109" s="129"/>
      <c r="G109" s="128"/>
      <c r="H109" s="133"/>
      <c r="I109" s="13" t="s">
        <v>99</v>
      </c>
      <c r="J109" s="29">
        <f ca="1">(IF(B104&gt;1,(H104/(B104+2)),H104/4))</f>
        <v>6.5</v>
      </c>
      <c r="S109"/>
    </row>
    <row r="110" spans="1:19" ht="15.75" customHeight="1" x14ac:dyDescent="0.25">
      <c r="A110" s="123" t="s">
        <v>132</v>
      </c>
      <c r="B110" s="124" t="s">
        <v>126</v>
      </c>
      <c r="C110" s="105">
        <f>C109-D104-4</f>
        <v>4</v>
      </c>
      <c r="D110" s="18">
        <f ca="1">((100/H104)*C110)/100</f>
        <v>0.15384615384615385</v>
      </c>
      <c r="E110" s="128"/>
      <c r="F110" s="129"/>
      <c r="G110" s="128"/>
      <c r="H110" s="133"/>
      <c r="I110" s="13" t="s">
        <v>100</v>
      </c>
      <c r="J110" s="29">
        <f ca="1">(IF(B104&gt;1,(H104/(B104+2)+J109),H104/4+J109))</f>
        <v>13</v>
      </c>
    </row>
    <row r="111" spans="1:19" ht="15.75" customHeight="1" x14ac:dyDescent="0.25">
      <c r="A111" s="123" t="s">
        <v>133</v>
      </c>
      <c r="B111" s="124" t="s">
        <v>126</v>
      </c>
      <c r="C111" s="105">
        <f>C110*0.75</f>
        <v>3</v>
      </c>
      <c r="D111" s="18">
        <f ca="1">((100/H104)*C111)/100</f>
        <v>0.11538461538461538</v>
      </c>
      <c r="E111" s="128"/>
      <c r="F111" s="129"/>
      <c r="G111" s="128"/>
      <c r="H111" s="133"/>
      <c r="I111" s="13" t="s">
        <v>144</v>
      </c>
      <c r="J111" s="29">
        <f>(IF(B104&gt;1,(H104/(B104+2)+J110),0))</f>
        <v>0</v>
      </c>
    </row>
    <row r="112" spans="1:19" ht="15" customHeight="1" x14ac:dyDescent="0.25">
      <c r="A112" s="123" t="s">
        <v>131</v>
      </c>
      <c r="B112" s="124" t="s">
        <v>128</v>
      </c>
      <c r="C112" s="111">
        <f>C110*0.65</f>
        <v>2.6</v>
      </c>
      <c r="D112" s="18">
        <f ca="1">((100/(H104))*C112)/100</f>
        <v>0.1</v>
      </c>
      <c r="E112" s="128"/>
      <c r="F112" s="129"/>
      <c r="G112" s="128"/>
      <c r="H112" s="133"/>
      <c r="I112" s="13" t="s">
        <v>139</v>
      </c>
      <c r="J112" s="29">
        <f>(IF(B104&gt;2,(H104/(B104+2)+J111),0))</f>
        <v>0</v>
      </c>
    </row>
    <row r="113" spans="1:22" ht="15.75" customHeight="1" x14ac:dyDescent="0.25">
      <c r="A113" s="123" t="s">
        <v>127</v>
      </c>
      <c r="B113" s="124" t="s">
        <v>127</v>
      </c>
      <c r="C113" s="105">
        <v>0</v>
      </c>
      <c r="D113" s="18">
        <f ca="1">((100/H104)*C113)/100</f>
        <v>0</v>
      </c>
      <c r="E113" s="128"/>
      <c r="F113" s="129"/>
      <c r="G113" s="128"/>
      <c r="H113" s="133"/>
      <c r="I113" s="13" t="s">
        <v>140</v>
      </c>
      <c r="J113" s="30">
        <f>(IF(B104&gt;3,(H104/(B104+2)+J112),0))</f>
        <v>0</v>
      </c>
    </row>
    <row r="114" spans="1:22" ht="15.75" customHeight="1" x14ac:dyDescent="0.25">
      <c r="A114" s="123" t="s">
        <v>134</v>
      </c>
      <c r="B114" s="124"/>
      <c r="C114" s="105">
        <v>0</v>
      </c>
      <c r="D114" s="18">
        <f ca="1">((100/H104)*C114)/100</f>
        <v>0</v>
      </c>
      <c r="E114" s="128"/>
      <c r="F114" s="129"/>
      <c r="G114" s="128"/>
      <c r="H114" s="133"/>
      <c r="I114" s="13" t="s">
        <v>141</v>
      </c>
      <c r="J114" s="29">
        <f>(IF(B104&gt;4,(H104/(B104+2)+J113),0))</f>
        <v>0</v>
      </c>
    </row>
    <row r="115" spans="1:22" ht="15.75" customHeight="1" x14ac:dyDescent="0.25">
      <c r="A115" s="123" t="s">
        <v>129</v>
      </c>
      <c r="B115" s="124" t="s">
        <v>129</v>
      </c>
      <c r="C115" s="105">
        <v>0</v>
      </c>
      <c r="D115" s="18">
        <f ca="1">((100/(H104))*C115)/100</f>
        <v>0</v>
      </c>
      <c r="E115" s="128"/>
      <c r="F115" s="129"/>
      <c r="G115" s="128"/>
      <c r="H115" s="133"/>
      <c r="I115" s="13" t="s">
        <v>145</v>
      </c>
      <c r="J115" s="29">
        <f ca="1">(IF(B104=1,(H104/(B104+3)+J110),IF(B104=0,(H104/4+J110),IF(B104&gt;1,0))))</f>
        <v>19.5</v>
      </c>
    </row>
    <row r="116" spans="1:22" ht="16.5" thickBot="1" x14ac:dyDescent="0.3">
      <c r="A116" s="135" t="s">
        <v>130</v>
      </c>
      <c r="B116" s="136"/>
      <c r="C116" s="104">
        <v>0</v>
      </c>
      <c r="D116" s="19">
        <f ca="1">((100/(H104))*C116)/100</f>
        <v>0</v>
      </c>
      <c r="E116" s="130"/>
      <c r="F116" s="131"/>
      <c r="G116" s="130"/>
      <c r="H116" s="134"/>
      <c r="I116" s="14" t="s">
        <v>101</v>
      </c>
      <c r="J116" s="31">
        <f ca="1">(IF(B104&gt;1.5,(H104/(B104+2)+J110+MAX(0,J111-J110)+MAX(0,J112-J111)+MAX(0,J113-J112)+MAX(0,J114-J113)+MAX(0,J115-J114)),IF(B104=1,(H104/(B104+3)+J115),IF(B104=0,H104/4+J115))))</f>
        <v>26</v>
      </c>
    </row>
    <row r="117" spans="1:22" x14ac:dyDescent="0.25">
      <c r="A117" s="251" t="s">
        <v>156</v>
      </c>
      <c r="B117" s="251"/>
      <c r="C117" s="251"/>
      <c r="D117" s="251"/>
      <c r="E117" s="251"/>
      <c r="F117" s="255" t="s">
        <v>160</v>
      </c>
      <c r="G117" s="255"/>
      <c r="H117" s="255"/>
      <c r="R117" t="s">
        <v>254</v>
      </c>
      <c r="S117" t="s">
        <v>173</v>
      </c>
      <c r="T117" t="s">
        <v>181</v>
      </c>
      <c r="U117" t="s">
        <v>195</v>
      </c>
      <c r="V117" t="s">
        <v>190</v>
      </c>
    </row>
    <row r="118" spans="1:22" x14ac:dyDescent="0.25">
      <c r="A118" s="172" t="s">
        <v>158</v>
      </c>
      <c r="B118" s="172"/>
      <c r="C118" s="172"/>
      <c r="D118" s="172"/>
      <c r="E118" s="172"/>
      <c r="F118" s="180">
        <v>6100</v>
      </c>
      <c r="G118" s="180"/>
      <c r="H118" s="180"/>
      <c r="J118" s="20" t="s">
        <v>427</v>
      </c>
      <c r="R118"/>
      <c r="S118">
        <v>800000</v>
      </c>
      <c r="T118">
        <v>150000</v>
      </c>
      <c r="U118">
        <v>100000</v>
      </c>
      <c r="V118">
        <v>100000</v>
      </c>
    </row>
    <row r="119" spans="1:22" x14ac:dyDescent="0.25">
      <c r="A119" s="172" t="s">
        <v>157</v>
      </c>
      <c r="B119" s="172"/>
      <c r="C119" s="172"/>
      <c r="D119" s="172"/>
      <c r="E119" s="172"/>
      <c r="F119" s="180">
        <v>14000</v>
      </c>
      <c r="G119" s="180"/>
      <c r="H119" s="180"/>
      <c r="R119"/>
      <c r="S119">
        <v>900000</v>
      </c>
      <c r="T119">
        <v>200000</v>
      </c>
      <c r="U119">
        <v>150000</v>
      </c>
      <c r="V119">
        <v>150000</v>
      </c>
    </row>
    <row r="120" spans="1:22" x14ac:dyDescent="0.25">
      <c r="A120" s="172" t="s">
        <v>159</v>
      </c>
      <c r="B120" s="172"/>
      <c r="C120" s="172"/>
      <c r="D120" s="172"/>
      <c r="E120" s="172"/>
      <c r="F120" s="180">
        <v>10000</v>
      </c>
      <c r="G120" s="180"/>
      <c r="H120" s="180"/>
      <c r="R120"/>
      <c r="S120">
        <v>1000000</v>
      </c>
      <c r="T120">
        <v>250000</v>
      </c>
      <c r="U120">
        <v>200000</v>
      </c>
      <c r="V120">
        <v>200000</v>
      </c>
    </row>
    <row r="121" spans="1:22" s="32" customFormat="1" hidden="1" x14ac:dyDescent="0.25">
      <c r="A121" s="172" t="s">
        <v>176</v>
      </c>
      <c r="B121" s="172"/>
      <c r="C121" s="172"/>
      <c r="D121" s="172"/>
      <c r="E121" s="172"/>
      <c r="F121" s="180"/>
      <c r="G121" s="180"/>
      <c r="H121" s="180"/>
      <c r="R121"/>
      <c r="S121">
        <v>1100000</v>
      </c>
      <c r="T121">
        <v>300000</v>
      </c>
      <c r="U121">
        <v>250000</v>
      </c>
      <c r="V121" s="22">
        <v>250000</v>
      </c>
    </row>
    <row r="122" spans="1:22" s="32" customFormat="1" x14ac:dyDescent="0.25">
      <c r="A122" s="172" t="s">
        <v>92</v>
      </c>
      <c r="B122" s="172"/>
      <c r="C122" s="172"/>
      <c r="D122" s="172"/>
      <c r="E122" s="172"/>
      <c r="F122" s="180">
        <v>100000</v>
      </c>
      <c r="G122" s="180"/>
      <c r="H122" s="180"/>
      <c r="R122"/>
      <c r="S122">
        <v>1200000</v>
      </c>
      <c r="T122">
        <v>350000</v>
      </c>
      <c r="U122">
        <v>300000</v>
      </c>
      <c r="V122">
        <v>300000</v>
      </c>
    </row>
    <row r="123" spans="1:22" s="32" customFormat="1" x14ac:dyDescent="0.25">
      <c r="A123" s="172" t="s">
        <v>93</v>
      </c>
      <c r="B123" s="172"/>
      <c r="C123" s="172"/>
      <c r="D123" s="172"/>
      <c r="E123" s="172"/>
      <c r="F123" s="180">
        <v>200000</v>
      </c>
      <c r="G123" s="180"/>
      <c r="H123" s="180"/>
      <c r="R123"/>
      <c r="S123">
        <v>1300000</v>
      </c>
      <c r="T123">
        <v>400000</v>
      </c>
      <c r="U123">
        <v>350000</v>
      </c>
      <c r="V123" s="22">
        <v>400000</v>
      </c>
    </row>
    <row r="124" spans="1:22" s="32" customFormat="1" x14ac:dyDescent="0.25">
      <c r="A124" s="172" t="s">
        <v>423</v>
      </c>
      <c r="B124" s="172"/>
      <c r="C124" s="172"/>
      <c r="D124" s="172"/>
      <c r="E124" s="172"/>
      <c r="F124" s="180">
        <v>50000</v>
      </c>
      <c r="G124" s="180"/>
      <c r="H124" s="180"/>
      <c r="R124"/>
      <c r="S124">
        <v>1400000</v>
      </c>
      <c r="T124">
        <v>500000</v>
      </c>
      <c r="U124">
        <v>400000</v>
      </c>
      <c r="V124"/>
    </row>
    <row r="125" spans="1:22" s="32" customFormat="1" hidden="1" x14ac:dyDescent="0.25">
      <c r="A125" s="172" t="s">
        <v>94</v>
      </c>
      <c r="B125" s="172"/>
      <c r="C125" s="172"/>
      <c r="D125" s="172"/>
      <c r="E125" s="172"/>
      <c r="F125" s="180"/>
      <c r="G125" s="180"/>
      <c r="H125" s="180"/>
      <c r="R125"/>
      <c r="S125">
        <v>1500000</v>
      </c>
      <c r="T125">
        <v>600000</v>
      </c>
      <c r="U125">
        <v>500000</v>
      </c>
      <c r="V125" s="22"/>
    </row>
    <row r="126" spans="1:22" s="32" customFormat="1" x14ac:dyDescent="0.25">
      <c r="A126" s="172" t="s">
        <v>95</v>
      </c>
      <c r="B126" s="172"/>
      <c r="C126" s="172"/>
      <c r="D126" s="172"/>
      <c r="E126" s="172"/>
      <c r="F126" s="180">
        <v>50000</v>
      </c>
      <c r="G126" s="180"/>
      <c r="H126" s="180"/>
      <c r="R126"/>
      <c r="S126">
        <v>1600000</v>
      </c>
      <c r="T126">
        <v>700000</v>
      </c>
      <c r="U126">
        <v>600000</v>
      </c>
      <c r="V126"/>
    </row>
    <row r="127" spans="1:22" s="32" customFormat="1" hidden="1" x14ac:dyDescent="0.25">
      <c r="A127" s="172" t="s">
        <v>96</v>
      </c>
      <c r="B127" s="172"/>
      <c r="C127" s="172"/>
      <c r="D127" s="172"/>
      <c r="E127" s="172"/>
      <c r="F127" s="180"/>
      <c r="G127" s="180"/>
      <c r="H127" s="180"/>
      <c r="R127"/>
      <c r="S127">
        <v>1700000</v>
      </c>
      <c r="T127">
        <v>800000</v>
      </c>
      <c r="U127"/>
      <c r="V127" s="22"/>
    </row>
    <row r="128" spans="1:22" x14ac:dyDescent="0.25">
      <c r="A128" s="172" t="s">
        <v>49</v>
      </c>
      <c r="B128" s="172"/>
      <c r="C128" s="172"/>
      <c r="D128" s="172"/>
      <c r="E128" s="172"/>
      <c r="F128" s="180">
        <v>400000</v>
      </c>
      <c r="G128" s="180"/>
      <c r="H128" s="180"/>
      <c r="R128"/>
      <c r="S128">
        <v>1800000</v>
      </c>
      <c r="T128">
        <v>900000</v>
      </c>
      <c r="U128"/>
    </row>
    <row r="129" spans="1:22" s="33" customFormat="1" x14ac:dyDescent="0.25">
      <c r="A129" s="200" t="s">
        <v>50</v>
      </c>
      <c r="B129" s="200"/>
      <c r="C129" s="200"/>
      <c r="D129" s="200"/>
      <c r="E129" s="200"/>
      <c r="F129" s="180">
        <f>F118*0.8</f>
        <v>4880</v>
      </c>
      <c r="G129" s="180"/>
      <c r="H129" s="180"/>
      <c r="R129" s="20"/>
      <c r="S129" s="20"/>
      <c r="T129">
        <v>1000000</v>
      </c>
      <c r="U129"/>
      <c r="V129" s="20"/>
    </row>
    <row r="130" spans="1:22" s="34" customFormat="1" ht="15.75" customHeight="1" x14ac:dyDescent="0.25">
      <c r="A130" s="176" t="s">
        <v>72</v>
      </c>
      <c r="B130" s="176"/>
      <c r="C130" s="176"/>
      <c r="D130" s="176"/>
      <c r="E130" s="176"/>
      <c r="F130" s="176"/>
      <c r="G130" s="176"/>
      <c r="H130" s="176"/>
      <c r="R130"/>
      <c r="S130" s="20"/>
      <c r="T130"/>
      <c r="U130"/>
      <c r="V130" s="20"/>
    </row>
    <row r="131" spans="1:22" s="34" customFormat="1" ht="15.75" customHeight="1" x14ac:dyDescent="0.25">
      <c r="A131" s="247" t="s">
        <v>51</v>
      </c>
      <c r="B131" s="247"/>
      <c r="C131" s="178" t="s">
        <v>75</v>
      </c>
      <c r="D131" s="178"/>
      <c r="E131" s="256" t="s">
        <v>52</v>
      </c>
      <c r="F131" s="256"/>
      <c r="G131" s="247" t="s">
        <v>53</v>
      </c>
      <c r="H131" s="247"/>
      <c r="R131"/>
      <c r="S131" s="20"/>
      <c r="T131"/>
      <c r="U131" s="20"/>
      <c r="V131" s="20"/>
    </row>
    <row r="132" spans="1:22" s="34" customFormat="1" x14ac:dyDescent="0.25">
      <c r="A132" s="141" t="s">
        <v>382</v>
      </c>
      <c r="B132" s="141"/>
      <c r="C132" s="142">
        <f>COUNT(D149:D162)+COUNT(D165:D177)</f>
        <v>27</v>
      </c>
      <c r="D132" s="143"/>
      <c r="E132" s="142">
        <f t="shared" ref="E132" si="0">SUM(F149:F162)+SUM(F165:F177)</f>
        <v>11927.104020000001</v>
      </c>
      <c r="F132" s="143"/>
      <c r="G132" s="142">
        <f t="shared" ref="G132" si="1">SUM(H149:H162)+SUM(H165:H177)</f>
        <v>17890.656029999995</v>
      </c>
      <c r="H132" s="143"/>
      <c r="R132"/>
      <c r="S132" s="20"/>
      <c r="T132"/>
      <c r="U132" s="20"/>
      <c r="V132" s="20"/>
    </row>
    <row r="133" spans="1:22" s="34" customFormat="1" x14ac:dyDescent="0.25">
      <c r="A133" s="141" t="s">
        <v>387</v>
      </c>
      <c r="B133" s="141"/>
      <c r="C133" s="142">
        <f>COUNT(D180:D190)+COUNT(D192:D197)</f>
        <v>17</v>
      </c>
      <c r="D133" s="143"/>
      <c r="E133" s="142">
        <f t="shared" ref="E133" si="2">SUM(F180:F190)+SUM(F192:F197)</f>
        <v>8593.6869719999995</v>
      </c>
      <c r="F133" s="143"/>
      <c r="G133" s="142">
        <f t="shared" ref="G133" si="3">SUM(H180:H190)+SUM(H192:H197)</f>
        <v>12890.530458000001</v>
      </c>
      <c r="H133" s="143"/>
      <c r="R133"/>
      <c r="S133" s="20"/>
      <c r="T133"/>
      <c r="U133" s="20"/>
      <c r="V133" s="20"/>
    </row>
    <row r="134" spans="1:22" s="34" customFormat="1" x14ac:dyDescent="0.25">
      <c r="A134" s="141" t="s">
        <v>402</v>
      </c>
      <c r="B134" s="141"/>
      <c r="C134" s="142">
        <f>COUNT(D205:D212)</f>
        <v>8</v>
      </c>
      <c r="D134" s="143"/>
      <c r="E134" s="142">
        <f t="shared" ref="E134" si="4">SUM(F205:F212)</f>
        <v>2535.5786040000003</v>
      </c>
      <c r="F134" s="143"/>
      <c r="G134" s="142">
        <f t="shared" ref="G134" si="5">SUM(H205:H212)</f>
        <v>3803.3679060000004</v>
      </c>
      <c r="H134" s="143"/>
      <c r="R134"/>
      <c r="S134" s="20"/>
      <c r="T134"/>
      <c r="U134" s="20"/>
      <c r="V134" s="20"/>
    </row>
    <row r="135" spans="1:22" s="34" customFormat="1" x14ac:dyDescent="0.25">
      <c r="A135" s="176" t="s">
        <v>149</v>
      </c>
      <c r="B135" s="176"/>
      <c r="C135" s="177">
        <f>C132+C133+C134</f>
        <v>52</v>
      </c>
      <c r="D135" s="178"/>
      <c r="E135" s="177">
        <f t="shared" ref="E135" si="6">E132+E133+E134</f>
        <v>23056.369596000004</v>
      </c>
      <c r="F135" s="178"/>
      <c r="G135" s="177">
        <f t="shared" ref="G135" si="7">G132+G133+G134</f>
        <v>34584.554393999999</v>
      </c>
      <c r="H135" s="178"/>
      <c r="R135"/>
      <c r="S135" s="20"/>
      <c r="T135"/>
      <c r="U135" s="20"/>
      <c r="V135" s="20"/>
    </row>
    <row r="136" spans="1:22" s="34" customFormat="1" x14ac:dyDescent="0.25">
      <c r="A136" s="176" t="s">
        <v>67</v>
      </c>
      <c r="B136" s="176"/>
      <c r="C136" s="176"/>
      <c r="D136" s="176"/>
      <c r="E136" s="176"/>
      <c r="F136" s="176"/>
      <c r="G136" s="176"/>
      <c r="H136" s="176"/>
      <c r="T136"/>
    </row>
    <row r="137" spans="1:22" s="34" customFormat="1" ht="15.75" customHeight="1" x14ac:dyDescent="0.25">
      <c r="A137" s="247" t="s">
        <v>51</v>
      </c>
      <c r="B137" s="247"/>
      <c r="C137" s="178" t="s">
        <v>75</v>
      </c>
      <c r="D137" s="178"/>
      <c r="E137" s="256" t="s">
        <v>52</v>
      </c>
      <c r="F137" s="256"/>
      <c r="G137" s="247" t="s">
        <v>53</v>
      </c>
      <c r="H137" s="247"/>
      <c r="T137"/>
    </row>
    <row r="138" spans="1:22" s="34" customFormat="1" x14ac:dyDescent="0.25">
      <c r="A138" s="141" t="s">
        <v>382</v>
      </c>
      <c r="B138" s="141"/>
      <c r="C138" s="142">
        <f>COUNT(D226:D233)+COUNT(D235:D242)*9+COUNT(D244:D249,D251)*4+COUNT(D253:D260)+COUNT(D262:D269)*5+COUNT(D271:D276,D278)</f>
        <v>163</v>
      </c>
      <c r="D138" s="142"/>
      <c r="E138" s="142">
        <f t="shared" ref="E138" si="8">SUM(F226:F233)+SUM(F235:F242)*9+SUM(F244:F249,F251)*4+SUM(F253:F260)+SUM(F262:F269)*5+SUM(F271:F276,F278)</f>
        <v>138122.35901099999</v>
      </c>
      <c r="F138" s="142"/>
      <c r="G138" s="142">
        <f t="shared" ref="G138" si="9">SUM(H226:H233)+SUM(H235:H242)*9+SUM(H244:H249,H251)*4+SUM(H253:H260)+SUM(H262:H269)*5+SUM(H271:H276,H278)</f>
        <v>207551.93282849999</v>
      </c>
      <c r="H138" s="142"/>
      <c r="T138"/>
    </row>
    <row r="139" spans="1:22" s="34" customFormat="1" x14ac:dyDescent="0.25">
      <c r="A139" s="141" t="s">
        <v>387</v>
      </c>
      <c r="B139" s="141"/>
      <c r="C139" s="142">
        <f>COUNT(D283:D286)*11+COUNT(D289:D291)*4+COUNT(D293:D296)*5+COUNT(D299:D301)</f>
        <v>79</v>
      </c>
      <c r="D139" s="142"/>
      <c r="E139" s="142">
        <f t="shared" ref="E139" si="10">SUM(F283:F286)*11+SUM(F289:F291)*4+SUM(F293:F296)*5+SUM(F299:F301)</f>
        <v>64329.237648000002</v>
      </c>
      <c r="F139" s="142"/>
      <c r="G139" s="142">
        <f t="shared" ref="G139" si="11">SUM(H283:H286)*11+SUM(H289:H291)*4+SUM(H293:H296)*5+SUM(H299:H301)</f>
        <v>96493.856471999999</v>
      </c>
      <c r="H139" s="142"/>
      <c r="T139"/>
    </row>
    <row r="140" spans="1:22" s="34" customFormat="1" x14ac:dyDescent="0.25">
      <c r="A140" s="141" t="s">
        <v>402</v>
      </c>
      <c r="B140" s="141"/>
      <c r="C140" s="142">
        <f>COUNT(D306:D312)*11+COUNT(D314:D319)*4+COUNT(D322:D328)*5+COUNT(D330:D335)</f>
        <v>142</v>
      </c>
      <c r="D140" s="142"/>
      <c r="E140" s="142">
        <f t="shared" ref="E140" si="12">SUM(F306:F312)*11+SUM(F314:F319)*4+SUM(F322:F328)*5+SUM(F330:F335)</f>
        <v>70839.708498000007</v>
      </c>
      <c r="F140" s="142"/>
      <c r="G140" s="142">
        <f t="shared" ref="G140" si="13">SUM(H306:H312)*11+SUM(H314:H319)*4+SUM(H322:H328)*5+SUM(H330:H335)</f>
        <v>106259.56274699999</v>
      </c>
      <c r="H140" s="142"/>
      <c r="T140"/>
    </row>
    <row r="141" spans="1:22" s="34" customFormat="1" ht="16.5" thickBot="1" x14ac:dyDescent="0.3">
      <c r="A141" s="173" t="s">
        <v>149</v>
      </c>
      <c r="B141" s="173"/>
      <c r="C141" s="174">
        <f>C138+C139+C140</f>
        <v>384</v>
      </c>
      <c r="D141" s="175"/>
      <c r="E141" s="174">
        <f t="shared" ref="E141" si="14">E138+E139+E140</f>
        <v>273291.30515700002</v>
      </c>
      <c r="F141" s="175"/>
      <c r="G141" s="174">
        <f t="shared" ref="G141" si="15">G138+G139+G140</f>
        <v>410305.35204749997</v>
      </c>
      <c r="H141" s="175"/>
      <c r="T141"/>
    </row>
    <row r="142" spans="1:22" s="34" customFormat="1" x14ac:dyDescent="0.25">
      <c r="A142" s="249" t="s">
        <v>166</v>
      </c>
      <c r="B142" s="250"/>
      <c r="C142" s="248">
        <f>C135+C141</f>
        <v>436</v>
      </c>
      <c r="D142" s="248"/>
      <c r="E142" s="196">
        <f>E135+E141</f>
        <v>296347.67475300003</v>
      </c>
      <c r="F142" s="196"/>
      <c r="G142" s="188">
        <f>G135+G141</f>
        <v>444889.90644149994</v>
      </c>
      <c r="H142" s="189"/>
      <c r="T142"/>
    </row>
    <row r="143" spans="1:22" s="33" customFormat="1" x14ac:dyDescent="0.25">
      <c r="A143" s="242" t="s">
        <v>54</v>
      </c>
      <c r="B143" s="242"/>
      <c r="C143" s="242"/>
      <c r="D143" s="242"/>
      <c r="E143" s="242"/>
      <c r="F143" s="242"/>
      <c r="G143" s="242"/>
      <c r="H143" s="242"/>
      <c r="T143" s="34"/>
    </row>
    <row r="144" spans="1:22" x14ac:dyDescent="0.25">
      <c r="A144" s="264" t="s">
        <v>175</v>
      </c>
      <c r="B144" s="264"/>
      <c r="C144" s="264"/>
      <c r="D144" s="264"/>
      <c r="E144" s="264"/>
      <c r="F144" s="264"/>
      <c r="G144" s="264"/>
      <c r="H144" s="264"/>
      <c r="T144" s="34"/>
    </row>
    <row r="145" spans="1:20" s="22" customFormat="1" ht="47.25" customHeight="1" x14ac:dyDescent="0.25">
      <c r="A145" s="158" t="s">
        <v>422</v>
      </c>
      <c r="B145" s="158" t="s">
        <v>177</v>
      </c>
      <c r="C145" s="158" t="s">
        <v>55</v>
      </c>
      <c r="D145" s="158" t="s">
        <v>233</v>
      </c>
      <c r="E145" s="192" t="s">
        <v>155</v>
      </c>
      <c r="F145" s="158" t="s">
        <v>56</v>
      </c>
      <c r="G145" s="192" t="s">
        <v>57</v>
      </c>
      <c r="H145" s="109" t="s">
        <v>147</v>
      </c>
      <c r="I145" s="99">
        <v>10.763999999999999</v>
      </c>
      <c r="T145" s="100"/>
    </row>
    <row r="146" spans="1:20" s="101" customFormat="1" x14ac:dyDescent="0.25">
      <c r="A146" s="158"/>
      <c r="B146" s="158"/>
      <c r="C146" s="158"/>
      <c r="D146" s="158"/>
      <c r="E146" s="192"/>
      <c r="F146" s="158"/>
      <c r="G146" s="192"/>
      <c r="H146" s="110">
        <v>0.5</v>
      </c>
      <c r="T146" s="100"/>
    </row>
    <row r="147" spans="1:20" s="89" customFormat="1" x14ac:dyDescent="0.25">
      <c r="A147" s="274" t="s">
        <v>382</v>
      </c>
      <c r="B147" s="274"/>
      <c r="C147" s="274"/>
      <c r="D147" s="274"/>
      <c r="E147" s="274"/>
      <c r="F147" s="274"/>
      <c r="G147" s="274"/>
      <c r="H147" s="274"/>
      <c r="J147" s="35"/>
      <c r="T147" s="34"/>
    </row>
    <row r="148" spans="1:20" s="36" customFormat="1" x14ac:dyDescent="0.25">
      <c r="A148" s="147" t="s">
        <v>384</v>
      </c>
      <c r="B148" s="147"/>
      <c r="C148" s="147"/>
      <c r="D148" s="147"/>
      <c r="E148" s="147"/>
      <c r="F148" s="147"/>
      <c r="G148" s="147"/>
      <c r="H148" s="147"/>
      <c r="J148" s="35"/>
      <c r="T148" s="34"/>
    </row>
    <row r="149" spans="1:20" s="36" customFormat="1" ht="60.75" customHeight="1" x14ac:dyDescent="0.25">
      <c r="A149" s="148">
        <v>1</v>
      </c>
      <c r="B149" s="148"/>
      <c r="C149" s="103" t="s">
        <v>385</v>
      </c>
      <c r="D149" s="103">
        <f>(187.095)*10.764</f>
        <v>2013.8905799999998</v>
      </c>
      <c r="E149" s="103">
        <v>0</v>
      </c>
      <c r="F149" s="103">
        <f>D149+(IF(E149&lt;201,E149,IF(E149&lt;301,E149/2,E149/3)))</f>
        <v>2013.8905799999998</v>
      </c>
      <c r="G149" s="62">
        <v>0</v>
      </c>
      <c r="H149" s="103">
        <f>(F149+(IF(G149&lt;101,G149,IF(G149&lt;201,G149/2,IF(G149&lt;=301,G149/3,G149/4)))))*(($H$146)+1)</f>
        <v>3020.8358699999999</v>
      </c>
      <c r="I149" s="35"/>
      <c r="L149" s="139"/>
      <c r="M149" s="139"/>
      <c r="N149" s="35"/>
      <c r="T149" s="34"/>
    </row>
    <row r="150" spans="1:20" s="36" customFormat="1" ht="15.75" customHeight="1" x14ac:dyDescent="0.25">
      <c r="A150" s="137">
        <f>A149+1</f>
        <v>2</v>
      </c>
      <c r="B150" s="138"/>
      <c r="C150" s="88" t="s">
        <v>383</v>
      </c>
      <c r="D150" s="88">
        <f>(30.254)*10.764</f>
        <v>325.65405599999997</v>
      </c>
      <c r="E150" s="41">
        <v>0</v>
      </c>
      <c r="F150" s="61">
        <f>D150+(IF(E150&lt;201,E150,IF(E150&lt;301,E150/2,E150/3)))</f>
        <v>325.65405599999997</v>
      </c>
      <c r="G150" s="55">
        <v>0</v>
      </c>
      <c r="H150" s="61">
        <f>(F150+(IF(G150&lt;101,G150,IF(G150&lt;201,G150/2,IF(G150&lt;=301,G150/3,G150/4)))))*(($H$146)+1)</f>
        <v>488.48108399999995</v>
      </c>
      <c r="I150" s="35">
        <f>3.05*8.269+1.7*1.65+1.2*1.5</f>
        <v>29.82545</v>
      </c>
      <c r="L150" s="139"/>
      <c r="M150" s="139"/>
      <c r="N150" s="35"/>
      <c r="T150" s="33"/>
    </row>
    <row r="151" spans="1:20" s="36" customFormat="1" ht="15.75" customHeight="1" x14ac:dyDescent="0.25">
      <c r="A151" s="137">
        <f>A150+1</f>
        <v>3</v>
      </c>
      <c r="B151" s="138"/>
      <c r="C151" s="88" t="s">
        <v>383</v>
      </c>
      <c r="D151" s="88">
        <f>(30.254)*10.764</f>
        <v>325.65405599999997</v>
      </c>
      <c r="E151" s="41">
        <v>0</v>
      </c>
      <c r="F151" s="61">
        <f>D151+(IF(E151&lt;201,E151,IF(E151&lt;301,E151/2,E151/3)))</f>
        <v>325.65405599999997</v>
      </c>
      <c r="G151" s="55">
        <v>0</v>
      </c>
      <c r="H151" s="61">
        <f>(F151+(IF(G151&lt;101,G151,IF(G151&lt;201,G151/2,IF(G151&lt;=301,G151/3,G151/4)))))*(($H$146)+1)</f>
        <v>488.48108399999995</v>
      </c>
      <c r="I151" s="35"/>
      <c r="L151" s="139"/>
      <c r="M151" s="139"/>
      <c r="N151" s="35"/>
      <c r="T151" s="20"/>
    </row>
    <row r="152" spans="1:20" s="36" customFormat="1" ht="15.75" customHeight="1" x14ac:dyDescent="0.25">
      <c r="A152" s="137">
        <f>A151+1</f>
        <v>4</v>
      </c>
      <c r="B152" s="138"/>
      <c r="C152" s="88" t="s">
        <v>383</v>
      </c>
      <c r="D152" s="88">
        <f>(39.687)*10.764</f>
        <v>427.19086799999997</v>
      </c>
      <c r="E152" s="41">
        <v>0</v>
      </c>
      <c r="F152" s="61">
        <f>D152+(IF(E152&lt;201,E152,IF(E152&lt;301,E152/2,E152/3)))</f>
        <v>427.19086799999997</v>
      </c>
      <c r="G152" s="55">
        <v>0</v>
      </c>
      <c r="H152" s="61">
        <f>(F152+(IF(G152&lt;101,G152,IF(G152&lt;201,G152/2,IF(G152&lt;=301,G152/3,G152/4)))))*(($H$146)+1)</f>
        <v>640.78630199999998</v>
      </c>
      <c r="I152" s="35"/>
      <c r="L152" s="139"/>
      <c r="M152" s="139"/>
      <c r="N152" s="35"/>
      <c r="T152" s="20"/>
    </row>
    <row r="153" spans="1:20" s="89" customFormat="1" ht="15.75" customHeight="1" x14ac:dyDescent="0.25">
      <c r="A153" s="137">
        <f t="shared" ref="A153:A162" si="16">A152+1</f>
        <v>5</v>
      </c>
      <c r="B153" s="138"/>
      <c r="C153" s="88" t="s">
        <v>383</v>
      </c>
      <c r="D153" s="88">
        <f>(42.408)*10.764</f>
        <v>456.47971200000001</v>
      </c>
      <c r="E153" s="88">
        <v>0</v>
      </c>
      <c r="F153" s="88">
        <f t="shared" ref="F153:F162" si="17">D153+(IF(E153&lt;201,E153,IF(E153&lt;301,E153/2,E153/3)))</f>
        <v>456.47971200000001</v>
      </c>
      <c r="G153" s="88">
        <v>0</v>
      </c>
      <c r="H153" s="88">
        <f t="shared" ref="H153:H162" si="18">(F153+(IF(G153&lt;101,G153,IF(G153&lt;201,G153/2,IF(G153&lt;=301,G153/3,G153/4)))))*(($H$146)+1)</f>
        <v>684.71956799999998</v>
      </c>
      <c r="I153" s="35"/>
      <c r="L153" s="139"/>
      <c r="M153" s="139"/>
      <c r="N153" s="35"/>
      <c r="T153" s="20"/>
    </row>
    <row r="154" spans="1:20" s="89" customFormat="1" ht="15.75" customHeight="1" x14ac:dyDescent="0.25">
      <c r="A154" s="137">
        <f t="shared" si="16"/>
        <v>6</v>
      </c>
      <c r="B154" s="138"/>
      <c r="C154" s="88" t="s">
        <v>383</v>
      </c>
      <c r="D154" s="88">
        <f>(41.841)*10.764</f>
        <v>450.37652399999996</v>
      </c>
      <c r="E154" s="88">
        <v>0</v>
      </c>
      <c r="F154" s="88">
        <f t="shared" si="17"/>
        <v>450.37652399999996</v>
      </c>
      <c r="G154" s="88">
        <v>0</v>
      </c>
      <c r="H154" s="88">
        <f t="shared" si="18"/>
        <v>675.56478599999991</v>
      </c>
      <c r="I154" s="35"/>
      <c r="L154" s="139"/>
      <c r="M154" s="139"/>
      <c r="N154" s="35"/>
      <c r="T154" s="20"/>
    </row>
    <row r="155" spans="1:20" s="89" customFormat="1" ht="15.75" customHeight="1" x14ac:dyDescent="0.25">
      <c r="A155" s="137">
        <f t="shared" si="16"/>
        <v>7</v>
      </c>
      <c r="B155" s="138"/>
      <c r="C155" s="88" t="s">
        <v>383</v>
      </c>
      <c r="D155" s="88">
        <f>(39.095)*10.764</f>
        <v>420.81857999999994</v>
      </c>
      <c r="E155" s="88">
        <v>0</v>
      </c>
      <c r="F155" s="88">
        <f t="shared" si="17"/>
        <v>420.81857999999994</v>
      </c>
      <c r="G155" s="88">
        <v>0</v>
      </c>
      <c r="H155" s="88">
        <f t="shared" si="18"/>
        <v>631.22786999999994</v>
      </c>
      <c r="I155" s="35">
        <f>3.05*11.168+1.7*1.65+1.2*1.5</f>
        <v>38.667399999999994</v>
      </c>
      <c r="L155" s="139"/>
      <c r="M155" s="139"/>
      <c r="N155" s="35"/>
      <c r="T155" s="20"/>
    </row>
    <row r="156" spans="1:20" s="89" customFormat="1" ht="15.75" customHeight="1" x14ac:dyDescent="0.25">
      <c r="A156" s="137">
        <f t="shared" si="16"/>
        <v>8</v>
      </c>
      <c r="B156" s="138"/>
      <c r="C156" s="88" t="s">
        <v>383</v>
      </c>
      <c r="D156" s="88">
        <f>(39.095)*10.764</f>
        <v>420.81857999999994</v>
      </c>
      <c r="E156" s="88">
        <v>0</v>
      </c>
      <c r="F156" s="88">
        <f t="shared" si="17"/>
        <v>420.81857999999994</v>
      </c>
      <c r="G156" s="88">
        <v>0</v>
      </c>
      <c r="H156" s="88">
        <f t="shared" si="18"/>
        <v>631.22786999999994</v>
      </c>
      <c r="I156" s="35"/>
      <c r="L156" s="139"/>
      <c r="M156" s="139"/>
      <c r="N156" s="35"/>
      <c r="T156" s="20"/>
    </row>
    <row r="157" spans="1:20" s="89" customFormat="1" ht="15.75" customHeight="1" x14ac:dyDescent="0.25">
      <c r="A157" s="137">
        <f t="shared" si="16"/>
        <v>9</v>
      </c>
      <c r="B157" s="138"/>
      <c r="C157" s="88" t="s">
        <v>383</v>
      </c>
      <c r="D157" s="88">
        <f>(39.095)*10.764</f>
        <v>420.81857999999994</v>
      </c>
      <c r="E157" s="88">
        <v>0</v>
      </c>
      <c r="F157" s="88">
        <f t="shared" si="17"/>
        <v>420.81857999999994</v>
      </c>
      <c r="G157" s="88">
        <v>0</v>
      </c>
      <c r="H157" s="88">
        <f t="shared" si="18"/>
        <v>631.22786999999994</v>
      </c>
      <c r="I157" s="35"/>
      <c r="L157" s="139"/>
      <c r="M157" s="139"/>
      <c r="N157" s="35"/>
      <c r="T157" s="20"/>
    </row>
    <row r="158" spans="1:20" s="89" customFormat="1" ht="15.75" customHeight="1" x14ac:dyDescent="0.25">
      <c r="A158" s="137">
        <f t="shared" si="16"/>
        <v>10</v>
      </c>
      <c r="B158" s="138"/>
      <c r="C158" s="88" t="s">
        <v>383</v>
      </c>
      <c r="D158" s="88">
        <f>(41.355)*10.764</f>
        <v>445.14521999999994</v>
      </c>
      <c r="E158" s="88">
        <v>0</v>
      </c>
      <c r="F158" s="88">
        <f t="shared" si="17"/>
        <v>445.14521999999994</v>
      </c>
      <c r="G158" s="88">
        <v>0</v>
      </c>
      <c r="H158" s="88">
        <f t="shared" si="18"/>
        <v>667.71782999999994</v>
      </c>
      <c r="I158" s="35"/>
      <c r="L158" s="139"/>
      <c r="M158" s="139"/>
      <c r="N158" s="35"/>
      <c r="T158" s="20"/>
    </row>
    <row r="159" spans="1:20" s="89" customFormat="1" ht="15.75" customHeight="1" x14ac:dyDescent="0.25">
      <c r="A159" s="137">
        <f t="shared" si="16"/>
        <v>11</v>
      </c>
      <c r="B159" s="138"/>
      <c r="C159" s="88" t="s">
        <v>383</v>
      </c>
      <c r="D159" s="88">
        <f>(41.841)*10.764</f>
        <v>450.37652399999996</v>
      </c>
      <c r="E159" s="88">
        <v>0</v>
      </c>
      <c r="F159" s="88">
        <f t="shared" si="17"/>
        <v>450.37652399999996</v>
      </c>
      <c r="G159" s="88">
        <v>0</v>
      </c>
      <c r="H159" s="88">
        <f t="shared" si="18"/>
        <v>675.56478599999991</v>
      </c>
      <c r="I159" s="35"/>
      <c r="L159" s="139"/>
      <c r="M159" s="139"/>
      <c r="N159" s="35"/>
      <c r="T159" s="20"/>
    </row>
    <row r="160" spans="1:20" s="89" customFormat="1" ht="15.75" customHeight="1" x14ac:dyDescent="0.25">
      <c r="A160" s="137">
        <f t="shared" si="16"/>
        <v>12</v>
      </c>
      <c r="B160" s="138"/>
      <c r="C160" s="88" t="s">
        <v>383</v>
      </c>
      <c r="D160" s="88">
        <f>(41.67)*10.764</f>
        <v>448.53587999999996</v>
      </c>
      <c r="E160" s="88">
        <v>0</v>
      </c>
      <c r="F160" s="88">
        <f t="shared" si="17"/>
        <v>448.53587999999996</v>
      </c>
      <c r="G160" s="88">
        <v>0</v>
      </c>
      <c r="H160" s="88">
        <f t="shared" si="18"/>
        <v>672.80381999999997</v>
      </c>
      <c r="I160" s="35">
        <f>3.025*12.068+1.675*1.65+1.2*1.5</f>
        <v>41.069449999999996</v>
      </c>
      <c r="L160" s="139"/>
      <c r="M160" s="139"/>
      <c r="N160" s="35"/>
      <c r="T160" s="20"/>
    </row>
    <row r="161" spans="1:20" s="89" customFormat="1" ht="15.75" customHeight="1" x14ac:dyDescent="0.25">
      <c r="A161" s="137">
        <f t="shared" si="16"/>
        <v>13</v>
      </c>
      <c r="B161" s="138"/>
      <c r="C161" s="88" t="s">
        <v>383</v>
      </c>
      <c r="D161" s="88">
        <f>(41.67)*10.764</f>
        <v>448.53587999999996</v>
      </c>
      <c r="E161" s="88">
        <v>0</v>
      </c>
      <c r="F161" s="88">
        <f t="shared" si="17"/>
        <v>448.53587999999996</v>
      </c>
      <c r="G161" s="88">
        <v>0</v>
      </c>
      <c r="H161" s="88">
        <f t="shared" si="18"/>
        <v>672.80381999999997</v>
      </c>
      <c r="I161" s="35"/>
      <c r="L161" s="139"/>
      <c r="M161" s="139"/>
      <c r="N161" s="35"/>
      <c r="T161" s="20"/>
    </row>
    <row r="162" spans="1:20" s="89" customFormat="1" ht="15.75" customHeight="1" x14ac:dyDescent="0.25">
      <c r="A162" s="137">
        <f t="shared" si="16"/>
        <v>14</v>
      </c>
      <c r="B162" s="138"/>
      <c r="C162" s="88" t="s">
        <v>383</v>
      </c>
      <c r="D162" s="88">
        <f>(44.079)*10.764</f>
        <v>474.46635599999996</v>
      </c>
      <c r="E162" s="88">
        <v>0</v>
      </c>
      <c r="F162" s="88">
        <f t="shared" si="17"/>
        <v>474.46635599999996</v>
      </c>
      <c r="G162" s="88">
        <v>0</v>
      </c>
      <c r="H162" s="88">
        <f t="shared" si="18"/>
        <v>711.69953399999997</v>
      </c>
      <c r="I162" s="35"/>
      <c r="L162" s="139"/>
      <c r="M162" s="139"/>
      <c r="N162" s="35"/>
      <c r="T162" s="20"/>
    </row>
    <row r="163" spans="1:20" s="89" customFormat="1" x14ac:dyDescent="0.25">
      <c r="A163" s="144" t="s">
        <v>386</v>
      </c>
      <c r="B163" s="145"/>
      <c r="C163" s="145"/>
      <c r="D163" s="145"/>
      <c r="E163" s="145"/>
      <c r="F163" s="145"/>
      <c r="G163" s="145"/>
      <c r="H163" s="146"/>
      <c r="J163" s="35"/>
      <c r="T163" s="34"/>
    </row>
    <row r="164" spans="1:20" s="89" customFormat="1" ht="15.75" customHeight="1" x14ac:dyDescent="0.25">
      <c r="A164" s="137" t="s">
        <v>418</v>
      </c>
      <c r="B164" s="138"/>
      <c r="C164" s="137" t="s">
        <v>419</v>
      </c>
      <c r="D164" s="140"/>
      <c r="E164" s="140"/>
      <c r="F164" s="140"/>
      <c r="G164" s="140"/>
      <c r="H164" s="138"/>
      <c r="I164" s="35"/>
      <c r="L164" s="139"/>
      <c r="M164" s="139"/>
      <c r="N164" s="35"/>
      <c r="T164" s="34"/>
    </row>
    <row r="165" spans="1:20" s="89" customFormat="1" ht="15.75" customHeight="1" x14ac:dyDescent="0.25">
      <c r="A165" s="137">
        <v>1</v>
      </c>
      <c r="B165" s="138"/>
      <c r="C165" s="88" t="s">
        <v>383</v>
      </c>
      <c r="D165" s="88">
        <f>(30.652)*10.764</f>
        <v>329.93812800000001</v>
      </c>
      <c r="E165" s="88">
        <v>0</v>
      </c>
      <c r="F165" s="88">
        <f>D165+(IF(E165&lt;201,E165,IF(E165&lt;301,E165/2,E165/3)))</f>
        <v>329.93812800000001</v>
      </c>
      <c r="G165" s="62">
        <v>0</v>
      </c>
      <c r="H165" s="88">
        <f>(F165+(IF(G165&lt;101,G165,IF(G165&lt;201,G165/2,IF(G165&lt;=301,G165/3,G165/4)))))*(($H$146)+1)</f>
        <v>494.90719200000001</v>
      </c>
      <c r="I165" s="35"/>
      <c r="L165" s="139"/>
      <c r="M165" s="139"/>
      <c r="N165" s="35"/>
      <c r="T165" s="34"/>
    </row>
    <row r="166" spans="1:20" s="89" customFormat="1" ht="15.75" customHeight="1" x14ac:dyDescent="0.25">
      <c r="A166" s="137">
        <f>A165+1</f>
        <v>2</v>
      </c>
      <c r="B166" s="138"/>
      <c r="C166" s="88" t="s">
        <v>383</v>
      </c>
      <c r="D166" s="88">
        <f>(30.652)*10.764</f>
        <v>329.93812800000001</v>
      </c>
      <c r="E166" s="88">
        <v>0</v>
      </c>
      <c r="F166" s="88">
        <f>D166+(IF(E166&lt;201,E166,IF(E166&lt;301,E166/2,E166/3)))</f>
        <v>329.93812800000001</v>
      </c>
      <c r="G166" s="88">
        <v>0</v>
      </c>
      <c r="H166" s="88">
        <f>(F166+(IF(G166&lt;101,G166,IF(G166&lt;201,G166/2,IF(G166&lt;=301,G166/3,G166/4)))))*(($H$146)+1)</f>
        <v>494.90719200000001</v>
      </c>
      <c r="I166" s="35"/>
      <c r="L166" s="139"/>
      <c r="M166" s="139"/>
      <c r="N166" s="35"/>
      <c r="T166" s="33"/>
    </row>
    <row r="167" spans="1:20" s="89" customFormat="1" ht="15.75" customHeight="1" x14ac:dyDescent="0.25">
      <c r="A167" s="137">
        <f>A166+1</f>
        <v>3</v>
      </c>
      <c r="B167" s="138"/>
      <c r="C167" s="88" t="s">
        <v>383</v>
      </c>
      <c r="D167" s="88">
        <f>(36.466)*10.764</f>
        <v>392.52002399999998</v>
      </c>
      <c r="E167" s="88">
        <v>0</v>
      </c>
      <c r="F167" s="88">
        <f>D167+(IF(E167&lt;201,E167,IF(E167&lt;301,E167/2,E167/3)))</f>
        <v>392.52002399999998</v>
      </c>
      <c r="G167" s="88">
        <v>0</v>
      </c>
      <c r="H167" s="88">
        <f>(F167+(IF(G167&lt;101,G167,IF(G167&lt;201,G167/2,IF(G167&lt;=301,G167/3,G167/4)))))*(($H$146)+1)</f>
        <v>588.780036</v>
      </c>
      <c r="I167" s="35"/>
      <c r="L167" s="139"/>
      <c r="M167" s="139"/>
      <c r="N167" s="35"/>
      <c r="T167" s="20"/>
    </row>
    <row r="168" spans="1:20" s="89" customFormat="1" ht="15.75" customHeight="1" x14ac:dyDescent="0.25">
      <c r="A168" s="137">
        <f>A167+1</f>
        <v>4</v>
      </c>
      <c r="B168" s="138"/>
      <c r="C168" s="88" t="s">
        <v>383</v>
      </c>
      <c r="D168" s="88">
        <f t="shared" ref="D168:D173" si="19">(35.006)*10.764</f>
        <v>376.80458399999998</v>
      </c>
      <c r="E168" s="88">
        <v>0</v>
      </c>
      <c r="F168" s="88">
        <f>D168+(IF(E168&lt;201,E168,IF(E168&lt;301,E168/2,E168/3)))</f>
        <v>376.80458399999998</v>
      </c>
      <c r="G168" s="88">
        <v>0</v>
      </c>
      <c r="H168" s="88">
        <f>(F168+(IF(G168&lt;101,G168,IF(G168&lt;201,G168/2,IF(G168&lt;=301,G168/3,G168/4)))))*(($H$146)+1)</f>
        <v>565.20687599999997</v>
      </c>
      <c r="I168" s="35"/>
      <c r="L168" s="139"/>
      <c r="M168" s="139"/>
      <c r="N168" s="35"/>
      <c r="T168" s="20"/>
    </row>
    <row r="169" spans="1:20" s="89" customFormat="1" ht="15.75" customHeight="1" x14ac:dyDescent="0.25">
      <c r="A169" s="137">
        <f t="shared" ref="A169:A177" si="20">A168+1</f>
        <v>5</v>
      </c>
      <c r="B169" s="138"/>
      <c r="C169" s="88" t="s">
        <v>383</v>
      </c>
      <c r="D169" s="88">
        <f t="shared" si="19"/>
        <v>376.80458399999998</v>
      </c>
      <c r="E169" s="88">
        <v>0</v>
      </c>
      <c r="F169" s="88">
        <f t="shared" ref="F169:F177" si="21">D169+(IF(E169&lt;201,E169,IF(E169&lt;301,E169/2,E169/3)))</f>
        <v>376.80458399999998</v>
      </c>
      <c r="G169" s="88">
        <v>0</v>
      </c>
      <c r="H169" s="88">
        <f t="shared" ref="H169:H177" si="22">(F169+(IF(G169&lt;101,G169,IF(G169&lt;201,G169/2,IF(G169&lt;=301,G169/3,G169/4)))))*(($H$146)+1)</f>
        <v>565.20687599999997</v>
      </c>
      <c r="I169" s="35"/>
      <c r="L169" s="139"/>
      <c r="M169" s="139"/>
      <c r="N169" s="35"/>
      <c r="T169" s="20"/>
    </row>
    <row r="170" spans="1:20" s="89" customFormat="1" ht="15.75" customHeight="1" x14ac:dyDescent="0.25">
      <c r="A170" s="137">
        <f t="shared" si="20"/>
        <v>6</v>
      </c>
      <c r="B170" s="138"/>
      <c r="C170" s="88" t="s">
        <v>383</v>
      </c>
      <c r="D170" s="88">
        <f t="shared" si="19"/>
        <v>376.80458399999998</v>
      </c>
      <c r="E170" s="88">
        <v>0</v>
      </c>
      <c r="F170" s="88">
        <f t="shared" si="21"/>
        <v>376.80458399999998</v>
      </c>
      <c r="G170" s="88">
        <v>0</v>
      </c>
      <c r="H170" s="88">
        <f t="shared" si="22"/>
        <v>565.20687599999997</v>
      </c>
      <c r="I170" s="35"/>
      <c r="L170" s="139"/>
      <c r="M170" s="139"/>
      <c r="N170" s="35"/>
      <c r="T170" s="20"/>
    </row>
    <row r="171" spans="1:20" s="89" customFormat="1" ht="15.75" customHeight="1" x14ac:dyDescent="0.25">
      <c r="A171" s="137">
        <f t="shared" si="20"/>
        <v>7</v>
      </c>
      <c r="B171" s="138"/>
      <c r="C171" s="88" t="s">
        <v>383</v>
      </c>
      <c r="D171" s="88">
        <f t="shared" si="19"/>
        <v>376.80458399999998</v>
      </c>
      <c r="E171" s="88">
        <v>0</v>
      </c>
      <c r="F171" s="88">
        <f t="shared" si="21"/>
        <v>376.80458399999998</v>
      </c>
      <c r="G171" s="88">
        <v>0</v>
      </c>
      <c r="H171" s="88">
        <f t="shared" si="22"/>
        <v>565.20687599999997</v>
      </c>
      <c r="I171" s="35"/>
      <c r="L171" s="139"/>
      <c r="M171" s="139"/>
      <c r="N171" s="35"/>
      <c r="T171" s="20"/>
    </row>
    <row r="172" spans="1:20" s="89" customFormat="1" ht="15.75" customHeight="1" x14ac:dyDescent="0.25">
      <c r="A172" s="137">
        <f t="shared" si="20"/>
        <v>8</v>
      </c>
      <c r="B172" s="138"/>
      <c r="C172" s="88" t="s">
        <v>383</v>
      </c>
      <c r="D172" s="88">
        <f t="shared" si="19"/>
        <v>376.80458399999998</v>
      </c>
      <c r="E172" s="88">
        <v>0</v>
      </c>
      <c r="F172" s="88">
        <f t="shared" si="21"/>
        <v>376.80458399999998</v>
      </c>
      <c r="G172" s="88">
        <v>0</v>
      </c>
      <c r="H172" s="88">
        <f t="shared" si="22"/>
        <v>565.20687599999997</v>
      </c>
      <c r="I172" s="35"/>
      <c r="L172" s="139"/>
      <c r="M172" s="139"/>
      <c r="N172" s="35"/>
      <c r="T172" s="20"/>
    </row>
    <row r="173" spans="1:20" s="89" customFormat="1" ht="15.75" customHeight="1" x14ac:dyDescent="0.25">
      <c r="A173" s="137">
        <f t="shared" si="20"/>
        <v>9</v>
      </c>
      <c r="B173" s="138"/>
      <c r="C173" s="88" t="s">
        <v>383</v>
      </c>
      <c r="D173" s="88">
        <f t="shared" si="19"/>
        <v>376.80458399999998</v>
      </c>
      <c r="E173" s="88">
        <v>0</v>
      </c>
      <c r="F173" s="88">
        <f t="shared" si="21"/>
        <v>376.80458399999998</v>
      </c>
      <c r="G173" s="88">
        <v>0</v>
      </c>
      <c r="H173" s="88">
        <f t="shared" si="22"/>
        <v>565.20687599999997</v>
      </c>
      <c r="I173" s="35"/>
      <c r="L173" s="139"/>
      <c r="M173" s="139"/>
      <c r="N173" s="35"/>
      <c r="T173" s="20"/>
    </row>
    <row r="174" spans="1:20" s="89" customFormat="1" ht="15.75" customHeight="1" x14ac:dyDescent="0.25">
      <c r="A174" s="137">
        <f t="shared" si="20"/>
        <v>10</v>
      </c>
      <c r="B174" s="138"/>
      <c r="C174" s="88" t="s">
        <v>383</v>
      </c>
      <c r="D174" s="88">
        <f>(17.758)*10.764</f>
        <v>191.14711199999999</v>
      </c>
      <c r="E174" s="88">
        <v>0</v>
      </c>
      <c r="F174" s="88">
        <f t="shared" si="21"/>
        <v>191.14711199999999</v>
      </c>
      <c r="G174" s="88">
        <v>0</v>
      </c>
      <c r="H174" s="88">
        <f t="shared" si="22"/>
        <v>286.72066799999999</v>
      </c>
      <c r="I174" s="35"/>
      <c r="L174" s="139"/>
      <c r="M174" s="139"/>
      <c r="N174" s="35"/>
      <c r="T174" s="20"/>
    </row>
    <row r="175" spans="1:20" s="89" customFormat="1" ht="15.75" customHeight="1" x14ac:dyDescent="0.25">
      <c r="A175" s="137">
        <f t="shared" si="20"/>
        <v>11</v>
      </c>
      <c r="B175" s="138"/>
      <c r="C175" s="88" t="s">
        <v>383</v>
      </c>
      <c r="D175" s="88">
        <f>(13.61)*10.764</f>
        <v>146.49803999999997</v>
      </c>
      <c r="E175" s="88">
        <v>0</v>
      </c>
      <c r="F175" s="88">
        <f t="shared" si="21"/>
        <v>146.49803999999997</v>
      </c>
      <c r="G175" s="88">
        <v>0</v>
      </c>
      <c r="H175" s="88">
        <f t="shared" si="22"/>
        <v>219.74705999999998</v>
      </c>
      <c r="I175" s="35"/>
      <c r="L175" s="139"/>
      <c r="M175" s="139"/>
      <c r="N175" s="35"/>
      <c r="T175" s="20"/>
    </row>
    <row r="176" spans="1:20" s="89" customFormat="1" ht="15.75" customHeight="1" x14ac:dyDescent="0.25">
      <c r="A176" s="137">
        <f t="shared" si="20"/>
        <v>12</v>
      </c>
      <c r="B176" s="138"/>
      <c r="C176" s="88" t="s">
        <v>383</v>
      </c>
      <c r="D176" s="88">
        <f>(34.721)*10.764</f>
        <v>373.73684399999996</v>
      </c>
      <c r="E176" s="88">
        <v>0</v>
      </c>
      <c r="F176" s="88">
        <f t="shared" si="21"/>
        <v>373.73684399999996</v>
      </c>
      <c r="G176" s="88">
        <v>0</v>
      </c>
      <c r="H176" s="88">
        <f t="shared" si="22"/>
        <v>560.60526599999992</v>
      </c>
      <c r="I176" s="35"/>
      <c r="L176" s="139"/>
      <c r="M176" s="139"/>
      <c r="N176" s="35"/>
      <c r="T176" s="20"/>
    </row>
    <row r="177" spans="1:20" s="89" customFormat="1" ht="15.75" customHeight="1" x14ac:dyDescent="0.25">
      <c r="A177" s="137">
        <f t="shared" si="20"/>
        <v>13</v>
      </c>
      <c r="B177" s="138"/>
      <c r="C177" s="88" t="s">
        <v>383</v>
      </c>
      <c r="D177" s="88">
        <f>(34.721)*10.764</f>
        <v>373.73684399999996</v>
      </c>
      <c r="E177" s="88">
        <v>0</v>
      </c>
      <c r="F177" s="88">
        <f t="shared" si="21"/>
        <v>373.73684399999996</v>
      </c>
      <c r="G177" s="88">
        <v>0</v>
      </c>
      <c r="H177" s="88">
        <f t="shared" si="22"/>
        <v>560.60526599999992</v>
      </c>
      <c r="I177" s="35"/>
      <c r="L177" s="139"/>
      <c r="M177" s="139"/>
      <c r="N177" s="35"/>
      <c r="T177" s="20"/>
    </row>
    <row r="178" spans="1:20" s="89" customFormat="1" x14ac:dyDescent="0.25">
      <c r="A178" s="275" t="s">
        <v>387</v>
      </c>
      <c r="B178" s="275"/>
      <c r="C178" s="275"/>
      <c r="D178" s="275"/>
      <c r="E178" s="275"/>
      <c r="F178" s="275"/>
      <c r="G178" s="275"/>
      <c r="H178" s="275"/>
      <c r="J178" s="35"/>
      <c r="T178" s="34"/>
    </row>
    <row r="179" spans="1:20" s="89" customFormat="1" x14ac:dyDescent="0.25">
      <c r="A179" s="147" t="s">
        <v>400</v>
      </c>
      <c r="B179" s="147"/>
      <c r="C179" s="147"/>
      <c r="D179" s="147"/>
      <c r="E179" s="147"/>
      <c r="F179" s="147"/>
      <c r="G179" s="147"/>
      <c r="H179" s="147"/>
      <c r="J179" s="35"/>
      <c r="T179" s="34"/>
    </row>
    <row r="180" spans="1:20" s="89" customFormat="1" ht="15.75" customHeight="1" x14ac:dyDescent="0.25">
      <c r="A180" s="148">
        <v>15</v>
      </c>
      <c r="B180" s="148"/>
      <c r="C180" s="103" t="s">
        <v>383</v>
      </c>
      <c r="D180" s="103">
        <f>(43.131)*10.764</f>
        <v>464.26208399999996</v>
      </c>
      <c r="E180" s="103">
        <v>0</v>
      </c>
      <c r="F180" s="103">
        <f>D180+(IF(E180&lt;201,E180,IF(E180&lt;301,E180/2,E180/3)))</f>
        <v>464.26208399999996</v>
      </c>
      <c r="G180" s="62">
        <v>0</v>
      </c>
      <c r="H180" s="103">
        <f>(F180+(IF(G180&lt;101,G180,IF(G180&lt;201,G180/2,IF(G180&lt;=301,G180/3,G180/4)))))*(($H$146)+1)</f>
        <v>696.39312599999994</v>
      </c>
      <c r="I180" s="35">
        <f>3.144*12.068+1.65*1.794+1.2*1.5</f>
        <v>42.701891999999994</v>
      </c>
      <c r="L180" s="139"/>
      <c r="M180" s="139"/>
      <c r="N180" s="35"/>
      <c r="T180" s="34"/>
    </row>
    <row r="181" spans="1:20" s="89" customFormat="1" ht="15.75" customHeight="1" x14ac:dyDescent="0.25">
      <c r="A181" s="148">
        <f>A180+1</f>
        <v>16</v>
      </c>
      <c r="B181" s="148"/>
      <c r="C181" s="103" t="s">
        <v>383</v>
      </c>
      <c r="D181" s="103">
        <f>(43.131)*10.764</f>
        <v>464.26208399999996</v>
      </c>
      <c r="E181" s="103">
        <v>0</v>
      </c>
      <c r="F181" s="103">
        <f>D181+(IF(E181&lt;201,E181,IF(E181&lt;301,E181/2,E181/3)))</f>
        <v>464.26208399999996</v>
      </c>
      <c r="G181" s="103">
        <v>0</v>
      </c>
      <c r="H181" s="103">
        <f>(F181+(IF(G181&lt;101,G181,IF(G181&lt;201,G181/2,IF(G181&lt;=301,G181/3,G181/4)))))*(($H$146)+1)</f>
        <v>696.39312599999994</v>
      </c>
      <c r="I181" s="35"/>
      <c r="L181" s="139"/>
      <c r="M181" s="139"/>
      <c r="N181" s="35"/>
      <c r="T181" s="33"/>
    </row>
    <row r="182" spans="1:20" s="89" customFormat="1" ht="15.75" customHeight="1" x14ac:dyDescent="0.25">
      <c r="A182" s="148">
        <f>A181+1</f>
        <v>17</v>
      </c>
      <c r="B182" s="148"/>
      <c r="C182" s="103" t="s">
        <v>383</v>
      </c>
      <c r="D182" s="103">
        <f>(42.624)*10.764</f>
        <v>458.80473599999999</v>
      </c>
      <c r="E182" s="103">
        <v>0</v>
      </c>
      <c r="F182" s="103">
        <f>D182+(IF(E182&lt;201,E182,IF(E182&lt;301,E182/2,E182/3)))</f>
        <v>458.80473599999999</v>
      </c>
      <c r="G182" s="103">
        <v>0</v>
      </c>
      <c r="H182" s="103">
        <f>(F182+(IF(G182&lt;101,G182,IF(G182&lt;201,G182/2,IF(G182&lt;=301,G182/3,G182/4)))))*(($H$146)+1)</f>
        <v>688.20710399999996</v>
      </c>
      <c r="I182" s="35"/>
      <c r="L182" s="139"/>
      <c r="M182" s="139"/>
      <c r="N182" s="35"/>
      <c r="T182" s="20"/>
    </row>
    <row r="183" spans="1:20" s="89" customFormat="1" ht="15.75" customHeight="1" x14ac:dyDescent="0.25">
      <c r="A183" s="148">
        <f>A182+1</f>
        <v>18</v>
      </c>
      <c r="B183" s="148"/>
      <c r="C183" s="103" t="s">
        <v>383</v>
      </c>
      <c r="D183" s="103">
        <f>(41.579)*10.764</f>
        <v>447.55635599999999</v>
      </c>
      <c r="E183" s="103">
        <v>0</v>
      </c>
      <c r="F183" s="103">
        <f>D183+(IF(E183&lt;201,E183,IF(E183&lt;301,E183/2,E183/3)))</f>
        <v>447.55635599999999</v>
      </c>
      <c r="G183" s="103">
        <v>0</v>
      </c>
      <c r="H183" s="103">
        <f>(F183+(IF(G183&lt;101,G183,IF(G183&lt;201,G183/2,IF(G183&lt;=301,G183/3,G183/4)))))*(($H$146)+1)</f>
        <v>671.33453399999996</v>
      </c>
      <c r="I183" s="35"/>
      <c r="L183" s="139"/>
      <c r="M183" s="139"/>
      <c r="N183" s="35"/>
      <c r="T183" s="20"/>
    </row>
    <row r="184" spans="1:20" s="90" customFormat="1" ht="15.75" customHeight="1" x14ac:dyDescent="0.25">
      <c r="A184" s="148">
        <f t="shared" ref="A184:A190" si="23">A183+1</f>
        <v>19</v>
      </c>
      <c r="B184" s="148"/>
      <c r="C184" s="103" t="s">
        <v>383</v>
      </c>
      <c r="D184" s="103">
        <f>(37.617)*10.764</f>
        <v>404.90938799999992</v>
      </c>
      <c r="E184" s="103">
        <v>0</v>
      </c>
      <c r="F184" s="103">
        <f t="shared" ref="F184:F190" si="24">D184+(IF(E184&lt;201,E184,IF(E184&lt;301,E184/2,E184/3)))</f>
        <v>404.90938799999992</v>
      </c>
      <c r="G184" s="103">
        <v>0</v>
      </c>
      <c r="H184" s="103">
        <f t="shared" ref="H184:H190" si="25">(F184+(IF(G184&lt;101,G184,IF(G184&lt;201,G184/2,IF(G184&lt;=301,G184/3,G184/4)))))*(($H$146)+1)</f>
        <v>607.36408199999983</v>
      </c>
      <c r="I184" s="35"/>
      <c r="L184" s="139"/>
      <c r="M184" s="139"/>
      <c r="N184" s="35"/>
      <c r="T184" s="20"/>
    </row>
    <row r="185" spans="1:20" s="90" customFormat="1" ht="15.75" customHeight="1" x14ac:dyDescent="0.25">
      <c r="A185" s="148">
        <f t="shared" si="23"/>
        <v>20</v>
      </c>
      <c r="B185" s="148"/>
      <c r="C185" s="103" t="s">
        <v>383</v>
      </c>
      <c r="D185" s="103">
        <f>(116.583)*10.764</f>
        <v>1254.899412</v>
      </c>
      <c r="E185" s="103">
        <v>0</v>
      </c>
      <c r="F185" s="103">
        <f t="shared" si="24"/>
        <v>1254.899412</v>
      </c>
      <c r="G185" s="103">
        <v>0</v>
      </c>
      <c r="H185" s="103">
        <f t="shared" si="25"/>
        <v>1882.3491180000001</v>
      </c>
      <c r="I185" s="35"/>
      <c r="L185" s="139"/>
      <c r="M185" s="139"/>
      <c r="N185" s="35"/>
      <c r="T185" s="20"/>
    </row>
    <row r="186" spans="1:20" s="90" customFormat="1" ht="68.25" customHeight="1" x14ac:dyDescent="0.25">
      <c r="A186" s="148">
        <f t="shared" si="23"/>
        <v>21</v>
      </c>
      <c r="B186" s="148"/>
      <c r="C186" s="103" t="s">
        <v>399</v>
      </c>
      <c r="D186" s="103">
        <f>(169.343)*10.764</f>
        <v>1822.8080519999999</v>
      </c>
      <c r="E186" s="103">
        <v>0</v>
      </c>
      <c r="F186" s="103">
        <f t="shared" si="24"/>
        <v>1822.8080519999999</v>
      </c>
      <c r="G186" s="103">
        <v>0</v>
      </c>
      <c r="H186" s="103">
        <f t="shared" si="25"/>
        <v>2734.2120779999996</v>
      </c>
      <c r="I186" s="35"/>
      <c r="L186" s="139"/>
      <c r="M186" s="139"/>
      <c r="N186" s="35"/>
      <c r="T186" s="20"/>
    </row>
    <row r="187" spans="1:20" s="90" customFormat="1" ht="15.75" customHeight="1" x14ac:dyDescent="0.25">
      <c r="A187" s="137">
        <f t="shared" si="23"/>
        <v>22</v>
      </c>
      <c r="B187" s="138"/>
      <c r="C187" s="91" t="s">
        <v>383</v>
      </c>
      <c r="D187" s="91">
        <f>(19.008)*10.764</f>
        <v>204.60211199999998</v>
      </c>
      <c r="E187" s="91">
        <v>0</v>
      </c>
      <c r="F187" s="91">
        <f t="shared" si="24"/>
        <v>204.60211199999998</v>
      </c>
      <c r="G187" s="91">
        <v>0</v>
      </c>
      <c r="H187" s="91">
        <f t="shared" si="25"/>
        <v>306.90316799999994</v>
      </c>
      <c r="I187" s="96">
        <f>4.905*2.9+1.65*1.553+1.5*1.97</f>
        <v>19.741950000000003</v>
      </c>
      <c r="L187" s="139"/>
      <c r="M187" s="139"/>
      <c r="N187" s="35"/>
      <c r="T187" s="20"/>
    </row>
    <row r="188" spans="1:20" s="90" customFormat="1" ht="15.75" customHeight="1" x14ac:dyDescent="0.25">
      <c r="A188" s="137">
        <f t="shared" si="23"/>
        <v>23</v>
      </c>
      <c r="B188" s="138"/>
      <c r="C188" s="91" t="s">
        <v>383</v>
      </c>
      <c r="D188" s="91">
        <f>(19.992)*10.764</f>
        <v>215.19388799999999</v>
      </c>
      <c r="E188" s="91">
        <v>0</v>
      </c>
      <c r="F188" s="91">
        <f t="shared" si="24"/>
        <v>215.19388799999999</v>
      </c>
      <c r="G188" s="91">
        <v>0</v>
      </c>
      <c r="H188" s="91">
        <f t="shared" si="25"/>
        <v>322.79083199999997</v>
      </c>
      <c r="I188" s="35"/>
      <c r="L188" s="139"/>
      <c r="M188" s="139"/>
      <c r="N188" s="35"/>
      <c r="T188" s="20"/>
    </row>
    <row r="189" spans="1:20" s="90" customFormat="1" ht="15.75" customHeight="1" x14ac:dyDescent="0.25">
      <c r="A189" s="137">
        <f t="shared" si="23"/>
        <v>24</v>
      </c>
      <c r="B189" s="138"/>
      <c r="C189" s="91" t="s">
        <v>383</v>
      </c>
      <c r="D189" s="91">
        <f>(32.709)*10.764</f>
        <v>352.07967600000001</v>
      </c>
      <c r="E189" s="91">
        <v>0</v>
      </c>
      <c r="F189" s="91">
        <f t="shared" si="24"/>
        <v>352.07967600000001</v>
      </c>
      <c r="G189" s="91">
        <v>0</v>
      </c>
      <c r="H189" s="91">
        <f t="shared" si="25"/>
        <v>528.11951399999998</v>
      </c>
      <c r="I189" s="35"/>
      <c r="L189" s="139"/>
      <c r="M189" s="139"/>
      <c r="N189" s="35"/>
      <c r="T189" s="20"/>
    </row>
    <row r="190" spans="1:20" s="90" customFormat="1" ht="15.75" customHeight="1" x14ac:dyDescent="0.25">
      <c r="A190" s="137">
        <f t="shared" si="23"/>
        <v>25</v>
      </c>
      <c r="B190" s="138"/>
      <c r="C190" s="91" t="s">
        <v>383</v>
      </c>
      <c r="D190" s="91">
        <f>(19.763)*10.764</f>
        <v>212.72893200000001</v>
      </c>
      <c r="E190" s="91">
        <v>0</v>
      </c>
      <c r="F190" s="91">
        <f t="shared" si="24"/>
        <v>212.72893200000001</v>
      </c>
      <c r="G190" s="91">
        <v>0</v>
      </c>
      <c r="H190" s="91">
        <f t="shared" si="25"/>
        <v>319.09339800000004</v>
      </c>
      <c r="I190" s="35">
        <f>4.905*3.015+1.65*1.655+1.5*1.2</f>
        <v>19.319325000000003</v>
      </c>
      <c r="L190" s="139"/>
      <c r="M190" s="139"/>
      <c r="N190" s="35"/>
      <c r="T190" s="20"/>
    </row>
    <row r="191" spans="1:20" s="90" customFormat="1" x14ac:dyDescent="0.25">
      <c r="A191" s="144" t="s">
        <v>401</v>
      </c>
      <c r="B191" s="145"/>
      <c r="C191" s="145"/>
      <c r="D191" s="145"/>
      <c r="E191" s="145"/>
      <c r="F191" s="145"/>
      <c r="G191" s="145"/>
      <c r="H191" s="146"/>
      <c r="J191" s="35"/>
      <c r="T191" s="34"/>
    </row>
    <row r="192" spans="1:20" s="90" customFormat="1" ht="15.75" customHeight="1" x14ac:dyDescent="0.25">
      <c r="A192" s="137">
        <v>14</v>
      </c>
      <c r="B192" s="138"/>
      <c r="C192" s="91" t="s">
        <v>383</v>
      </c>
      <c r="D192" s="91">
        <f>(36.719)*10.764</f>
        <v>395.24331599999999</v>
      </c>
      <c r="E192" s="91">
        <v>0</v>
      </c>
      <c r="F192" s="91">
        <f>D192+(IF(E192&lt;201,E192,IF(E192&lt;301,E192/2,E192/3)))</f>
        <v>395.24331599999999</v>
      </c>
      <c r="G192" s="62">
        <v>0</v>
      </c>
      <c r="H192" s="91">
        <f>(F192+(IF(G192&lt;101,G192,IF(G192&lt;201,G192/2,IF(G192&lt;=301,G192/3,G192/4)))))*(($H$146)+1)</f>
        <v>592.86497399999996</v>
      </c>
      <c r="I192" s="35"/>
      <c r="L192" s="139"/>
      <c r="M192" s="139"/>
      <c r="N192" s="35"/>
      <c r="T192" s="34"/>
    </row>
    <row r="193" spans="1:20" s="90" customFormat="1" ht="15.75" customHeight="1" x14ac:dyDescent="0.25">
      <c r="A193" s="137">
        <v>15</v>
      </c>
      <c r="B193" s="138"/>
      <c r="C193" s="91" t="s">
        <v>383</v>
      </c>
      <c r="D193" s="91">
        <f>(36.081)*10.764</f>
        <v>388.37588399999999</v>
      </c>
      <c r="E193" s="91">
        <v>0</v>
      </c>
      <c r="F193" s="91">
        <f>D193+(IF(E193&lt;201,E193,IF(E193&lt;301,E193/2,E193/3)))</f>
        <v>388.37588399999999</v>
      </c>
      <c r="G193" s="62">
        <v>0</v>
      </c>
      <c r="H193" s="91">
        <f>(F193+(IF(G193&lt;101,G193,IF(G193&lt;201,G193/2,IF(G193&lt;=301,G193/3,G193/4)))))*(($H$146)+1)</f>
        <v>582.56382599999995</v>
      </c>
      <c r="I193" s="35"/>
      <c r="L193" s="139"/>
      <c r="M193" s="139"/>
      <c r="N193" s="35"/>
      <c r="T193" s="34"/>
    </row>
    <row r="194" spans="1:20" s="90" customFormat="1" ht="15.75" customHeight="1" x14ac:dyDescent="0.25">
      <c r="A194" s="137">
        <f>A193+1</f>
        <v>16</v>
      </c>
      <c r="B194" s="138"/>
      <c r="C194" s="91" t="s">
        <v>383</v>
      </c>
      <c r="D194" s="91">
        <f>(36.081)*10.764</f>
        <v>388.37588399999999</v>
      </c>
      <c r="E194" s="91">
        <v>0</v>
      </c>
      <c r="F194" s="91">
        <f>D194+(IF(E194&lt;201,E194,IF(E194&lt;301,E194/2,E194/3)))</f>
        <v>388.37588399999999</v>
      </c>
      <c r="G194" s="91">
        <v>0</v>
      </c>
      <c r="H194" s="91">
        <f>(F194+(IF(G194&lt;101,G194,IF(G194&lt;201,G194/2,IF(G194&lt;=301,G194/3,G194/4)))))*(($H$146)+1)</f>
        <v>582.56382599999995</v>
      </c>
      <c r="I194" s="35"/>
      <c r="L194" s="139"/>
      <c r="M194" s="139"/>
      <c r="N194" s="35"/>
      <c r="T194" s="33"/>
    </row>
    <row r="195" spans="1:20" s="90" customFormat="1" ht="15.75" customHeight="1" x14ac:dyDescent="0.25">
      <c r="A195" s="137">
        <f>A194+1</f>
        <v>17</v>
      </c>
      <c r="B195" s="138"/>
      <c r="C195" s="91" t="s">
        <v>383</v>
      </c>
      <c r="D195" s="91">
        <f>(35.359)*10.764</f>
        <v>380.60427599999997</v>
      </c>
      <c r="E195" s="91">
        <v>0</v>
      </c>
      <c r="F195" s="91">
        <f>D195+(IF(E195&lt;201,E195,IF(E195&lt;301,E195/2,E195/3)))</f>
        <v>380.60427599999997</v>
      </c>
      <c r="G195" s="91">
        <v>0</v>
      </c>
      <c r="H195" s="91">
        <f>(F195+(IF(G195&lt;101,G195,IF(G195&lt;201,G195/2,IF(G195&lt;=301,G195/3,G195/4)))))*(($H$146)+1)</f>
        <v>570.90641399999993</v>
      </c>
      <c r="I195" s="35"/>
      <c r="L195" s="139"/>
      <c r="M195" s="139"/>
      <c r="N195" s="35"/>
      <c r="T195" s="20"/>
    </row>
    <row r="196" spans="1:20" s="90" customFormat="1" ht="15.75" customHeight="1" x14ac:dyDescent="0.25">
      <c r="A196" s="137">
        <f>A195+1</f>
        <v>18</v>
      </c>
      <c r="B196" s="138"/>
      <c r="C196" s="91" t="s">
        <v>383</v>
      </c>
      <c r="D196" s="91">
        <f>(34.789)*10.764</f>
        <v>374.468796</v>
      </c>
      <c r="E196" s="91">
        <v>0</v>
      </c>
      <c r="F196" s="91">
        <f>D196+(IF(E196&lt;201,E196,IF(E196&lt;301,E196/2,E196/3)))</f>
        <v>374.468796</v>
      </c>
      <c r="G196" s="91">
        <v>0</v>
      </c>
      <c r="H196" s="91">
        <f>(F196+(IF(G196&lt;101,G196,IF(G196&lt;201,G196/2,IF(G196&lt;=301,G196/3,G196/4)))))*(($H$146)+1)</f>
        <v>561.70319399999994</v>
      </c>
      <c r="I196" s="35"/>
      <c r="L196" s="139"/>
      <c r="M196" s="139"/>
      <c r="N196" s="35"/>
      <c r="T196" s="20"/>
    </row>
    <row r="197" spans="1:20" s="90" customFormat="1" ht="15.75" customHeight="1" x14ac:dyDescent="0.25">
      <c r="A197" s="137">
        <f t="shared" ref="A197:A202" si="26">A196+1</f>
        <v>19</v>
      </c>
      <c r="B197" s="138"/>
      <c r="C197" s="91" t="s">
        <v>383</v>
      </c>
      <c r="D197" s="91">
        <f>(33.864)*10.764</f>
        <v>364.51209599999993</v>
      </c>
      <c r="E197" s="91">
        <v>0</v>
      </c>
      <c r="F197" s="91">
        <f t="shared" ref="F197:F202" si="27">D197+(IF(E197&lt;201,E197,IF(E197&lt;301,E197/2,E197/3)))</f>
        <v>364.51209599999993</v>
      </c>
      <c r="G197" s="91">
        <v>0</v>
      </c>
      <c r="H197" s="91">
        <f t="shared" ref="H197:H202" si="28">(F197+(IF(G197&lt;101,G197,IF(G197&lt;201,G197/2,IF(G197&lt;=301,G197/3,G197/4)))))*(($H$146)+1)</f>
        <v>546.76814399999989</v>
      </c>
      <c r="I197" s="35"/>
      <c r="L197" s="139"/>
      <c r="M197" s="139"/>
      <c r="N197" s="35"/>
      <c r="T197" s="20"/>
    </row>
    <row r="198" spans="1:20" s="90" customFormat="1" ht="15.75" customHeight="1" x14ac:dyDescent="0.25">
      <c r="A198" s="137">
        <f>A197+2</f>
        <v>21</v>
      </c>
      <c r="B198" s="138"/>
      <c r="C198" s="137" t="s">
        <v>420</v>
      </c>
      <c r="D198" s="140"/>
      <c r="E198" s="140"/>
      <c r="F198" s="140"/>
      <c r="G198" s="140"/>
      <c r="H198" s="138"/>
      <c r="I198" s="35"/>
      <c r="L198" s="139"/>
      <c r="M198" s="139"/>
      <c r="N198" s="35"/>
      <c r="T198" s="20"/>
    </row>
    <row r="199" spans="1:20" s="90" customFormat="1" ht="15.75" hidden="1" customHeight="1" x14ac:dyDescent="0.25">
      <c r="A199" s="137">
        <f t="shared" si="26"/>
        <v>22</v>
      </c>
      <c r="B199" s="138"/>
      <c r="C199" s="91"/>
      <c r="D199" s="91"/>
      <c r="E199" s="91">
        <v>0</v>
      </c>
      <c r="F199" s="91">
        <f t="shared" si="27"/>
        <v>0</v>
      </c>
      <c r="G199" s="91">
        <v>0</v>
      </c>
      <c r="H199" s="91">
        <f t="shared" si="28"/>
        <v>0</v>
      </c>
      <c r="I199" s="35"/>
      <c r="L199" s="139"/>
      <c r="M199" s="139"/>
      <c r="N199" s="35"/>
      <c r="T199" s="20"/>
    </row>
    <row r="200" spans="1:20" s="90" customFormat="1" ht="15.75" hidden="1" customHeight="1" x14ac:dyDescent="0.25">
      <c r="A200" s="137">
        <f t="shared" si="26"/>
        <v>23</v>
      </c>
      <c r="B200" s="138"/>
      <c r="C200" s="91"/>
      <c r="D200" s="91"/>
      <c r="E200" s="91">
        <v>0</v>
      </c>
      <c r="F200" s="91">
        <f t="shared" si="27"/>
        <v>0</v>
      </c>
      <c r="G200" s="91">
        <v>0</v>
      </c>
      <c r="H200" s="91">
        <f t="shared" si="28"/>
        <v>0</v>
      </c>
      <c r="I200" s="35"/>
      <c r="L200" s="139"/>
      <c r="M200" s="139"/>
      <c r="N200" s="35"/>
      <c r="T200" s="20"/>
    </row>
    <row r="201" spans="1:20" s="90" customFormat="1" ht="15.75" hidden="1" customHeight="1" x14ac:dyDescent="0.25">
      <c r="A201" s="137">
        <f t="shared" si="26"/>
        <v>24</v>
      </c>
      <c r="B201" s="138"/>
      <c r="C201" s="91"/>
      <c r="D201" s="91"/>
      <c r="E201" s="91">
        <v>0</v>
      </c>
      <c r="F201" s="91">
        <f t="shared" si="27"/>
        <v>0</v>
      </c>
      <c r="G201" s="91">
        <v>0</v>
      </c>
      <c r="H201" s="91">
        <f t="shared" si="28"/>
        <v>0</v>
      </c>
      <c r="I201" s="35"/>
      <c r="L201" s="139"/>
      <c r="M201" s="139"/>
      <c r="N201" s="35"/>
      <c r="T201" s="20"/>
    </row>
    <row r="202" spans="1:20" s="90" customFormat="1" ht="15.75" hidden="1" customHeight="1" x14ac:dyDescent="0.25">
      <c r="A202" s="137">
        <f t="shared" si="26"/>
        <v>25</v>
      </c>
      <c r="B202" s="138"/>
      <c r="C202" s="91"/>
      <c r="D202" s="91"/>
      <c r="E202" s="91">
        <v>0</v>
      </c>
      <c r="F202" s="91">
        <f t="shared" si="27"/>
        <v>0</v>
      </c>
      <c r="G202" s="91">
        <v>0</v>
      </c>
      <c r="H202" s="91">
        <f t="shared" si="28"/>
        <v>0</v>
      </c>
      <c r="I202" s="35"/>
      <c r="L202" s="139"/>
      <c r="M202" s="139"/>
      <c r="N202" s="35"/>
      <c r="T202" s="20"/>
    </row>
    <row r="203" spans="1:20" s="90" customFormat="1" x14ac:dyDescent="0.25">
      <c r="A203" s="149" t="s">
        <v>402</v>
      </c>
      <c r="B203" s="150"/>
      <c r="C203" s="150"/>
      <c r="D203" s="150"/>
      <c r="E203" s="150"/>
      <c r="F203" s="150"/>
      <c r="G203" s="150"/>
      <c r="H203" s="151"/>
      <c r="J203" s="35"/>
      <c r="T203" s="34"/>
    </row>
    <row r="204" spans="1:20" s="90" customFormat="1" x14ac:dyDescent="0.25">
      <c r="A204" s="144" t="s">
        <v>384</v>
      </c>
      <c r="B204" s="145"/>
      <c r="C204" s="145"/>
      <c r="D204" s="145"/>
      <c r="E204" s="145"/>
      <c r="F204" s="145"/>
      <c r="G204" s="145"/>
      <c r="H204" s="146"/>
      <c r="J204" s="35"/>
      <c r="T204" s="34"/>
    </row>
    <row r="205" spans="1:20" s="90" customFormat="1" ht="15.75" customHeight="1" x14ac:dyDescent="0.25">
      <c r="A205" s="137">
        <v>26</v>
      </c>
      <c r="B205" s="138"/>
      <c r="C205" s="91" t="s">
        <v>383</v>
      </c>
      <c r="D205" s="91">
        <f>(29.013)*10.764</f>
        <v>312.29593199999999</v>
      </c>
      <c r="E205" s="91">
        <v>0</v>
      </c>
      <c r="F205" s="91">
        <f>D205+(IF(E205&lt;201,E205,IF(E205&lt;301,E205/2,E205/3)))</f>
        <v>312.29593199999999</v>
      </c>
      <c r="G205" s="62">
        <v>0</v>
      </c>
      <c r="H205" s="91">
        <f>(F205+(IF(G205&lt;101,G205,IF(G205&lt;201,G205/2,IF(G205&lt;=301,G205/3,G205/4)))))*(($H$146)+1)</f>
        <v>468.44389799999999</v>
      </c>
      <c r="I205" s="35"/>
      <c r="L205" s="139"/>
      <c r="M205" s="139"/>
      <c r="N205" s="35"/>
      <c r="T205" s="34"/>
    </row>
    <row r="206" spans="1:20" s="90" customFormat="1" ht="15.75" customHeight="1" x14ac:dyDescent="0.25">
      <c r="A206" s="137">
        <f>A205+1</f>
        <v>27</v>
      </c>
      <c r="B206" s="138"/>
      <c r="C206" s="91" t="s">
        <v>383</v>
      </c>
      <c r="D206" s="91">
        <f>(19.046)*10.764</f>
        <v>205.01114399999997</v>
      </c>
      <c r="E206" s="91">
        <v>0</v>
      </c>
      <c r="F206" s="91">
        <f>D206+(IF(E206&lt;201,E206,IF(E206&lt;301,E206/2,E206/3)))</f>
        <v>205.01114399999997</v>
      </c>
      <c r="G206" s="91">
        <v>0</v>
      </c>
      <c r="H206" s="91">
        <f>(F206+(IF(G206&lt;101,G206,IF(G206&lt;201,G206/2,IF(G206&lt;=301,G206/3,G206/4)))))*(($H$146)+1)</f>
        <v>307.51671599999997</v>
      </c>
      <c r="I206" s="35"/>
      <c r="L206" s="139"/>
      <c r="M206" s="139"/>
      <c r="N206" s="35"/>
      <c r="T206" s="33"/>
    </row>
    <row r="207" spans="1:20" s="90" customFormat="1" ht="15.75" customHeight="1" x14ac:dyDescent="0.25">
      <c r="A207" s="137">
        <f>A206+1</f>
        <v>28</v>
      </c>
      <c r="B207" s="138"/>
      <c r="C207" s="91" t="s">
        <v>383</v>
      </c>
      <c r="D207" s="91">
        <f>(22.463)*10.764</f>
        <v>241.791732</v>
      </c>
      <c r="E207" s="91">
        <v>0</v>
      </c>
      <c r="F207" s="91">
        <f>D207+(IF(E207&lt;201,E207,IF(E207&lt;301,E207/2,E207/3)))</f>
        <v>241.791732</v>
      </c>
      <c r="G207" s="91">
        <v>0</v>
      </c>
      <c r="H207" s="91">
        <f>(F207+(IF(G207&lt;101,G207,IF(G207&lt;201,G207/2,IF(G207&lt;=301,G207/3,G207/4)))))*(($H$146)+1)</f>
        <v>362.68759799999998</v>
      </c>
      <c r="I207" s="35"/>
      <c r="L207" s="139"/>
      <c r="M207" s="139"/>
      <c r="N207" s="35"/>
      <c r="T207" s="20"/>
    </row>
    <row r="208" spans="1:20" s="90" customFormat="1" ht="15.75" customHeight="1" x14ac:dyDescent="0.25">
      <c r="A208" s="137">
        <f>A207+1</f>
        <v>29</v>
      </c>
      <c r="B208" s="138"/>
      <c r="C208" s="91" t="s">
        <v>383</v>
      </c>
      <c r="D208" s="91">
        <f>(39.975)*10.764</f>
        <v>430.29089999999997</v>
      </c>
      <c r="E208" s="91">
        <v>0</v>
      </c>
      <c r="F208" s="91">
        <f>D208+(IF(E208&lt;201,E208,IF(E208&lt;301,E208/2,E208/3)))</f>
        <v>430.29089999999997</v>
      </c>
      <c r="G208" s="91">
        <v>0</v>
      </c>
      <c r="H208" s="91">
        <f>(F208+(IF(G208&lt;101,G208,IF(G208&lt;201,G208/2,IF(G208&lt;=301,G208/3,G208/4)))))*(($H$146)+1)</f>
        <v>645.43634999999995</v>
      </c>
      <c r="I208" s="35"/>
      <c r="L208" s="139"/>
      <c r="M208" s="139"/>
      <c r="N208" s="35"/>
      <c r="T208" s="20"/>
    </row>
    <row r="209" spans="1:20" s="90" customFormat="1" ht="15.75" customHeight="1" x14ac:dyDescent="0.25">
      <c r="A209" s="137">
        <f t="shared" ref="A209:A212" si="29">A208+1</f>
        <v>30</v>
      </c>
      <c r="B209" s="138"/>
      <c r="C209" s="91" t="s">
        <v>383</v>
      </c>
      <c r="D209" s="91">
        <f>(38.937)*10.764</f>
        <v>419.11786799999993</v>
      </c>
      <c r="E209" s="91">
        <v>0</v>
      </c>
      <c r="F209" s="91">
        <f t="shared" ref="F209:F212" si="30">D209+(IF(E209&lt;201,E209,IF(E209&lt;301,E209/2,E209/3)))</f>
        <v>419.11786799999993</v>
      </c>
      <c r="G209" s="91">
        <v>0</v>
      </c>
      <c r="H209" s="91">
        <f t="shared" ref="H209:H212" si="31">(F209+(IF(G209&lt;101,G209,IF(G209&lt;201,G209/2,IF(G209&lt;=301,G209/3,G209/4)))))*(($H$146)+1)</f>
        <v>628.67680199999995</v>
      </c>
      <c r="I209" s="35"/>
      <c r="L209" s="139"/>
      <c r="M209" s="139"/>
      <c r="N209" s="35"/>
      <c r="T209" s="20"/>
    </row>
    <row r="210" spans="1:20" s="90" customFormat="1" ht="15.75" customHeight="1" x14ac:dyDescent="0.25">
      <c r="A210" s="137">
        <f t="shared" si="29"/>
        <v>31</v>
      </c>
      <c r="B210" s="138"/>
      <c r="C210" s="91" t="s">
        <v>383</v>
      </c>
      <c r="D210" s="91">
        <f>(23.029)*10.764</f>
        <v>247.88415599999999</v>
      </c>
      <c r="E210" s="91">
        <v>0</v>
      </c>
      <c r="F210" s="91">
        <f t="shared" si="30"/>
        <v>247.88415599999999</v>
      </c>
      <c r="G210" s="91">
        <v>0</v>
      </c>
      <c r="H210" s="91">
        <f t="shared" si="31"/>
        <v>371.826234</v>
      </c>
      <c r="I210" s="35"/>
      <c r="L210" s="139"/>
      <c r="M210" s="139"/>
      <c r="N210" s="35"/>
      <c r="T210" s="20"/>
    </row>
    <row r="211" spans="1:20" s="90" customFormat="1" ht="15.75" customHeight="1" x14ac:dyDescent="0.25">
      <c r="A211" s="137">
        <f t="shared" si="29"/>
        <v>32</v>
      </c>
      <c r="B211" s="138"/>
      <c r="C211" s="91" t="s">
        <v>383</v>
      </c>
      <c r="D211" s="91">
        <f>(23.029)*10.764</f>
        <v>247.88415599999999</v>
      </c>
      <c r="E211" s="91">
        <v>0</v>
      </c>
      <c r="F211" s="91">
        <f t="shared" si="30"/>
        <v>247.88415599999999</v>
      </c>
      <c r="G211" s="91">
        <v>0</v>
      </c>
      <c r="H211" s="91">
        <f t="shared" si="31"/>
        <v>371.826234</v>
      </c>
      <c r="I211" s="35"/>
      <c r="L211" s="139"/>
      <c r="M211" s="139"/>
      <c r="N211" s="35"/>
      <c r="T211" s="20"/>
    </row>
    <row r="212" spans="1:20" s="90" customFormat="1" ht="15.75" customHeight="1" x14ac:dyDescent="0.25">
      <c r="A212" s="137">
        <f t="shared" si="29"/>
        <v>33</v>
      </c>
      <c r="B212" s="138"/>
      <c r="C212" s="91" t="s">
        <v>383</v>
      </c>
      <c r="D212" s="91">
        <f>(40.069)*10.764</f>
        <v>431.30271599999998</v>
      </c>
      <c r="E212" s="91">
        <v>0</v>
      </c>
      <c r="F212" s="91">
        <f t="shared" si="30"/>
        <v>431.30271599999998</v>
      </c>
      <c r="G212" s="91">
        <v>0</v>
      </c>
      <c r="H212" s="91">
        <f t="shared" si="31"/>
        <v>646.95407399999999</v>
      </c>
      <c r="I212" s="35"/>
      <c r="L212" s="139"/>
      <c r="M212" s="139"/>
      <c r="N212" s="35"/>
      <c r="T212" s="20"/>
    </row>
    <row r="213" spans="1:20" s="89" customFormat="1" hidden="1" x14ac:dyDescent="0.25">
      <c r="A213" s="144" t="s">
        <v>116</v>
      </c>
      <c r="B213" s="145"/>
      <c r="C213" s="145"/>
      <c r="D213" s="145"/>
      <c r="E213" s="145"/>
      <c r="F213" s="145"/>
      <c r="G213" s="145"/>
      <c r="H213" s="146"/>
      <c r="J213" s="35"/>
      <c r="T213" s="34"/>
    </row>
    <row r="214" spans="1:20" s="89" customFormat="1" ht="15.75" hidden="1" customHeight="1" x14ac:dyDescent="0.25">
      <c r="A214" s="137">
        <v>1</v>
      </c>
      <c r="B214" s="138"/>
      <c r="C214" s="88"/>
      <c r="D214" s="88">
        <v>0</v>
      </c>
      <c r="E214" s="88">
        <v>0</v>
      </c>
      <c r="F214" s="88">
        <f>D214+(IF(E214&lt;201,E214,IF(E214&lt;301,E214/2,E214/3)))</f>
        <v>0</v>
      </c>
      <c r="G214" s="62">
        <v>0</v>
      </c>
      <c r="H214" s="88">
        <f>(F214+(IF(G214&lt;101,G214,IF(G214&lt;201,G214/2,IF(G214&lt;=301,G214/3,G214/4)))))*(($H$146)+1)</f>
        <v>0</v>
      </c>
      <c r="I214" s="35"/>
      <c r="L214" s="139"/>
      <c r="M214" s="139"/>
      <c r="N214" s="35"/>
      <c r="T214" s="34"/>
    </row>
    <row r="215" spans="1:20" s="89" customFormat="1" ht="15.75" hidden="1" customHeight="1" x14ac:dyDescent="0.25">
      <c r="A215" s="137">
        <f>A214+1</f>
        <v>2</v>
      </c>
      <c r="B215" s="138"/>
      <c r="C215" s="88"/>
      <c r="D215" s="88"/>
      <c r="E215" s="88">
        <v>0</v>
      </c>
      <c r="F215" s="88">
        <f>D215+(IF(E215&lt;201,E215,IF(E215&lt;301,E215/2,E215/3)))</f>
        <v>0</v>
      </c>
      <c r="G215" s="88">
        <v>0</v>
      </c>
      <c r="H215" s="88">
        <f>(F215+(IF(G215&lt;101,G215,IF(G215&lt;201,G215/2,IF(G215&lt;=301,G215/3,G215/4)))))*(($H$146)+1)</f>
        <v>0</v>
      </c>
      <c r="I215" s="35"/>
      <c r="L215" s="139"/>
      <c r="M215" s="139"/>
      <c r="N215" s="35"/>
      <c r="T215" s="33"/>
    </row>
    <row r="216" spans="1:20" s="89" customFormat="1" ht="15.75" hidden="1" customHeight="1" x14ac:dyDescent="0.25">
      <c r="A216" s="137">
        <f>A215+1</f>
        <v>3</v>
      </c>
      <c r="B216" s="138"/>
      <c r="C216" s="88"/>
      <c r="D216" s="88"/>
      <c r="E216" s="88">
        <v>0</v>
      </c>
      <c r="F216" s="88">
        <f>D216+(IF(E216&lt;201,E216,IF(E216&lt;301,E216/2,E216/3)))</f>
        <v>0</v>
      </c>
      <c r="G216" s="88">
        <v>0</v>
      </c>
      <c r="H216" s="88">
        <f>(F216+(IF(G216&lt;101,G216,IF(G216&lt;201,G216/2,IF(G216&lt;=301,G216/3,G216/4)))))*(($H$146)+1)</f>
        <v>0</v>
      </c>
      <c r="I216" s="35"/>
      <c r="L216" s="139"/>
      <c r="M216" s="139"/>
      <c r="N216" s="35"/>
      <c r="T216" s="20"/>
    </row>
    <row r="217" spans="1:20" s="89" customFormat="1" ht="15.75" hidden="1" customHeight="1" x14ac:dyDescent="0.25">
      <c r="A217" s="137">
        <f>A216+1</f>
        <v>4</v>
      </c>
      <c r="B217" s="138"/>
      <c r="C217" s="88"/>
      <c r="D217" s="88"/>
      <c r="E217" s="88">
        <v>0</v>
      </c>
      <c r="F217" s="88">
        <f>D217+(IF(E217&lt;201,E217,IF(E217&lt;301,E217/2,E217/3)))</f>
        <v>0</v>
      </c>
      <c r="G217" s="88">
        <v>0</v>
      </c>
      <c r="H217" s="88">
        <f>(F217+(IF(G217&lt;101,G217,IF(G217&lt;201,G217/2,IF(G217&lt;=301,G217/3,G217/4)))))*(($H$146)+1)</f>
        <v>0</v>
      </c>
      <c r="I217" s="35"/>
      <c r="L217" s="139"/>
      <c r="M217" s="139"/>
      <c r="N217" s="35"/>
      <c r="T217" s="20"/>
    </row>
    <row r="218" spans="1:20" s="90" customFormat="1" x14ac:dyDescent="0.25">
      <c r="A218" s="144" t="s">
        <v>406</v>
      </c>
      <c r="B218" s="145"/>
      <c r="C218" s="145"/>
      <c r="D218" s="145"/>
      <c r="E218" s="145"/>
      <c r="F218" s="145"/>
      <c r="G218" s="145"/>
      <c r="H218" s="146"/>
      <c r="J218" s="35"/>
    </row>
    <row r="219" spans="1:20" s="36" customFormat="1" x14ac:dyDescent="0.25">
      <c r="A219" s="137"/>
      <c r="B219" s="140"/>
      <c r="C219" s="140"/>
      <c r="D219" s="140"/>
      <c r="E219" s="140"/>
      <c r="F219" s="140"/>
      <c r="G219" s="140"/>
      <c r="H219" s="138"/>
      <c r="I219" s="35"/>
      <c r="N219" s="35"/>
    </row>
    <row r="220" spans="1:20" ht="47.25" customHeight="1" x14ac:dyDescent="0.25">
      <c r="A220" s="257" t="s">
        <v>421</v>
      </c>
      <c r="B220" s="159" t="s">
        <v>178</v>
      </c>
      <c r="C220" s="159" t="s">
        <v>55</v>
      </c>
      <c r="D220" s="159" t="s">
        <v>233</v>
      </c>
      <c r="E220" s="159" t="s">
        <v>392</v>
      </c>
      <c r="F220" s="159" t="s">
        <v>56</v>
      </c>
      <c r="G220" s="186" t="s">
        <v>57</v>
      </c>
      <c r="H220" s="97" t="s">
        <v>147</v>
      </c>
      <c r="I220" s="88">
        <v>10.763999999999999</v>
      </c>
      <c r="T220" s="36"/>
    </row>
    <row r="221" spans="1:20" s="36" customFormat="1" x14ac:dyDescent="0.25">
      <c r="A221" s="258"/>
      <c r="B221" s="160"/>
      <c r="C221" s="160"/>
      <c r="D221" s="160"/>
      <c r="E221" s="160"/>
      <c r="F221" s="160"/>
      <c r="G221" s="187"/>
      <c r="H221" s="98">
        <v>0.5</v>
      </c>
      <c r="I221" s="35"/>
    </row>
    <row r="222" spans="1:20" s="89" customFormat="1" x14ac:dyDescent="0.25">
      <c r="A222" s="276" t="s">
        <v>382</v>
      </c>
      <c r="B222" s="277"/>
      <c r="C222" s="277"/>
      <c r="D222" s="277"/>
      <c r="E222" s="277"/>
      <c r="F222" s="277"/>
      <c r="G222" s="277"/>
      <c r="H222" s="278"/>
      <c r="J222" s="35"/>
    </row>
    <row r="223" spans="1:20" s="89" customFormat="1" x14ac:dyDescent="0.25">
      <c r="A223" s="147" t="s">
        <v>388</v>
      </c>
      <c r="B223" s="147"/>
      <c r="C223" s="147"/>
      <c r="D223" s="147"/>
      <c r="E223" s="147"/>
      <c r="F223" s="147"/>
      <c r="G223" s="147"/>
      <c r="H223" s="147"/>
      <c r="I223" s="89">
        <v>3</v>
      </c>
      <c r="J223" s="35"/>
    </row>
    <row r="224" spans="1:20" s="89" customFormat="1" x14ac:dyDescent="0.25">
      <c r="A224" s="147" t="s">
        <v>389</v>
      </c>
      <c r="B224" s="147"/>
      <c r="C224" s="147"/>
      <c r="D224" s="147"/>
      <c r="E224" s="147"/>
      <c r="F224" s="147"/>
      <c r="G224" s="147"/>
      <c r="H224" s="147"/>
      <c r="I224" s="89">
        <v>1</v>
      </c>
      <c r="J224" s="35"/>
    </row>
    <row r="225" spans="1:20" s="89" customFormat="1" x14ac:dyDescent="0.25">
      <c r="A225" s="147" t="s">
        <v>394</v>
      </c>
      <c r="B225" s="147"/>
      <c r="C225" s="147"/>
      <c r="D225" s="147"/>
      <c r="E225" s="147"/>
      <c r="F225" s="147"/>
      <c r="G225" s="147"/>
      <c r="H225" s="147"/>
      <c r="I225" s="89">
        <v>1</v>
      </c>
      <c r="J225" s="35"/>
    </row>
    <row r="226" spans="1:20" s="89" customFormat="1" ht="15.75" customHeight="1" x14ac:dyDescent="0.25">
      <c r="A226" s="148">
        <v>1</v>
      </c>
      <c r="B226" s="148"/>
      <c r="C226" s="103" t="s">
        <v>390</v>
      </c>
      <c r="D226" s="103">
        <f>(55.345)*10.764</f>
        <v>595.73357999999996</v>
      </c>
      <c r="E226" s="103">
        <f>(0.75*(2.865+2.75+2.125+3.05))*10.764</f>
        <v>87.107669999999985</v>
      </c>
      <c r="F226" s="103">
        <f>D226+E226</f>
        <v>682.84124999999995</v>
      </c>
      <c r="G226" s="103">
        <f>(24.532)*10.764</f>
        <v>264.06244799999996</v>
      </c>
      <c r="H226" s="103">
        <f>F226*(($H$221)+1)+(IF(G226&lt;101,G226,IF(G226&lt;201,G226/2,IF(G226&lt;=301,G226/3,G226/4))))</f>
        <v>1112.2826909999999</v>
      </c>
      <c r="I226" s="35">
        <f>5.325*3.24+2.15*2.75+2.75*3.05+2.865*3.65+(1.25+1.35)*2.125+1.25*1.53+3.1</f>
        <v>52.547750000000001</v>
      </c>
      <c r="L226" s="139"/>
      <c r="M226" s="139"/>
      <c r="N226" s="35"/>
    </row>
    <row r="227" spans="1:20" s="89" customFormat="1" ht="15.75" customHeight="1" x14ac:dyDescent="0.25">
      <c r="A227" s="148">
        <f>A226+1</f>
        <v>2</v>
      </c>
      <c r="B227" s="148"/>
      <c r="C227" s="103" t="s">
        <v>390</v>
      </c>
      <c r="D227" s="103">
        <f>(55.21)*10.764</f>
        <v>594.28044</v>
      </c>
      <c r="E227" s="103">
        <f>(0.75*(2.865+2.75+2.125+3.05))*10.764</f>
        <v>87.107669999999985</v>
      </c>
      <c r="F227" s="103">
        <f>D227+E227</f>
        <v>681.38810999999998</v>
      </c>
      <c r="G227" s="103">
        <f>0</f>
        <v>0</v>
      </c>
      <c r="H227" s="103">
        <f>F227*(($H$221)+1)+(IF(G227&lt;101,G227,IF(G227&lt;201,G227/2,IF(G227&lt;=301,G227/3,G227/4))))</f>
        <v>1022.082165</v>
      </c>
      <c r="I227" s="35"/>
      <c r="L227" s="139"/>
      <c r="M227" s="139"/>
      <c r="N227" s="35"/>
    </row>
    <row r="228" spans="1:20" s="89" customFormat="1" ht="15.75" customHeight="1" x14ac:dyDescent="0.25">
      <c r="A228" s="148">
        <f>A227+1</f>
        <v>3</v>
      </c>
      <c r="B228" s="148"/>
      <c r="C228" s="103" t="s">
        <v>391</v>
      </c>
      <c r="D228" s="103">
        <f>(73.275)*10.764</f>
        <v>788.73210000000006</v>
      </c>
      <c r="E228" s="103">
        <f>(0.75*(3.15+2.735+3.05+3.05+2.75))*10.764</f>
        <v>118.95565499999999</v>
      </c>
      <c r="F228" s="103">
        <f>D228+E228</f>
        <v>907.68775500000004</v>
      </c>
      <c r="G228" s="103">
        <v>0</v>
      </c>
      <c r="H228" s="103">
        <f>F228*(($H$221)+1)+(IF(G228&lt;101,G228,IF(G228&lt;201,G228/2,IF(G228&lt;=301,G228/3,G228/4))))</f>
        <v>1361.5316325000001</v>
      </c>
      <c r="I228" s="35">
        <f>6.485*3.25+2.75*2.75+2.735*3.35+3.05*3.35+3.05*3.66+(1.3+1.335)*2.125+3.1+1.2*1.53</f>
        <v>69.716874999999987</v>
      </c>
      <c r="L228" s="139"/>
      <c r="M228" s="139"/>
      <c r="N228" s="35"/>
    </row>
    <row r="229" spans="1:20" s="89" customFormat="1" ht="15.75" customHeight="1" x14ac:dyDescent="0.25">
      <c r="A229" s="148">
        <f>A228+1</f>
        <v>4</v>
      </c>
      <c r="B229" s="148"/>
      <c r="C229" s="103" t="s">
        <v>390</v>
      </c>
      <c r="D229" s="103">
        <f>(63.556)*10.764</f>
        <v>684.11678399999994</v>
      </c>
      <c r="E229" s="103">
        <f>(0.75*(3.15+2.75+3.05+3.05))*10.764</f>
        <v>96.875999999999991</v>
      </c>
      <c r="F229" s="103">
        <f>D229+E229</f>
        <v>780.99278399999992</v>
      </c>
      <c r="G229" s="103">
        <f>(34.29)*10.764</f>
        <v>369.09755999999999</v>
      </c>
      <c r="H229" s="103">
        <f>F229*(($H$221)+1)+(IF(G229&lt;101,G229,IF(G229&lt;201,G229/2,IF(G229&lt;=301,G229/3,G229/4))))</f>
        <v>1263.7635659999999</v>
      </c>
      <c r="I229" s="35"/>
      <c r="L229" s="139"/>
      <c r="M229" s="139"/>
      <c r="N229" s="35"/>
      <c r="T229" s="20"/>
    </row>
    <row r="230" spans="1:20" s="89" customFormat="1" ht="15.75" customHeight="1" x14ac:dyDescent="0.25">
      <c r="A230" s="148">
        <f t="shared" ref="A230:A233" si="32">A229+1</f>
        <v>5</v>
      </c>
      <c r="B230" s="148"/>
      <c r="C230" s="103" t="s">
        <v>390</v>
      </c>
      <c r="D230" s="103">
        <f>(63.556)*10.764</f>
        <v>684.11678399999994</v>
      </c>
      <c r="E230" s="103">
        <f>(0.75*(3.15+2.75+3.05+3.05))*10.764</f>
        <v>96.875999999999991</v>
      </c>
      <c r="F230" s="103">
        <f t="shared" ref="F230:F233" si="33">D230+E230</f>
        <v>780.99278399999992</v>
      </c>
      <c r="G230" s="103">
        <f>(37.206)*10.764</f>
        <v>400.48538400000001</v>
      </c>
      <c r="H230" s="103">
        <f t="shared" ref="H230:H233" si="34">F230*(($H$221)+1)+(IF(G230&lt;101,G230,IF(G230&lt;201,G230/2,IF(G230&lt;=301,G230/3,G230/4))))</f>
        <v>1271.6105219999997</v>
      </c>
      <c r="I230" s="35"/>
      <c r="L230" s="139"/>
      <c r="M230" s="139"/>
      <c r="N230" s="35"/>
      <c r="T230" s="20"/>
    </row>
    <row r="231" spans="1:20" s="89" customFormat="1" ht="15.75" customHeight="1" x14ac:dyDescent="0.25">
      <c r="A231" s="148">
        <f t="shared" si="32"/>
        <v>6</v>
      </c>
      <c r="B231" s="148"/>
      <c r="C231" s="103" t="s">
        <v>391</v>
      </c>
      <c r="D231" s="103">
        <f>(85.292)*10.764</f>
        <v>918.08308799999998</v>
      </c>
      <c r="E231" s="103">
        <f>(0.75*(3.35+3.05+3.6+2.65+2.85))*10.764</f>
        <v>125.13149999999999</v>
      </c>
      <c r="F231" s="103">
        <f t="shared" si="33"/>
        <v>1043.214588</v>
      </c>
      <c r="G231" s="103">
        <v>0</v>
      </c>
      <c r="H231" s="103">
        <f t="shared" si="34"/>
        <v>1564.8218820000002</v>
      </c>
      <c r="I231" s="35"/>
      <c r="L231" s="139"/>
      <c r="M231" s="139"/>
      <c r="N231" s="35"/>
      <c r="T231" s="20"/>
    </row>
    <row r="232" spans="1:20" s="89" customFormat="1" ht="15.75" customHeight="1" x14ac:dyDescent="0.25">
      <c r="A232" s="148">
        <f t="shared" si="32"/>
        <v>7</v>
      </c>
      <c r="B232" s="148"/>
      <c r="C232" s="103" t="s">
        <v>391</v>
      </c>
      <c r="D232" s="103">
        <f>(80.741)*10.764</f>
        <v>869.09612399999992</v>
      </c>
      <c r="E232" s="103">
        <f>(0.75*(3.35+3.05+3.6+2.65+2.85))*10.764</f>
        <v>125.13149999999999</v>
      </c>
      <c r="F232" s="103">
        <f t="shared" si="33"/>
        <v>994.22762399999988</v>
      </c>
      <c r="G232" s="103">
        <v>0</v>
      </c>
      <c r="H232" s="103">
        <f t="shared" si="34"/>
        <v>1491.3414359999997</v>
      </c>
      <c r="I232" s="35"/>
      <c r="L232" s="139"/>
      <c r="M232" s="139"/>
      <c r="N232" s="35"/>
      <c r="T232" s="20"/>
    </row>
    <row r="233" spans="1:20" s="89" customFormat="1" ht="15.75" customHeight="1" x14ac:dyDescent="0.25">
      <c r="A233" s="148">
        <f t="shared" si="32"/>
        <v>8</v>
      </c>
      <c r="B233" s="148"/>
      <c r="C233" s="103" t="s">
        <v>390</v>
      </c>
      <c r="D233" s="103">
        <f>(55.345)*10.764</f>
        <v>595.73357999999996</v>
      </c>
      <c r="E233" s="103">
        <f>(0.75*(2.85+2.125+2.75+2.865))*10.764</f>
        <v>85.493069999999989</v>
      </c>
      <c r="F233" s="103">
        <f t="shared" si="33"/>
        <v>681.22664999999995</v>
      </c>
      <c r="G233" s="103">
        <f>(24.52)*10.764</f>
        <v>263.93327999999997</v>
      </c>
      <c r="H233" s="103">
        <f t="shared" si="34"/>
        <v>1109.8177349999999</v>
      </c>
      <c r="I233" s="35"/>
      <c r="L233" s="139"/>
      <c r="M233" s="139"/>
      <c r="N233" s="35"/>
      <c r="T233" s="20"/>
    </row>
    <row r="234" spans="1:20" s="90" customFormat="1" x14ac:dyDescent="0.25">
      <c r="A234" s="144" t="s">
        <v>410</v>
      </c>
      <c r="B234" s="145"/>
      <c r="C234" s="145"/>
      <c r="D234" s="145"/>
      <c r="E234" s="145"/>
      <c r="F234" s="145"/>
      <c r="G234" s="145"/>
      <c r="H234" s="146"/>
      <c r="I234" s="90">
        <v>9</v>
      </c>
      <c r="J234" s="35"/>
    </row>
    <row r="235" spans="1:20" s="90" customFormat="1" ht="15.75" customHeight="1" x14ac:dyDescent="0.25">
      <c r="A235" s="137">
        <v>1</v>
      </c>
      <c r="B235" s="138"/>
      <c r="C235" s="91" t="s">
        <v>390</v>
      </c>
      <c r="D235" s="91">
        <f>(55.21)*10.764</f>
        <v>594.28044</v>
      </c>
      <c r="E235" s="91">
        <f>(0.75*(2.865+2.75+2.125+3.05))*10.764</f>
        <v>87.107669999999985</v>
      </c>
      <c r="F235" s="91">
        <f>D235+E235</f>
        <v>681.38810999999998</v>
      </c>
      <c r="G235" s="91">
        <v>0</v>
      </c>
      <c r="H235" s="91">
        <f>F235*(($H$221)+1)+(IF(G235&lt;101,G235,IF(G235&lt;201,G235/2,IF(G235&lt;=301,G235/3,G235/4))))</f>
        <v>1022.082165</v>
      </c>
      <c r="I235" s="35"/>
      <c r="L235" s="139"/>
      <c r="M235" s="139"/>
      <c r="N235" s="35"/>
    </row>
    <row r="236" spans="1:20" s="90" customFormat="1" ht="15.75" customHeight="1" x14ac:dyDescent="0.25">
      <c r="A236" s="137">
        <f>A235+1</f>
        <v>2</v>
      </c>
      <c r="B236" s="138"/>
      <c r="C236" s="91" t="s">
        <v>390</v>
      </c>
      <c r="D236" s="91">
        <f>(55.21)*10.764</f>
        <v>594.28044</v>
      </c>
      <c r="E236" s="91">
        <f>(0.75*(2.865+2.75+2.125+3.05))*10.764</f>
        <v>87.107669999999985</v>
      </c>
      <c r="F236" s="91">
        <f>D236+E236</f>
        <v>681.38810999999998</v>
      </c>
      <c r="G236" s="91">
        <v>0</v>
      </c>
      <c r="H236" s="91">
        <f>F236*(($H$221)+1)+(IF(G236&lt;101,G236,IF(G236&lt;201,G236/2,IF(G236&lt;=301,G236/3,G236/4))))</f>
        <v>1022.082165</v>
      </c>
      <c r="I236" s="35"/>
      <c r="L236" s="139"/>
      <c r="M236" s="139"/>
      <c r="N236" s="35"/>
    </row>
    <row r="237" spans="1:20" s="90" customFormat="1" ht="15.75" customHeight="1" x14ac:dyDescent="0.25">
      <c r="A237" s="137">
        <f>A236+1</f>
        <v>3</v>
      </c>
      <c r="B237" s="138"/>
      <c r="C237" s="91" t="s">
        <v>391</v>
      </c>
      <c r="D237" s="91">
        <f>(73.275)*10.764</f>
        <v>788.73210000000006</v>
      </c>
      <c r="E237" s="91">
        <f>(0.75*(3.15+2.735+3.05+3.05+2.75))*10.764</f>
        <v>118.95565499999999</v>
      </c>
      <c r="F237" s="91">
        <f>D237+E237</f>
        <v>907.68775500000004</v>
      </c>
      <c r="G237" s="91">
        <v>0</v>
      </c>
      <c r="H237" s="91">
        <f>F237*(($H$221)+1)+(IF(G237&lt;101,G237,IF(G237&lt;201,G237/2,IF(G237&lt;=301,G237/3,G237/4))))</f>
        <v>1361.5316325000001</v>
      </c>
      <c r="I237" s="35"/>
      <c r="L237" s="139"/>
      <c r="M237" s="139"/>
      <c r="N237" s="35"/>
    </row>
    <row r="238" spans="1:20" s="90" customFormat="1" ht="15.75" customHeight="1" x14ac:dyDescent="0.25">
      <c r="A238" s="137">
        <f>A237+1</f>
        <v>4</v>
      </c>
      <c r="B238" s="138"/>
      <c r="C238" s="91" t="s">
        <v>390</v>
      </c>
      <c r="D238" s="91">
        <f>(63.421)*10.764</f>
        <v>682.66364399999998</v>
      </c>
      <c r="E238" s="91">
        <f>(0.75*(3.15+2.75+3.05+3.05))*10.764</f>
        <v>96.875999999999991</v>
      </c>
      <c r="F238" s="91">
        <f>D238+E238</f>
        <v>779.53964399999995</v>
      </c>
      <c r="G238" s="91">
        <v>0</v>
      </c>
      <c r="H238" s="91">
        <f>F238*(($H$221)+1)+(IF(G238&lt;101,G238,IF(G238&lt;201,G238/2,IF(G238&lt;=301,G238/3,G238/4))))</f>
        <v>1169.3094659999999</v>
      </c>
      <c r="I238" s="35"/>
      <c r="L238" s="139"/>
      <c r="M238" s="139"/>
      <c r="N238" s="35"/>
      <c r="T238" s="20"/>
    </row>
    <row r="239" spans="1:20" s="90" customFormat="1" ht="15.75" customHeight="1" x14ac:dyDescent="0.25">
      <c r="A239" s="137">
        <f t="shared" ref="A239:A242" si="35">A238+1</f>
        <v>5</v>
      </c>
      <c r="B239" s="138"/>
      <c r="C239" s="91" t="s">
        <v>390</v>
      </c>
      <c r="D239" s="91">
        <f>(63.421)*10.764</f>
        <v>682.66364399999998</v>
      </c>
      <c r="E239" s="91">
        <f>(0.75*(3.15+2.75+3.05+3.05))*10.764</f>
        <v>96.875999999999991</v>
      </c>
      <c r="F239" s="91">
        <f t="shared" ref="F239:F242" si="36">D239+E239</f>
        <v>779.53964399999995</v>
      </c>
      <c r="G239" s="91">
        <v>0</v>
      </c>
      <c r="H239" s="91">
        <f t="shared" ref="H239:H242" si="37">F239*(($H$221)+1)+(IF(G239&lt;101,G239,IF(G239&lt;201,G239/2,IF(G239&lt;=301,G239/3,G239/4))))</f>
        <v>1169.3094659999999</v>
      </c>
      <c r="I239" s="35"/>
      <c r="L239" s="139"/>
      <c r="M239" s="139"/>
      <c r="N239" s="35"/>
      <c r="T239" s="20"/>
    </row>
    <row r="240" spans="1:20" s="90" customFormat="1" ht="15.75" customHeight="1" x14ac:dyDescent="0.25">
      <c r="A240" s="137">
        <f t="shared" si="35"/>
        <v>6</v>
      </c>
      <c r="B240" s="138"/>
      <c r="C240" s="91" t="s">
        <v>391</v>
      </c>
      <c r="D240" s="91">
        <f>(85.292)*10.764</f>
        <v>918.08308799999998</v>
      </c>
      <c r="E240" s="91">
        <f>(0.75*(3.35+3.05+3.6+2.65+2.85))*10.764</f>
        <v>125.13149999999999</v>
      </c>
      <c r="F240" s="91">
        <f t="shared" si="36"/>
        <v>1043.214588</v>
      </c>
      <c r="G240" s="91">
        <v>0</v>
      </c>
      <c r="H240" s="91">
        <f t="shared" si="37"/>
        <v>1564.8218820000002</v>
      </c>
      <c r="I240" s="35"/>
      <c r="L240" s="139"/>
      <c r="M240" s="139"/>
      <c r="N240" s="35"/>
      <c r="T240" s="20"/>
    </row>
    <row r="241" spans="1:20" s="90" customFormat="1" ht="15.75" customHeight="1" x14ac:dyDescent="0.25">
      <c r="A241" s="137">
        <f t="shared" si="35"/>
        <v>7</v>
      </c>
      <c r="B241" s="138"/>
      <c r="C241" s="91" t="s">
        <v>391</v>
      </c>
      <c r="D241" s="91">
        <f>(80.741)*10.764</f>
        <v>869.09612399999992</v>
      </c>
      <c r="E241" s="91">
        <f>(0.75*(3.35+3.05+3.6+2.65+2.85))*10.764</f>
        <v>125.13149999999999</v>
      </c>
      <c r="F241" s="91">
        <f t="shared" si="36"/>
        <v>994.22762399999988</v>
      </c>
      <c r="G241" s="91">
        <v>0</v>
      </c>
      <c r="H241" s="91">
        <f t="shared" si="37"/>
        <v>1491.3414359999997</v>
      </c>
      <c r="I241" s="35"/>
      <c r="L241" s="139"/>
      <c r="M241" s="139"/>
      <c r="N241" s="35"/>
      <c r="T241" s="20"/>
    </row>
    <row r="242" spans="1:20" s="90" customFormat="1" ht="15.75" customHeight="1" x14ac:dyDescent="0.25">
      <c r="A242" s="137">
        <f t="shared" si="35"/>
        <v>8</v>
      </c>
      <c r="B242" s="138"/>
      <c r="C242" s="91" t="s">
        <v>390</v>
      </c>
      <c r="D242" s="91">
        <f>(55.21)*10.764</f>
        <v>594.28044</v>
      </c>
      <c r="E242" s="91">
        <f>(0.75*(2.85+2.125+2.75+2.865))*10.764</f>
        <v>85.493069999999989</v>
      </c>
      <c r="F242" s="91">
        <f t="shared" si="36"/>
        <v>679.77350999999999</v>
      </c>
      <c r="G242" s="91">
        <v>0</v>
      </c>
      <c r="H242" s="91">
        <f t="shared" si="37"/>
        <v>1019.660265</v>
      </c>
      <c r="I242" s="35"/>
      <c r="L242" s="139"/>
      <c r="M242" s="139"/>
      <c r="N242" s="35"/>
      <c r="T242" s="20"/>
    </row>
    <row r="243" spans="1:20" s="90" customFormat="1" x14ac:dyDescent="0.25">
      <c r="A243" s="144" t="s">
        <v>393</v>
      </c>
      <c r="B243" s="145"/>
      <c r="C243" s="145"/>
      <c r="D243" s="145"/>
      <c r="E243" s="145"/>
      <c r="F243" s="145"/>
      <c r="G243" s="145"/>
      <c r="H243" s="146"/>
      <c r="I243" s="90">
        <v>4</v>
      </c>
      <c r="J243" s="35"/>
    </row>
    <row r="244" spans="1:20" s="90" customFormat="1" ht="15.75" customHeight="1" x14ac:dyDescent="0.25">
      <c r="A244" s="137">
        <v>1</v>
      </c>
      <c r="B244" s="138"/>
      <c r="C244" s="91" t="s">
        <v>390</v>
      </c>
      <c r="D244" s="91">
        <f>(55.21)*10.764</f>
        <v>594.28044</v>
      </c>
      <c r="E244" s="94">
        <f>(0.75*(2.865+2.75+2.125+3.05))*10.764</f>
        <v>87.107669999999985</v>
      </c>
      <c r="F244" s="91">
        <f>D244+E244</f>
        <v>681.38810999999998</v>
      </c>
      <c r="G244" s="91">
        <v>0</v>
      </c>
      <c r="H244" s="91">
        <f t="shared" ref="H244:H249" si="38">F244*(($H$221)+1)+(IF(G244&lt;101,G244,IF(G244&lt;201,G244/2,IF(G244&lt;=301,G244/3,G244/4))))</f>
        <v>1022.082165</v>
      </c>
      <c r="I244" s="35"/>
      <c r="J244" s="90">
        <f>5.95/2</f>
        <v>2.9750000000000001</v>
      </c>
      <c r="L244" s="139"/>
      <c r="M244" s="139"/>
      <c r="N244" s="35"/>
    </row>
    <row r="245" spans="1:20" s="90" customFormat="1" ht="15.75" customHeight="1" x14ac:dyDescent="0.25">
      <c r="A245" s="137">
        <f>A244+1</f>
        <v>2</v>
      </c>
      <c r="B245" s="138"/>
      <c r="C245" s="91" t="s">
        <v>390</v>
      </c>
      <c r="D245" s="91">
        <f>(55.21)*10.764</f>
        <v>594.28044</v>
      </c>
      <c r="E245" s="94">
        <f>(0.75*(2.865+2.75+2.125+3.05))*10.764</f>
        <v>87.107669999999985</v>
      </c>
      <c r="F245" s="91">
        <f>D245+E245</f>
        <v>681.38810999999998</v>
      </c>
      <c r="G245" s="91">
        <v>0</v>
      </c>
      <c r="H245" s="91">
        <f t="shared" si="38"/>
        <v>1022.082165</v>
      </c>
      <c r="I245" s="35"/>
      <c r="L245" s="139"/>
      <c r="M245" s="139"/>
      <c r="N245" s="35"/>
    </row>
    <row r="246" spans="1:20" s="90" customFormat="1" ht="15.75" customHeight="1" x14ac:dyDescent="0.25">
      <c r="A246" s="137">
        <f>A245+1</f>
        <v>3</v>
      </c>
      <c r="B246" s="138"/>
      <c r="C246" s="91" t="s">
        <v>391</v>
      </c>
      <c r="D246" s="91">
        <f>(73.275)*10.764</f>
        <v>788.73210000000006</v>
      </c>
      <c r="E246" s="94">
        <f>(0.75*(3.15+2.735+3.05+3.05+2.75))*10.764</f>
        <v>118.95565499999999</v>
      </c>
      <c r="F246" s="91">
        <f>D246+E246</f>
        <v>907.68775500000004</v>
      </c>
      <c r="G246" s="91">
        <v>0</v>
      </c>
      <c r="H246" s="91">
        <f t="shared" si="38"/>
        <v>1361.5316325000001</v>
      </c>
      <c r="I246" s="35"/>
      <c r="L246" s="139"/>
      <c r="M246" s="139"/>
      <c r="N246" s="35"/>
    </row>
    <row r="247" spans="1:20" s="90" customFormat="1" ht="15.75" customHeight="1" x14ac:dyDescent="0.25">
      <c r="A247" s="137">
        <f>A246+1</f>
        <v>4</v>
      </c>
      <c r="B247" s="138"/>
      <c r="C247" s="91" t="s">
        <v>390</v>
      </c>
      <c r="D247" s="91">
        <f>(63.421)*10.764</f>
        <v>682.66364399999998</v>
      </c>
      <c r="E247" s="94">
        <f>(0.75*(3.15+2.75+3.05+3.05))*10.764</f>
        <v>96.875999999999991</v>
      </c>
      <c r="F247" s="91">
        <f>D247+E247</f>
        <v>779.53964399999995</v>
      </c>
      <c r="G247" s="91">
        <v>0</v>
      </c>
      <c r="H247" s="91">
        <f t="shared" si="38"/>
        <v>1169.3094659999999</v>
      </c>
      <c r="I247" s="35"/>
      <c r="L247" s="139"/>
      <c r="M247" s="139"/>
      <c r="N247" s="35"/>
      <c r="T247" s="20"/>
    </row>
    <row r="248" spans="1:20" s="90" customFormat="1" ht="15.75" customHeight="1" x14ac:dyDescent="0.25">
      <c r="A248" s="137">
        <f t="shared" ref="A248:A251" si="39">A247+1</f>
        <v>5</v>
      </c>
      <c r="B248" s="138"/>
      <c r="C248" s="91" t="s">
        <v>390</v>
      </c>
      <c r="D248" s="91">
        <f>(63.421)*10.764</f>
        <v>682.66364399999998</v>
      </c>
      <c r="E248" s="94">
        <f>(0.75*(3.15+2.75+3.05+3.05))*10.764</f>
        <v>96.875999999999991</v>
      </c>
      <c r="F248" s="91">
        <f t="shared" ref="F248:F251" si="40">D248+E248</f>
        <v>779.53964399999995</v>
      </c>
      <c r="G248" s="91">
        <v>0</v>
      </c>
      <c r="H248" s="91">
        <f t="shared" si="38"/>
        <v>1169.3094659999999</v>
      </c>
      <c r="I248" s="35"/>
      <c r="L248" s="139"/>
      <c r="M248" s="139"/>
      <c r="N248" s="35"/>
      <c r="T248" s="20"/>
    </row>
    <row r="249" spans="1:20" s="90" customFormat="1" ht="15.75" customHeight="1" x14ac:dyDescent="0.25">
      <c r="A249" s="137">
        <f t="shared" si="39"/>
        <v>6</v>
      </c>
      <c r="B249" s="138"/>
      <c r="C249" s="91" t="s">
        <v>391</v>
      </c>
      <c r="D249" s="91">
        <f>(85.292)*10.764</f>
        <v>918.08308799999998</v>
      </c>
      <c r="E249" s="94">
        <f>(0.75*(3.35+3.05+3.6+2.65+2.85))*10.764</f>
        <v>125.13149999999999</v>
      </c>
      <c r="F249" s="91">
        <f t="shared" si="40"/>
        <v>1043.214588</v>
      </c>
      <c r="G249" s="91">
        <v>0</v>
      </c>
      <c r="H249" s="91">
        <f t="shared" si="38"/>
        <v>1564.8218820000002</v>
      </c>
      <c r="I249" s="35"/>
      <c r="L249" s="139"/>
      <c r="M249" s="139"/>
      <c r="N249" s="35"/>
      <c r="T249" s="20"/>
    </row>
    <row r="250" spans="1:20" s="90" customFormat="1" ht="15.75" customHeight="1" x14ac:dyDescent="0.25">
      <c r="A250" s="137">
        <f t="shared" si="39"/>
        <v>7</v>
      </c>
      <c r="B250" s="138"/>
      <c r="C250" s="137" t="s">
        <v>395</v>
      </c>
      <c r="D250" s="140"/>
      <c r="E250" s="140"/>
      <c r="F250" s="140"/>
      <c r="G250" s="140"/>
      <c r="H250" s="138"/>
      <c r="I250" s="35"/>
      <c r="L250" s="139"/>
      <c r="M250" s="139"/>
      <c r="N250" s="35"/>
      <c r="T250" s="20"/>
    </row>
    <row r="251" spans="1:20" s="90" customFormat="1" ht="15.75" customHeight="1" x14ac:dyDescent="0.25">
      <c r="A251" s="137">
        <f t="shared" si="39"/>
        <v>8</v>
      </c>
      <c r="B251" s="138"/>
      <c r="C251" s="91" t="s">
        <v>390</v>
      </c>
      <c r="D251" s="91">
        <f>(55.21)*10.764</f>
        <v>594.28044</v>
      </c>
      <c r="E251" s="94">
        <f>(0.75*(2.85+2.125+2.75+2.865))*10.764</f>
        <v>85.493069999999989</v>
      </c>
      <c r="F251" s="91">
        <f t="shared" si="40"/>
        <v>679.77350999999999</v>
      </c>
      <c r="G251" s="91">
        <v>0</v>
      </c>
      <c r="H251" s="91">
        <f>F251*(($H$221)+1)+(IF(G251&lt;101,G251,IF(G251&lt;201,G251/2,IF(G251&lt;=301,G251/3,G251/4))))</f>
        <v>1019.660265</v>
      </c>
      <c r="I251" s="35"/>
      <c r="L251" s="139"/>
      <c r="M251" s="139"/>
      <c r="N251" s="35"/>
      <c r="T251" s="20"/>
    </row>
    <row r="252" spans="1:20" s="90" customFormat="1" x14ac:dyDescent="0.25">
      <c r="A252" s="144" t="s">
        <v>396</v>
      </c>
      <c r="B252" s="145"/>
      <c r="C252" s="145"/>
      <c r="D252" s="145"/>
      <c r="E252" s="145"/>
      <c r="F252" s="145"/>
      <c r="G252" s="145"/>
      <c r="H252" s="146"/>
      <c r="I252" s="90">
        <v>1</v>
      </c>
      <c r="J252" s="35"/>
    </row>
    <row r="253" spans="1:20" s="90" customFormat="1" ht="15.75" customHeight="1" x14ac:dyDescent="0.25">
      <c r="A253" s="137">
        <v>1</v>
      </c>
      <c r="B253" s="138"/>
      <c r="C253" s="91" t="s">
        <v>390</v>
      </c>
      <c r="D253" s="91">
        <f>(55.21)*10.764</f>
        <v>594.28044</v>
      </c>
      <c r="E253" s="91">
        <f>(0.75*(2.865+2.75+2.125+3.05))*10.764</f>
        <v>87.107669999999985</v>
      </c>
      <c r="F253" s="91">
        <f>D253+E253</f>
        <v>681.38810999999998</v>
      </c>
      <c r="G253" s="91">
        <v>0</v>
      </c>
      <c r="H253" s="91">
        <f>F253*(($H$221)+1)+(IF(G253&lt;101,G253,IF(G253&lt;201,G253/2,IF(G253&lt;=301,G253/3,G253/4))))</f>
        <v>1022.082165</v>
      </c>
      <c r="I253" s="35"/>
      <c r="L253" s="139"/>
      <c r="M253" s="139"/>
      <c r="N253" s="35"/>
    </row>
    <row r="254" spans="1:20" s="90" customFormat="1" ht="15.75" customHeight="1" x14ac:dyDescent="0.25">
      <c r="A254" s="137">
        <f>A253+1</f>
        <v>2</v>
      </c>
      <c r="B254" s="138"/>
      <c r="C254" s="91" t="s">
        <v>390</v>
      </c>
      <c r="D254" s="91">
        <f>(55.21)*10.764</f>
        <v>594.28044</v>
      </c>
      <c r="E254" s="91">
        <f>(0.75*(2.865+2.75+2.125+3.05))*10.764</f>
        <v>87.107669999999985</v>
      </c>
      <c r="F254" s="91">
        <f>D254+E254</f>
        <v>681.38810999999998</v>
      </c>
      <c r="G254" s="91">
        <v>0</v>
      </c>
      <c r="H254" s="91">
        <f>F254*(($H$221)+1)+(IF(G254&lt;101,G254,IF(G254&lt;201,G254/2,IF(G254&lt;=301,G254/3,G254/4))))</f>
        <v>1022.082165</v>
      </c>
      <c r="I254" s="35"/>
      <c r="L254" s="139"/>
      <c r="M254" s="139"/>
      <c r="N254" s="35"/>
    </row>
    <row r="255" spans="1:20" s="90" customFormat="1" ht="15.75" customHeight="1" x14ac:dyDescent="0.25">
      <c r="A255" s="137">
        <f>A254+1</f>
        <v>3</v>
      </c>
      <c r="B255" s="138"/>
      <c r="C255" s="91" t="s">
        <v>391</v>
      </c>
      <c r="D255" s="91">
        <f>(73.275)*10.764</f>
        <v>788.73210000000006</v>
      </c>
      <c r="E255" s="91">
        <f>(0.75*(3.15+2.735+3.05+3.05+2.75))*10.764</f>
        <v>118.95565499999999</v>
      </c>
      <c r="F255" s="91">
        <f>D255+E255</f>
        <v>907.68775500000004</v>
      </c>
      <c r="G255" s="91">
        <v>0</v>
      </c>
      <c r="H255" s="91">
        <f>F255*(($H$221)+1)+(IF(G255&lt;101,G255,IF(G255&lt;201,G255/2,IF(G255&lt;=301,G255/3,G255/4))))</f>
        <v>1361.5316325000001</v>
      </c>
      <c r="I255" s="35"/>
      <c r="L255" s="139"/>
      <c r="M255" s="139"/>
      <c r="N255" s="35"/>
    </row>
    <row r="256" spans="1:20" s="90" customFormat="1" ht="15.75" customHeight="1" x14ac:dyDescent="0.25">
      <c r="A256" s="137">
        <f>A255+1</f>
        <v>4</v>
      </c>
      <c r="B256" s="138"/>
      <c r="C256" s="91" t="s">
        <v>390</v>
      </c>
      <c r="D256" s="91">
        <f>(63.421)*10.764</f>
        <v>682.66364399999998</v>
      </c>
      <c r="E256" s="91">
        <f>(0.75*(3.15+2.75+3.05+3.05))*10.764</f>
        <v>96.875999999999991</v>
      </c>
      <c r="F256" s="91">
        <f>D256+E256</f>
        <v>779.53964399999995</v>
      </c>
      <c r="G256" s="91">
        <v>0</v>
      </c>
      <c r="H256" s="91">
        <f>F256*(($H$221)+1)+(IF(G256&lt;101,G256,IF(G256&lt;201,G256/2,IF(G256&lt;=301,G256/3,G256/4))))</f>
        <v>1169.3094659999999</v>
      </c>
      <c r="I256" s="35"/>
      <c r="L256" s="139"/>
      <c r="M256" s="139"/>
      <c r="N256" s="35"/>
      <c r="T256" s="20"/>
    </row>
    <row r="257" spans="1:20" s="90" customFormat="1" ht="15.75" customHeight="1" x14ac:dyDescent="0.25">
      <c r="A257" s="137">
        <f t="shared" ref="A257:A260" si="41">A256+1</f>
        <v>5</v>
      </c>
      <c r="B257" s="138"/>
      <c r="C257" s="91" t="s">
        <v>390</v>
      </c>
      <c r="D257" s="91">
        <f>(63.421)*10.764</f>
        <v>682.66364399999998</v>
      </c>
      <c r="E257" s="91">
        <f>(0.75*(3.15+2.75+3.05+3.05))*10.764</f>
        <v>96.875999999999991</v>
      </c>
      <c r="F257" s="91">
        <f t="shared" ref="F257:F260" si="42">D257+E257</f>
        <v>779.53964399999995</v>
      </c>
      <c r="G257" s="91">
        <v>0</v>
      </c>
      <c r="H257" s="91">
        <f t="shared" ref="H257:H260" si="43">F257*(($H$221)+1)+(IF(G257&lt;101,G257,IF(G257&lt;201,G257/2,IF(G257&lt;=301,G257/3,G257/4))))</f>
        <v>1169.3094659999999</v>
      </c>
      <c r="I257" s="35"/>
      <c r="L257" s="139"/>
      <c r="M257" s="139"/>
      <c r="N257" s="35"/>
      <c r="T257" s="20"/>
    </row>
    <row r="258" spans="1:20" s="90" customFormat="1" ht="15.75" customHeight="1" x14ac:dyDescent="0.25">
      <c r="A258" s="137">
        <f t="shared" si="41"/>
        <v>6</v>
      </c>
      <c r="B258" s="138"/>
      <c r="C258" s="91" t="s">
        <v>391</v>
      </c>
      <c r="D258" s="91">
        <f>(85.292)*10.764</f>
        <v>918.08308799999998</v>
      </c>
      <c r="E258" s="91">
        <f>(0.75*(3.35+3.05+3.6+2.65+2.85))*10.764</f>
        <v>125.13149999999999</v>
      </c>
      <c r="F258" s="91">
        <f t="shared" si="42"/>
        <v>1043.214588</v>
      </c>
      <c r="G258" s="91">
        <v>0</v>
      </c>
      <c r="H258" s="91">
        <f t="shared" si="43"/>
        <v>1564.8218820000002</v>
      </c>
      <c r="I258" s="35"/>
      <c r="L258" s="139"/>
      <c r="M258" s="139"/>
      <c r="N258" s="35"/>
      <c r="T258" s="20"/>
    </row>
    <row r="259" spans="1:20" s="90" customFormat="1" ht="15.75" customHeight="1" x14ac:dyDescent="0.25">
      <c r="A259" s="137">
        <f t="shared" si="41"/>
        <v>7</v>
      </c>
      <c r="B259" s="138"/>
      <c r="C259" s="91" t="s">
        <v>391</v>
      </c>
      <c r="D259" s="91">
        <f>(80.741)*10.764</f>
        <v>869.09612399999992</v>
      </c>
      <c r="E259" s="91">
        <f>(0.75*(3.35+3.05+3.6+2.65+2.85))*10.764</f>
        <v>125.13149999999999</v>
      </c>
      <c r="F259" s="91">
        <f t="shared" si="42"/>
        <v>994.22762399999988</v>
      </c>
      <c r="G259" s="91">
        <v>0</v>
      </c>
      <c r="H259" s="91">
        <f t="shared" si="43"/>
        <v>1491.3414359999997</v>
      </c>
      <c r="I259" s="35"/>
      <c r="L259" s="139"/>
      <c r="M259" s="139"/>
      <c r="N259" s="35"/>
      <c r="T259" s="20"/>
    </row>
    <row r="260" spans="1:20" s="90" customFormat="1" ht="15.75" customHeight="1" x14ac:dyDescent="0.25">
      <c r="A260" s="137">
        <f t="shared" si="41"/>
        <v>8</v>
      </c>
      <c r="B260" s="138"/>
      <c r="C260" s="91" t="s">
        <v>390</v>
      </c>
      <c r="D260" s="91">
        <f>(55.21)*10.764</f>
        <v>594.28044</v>
      </c>
      <c r="E260" s="91">
        <f>(0.75*(2.85+2.125+2.75+2.865))*10.764</f>
        <v>85.493069999999989</v>
      </c>
      <c r="F260" s="91">
        <f t="shared" si="42"/>
        <v>679.77350999999999</v>
      </c>
      <c r="G260" s="91">
        <v>0</v>
      </c>
      <c r="H260" s="91">
        <f t="shared" si="43"/>
        <v>1019.660265</v>
      </c>
      <c r="I260" s="35"/>
      <c r="L260" s="139"/>
      <c r="M260" s="139"/>
      <c r="N260" s="35"/>
      <c r="T260" s="20"/>
    </row>
    <row r="261" spans="1:20" s="90" customFormat="1" x14ac:dyDescent="0.25">
      <c r="A261" s="144" t="s">
        <v>397</v>
      </c>
      <c r="B261" s="145"/>
      <c r="C261" s="145"/>
      <c r="D261" s="145"/>
      <c r="E261" s="145"/>
      <c r="F261" s="145"/>
      <c r="G261" s="145"/>
      <c r="H261" s="146"/>
      <c r="I261" s="90">
        <v>5</v>
      </c>
      <c r="J261" s="35"/>
    </row>
    <row r="262" spans="1:20" s="90" customFormat="1" ht="15.75" customHeight="1" x14ac:dyDescent="0.25">
      <c r="A262" s="137">
        <v>1</v>
      </c>
      <c r="B262" s="138"/>
      <c r="C262" s="91" t="s">
        <v>390</v>
      </c>
      <c r="D262" s="91">
        <f>(64.378)*10.764</f>
        <v>692.96479199999999</v>
      </c>
      <c r="E262" s="91">
        <f>(0.75*(2.9+2.125+2.75+2.865))*10.764</f>
        <v>85.896720000000002</v>
      </c>
      <c r="F262" s="91">
        <f>D262+E262</f>
        <v>778.86151199999995</v>
      </c>
      <c r="G262" s="91">
        <v>0</v>
      </c>
      <c r="H262" s="91">
        <f>F262*(($H$221)+1)+(IF(G262&lt;101,G262,IF(G262&lt;201,G262/2,IF(G262&lt;=301,G262/3,G262/4))))</f>
        <v>1168.2922679999999</v>
      </c>
      <c r="I262" s="35"/>
      <c r="L262" s="139"/>
      <c r="M262" s="139"/>
      <c r="N262" s="35"/>
    </row>
    <row r="263" spans="1:20" s="90" customFormat="1" ht="15.75" customHeight="1" x14ac:dyDescent="0.25">
      <c r="A263" s="137">
        <f>A262+1</f>
        <v>2</v>
      </c>
      <c r="B263" s="138"/>
      <c r="C263" s="91" t="s">
        <v>390</v>
      </c>
      <c r="D263" s="91">
        <f>(64.378)*10.764</f>
        <v>692.96479199999999</v>
      </c>
      <c r="E263" s="91">
        <f>(0.75*(2.9+2.125+2.75+2.865))*10.764</f>
        <v>85.896720000000002</v>
      </c>
      <c r="F263" s="91">
        <f>D263+E263</f>
        <v>778.86151199999995</v>
      </c>
      <c r="G263" s="91">
        <v>0</v>
      </c>
      <c r="H263" s="91">
        <f>F263*(($H$221)+1)+(IF(G263&lt;101,G263,IF(G263&lt;201,G263/2,IF(G263&lt;=301,G263/3,G263/4))))</f>
        <v>1168.2922679999999</v>
      </c>
      <c r="I263" s="35"/>
      <c r="L263" s="139"/>
      <c r="M263" s="139"/>
      <c r="N263" s="35"/>
    </row>
    <row r="264" spans="1:20" s="90" customFormat="1" ht="15.75" customHeight="1" x14ac:dyDescent="0.25">
      <c r="A264" s="137">
        <f>A263+1</f>
        <v>3</v>
      </c>
      <c r="B264" s="138"/>
      <c r="C264" s="91" t="s">
        <v>391</v>
      </c>
      <c r="D264" s="91">
        <f>(85.056)*10.764</f>
        <v>915.54278399999987</v>
      </c>
      <c r="E264" s="91">
        <f>(0.75*(3.1+2.735+3.05+3.05+2.75))*10.764</f>
        <v>118.55200499999998</v>
      </c>
      <c r="F264" s="91">
        <f>D264+E264</f>
        <v>1034.0947889999998</v>
      </c>
      <c r="G264" s="91">
        <v>0</v>
      </c>
      <c r="H264" s="91">
        <f>F264*(($H$221)+1)+(IF(G264&lt;101,G264,IF(G264&lt;201,G264/2,IF(G264&lt;=301,G264/3,G264/4))))</f>
        <v>1551.1421834999996</v>
      </c>
      <c r="I264" s="35"/>
      <c r="L264" s="139"/>
      <c r="M264" s="139"/>
      <c r="N264" s="35"/>
    </row>
    <row r="265" spans="1:20" s="90" customFormat="1" ht="15.75" customHeight="1" x14ac:dyDescent="0.25">
      <c r="A265" s="137">
        <f>A264+1</f>
        <v>4</v>
      </c>
      <c r="B265" s="138"/>
      <c r="C265" s="91" t="s">
        <v>390</v>
      </c>
      <c r="D265" s="91">
        <f>(74.849)*10.764</f>
        <v>805.67463599999996</v>
      </c>
      <c r="E265" s="91">
        <f>(0.75*(3.05+2.785+3.05+3.05))*10.764</f>
        <v>96.351254999999981</v>
      </c>
      <c r="F265" s="91">
        <f>D265+E265</f>
        <v>902.025891</v>
      </c>
      <c r="G265" s="91">
        <v>0</v>
      </c>
      <c r="H265" s="91">
        <f>F265*(($H$221)+1)+(IF(G265&lt;101,G265,IF(G265&lt;201,G265/2,IF(G265&lt;=301,G265/3,G265/4))))</f>
        <v>1353.0388364999999</v>
      </c>
      <c r="I265" s="35"/>
      <c r="L265" s="139"/>
      <c r="M265" s="139"/>
      <c r="N265" s="35"/>
      <c r="T265" s="20"/>
    </row>
    <row r="266" spans="1:20" s="90" customFormat="1" ht="15.75" customHeight="1" x14ac:dyDescent="0.25">
      <c r="A266" s="137">
        <f t="shared" ref="A266:A269" si="44">A265+1</f>
        <v>5</v>
      </c>
      <c r="B266" s="138"/>
      <c r="C266" s="91" t="s">
        <v>390</v>
      </c>
      <c r="D266" s="91">
        <f>(74.849)*10.764</f>
        <v>805.67463599999996</v>
      </c>
      <c r="E266" s="91">
        <f>(0.75*(3.05+2.785+3.05+3.05))*10.764</f>
        <v>96.351254999999981</v>
      </c>
      <c r="F266" s="91">
        <f t="shared" ref="F266:F269" si="45">D266+E266</f>
        <v>902.025891</v>
      </c>
      <c r="G266" s="91">
        <v>0</v>
      </c>
      <c r="H266" s="91">
        <f t="shared" ref="H266:H269" si="46">F266*(($H$221)+1)+(IF(G266&lt;101,G266,IF(G266&lt;201,G266/2,IF(G266&lt;=301,G266/3,G266/4))))</f>
        <v>1353.0388364999999</v>
      </c>
      <c r="I266" s="35"/>
      <c r="L266" s="139"/>
      <c r="M266" s="139"/>
      <c r="N266" s="35"/>
      <c r="T266" s="20"/>
    </row>
    <row r="267" spans="1:20" s="90" customFormat="1" ht="15.75" customHeight="1" x14ac:dyDescent="0.25">
      <c r="A267" s="137">
        <f t="shared" si="44"/>
        <v>6</v>
      </c>
      <c r="B267" s="138"/>
      <c r="C267" s="91" t="s">
        <v>391</v>
      </c>
      <c r="D267" s="91">
        <f>(97.94)*10.764</f>
        <v>1054.2261599999999</v>
      </c>
      <c r="E267" s="91">
        <f>(0.75*(3.35+2.85+3.05+3.6+2.65))*10.764</f>
        <v>125.13149999999999</v>
      </c>
      <c r="F267" s="91">
        <f t="shared" si="45"/>
        <v>1179.3576599999999</v>
      </c>
      <c r="G267" s="91">
        <v>0</v>
      </c>
      <c r="H267" s="91">
        <f t="shared" si="46"/>
        <v>1769.03649</v>
      </c>
      <c r="I267" s="35"/>
      <c r="L267" s="139"/>
      <c r="M267" s="139"/>
      <c r="N267" s="35"/>
      <c r="T267" s="20"/>
    </row>
    <row r="268" spans="1:20" s="90" customFormat="1" ht="15.75" customHeight="1" x14ac:dyDescent="0.25">
      <c r="A268" s="137">
        <f t="shared" si="44"/>
        <v>7</v>
      </c>
      <c r="B268" s="138"/>
      <c r="C268" s="91" t="s">
        <v>391</v>
      </c>
      <c r="D268" s="91">
        <f>(93.284)*10.764</f>
        <v>1004.108976</v>
      </c>
      <c r="E268" s="91">
        <f>(0.75*(3.35+2.85+3.05+3.6+2.65))*10.764</f>
        <v>125.13149999999999</v>
      </c>
      <c r="F268" s="91">
        <f t="shared" si="45"/>
        <v>1129.2404759999999</v>
      </c>
      <c r="G268" s="91">
        <v>0</v>
      </c>
      <c r="H268" s="91">
        <f t="shared" si="46"/>
        <v>1693.8607139999999</v>
      </c>
      <c r="I268" s="35"/>
      <c r="L268" s="139"/>
      <c r="M268" s="139"/>
      <c r="N268" s="35"/>
      <c r="T268" s="20"/>
    </row>
    <row r="269" spans="1:20" s="90" customFormat="1" ht="15.75" customHeight="1" x14ac:dyDescent="0.25">
      <c r="A269" s="137">
        <f t="shared" si="44"/>
        <v>8</v>
      </c>
      <c r="B269" s="138"/>
      <c r="C269" s="91" t="s">
        <v>390</v>
      </c>
      <c r="D269" s="91">
        <f>(66.118)*10.764</f>
        <v>711.69415199999992</v>
      </c>
      <c r="E269" s="91">
        <f>(0.75*(2.9+2.125+2.75+3.05))*10.764</f>
        <v>87.390224999999973</v>
      </c>
      <c r="F269" s="91">
        <f t="shared" si="45"/>
        <v>799.0843769999999</v>
      </c>
      <c r="G269" s="91">
        <v>0</v>
      </c>
      <c r="H269" s="91">
        <f t="shared" si="46"/>
        <v>1198.6265654999997</v>
      </c>
      <c r="I269" s="35"/>
      <c r="L269" s="139"/>
      <c r="M269" s="139"/>
      <c r="N269" s="35"/>
      <c r="T269" s="20"/>
    </row>
    <row r="270" spans="1:20" s="90" customFormat="1" x14ac:dyDescent="0.25">
      <c r="A270" s="147" t="s">
        <v>398</v>
      </c>
      <c r="B270" s="147"/>
      <c r="C270" s="147"/>
      <c r="D270" s="147"/>
      <c r="E270" s="147"/>
      <c r="F270" s="147"/>
      <c r="G270" s="147"/>
      <c r="H270" s="147"/>
      <c r="I270" s="90">
        <v>1</v>
      </c>
      <c r="J270" s="35"/>
    </row>
    <row r="271" spans="1:20" s="90" customFormat="1" ht="15.75" customHeight="1" x14ac:dyDescent="0.25">
      <c r="A271" s="148">
        <v>1</v>
      </c>
      <c r="B271" s="148"/>
      <c r="C271" s="103" t="s">
        <v>390</v>
      </c>
      <c r="D271" s="103">
        <f>(64.378)*10.764</f>
        <v>692.96479199999999</v>
      </c>
      <c r="E271" s="103">
        <f>(0.75*(2.9+2.125+2.75+2.865))*10.764</f>
        <v>85.896720000000002</v>
      </c>
      <c r="F271" s="103">
        <f>D271+E271</f>
        <v>778.86151199999995</v>
      </c>
      <c r="G271" s="103">
        <v>0</v>
      </c>
      <c r="H271" s="103">
        <f t="shared" ref="H271:H276" si="47">F271*(($H$221)+1)+(IF(G271&lt;101,G271,IF(G271&lt;201,G271/2,IF(G271&lt;=301,G271/3,G271/4))))</f>
        <v>1168.2922679999999</v>
      </c>
      <c r="I271" s="35"/>
      <c r="L271" s="139"/>
      <c r="M271" s="139"/>
      <c r="N271" s="35"/>
    </row>
    <row r="272" spans="1:20" s="90" customFormat="1" ht="15.75" customHeight="1" x14ac:dyDescent="0.25">
      <c r="A272" s="148">
        <f>A271+1</f>
        <v>2</v>
      </c>
      <c r="B272" s="148"/>
      <c r="C272" s="103" t="s">
        <v>390</v>
      </c>
      <c r="D272" s="103">
        <f>(64.378)*10.764</f>
        <v>692.96479199999999</v>
      </c>
      <c r="E272" s="103">
        <f>(0.75*(2.9+2.125+2.75+2.865))*10.764</f>
        <v>85.896720000000002</v>
      </c>
      <c r="F272" s="103">
        <f>D272+E272</f>
        <v>778.86151199999995</v>
      </c>
      <c r="G272" s="103">
        <v>0</v>
      </c>
      <c r="H272" s="103">
        <f t="shared" si="47"/>
        <v>1168.2922679999999</v>
      </c>
      <c r="I272" s="35"/>
      <c r="L272" s="139"/>
      <c r="M272" s="139"/>
      <c r="N272" s="35"/>
    </row>
    <row r="273" spans="1:20" s="90" customFormat="1" ht="15.75" customHeight="1" x14ac:dyDescent="0.25">
      <c r="A273" s="148">
        <f>A272+1</f>
        <v>3</v>
      </c>
      <c r="B273" s="148"/>
      <c r="C273" s="103" t="s">
        <v>391</v>
      </c>
      <c r="D273" s="103">
        <f>(85.056)*10.764</f>
        <v>915.54278399999987</v>
      </c>
      <c r="E273" s="103">
        <f>(0.75*(3.1+2.735+3.05+3.05+2.75))*10.764</f>
        <v>118.55200499999998</v>
      </c>
      <c r="F273" s="103">
        <f>D273+E273</f>
        <v>1034.0947889999998</v>
      </c>
      <c r="G273" s="103">
        <v>0</v>
      </c>
      <c r="H273" s="103">
        <f t="shared" si="47"/>
        <v>1551.1421834999996</v>
      </c>
      <c r="I273" s="35"/>
      <c r="L273" s="139"/>
      <c r="M273" s="139"/>
      <c r="N273" s="35"/>
    </row>
    <row r="274" spans="1:20" s="90" customFormat="1" ht="15.75" customHeight="1" x14ac:dyDescent="0.25">
      <c r="A274" s="148">
        <f>A273+1</f>
        <v>4</v>
      </c>
      <c r="B274" s="148"/>
      <c r="C274" s="103" t="s">
        <v>390</v>
      </c>
      <c r="D274" s="103">
        <f>(74.849)*10.764</f>
        <v>805.67463599999996</v>
      </c>
      <c r="E274" s="103">
        <f>(0.75*(3.05+2.785+3.05+3.05))*10.764</f>
        <v>96.351254999999981</v>
      </c>
      <c r="F274" s="103">
        <f>D274+E274</f>
        <v>902.025891</v>
      </c>
      <c r="G274" s="103">
        <v>0</v>
      </c>
      <c r="H274" s="103">
        <f t="shared" si="47"/>
        <v>1353.0388364999999</v>
      </c>
      <c r="I274" s="35"/>
      <c r="L274" s="139"/>
      <c r="M274" s="139"/>
      <c r="N274" s="35"/>
      <c r="T274" s="20"/>
    </row>
    <row r="275" spans="1:20" s="90" customFormat="1" ht="15.75" customHeight="1" x14ac:dyDescent="0.25">
      <c r="A275" s="148">
        <f t="shared" ref="A275:A278" si="48">A274+1</f>
        <v>5</v>
      </c>
      <c r="B275" s="148"/>
      <c r="C275" s="103" t="s">
        <v>390</v>
      </c>
      <c r="D275" s="103">
        <f>(74.849)*10.764</f>
        <v>805.67463599999996</v>
      </c>
      <c r="E275" s="103">
        <f>(0.75*(3.05+2.785+3.05+3.05))*10.764</f>
        <v>96.351254999999981</v>
      </c>
      <c r="F275" s="103">
        <f t="shared" ref="F275:F278" si="49">D275+E275</f>
        <v>902.025891</v>
      </c>
      <c r="G275" s="103">
        <v>0</v>
      </c>
      <c r="H275" s="103">
        <f t="shared" si="47"/>
        <v>1353.0388364999999</v>
      </c>
      <c r="I275" s="35"/>
      <c r="L275" s="139"/>
      <c r="M275" s="139"/>
      <c r="N275" s="35"/>
      <c r="T275" s="20"/>
    </row>
    <row r="276" spans="1:20" s="90" customFormat="1" ht="15.75" customHeight="1" x14ac:dyDescent="0.25">
      <c r="A276" s="148">
        <f t="shared" si="48"/>
        <v>6</v>
      </c>
      <c r="B276" s="148"/>
      <c r="C276" s="103" t="s">
        <v>391</v>
      </c>
      <c r="D276" s="103">
        <f>(97.94)*10.764</f>
        <v>1054.2261599999999</v>
      </c>
      <c r="E276" s="103">
        <f>(0.75*(3.35+2.85+3.05+3.6+2.65))*10.764</f>
        <v>125.13149999999999</v>
      </c>
      <c r="F276" s="103">
        <f t="shared" si="49"/>
        <v>1179.3576599999999</v>
      </c>
      <c r="G276" s="103">
        <v>0</v>
      </c>
      <c r="H276" s="103">
        <f t="shared" si="47"/>
        <v>1769.03649</v>
      </c>
      <c r="I276" s="35"/>
      <c r="L276" s="139"/>
      <c r="M276" s="139"/>
      <c r="N276" s="35"/>
      <c r="T276" s="20"/>
    </row>
    <row r="277" spans="1:20" s="90" customFormat="1" ht="15.75" customHeight="1" x14ac:dyDescent="0.25">
      <c r="A277" s="148">
        <f t="shared" si="48"/>
        <v>7</v>
      </c>
      <c r="B277" s="148"/>
      <c r="C277" s="148" t="s">
        <v>395</v>
      </c>
      <c r="D277" s="148"/>
      <c r="E277" s="148"/>
      <c r="F277" s="148"/>
      <c r="G277" s="148"/>
      <c r="H277" s="148"/>
      <c r="I277" s="35"/>
      <c r="L277" s="139"/>
      <c r="M277" s="139"/>
      <c r="N277" s="35"/>
      <c r="T277" s="20"/>
    </row>
    <row r="278" spans="1:20" s="90" customFormat="1" ht="15.75" customHeight="1" x14ac:dyDescent="0.25">
      <c r="A278" s="148">
        <f t="shared" si="48"/>
        <v>8</v>
      </c>
      <c r="B278" s="148"/>
      <c r="C278" s="103" t="s">
        <v>390</v>
      </c>
      <c r="D278" s="103">
        <f>(66.118)*10.764</f>
        <v>711.69415199999992</v>
      </c>
      <c r="E278" s="103">
        <f>(0.75*(2.9+2.125+2.75+3.05))*10.764</f>
        <v>87.390224999999973</v>
      </c>
      <c r="F278" s="103">
        <f t="shared" si="49"/>
        <v>799.0843769999999</v>
      </c>
      <c r="G278" s="103">
        <v>0</v>
      </c>
      <c r="H278" s="103">
        <f>F278*(($H$221)+1)+(IF(G278&lt;101,G278,IF(G278&lt;201,G278/2,IF(G278&lt;=301,G278/3,G278/4))))</f>
        <v>1198.6265654999997</v>
      </c>
      <c r="I278" s="35"/>
      <c r="L278" s="139"/>
      <c r="M278" s="139"/>
      <c r="N278" s="35"/>
      <c r="T278" s="20"/>
    </row>
    <row r="279" spans="1:20" s="90" customFormat="1" x14ac:dyDescent="0.25">
      <c r="A279" s="152" t="s">
        <v>387</v>
      </c>
      <c r="B279" s="153"/>
      <c r="C279" s="153"/>
      <c r="D279" s="153"/>
      <c r="E279" s="153"/>
      <c r="F279" s="153"/>
      <c r="G279" s="153"/>
      <c r="H279" s="154"/>
      <c r="I279" s="91">
        <v>10.763999999999999</v>
      </c>
      <c r="J279" s="35"/>
      <c r="T279" s="34"/>
    </row>
    <row r="280" spans="1:20" s="90" customFormat="1" x14ac:dyDescent="0.25">
      <c r="A280" s="144" t="s">
        <v>388</v>
      </c>
      <c r="B280" s="145"/>
      <c r="C280" s="145"/>
      <c r="D280" s="145"/>
      <c r="E280" s="145"/>
      <c r="F280" s="145"/>
      <c r="G280" s="145"/>
      <c r="H280" s="146"/>
      <c r="J280" s="35"/>
    </row>
    <row r="281" spans="1:20" s="90" customFormat="1" x14ac:dyDescent="0.25">
      <c r="A281" s="144" t="s">
        <v>403</v>
      </c>
      <c r="B281" s="145"/>
      <c r="C281" s="145"/>
      <c r="D281" s="145"/>
      <c r="E281" s="145"/>
      <c r="F281" s="145"/>
      <c r="G281" s="145"/>
      <c r="H281" s="146"/>
      <c r="I281" s="95" t="s">
        <v>404</v>
      </c>
      <c r="J281" s="35"/>
    </row>
    <row r="282" spans="1:20" s="90" customFormat="1" x14ac:dyDescent="0.25">
      <c r="A282" s="144" t="s">
        <v>405</v>
      </c>
      <c r="B282" s="145"/>
      <c r="C282" s="145"/>
      <c r="D282" s="145"/>
      <c r="E282" s="145"/>
      <c r="F282" s="145"/>
      <c r="G282" s="145"/>
      <c r="H282" s="146"/>
      <c r="I282" s="90">
        <v>11</v>
      </c>
      <c r="J282" s="35"/>
    </row>
    <row r="283" spans="1:20" s="90" customFormat="1" ht="15.75" customHeight="1" x14ac:dyDescent="0.25">
      <c r="A283" s="137">
        <v>1</v>
      </c>
      <c r="B283" s="138"/>
      <c r="C283" s="91" t="s">
        <v>390</v>
      </c>
      <c r="D283" s="91">
        <f>(52.77)*10.764</f>
        <v>568.01628000000005</v>
      </c>
      <c r="E283" s="91">
        <f>(0.7*(2.95+2.125+2.75+2.865))*10.764</f>
        <v>80.547011999999995</v>
      </c>
      <c r="F283" s="91">
        <f>D283+E283</f>
        <v>648.56329200000005</v>
      </c>
      <c r="G283" s="91">
        <v>0</v>
      </c>
      <c r="H283" s="91">
        <f>F283*(($H$221)+1)+(IF(G283&lt;101,G283,IF(G283&lt;201,G283/2,IF(G283&lt;=301,G283/3,G283/4))))</f>
        <v>972.84493800000007</v>
      </c>
      <c r="I283" s="35"/>
      <c r="L283" s="139"/>
      <c r="M283" s="139"/>
      <c r="N283" s="35"/>
    </row>
    <row r="284" spans="1:20" s="90" customFormat="1" ht="15.75" customHeight="1" x14ac:dyDescent="0.25">
      <c r="A284" s="137">
        <f>A283+1</f>
        <v>2</v>
      </c>
      <c r="B284" s="138"/>
      <c r="C284" s="91" t="s">
        <v>390</v>
      </c>
      <c r="D284" s="91">
        <f>(55.211)*10.764</f>
        <v>594.29120399999999</v>
      </c>
      <c r="E284" s="91">
        <f>(0.75*(2.95+2.125+2.75+3.05))*10.764</f>
        <v>87.793875</v>
      </c>
      <c r="F284" s="91">
        <f>D284+E284</f>
        <v>682.08507899999995</v>
      </c>
      <c r="G284" s="91">
        <v>0</v>
      </c>
      <c r="H284" s="91">
        <f>F284*(($H$221)+1)+(IF(G284&lt;101,G284,IF(G284&lt;201,G284/2,IF(G284&lt;=301,G284/3,G284/4))))</f>
        <v>1023.1276184999999</v>
      </c>
      <c r="I284" s="35"/>
      <c r="L284" s="139"/>
      <c r="M284" s="139"/>
      <c r="N284" s="35"/>
    </row>
    <row r="285" spans="1:20" s="90" customFormat="1" ht="15.75" customHeight="1" x14ac:dyDescent="0.25">
      <c r="A285" s="137">
        <f>A284+1</f>
        <v>3</v>
      </c>
      <c r="B285" s="138"/>
      <c r="C285" s="91" t="s">
        <v>391</v>
      </c>
      <c r="D285" s="91">
        <f>(82.957)*10.764</f>
        <v>892.94914799999992</v>
      </c>
      <c r="E285" s="91">
        <f>(0.75*(3.05+3.05+3.05+2.3+3))*10.764</f>
        <v>116.65484999999998</v>
      </c>
      <c r="F285" s="91">
        <f>D285+E285</f>
        <v>1009.6039979999999</v>
      </c>
      <c r="G285" s="91">
        <v>0</v>
      </c>
      <c r="H285" s="91">
        <f>F285*(($H$221)+1)+(IF(G285&lt;101,G285,IF(G285&lt;201,G285/2,IF(G285&lt;=301,G285/3,G285/4))))</f>
        <v>1514.4059969999998</v>
      </c>
      <c r="I285" s="35"/>
      <c r="L285" s="139"/>
      <c r="M285" s="139"/>
      <c r="N285" s="35"/>
    </row>
    <row r="286" spans="1:20" s="90" customFormat="1" ht="15.75" customHeight="1" x14ac:dyDescent="0.25">
      <c r="A286" s="137">
        <f>A285+1</f>
        <v>4</v>
      </c>
      <c r="B286" s="138"/>
      <c r="C286" s="91" t="s">
        <v>390</v>
      </c>
      <c r="D286" s="91">
        <f>(61.749)*10.764</f>
        <v>664.66623600000003</v>
      </c>
      <c r="E286" s="91">
        <f>(0.75*(2.7+3.123+3.05+2.75))*10.764</f>
        <v>93.832478999999992</v>
      </c>
      <c r="F286" s="91">
        <f>D286+E286</f>
        <v>758.49871500000006</v>
      </c>
      <c r="G286" s="91">
        <v>0</v>
      </c>
      <c r="H286" s="91">
        <f>F286*(($H$221)+1)+(IF(G286&lt;101,G286,IF(G286&lt;201,G286/2,IF(G286&lt;=301,G286/3,G286/4))))</f>
        <v>1137.7480725</v>
      </c>
      <c r="I286" s="35"/>
      <c r="L286" s="139"/>
      <c r="M286" s="139"/>
      <c r="N286" s="35"/>
      <c r="T286" s="20"/>
    </row>
    <row r="287" spans="1:20" s="90" customFormat="1" x14ac:dyDescent="0.25">
      <c r="A287" s="144" t="s">
        <v>393</v>
      </c>
      <c r="B287" s="145"/>
      <c r="C287" s="145"/>
      <c r="D287" s="145"/>
      <c r="E287" s="145"/>
      <c r="F287" s="145"/>
      <c r="G287" s="145"/>
      <c r="H287" s="146"/>
      <c r="I287" s="90">
        <v>4</v>
      </c>
      <c r="J287" s="35"/>
    </row>
    <row r="288" spans="1:20" s="90" customFormat="1" ht="15.75" customHeight="1" x14ac:dyDescent="0.25">
      <c r="A288" s="137">
        <v>1</v>
      </c>
      <c r="B288" s="138"/>
      <c r="C288" s="137" t="s">
        <v>395</v>
      </c>
      <c r="D288" s="140"/>
      <c r="E288" s="140"/>
      <c r="F288" s="140"/>
      <c r="G288" s="140"/>
      <c r="H288" s="138"/>
      <c r="I288" s="35"/>
      <c r="L288" s="139"/>
      <c r="M288" s="139"/>
      <c r="N288" s="35"/>
    </row>
    <row r="289" spans="1:20" s="90" customFormat="1" ht="15.75" customHeight="1" x14ac:dyDescent="0.25">
      <c r="A289" s="137">
        <f>A288+1</f>
        <v>2</v>
      </c>
      <c r="B289" s="138"/>
      <c r="C289" s="91" t="s">
        <v>390</v>
      </c>
      <c r="D289" s="91">
        <f>(55.211)*10.764</f>
        <v>594.29120399999999</v>
      </c>
      <c r="E289" s="91">
        <f>(0.75*(2.95+2.125+2.75+3.05))*10.764</f>
        <v>87.793875</v>
      </c>
      <c r="F289" s="91">
        <f>D289+E289</f>
        <v>682.08507899999995</v>
      </c>
      <c r="G289" s="91">
        <v>0</v>
      </c>
      <c r="H289" s="91">
        <f>F289*(($H$221)+1)+(IF(G289&lt;101,G289,IF(G289&lt;201,G289/2,IF(G289&lt;=301,G289/3,G289/4))))</f>
        <v>1023.1276184999999</v>
      </c>
      <c r="I289" s="35"/>
      <c r="L289" s="139"/>
      <c r="M289" s="139"/>
      <c r="N289" s="35"/>
    </row>
    <row r="290" spans="1:20" s="90" customFormat="1" ht="15.75" customHeight="1" x14ac:dyDescent="0.25">
      <c r="A290" s="137">
        <f>A289+1</f>
        <v>3</v>
      </c>
      <c r="B290" s="138"/>
      <c r="C290" s="91" t="s">
        <v>391</v>
      </c>
      <c r="D290" s="91">
        <f>(82.957)*10.764</f>
        <v>892.94914799999992</v>
      </c>
      <c r="E290" s="91">
        <f>(0.75*(3.05+3.05+3.05+2.3+3))*10.764</f>
        <v>116.65484999999998</v>
      </c>
      <c r="F290" s="91">
        <f>D290+E290</f>
        <v>1009.6039979999999</v>
      </c>
      <c r="G290" s="91">
        <v>0</v>
      </c>
      <c r="H290" s="91">
        <f>F290*(($H$221)+1)+(IF(G290&lt;101,G290,IF(G290&lt;201,G290/2,IF(G290&lt;=301,G290/3,G290/4))))</f>
        <v>1514.4059969999998</v>
      </c>
      <c r="I290" s="35"/>
      <c r="L290" s="139"/>
      <c r="M290" s="139"/>
      <c r="N290" s="35"/>
    </row>
    <row r="291" spans="1:20" s="90" customFormat="1" ht="15.75" customHeight="1" x14ac:dyDescent="0.25">
      <c r="A291" s="137">
        <f>A290+1</f>
        <v>4</v>
      </c>
      <c r="B291" s="138"/>
      <c r="C291" s="91" t="s">
        <v>390</v>
      </c>
      <c r="D291" s="91">
        <f>(61.749)*10.764</f>
        <v>664.66623600000003</v>
      </c>
      <c r="E291" s="91">
        <f>(0.75*(2.7+3.123+3.05+2.75))*10.764</f>
        <v>93.832478999999992</v>
      </c>
      <c r="F291" s="91">
        <f>D291+E291</f>
        <v>758.49871500000006</v>
      </c>
      <c r="G291" s="91">
        <v>0</v>
      </c>
      <c r="H291" s="91">
        <f>F291*(($H$221)+1)+(IF(G291&lt;101,G291,IF(G291&lt;201,G291/2,IF(G291&lt;=301,G291/3,G291/4))))</f>
        <v>1137.7480725</v>
      </c>
      <c r="I291" s="35"/>
      <c r="L291" s="139"/>
      <c r="M291" s="139"/>
      <c r="N291" s="35"/>
      <c r="T291" s="20"/>
    </row>
    <row r="292" spans="1:20" s="90" customFormat="1" x14ac:dyDescent="0.25">
      <c r="A292" s="144" t="s">
        <v>397</v>
      </c>
      <c r="B292" s="145"/>
      <c r="C292" s="145"/>
      <c r="D292" s="145"/>
      <c r="E292" s="145"/>
      <c r="F292" s="145"/>
      <c r="G292" s="145"/>
      <c r="H292" s="146"/>
      <c r="I292" s="90">
        <v>5</v>
      </c>
      <c r="J292" s="35"/>
    </row>
    <row r="293" spans="1:20" s="90" customFormat="1" ht="15.75" customHeight="1" x14ac:dyDescent="0.25">
      <c r="A293" s="137">
        <v>1</v>
      </c>
      <c r="B293" s="138"/>
      <c r="C293" s="91" t="s">
        <v>390</v>
      </c>
      <c r="D293" s="91">
        <f>(61.952)*10.764</f>
        <v>666.85132799999997</v>
      </c>
      <c r="E293" s="91">
        <f>(0.7*(2.95+2.125+2.75+2.865))*10.764</f>
        <v>80.547011999999995</v>
      </c>
      <c r="F293" s="91">
        <f>D293+E293</f>
        <v>747.39833999999996</v>
      </c>
      <c r="G293" s="91">
        <v>0</v>
      </c>
      <c r="H293" s="91">
        <f>F293*(($H$221)+1)+(IF(G293&lt;101,G293,IF(G293&lt;201,G293/2,IF(G293&lt;=301,G293/3,G293/4))))</f>
        <v>1121.0975100000001</v>
      </c>
      <c r="I293" s="35"/>
      <c r="L293" s="139"/>
      <c r="M293" s="139"/>
      <c r="N293" s="35"/>
    </row>
    <row r="294" spans="1:20" s="90" customFormat="1" ht="15.75" customHeight="1" x14ac:dyDescent="0.25">
      <c r="A294" s="137">
        <f>A293+1</f>
        <v>2</v>
      </c>
      <c r="B294" s="138"/>
      <c r="C294" s="91" t="s">
        <v>390</v>
      </c>
      <c r="D294" s="91">
        <f>(64.378)*10.764</f>
        <v>692.96479199999999</v>
      </c>
      <c r="E294" s="91">
        <f>(0.75*(2.95+2.125+2.75+3.05))*10.764</f>
        <v>87.793875</v>
      </c>
      <c r="F294" s="91">
        <f>D294+E294</f>
        <v>780.75866699999995</v>
      </c>
      <c r="G294" s="91">
        <v>0</v>
      </c>
      <c r="H294" s="91">
        <f>F294*(($H$221)+1)+(IF(G294&lt;101,G294,IF(G294&lt;201,G294/2,IF(G294&lt;=301,G294/3,G294/4))))</f>
        <v>1171.1380004999999</v>
      </c>
      <c r="I294" s="35"/>
      <c r="L294" s="139"/>
      <c r="M294" s="139"/>
      <c r="N294" s="35"/>
    </row>
    <row r="295" spans="1:20" s="90" customFormat="1" ht="15.75" customHeight="1" x14ac:dyDescent="0.25">
      <c r="A295" s="137">
        <f>A294+1</f>
        <v>3</v>
      </c>
      <c r="B295" s="138"/>
      <c r="C295" s="91" t="s">
        <v>391</v>
      </c>
      <c r="D295" s="91">
        <f>(94.565)*10.764</f>
        <v>1017.8976599999999</v>
      </c>
      <c r="E295" s="91">
        <f>(0.75*(3.05+3.05+3.05+2.3+3))*10.764</f>
        <v>116.65484999999998</v>
      </c>
      <c r="F295" s="91">
        <f>D295+E295</f>
        <v>1134.5525099999998</v>
      </c>
      <c r="G295" s="91">
        <v>0</v>
      </c>
      <c r="H295" s="91">
        <f>F295*(($H$221)+1)+(IF(G295&lt;101,G295,IF(G295&lt;201,G295/2,IF(G295&lt;=301,G295/3,G295/4))))</f>
        <v>1701.8287649999997</v>
      </c>
      <c r="I295" s="35"/>
      <c r="L295" s="139"/>
      <c r="M295" s="139"/>
      <c r="N295" s="35"/>
    </row>
    <row r="296" spans="1:20" s="90" customFormat="1" ht="15.75" customHeight="1" x14ac:dyDescent="0.25">
      <c r="A296" s="137">
        <f>A295+1</f>
        <v>4</v>
      </c>
      <c r="B296" s="138"/>
      <c r="C296" s="91" t="s">
        <v>390</v>
      </c>
      <c r="D296" s="91">
        <f>(72.005)*10.764</f>
        <v>775.0618199999999</v>
      </c>
      <c r="E296" s="91">
        <f>(0.75*(2.7+3.123+3.05+2.75))*10.764</f>
        <v>93.832478999999992</v>
      </c>
      <c r="F296" s="91">
        <f>D296+E296</f>
        <v>868.89429899999993</v>
      </c>
      <c r="G296" s="91">
        <v>0</v>
      </c>
      <c r="H296" s="91">
        <f>F296*(($H$221)+1)+(IF(G296&lt;101,G296,IF(G296&lt;201,G296/2,IF(G296&lt;=301,G296/3,G296/4))))</f>
        <v>1303.3414484999998</v>
      </c>
      <c r="I296" s="35"/>
      <c r="L296" s="139"/>
      <c r="M296" s="139"/>
      <c r="N296" s="35"/>
      <c r="T296" s="20"/>
    </row>
    <row r="297" spans="1:20" s="90" customFormat="1" x14ac:dyDescent="0.25">
      <c r="A297" s="144" t="s">
        <v>398</v>
      </c>
      <c r="B297" s="145"/>
      <c r="C297" s="145"/>
      <c r="D297" s="145"/>
      <c r="E297" s="145"/>
      <c r="F297" s="145"/>
      <c r="G297" s="145"/>
      <c r="H297" s="146"/>
      <c r="I297" s="90">
        <v>1</v>
      </c>
      <c r="J297" s="35"/>
    </row>
    <row r="298" spans="1:20" s="90" customFormat="1" ht="15.75" customHeight="1" x14ac:dyDescent="0.25">
      <c r="A298" s="137">
        <v>1</v>
      </c>
      <c r="B298" s="138"/>
      <c r="C298" s="137" t="s">
        <v>395</v>
      </c>
      <c r="D298" s="140"/>
      <c r="E298" s="140"/>
      <c r="F298" s="140"/>
      <c r="G298" s="140"/>
      <c r="H298" s="138"/>
      <c r="I298" s="35"/>
      <c r="L298" s="139"/>
      <c r="M298" s="139"/>
      <c r="N298" s="35"/>
    </row>
    <row r="299" spans="1:20" s="90" customFormat="1" ht="15.75" customHeight="1" x14ac:dyDescent="0.25">
      <c r="A299" s="137">
        <f>A298+1</f>
        <v>2</v>
      </c>
      <c r="B299" s="138"/>
      <c r="C299" s="91" t="s">
        <v>390</v>
      </c>
      <c r="D299" s="91">
        <f>(64.378)*10.764</f>
        <v>692.96479199999999</v>
      </c>
      <c r="E299" s="91">
        <f>(0.75*(2.95+2.125+2.75+3.05))*10.764</f>
        <v>87.793875</v>
      </c>
      <c r="F299" s="91">
        <f>D299+E299</f>
        <v>780.75866699999995</v>
      </c>
      <c r="G299" s="91">
        <v>0</v>
      </c>
      <c r="H299" s="91">
        <f>F299*(($H$221)+1)+(IF(G299&lt;101,G299,IF(G299&lt;201,G299/2,IF(G299&lt;=301,G299/3,G299/4))))</f>
        <v>1171.1380004999999</v>
      </c>
      <c r="I299" s="35"/>
      <c r="L299" s="139"/>
      <c r="M299" s="139"/>
      <c r="N299" s="35"/>
    </row>
    <row r="300" spans="1:20" s="90" customFormat="1" ht="15.75" customHeight="1" x14ac:dyDescent="0.25">
      <c r="A300" s="137">
        <f>A299+1</f>
        <v>3</v>
      </c>
      <c r="B300" s="138"/>
      <c r="C300" s="91" t="s">
        <v>391</v>
      </c>
      <c r="D300" s="91">
        <f>(94.565)*10.764</f>
        <v>1017.8976599999999</v>
      </c>
      <c r="E300" s="91">
        <f>(0.75*(3.05+3.05+3.05+2.3+3))*10.764</f>
        <v>116.65484999999998</v>
      </c>
      <c r="F300" s="91">
        <f>D300+E300</f>
        <v>1134.5525099999998</v>
      </c>
      <c r="G300" s="91">
        <v>0</v>
      </c>
      <c r="H300" s="91">
        <f>F300*(($H$221)+1)+(IF(G300&lt;101,G300,IF(G300&lt;201,G300/2,IF(G300&lt;=301,G300/3,G300/4))))</f>
        <v>1701.8287649999997</v>
      </c>
      <c r="I300" s="35"/>
      <c r="L300" s="139"/>
      <c r="M300" s="139"/>
      <c r="N300" s="35"/>
    </row>
    <row r="301" spans="1:20" s="90" customFormat="1" ht="15.75" customHeight="1" x14ac:dyDescent="0.25">
      <c r="A301" s="137">
        <f>A300+1</f>
        <v>4</v>
      </c>
      <c r="B301" s="138"/>
      <c r="C301" s="91" t="s">
        <v>390</v>
      </c>
      <c r="D301" s="91">
        <f>(72.005)*10.764</f>
        <v>775.0618199999999</v>
      </c>
      <c r="E301" s="91">
        <f>(0.75*(2.7+3.123+3.05+2.75))*10.764</f>
        <v>93.832478999999992</v>
      </c>
      <c r="F301" s="91">
        <f>D301+E301</f>
        <v>868.89429899999993</v>
      </c>
      <c r="G301" s="91">
        <v>0</v>
      </c>
      <c r="H301" s="91">
        <f>F301*(($H$221)+1)+(IF(G301&lt;101,G301,IF(G301&lt;201,G301/2,IF(G301&lt;=301,G301/3,G301/4))))</f>
        <v>1303.3414484999998</v>
      </c>
      <c r="I301" s="35"/>
      <c r="L301" s="139"/>
      <c r="M301" s="139"/>
      <c r="N301" s="35"/>
      <c r="T301" s="20"/>
    </row>
    <row r="302" spans="1:20" s="90" customFormat="1" x14ac:dyDescent="0.25">
      <c r="A302" s="149" t="s">
        <v>402</v>
      </c>
      <c r="B302" s="150"/>
      <c r="C302" s="150"/>
      <c r="D302" s="150"/>
      <c r="E302" s="150"/>
      <c r="F302" s="150"/>
      <c r="G302" s="150"/>
      <c r="H302" s="151"/>
      <c r="J302" s="35"/>
      <c r="T302" s="34"/>
    </row>
    <row r="303" spans="1:20" s="90" customFormat="1" x14ac:dyDescent="0.25">
      <c r="A303" s="144" t="s">
        <v>407</v>
      </c>
      <c r="B303" s="145"/>
      <c r="C303" s="145"/>
      <c r="D303" s="145"/>
      <c r="E303" s="145"/>
      <c r="F303" s="145"/>
      <c r="G303" s="145"/>
      <c r="H303" s="146"/>
      <c r="J303" s="35"/>
    </row>
    <row r="304" spans="1:20" s="90" customFormat="1" x14ac:dyDescent="0.25">
      <c r="A304" s="144" t="s">
        <v>408</v>
      </c>
      <c r="B304" s="145"/>
      <c r="C304" s="145"/>
      <c r="D304" s="145"/>
      <c r="E304" s="145"/>
      <c r="F304" s="145"/>
      <c r="G304" s="145"/>
      <c r="H304" s="146"/>
      <c r="J304" s="35"/>
    </row>
    <row r="305" spans="1:20" s="90" customFormat="1" x14ac:dyDescent="0.25">
      <c r="A305" s="144" t="s">
        <v>405</v>
      </c>
      <c r="B305" s="145"/>
      <c r="C305" s="145"/>
      <c r="D305" s="145"/>
      <c r="E305" s="145"/>
      <c r="F305" s="145"/>
      <c r="G305" s="145"/>
      <c r="H305" s="146"/>
      <c r="I305" s="90">
        <v>11</v>
      </c>
      <c r="J305" s="35"/>
    </row>
    <row r="306" spans="1:20" s="90" customFormat="1" ht="15.75" customHeight="1" x14ac:dyDescent="0.25">
      <c r="A306" s="137">
        <v>1</v>
      </c>
      <c r="B306" s="138"/>
      <c r="C306" s="91" t="s">
        <v>409</v>
      </c>
      <c r="D306" s="91">
        <f>(39.015)*10.764</f>
        <v>419.95745999999997</v>
      </c>
      <c r="E306" s="91">
        <f>(0.75*(3+2.292+2.75))*10.764</f>
        <v>64.923065999999992</v>
      </c>
      <c r="F306" s="91">
        <f>D306+E306</f>
        <v>484.88052599999997</v>
      </c>
      <c r="G306" s="91">
        <v>0</v>
      </c>
      <c r="H306" s="91">
        <f>F306*(($H$221)+1)+(IF(G306&lt;101,G306,IF(G306&lt;201,G306/2,IF(G306&lt;=301,G306/3,G306/4))))</f>
        <v>727.32078899999999</v>
      </c>
      <c r="I306" s="35">
        <f>3.107*4.728+2.286*2.292+3.3*2.75+2.09*1.2+1.19*2.315+0.9+0.5*(2*1.5)</f>
        <v>36.667257999999997</v>
      </c>
      <c r="L306" s="139"/>
      <c r="M306" s="139"/>
      <c r="N306" s="35"/>
    </row>
    <row r="307" spans="1:20" s="90" customFormat="1" ht="15.75" customHeight="1" x14ac:dyDescent="0.25">
      <c r="A307" s="137">
        <f>A306+1</f>
        <v>2</v>
      </c>
      <c r="B307" s="138"/>
      <c r="C307" s="91" t="s">
        <v>409</v>
      </c>
      <c r="D307" s="91">
        <f>(38.18)*10.764</f>
        <v>410.96951999999999</v>
      </c>
      <c r="E307" s="91">
        <f>(0.75*(3+5.25))*10.764</f>
        <v>66.602249999999998</v>
      </c>
      <c r="F307" s="91">
        <f>D307+E307</f>
        <v>477.57177000000001</v>
      </c>
      <c r="G307" s="91">
        <v>0</v>
      </c>
      <c r="H307" s="91">
        <f>F307*(($H$221)+1)+(IF(G307&lt;101,G307,IF(G307&lt;201,G307/2,IF(G307&lt;=301,G307/3,G307/4))))</f>
        <v>716.35765500000002</v>
      </c>
      <c r="I307" s="35"/>
      <c r="L307" s="139"/>
      <c r="M307" s="139"/>
      <c r="N307" s="35"/>
    </row>
    <row r="308" spans="1:20" s="90" customFormat="1" ht="15.75" customHeight="1" x14ac:dyDescent="0.25">
      <c r="A308" s="137">
        <f>A307+1</f>
        <v>3</v>
      </c>
      <c r="B308" s="138"/>
      <c r="C308" s="91" t="s">
        <v>390</v>
      </c>
      <c r="D308" s="91">
        <f>(44.828)*10.764</f>
        <v>482.528592</v>
      </c>
      <c r="E308" s="91">
        <f>(0.75*(3+5.25+4))*10.764</f>
        <v>98.89425</v>
      </c>
      <c r="F308" s="91">
        <f>D308+E308</f>
        <v>581.42284199999995</v>
      </c>
      <c r="G308" s="91">
        <v>0</v>
      </c>
      <c r="H308" s="91">
        <f>F308*(($H$221)+1)+(IF(G308&lt;101,G308,IF(G308&lt;201,G308/2,IF(G308&lt;=301,G308/3,G308/4))))</f>
        <v>872.13426299999992</v>
      </c>
      <c r="I308" s="35">
        <f>3.115*4.577+2.1*2.292+2.85*2.215+3.115*2.75+1.2*(2.1+2.315)+0.9*0.85+2.68*1.1</f>
        <v>42.960555000000006</v>
      </c>
      <c r="L308" s="139"/>
      <c r="M308" s="139"/>
      <c r="N308" s="35"/>
    </row>
    <row r="309" spans="1:20" s="90" customFormat="1" ht="15.75" customHeight="1" x14ac:dyDescent="0.25">
      <c r="A309" s="137">
        <f>A308+1</f>
        <v>4</v>
      </c>
      <c r="B309" s="138"/>
      <c r="C309" s="91" t="s">
        <v>409</v>
      </c>
      <c r="D309" s="91">
        <f>(35.55)*10.764</f>
        <v>382.66019999999992</v>
      </c>
      <c r="E309" s="91">
        <f>(0.75*(2.85+2.361+2.75))*10.764</f>
        <v>64.269153000000003</v>
      </c>
      <c r="F309" s="91">
        <f>D309+E309</f>
        <v>446.92935299999994</v>
      </c>
      <c r="G309" s="91">
        <v>0</v>
      </c>
      <c r="H309" s="91">
        <f>F309*(($H$221)+1)+(IF(G309&lt;101,G309,IF(G309&lt;201,G309/2,IF(G309&lt;=301,G309/3,G309/4))))</f>
        <v>670.39402949999987</v>
      </c>
      <c r="I309" s="35">
        <f>3.115*4.577+2.1*2.361+3.115*2.75+1.2*(2.315+2.1)+0.9*0.9</f>
        <v>33.889705000000006</v>
      </c>
      <c r="L309" s="139"/>
      <c r="M309" s="139"/>
      <c r="N309" s="35"/>
      <c r="T309" s="20"/>
    </row>
    <row r="310" spans="1:20" s="90" customFormat="1" ht="15.75" customHeight="1" x14ac:dyDescent="0.25">
      <c r="A310" s="137">
        <f t="shared" ref="A310:A312" si="50">A309+1</f>
        <v>5</v>
      </c>
      <c r="B310" s="138"/>
      <c r="C310" s="91" t="s">
        <v>409</v>
      </c>
      <c r="D310" s="91">
        <f>(35.55)*10.764</f>
        <v>382.66019999999992</v>
      </c>
      <c r="E310" s="91">
        <f>(0.75*(2.85+2.361+2.75))*10.764</f>
        <v>64.269153000000003</v>
      </c>
      <c r="F310" s="91">
        <f t="shared" ref="F310:F312" si="51">D310+E310</f>
        <v>446.92935299999994</v>
      </c>
      <c r="G310" s="91">
        <v>0</v>
      </c>
      <c r="H310" s="91">
        <f t="shared" ref="H310:H312" si="52">F310*(($H$221)+1)+(IF(G310&lt;101,G310,IF(G310&lt;201,G310/2,IF(G310&lt;=301,G310/3,G310/4))))</f>
        <v>670.39402949999987</v>
      </c>
      <c r="I310" s="35"/>
      <c r="L310" s="139"/>
      <c r="M310" s="139"/>
      <c r="N310" s="35"/>
      <c r="T310" s="20"/>
    </row>
    <row r="311" spans="1:20" s="90" customFormat="1" ht="15.75" customHeight="1" x14ac:dyDescent="0.25">
      <c r="A311" s="137">
        <f t="shared" si="50"/>
        <v>6</v>
      </c>
      <c r="B311" s="138"/>
      <c r="C311" s="91" t="s">
        <v>409</v>
      </c>
      <c r="D311" s="91">
        <f>(36.735)*10.764</f>
        <v>395.41553999999996</v>
      </c>
      <c r="E311" s="91">
        <f>(0.75*(2.95+2.292+2.75))*10.764</f>
        <v>64.519415999999993</v>
      </c>
      <c r="F311" s="91">
        <f t="shared" si="51"/>
        <v>459.93495599999994</v>
      </c>
      <c r="G311" s="91">
        <v>0</v>
      </c>
      <c r="H311" s="91">
        <f t="shared" si="52"/>
        <v>689.90243399999986</v>
      </c>
      <c r="I311" s="35"/>
      <c r="L311" s="139"/>
      <c r="M311" s="139"/>
      <c r="N311" s="35"/>
      <c r="T311" s="20"/>
    </row>
    <row r="312" spans="1:20" s="90" customFormat="1" ht="15.75" customHeight="1" x14ac:dyDescent="0.25">
      <c r="A312" s="137">
        <f t="shared" si="50"/>
        <v>7</v>
      </c>
      <c r="B312" s="138"/>
      <c r="C312" s="91" t="s">
        <v>409</v>
      </c>
      <c r="D312" s="91">
        <f>(36.735)*10.764</f>
        <v>395.41553999999996</v>
      </c>
      <c r="E312" s="91">
        <f>(0.75*(2.95+2.292+2.75))*10.764</f>
        <v>64.519415999999993</v>
      </c>
      <c r="F312" s="91">
        <f t="shared" si="51"/>
        <v>459.93495599999994</v>
      </c>
      <c r="G312" s="91">
        <v>0</v>
      </c>
      <c r="H312" s="91">
        <f t="shared" si="52"/>
        <v>689.90243399999986</v>
      </c>
      <c r="I312" s="35"/>
      <c r="L312" s="139"/>
      <c r="M312" s="139"/>
      <c r="N312" s="35"/>
      <c r="T312" s="20"/>
    </row>
    <row r="313" spans="1:20" s="90" customFormat="1" x14ac:dyDescent="0.25">
      <c r="A313" s="147" t="s">
        <v>393</v>
      </c>
      <c r="B313" s="147"/>
      <c r="C313" s="147"/>
      <c r="D313" s="147"/>
      <c r="E313" s="147"/>
      <c r="F313" s="147"/>
      <c r="G313" s="147"/>
      <c r="H313" s="147"/>
      <c r="I313" s="90">
        <v>4</v>
      </c>
      <c r="J313" s="35"/>
    </row>
    <row r="314" spans="1:20" s="90" customFormat="1" ht="15.75" customHeight="1" x14ac:dyDescent="0.25">
      <c r="A314" s="148">
        <v>1</v>
      </c>
      <c r="B314" s="148"/>
      <c r="C314" s="103" t="s">
        <v>409</v>
      </c>
      <c r="D314" s="103">
        <f>(39.015)*10.764</f>
        <v>419.95745999999997</v>
      </c>
      <c r="E314" s="103">
        <f>(0.75*(3+2.292+2.75))*10.764</f>
        <v>64.923065999999992</v>
      </c>
      <c r="F314" s="103">
        <f>D314+E314</f>
        <v>484.88052599999997</v>
      </c>
      <c r="G314" s="103">
        <v>0</v>
      </c>
      <c r="H314" s="103">
        <f t="shared" ref="H314:H319" si="53">F314*(($H$221)+1)+(IF(G314&lt;101,G314,IF(G314&lt;201,G314/2,IF(G314&lt;=301,G314/3,G314/4))))</f>
        <v>727.32078899999999</v>
      </c>
      <c r="I314" s="35"/>
      <c r="L314" s="139"/>
      <c r="M314" s="139"/>
      <c r="N314" s="35"/>
    </row>
    <row r="315" spans="1:20" s="90" customFormat="1" ht="15.75" customHeight="1" x14ac:dyDescent="0.25">
      <c r="A315" s="148">
        <f>A314+1</f>
        <v>2</v>
      </c>
      <c r="B315" s="148"/>
      <c r="C315" s="103" t="s">
        <v>409</v>
      </c>
      <c r="D315" s="103">
        <f>(38.18)*10.764</f>
        <v>410.96951999999999</v>
      </c>
      <c r="E315" s="103">
        <f>(0.75*(3+5.25))*10.764</f>
        <v>66.602249999999998</v>
      </c>
      <c r="F315" s="103">
        <f>D315+E315</f>
        <v>477.57177000000001</v>
      </c>
      <c r="G315" s="103">
        <v>0</v>
      </c>
      <c r="H315" s="103">
        <f t="shared" si="53"/>
        <v>716.35765500000002</v>
      </c>
      <c r="I315" s="35"/>
      <c r="L315" s="139"/>
      <c r="M315" s="139"/>
      <c r="N315" s="35"/>
    </row>
    <row r="316" spans="1:20" s="90" customFormat="1" ht="15.75" customHeight="1" x14ac:dyDescent="0.25">
      <c r="A316" s="148">
        <f>A315+1</f>
        <v>3</v>
      </c>
      <c r="B316" s="148"/>
      <c r="C316" s="103" t="s">
        <v>390</v>
      </c>
      <c r="D316" s="103">
        <f>(44.828)*10.764</f>
        <v>482.528592</v>
      </c>
      <c r="E316" s="103">
        <f>(0.75*(3+5.25+4))*10.764</f>
        <v>98.89425</v>
      </c>
      <c r="F316" s="103">
        <f>D316+E316</f>
        <v>581.42284199999995</v>
      </c>
      <c r="G316" s="103">
        <v>0</v>
      </c>
      <c r="H316" s="103">
        <f t="shared" si="53"/>
        <v>872.13426299999992</v>
      </c>
      <c r="I316" s="35"/>
      <c r="L316" s="139"/>
      <c r="M316" s="139"/>
      <c r="N316" s="35"/>
    </row>
    <row r="317" spans="1:20" s="90" customFormat="1" ht="15.75" customHeight="1" x14ac:dyDescent="0.25">
      <c r="A317" s="148">
        <f>A316+1</f>
        <v>4</v>
      </c>
      <c r="B317" s="148"/>
      <c r="C317" s="103" t="s">
        <v>409</v>
      </c>
      <c r="D317" s="103">
        <f>(35.55)*10.764</f>
        <v>382.66019999999992</v>
      </c>
      <c r="E317" s="103">
        <f>(0.75*(2.85+2.361+2.75))*10.764</f>
        <v>64.269153000000003</v>
      </c>
      <c r="F317" s="103">
        <f>D317+E317</f>
        <v>446.92935299999994</v>
      </c>
      <c r="G317" s="103">
        <v>0</v>
      </c>
      <c r="H317" s="103">
        <f t="shared" si="53"/>
        <v>670.39402949999987</v>
      </c>
      <c r="I317" s="35"/>
      <c r="L317" s="139"/>
      <c r="M317" s="139"/>
      <c r="N317" s="35"/>
      <c r="T317" s="20"/>
    </row>
    <row r="318" spans="1:20" s="90" customFormat="1" ht="15.75" customHeight="1" x14ac:dyDescent="0.25">
      <c r="A318" s="148">
        <f t="shared" ref="A318:A320" si="54">A317+1</f>
        <v>5</v>
      </c>
      <c r="B318" s="148"/>
      <c r="C318" s="103" t="s">
        <v>409</v>
      </c>
      <c r="D318" s="103">
        <f>(35.55)*10.764</f>
        <v>382.66019999999992</v>
      </c>
      <c r="E318" s="103">
        <f>(0.75*(2.85+2.361+2.75))*10.764</f>
        <v>64.269153000000003</v>
      </c>
      <c r="F318" s="103">
        <f t="shared" ref="F318:F319" si="55">D318+E318</f>
        <v>446.92935299999994</v>
      </c>
      <c r="G318" s="103">
        <v>0</v>
      </c>
      <c r="H318" s="103">
        <f t="shared" si="53"/>
        <v>670.39402949999987</v>
      </c>
      <c r="I318" s="35"/>
      <c r="L318" s="139"/>
      <c r="M318" s="139"/>
      <c r="N318" s="35"/>
      <c r="T318" s="20"/>
    </row>
    <row r="319" spans="1:20" s="90" customFormat="1" ht="15.75" customHeight="1" x14ac:dyDescent="0.25">
      <c r="A319" s="148">
        <f t="shared" si="54"/>
        <v>6</v>
      </c>
      <c r="B319" s="148"/>
      <c r="C319" s="103" t="s">
        <v>409</v>
      </c>
      <c r="D319" s="103">
        <f>(36.735)*10.764</f>
        <v>395.41553999999996</v>
      </c>
      <c r="E319" s="103">
        <f>(0.75*(2.95+2.292+2.75))*10.764</f>
        <v>64.519415999999993</v>
      </c>
      <c r="F319" s="103">
        <f t="shared" si="55"/>
        <v>459.93495599999994</v>
      </c>
      <c r="G319" s="103">
        <v>0</v>
      </c>
      <c r="H319" s="103">
        <f t="shared" si="53"/>
        <v>689.90243399999986</v>
      </c>
      <c r="I319" s="35"/>
      <c r="L319" s="139"/>
      <c r="M319" s="139"/>
      <c r="N319" s="35"/>
      <c r="T319" s="20"/>
    </row>
    <row r="320" spans="1:20" s="90" customFormat="1" ht="15.75" customHeight="1" x14ac:dyDescent="0.25">
      <c r="A320" s="148">
        <f t="shared" si="54"/>
        <v>7</v>
      </c>
      <c r="B320" s="148"/>
      <c r="C320" s="148" t="s">
        <v>395</v>
      </c>
      <c r="D320" s="148"/>
      <c r="E320" s="148"/>
      <c r="F320" s="148"/>
      <c r="G320" s="148"/>
      <c r="H320" s="148"/>
      <c r="I320" s="35"/>
      <c r="L320" s="139"/>
      <c r="M320" s="139"/>
      <c r="N320" s="35"/>
      <c r="T320" s="20"/>
    </row>
    <row r="321" spans="1:20" s="90" customFormat="1" x14ac:dyDescent="0.25">
      <c r="A321" s="144" t="s">
        <v>397</v>
      </c>
      <c r="B321" s="145"/>
      <c r="C321" s="145"/>
      <c r="D321" s="145"/>
      <c r="E321" s="145"/>
      <c r="F321" s="145"/>
      <c r="G321" s="145"/>
      <c r="H321" s="146"/>
      <c r="I321" s="90">
        <v>5</v>
      </c>
      <c r="J321" s="35"/>
    </row>
    <row r="322" spans="1:20" s="90" customFormat="1" ht="15.75" customHeight="1" x14ac:dyDescent="0.25">
      <c r="A322" s="137">
        <v>1</v>
      </c>
      <c r="B322" s="138"/>
      <c r="C322" s="91" t="s">
        <v>409</v>
      </c>
      <c r="D322" s="91">
        <f>(39.015)*10.764</f>
        <v>419.95745999999997</v>
      </c>
      <c r="E322" s="91">
        <f>(0.75*(3+2.292+2.75))*10.764</f>
        <v>64.923065999999992</v>
      </c>
      <c r="F322" s="91">
        <f>D322+E322</f>
        <v>484.88052599999997</v>
      </c>
      <c r="G322" s="91">
        <v>0</v>
      </c>
      <c r="H322" s="91">
        <f>F322*(($H$221)+1)+(IF(G322&lt;101,G322,IF(G322&lt;201,G322/2,IF(G322&lt;=301,G322/3,G322/4))))</f>
        <v>727.32078899999999</v>
      </c>
      <c r="I322" s="35"/>
      <c r="L322" s="139"/>
      <c r="M322" s="139"/>
      <c r="N322" s="35"/>
    </row>
    <row r="323" spans="1:20" s="90" customFormat="1" ht="15.75" customHeight="1" x14ac:dyDescent="0.25">
      <c r="A323" s="137">
        <f>A322+1</f>
        <v>2</v>
      </c>
      <c r="B323" s="138"/>
      <c r="C323" s="91" t="s">
        <v>390</v>
      </c>
      <c r="D323" s="91">
        <f>(45.266)*10.764</f>
        <v>487.24322399999994</v>
      </c>
      <c r="E323" s="91">
        <f>(0.75*(2.9+5.25))*10.764</f>
        <v>65.79495</v>
      </c>
      <c r="F323" s="91">
        <f>D323+E323</f>
        <v>553.03817399999991</v>
      </c>
      <c r="G323" s="91">
        <v>0</v>
      </c>
      <c r="H323" s="91">
        <f>F323*(($H$221)+1)+(IF(G323&lt;101,G323,IF(G323&lt;201,G323/2,IF(G323&lt;=301,G323/3,G323/4))))</f>
        <v>829.55726099999993</v>
      </c>
      <c r="I323" s="35"/>
      <c r="L323" s="139"/>
      <c r="M323" s="139"/>
      <c r="N323" s="35"/>
    </row>
    <row r="324" spans="1:20" s="90" customFormat="1" ht="15.75" customHeight="1" x14ac:dyDescent="0.25">
      <c r="A324" s="137">
        <f>A323+1</f>
        <v>3</v>
      </c>
      <c r="B324" s="138"/>
      <c r="C324" s="91" t="s">
        <v>390</v>
      </c>
      <c r="D324" s="91">
        <f>(51.917)*10.764</f>
        <v>558.83458799999994</v>
      </c>
      <c r="E324" s="91">
        <f>(0.75*(2.9+5.25+4))*10.764</f>
        <v>98.086950000000002</v>
      </c>
      <c r="F324" s="91">
        <f>D324+E324</f>
        <v>656.92153799999994</v>
      </c>
      <c r="G324" s="91">
        <v>0</v>
      </c>
      <c r="H324" s="91">
        <f>F324*(($H$221)+1)+(IF(G324&lt;101,G324,IF(G324&lt;201,G324/2,IF(G324&lt;=301,G324/3,G324/4))))</f>
        <v>985.38230699999986</v>
      </c>
      <c r="I324" s="35"/>
      <c r="L324" s="139"/>
      <c r="M324" s="139"/>
      <c r="N324" s="35"/>
    </row>
    <row r="325" spans="1:20" s="90" customFormat="1" ht="15.75" customHeight="1" x14ac:dyDescent="0.25">
      <c r="A325" s="137">
        <f>A324+1</f>
        <v>4</v>
      </c>
      <c r="B325" s="138"/>
      <c r="C325" s="91" t="s">
        <v>409</v>
      </c>
      <c r="D325" s="91">
        <f>(42.486)*10.764</f>
        <v>457.31930399999993</v>
      </c>
      <c r="E325" s="91">
        <f>(0.75*(2.781+2.361+2.75))*10.764</f>
        <v>63.712116000000002</v>
      </c>
      <c r="F325" s="91">
        <f>D325+E325</f>
        <v>521.03141999999991</v>
      </c>
      <c r="G325" s="91">
        <v>0</v>
      </c>
      <c r="H325" s="91">
        <f>F325*(($H$221)+1)+(IF(G325&lt;101,G325,IF(G325&lt;201,G325/2,IF(G325&lt;=301,G325/3,G325/4))))</f>
        <v>781.54712999999992</v>
      </c>
      <c r="I325" s="35"/>
      <c r="L325" s="139"/>
      <c r="M325" s="139"/>
      <c r="N325" s="35"/>
      <c r="T325" s="20"/>
    </row>
    <row r="326" spans="1:20" s="90" customFormat="1" ht="15.75" customHeight="1" x14ac:dyDescent="0.25">
      <c r="A326" s="137">
        <f t="shared" ref="A326:A328" si="56">A325+1</f>
        <v>5</v>
      </c>
      <c r="B326" s="138"/>
      <c r="C326" s="91" t="s">
        <v>409</v>
      </c>
      <c r="D326" s="91">
        <f>(42.486)*10.764</f>
        <v>457.31930399999993</v>
      </c>
      <c r="E326" s="91">
        <f>(0.75*(2.781+2.361+2.75))*10.764</f>
        <v>63.712116000000002</v>
      </c>
      <c r="F326" s="91">
        <f t="shared" ref="F326:F328" si="57">D326+E326</f>
        <v>521.03141999999991</v>
      </c>
      <c r="G326" s="91">
        <v>0</v>
      </c>
      <c r="H326" s="91">
        <f t="shared" ref="H326:H328" si="58">F326*(($H$221)+1)+(IF(G326&lt;101,G326,IF(G326&lt;201,G326/2,IF(G326&lt;=301,G326/3,G326/4))))</f>
        <v>781.54712999999992</v>
      </c>
      <c r="I326" s="35"/>
      <c r="L326" s="139"/>
      <c r="M326" s="139"/>
      <c r="N326" s="35"/>
      <c r="T326" s="20"/>
    </row>
    <row r="327" spans="1:20" s="90" customFormat="1" ht="15.75" customHeight="1" x14ac:dyDescent="0.25">
      <c r="A327" s="137">
        <f t="shared" si="56"/>
        <v>6</v>
      </c>
      <c r="B327" s="138"/>
      <c r="C327" s="91" t="s">
        <v>409</v>
      </c>
      <c r="D327" s="91">
        <f>(43.822)*10.764</f>
        <v>471.70000800000003</v>
      </c>
      <c r="E327" s="91">
        <f>(0.75*(2.9+2.292+2.75))*10.764</f>
        <v>64.115765999999994</v>
      </c>
      <c r="F327" s="91">
        <f t="shared" si="57"/>
        <v>535.81577400000003</v>
      </c>
      <c r="G327" s="91">
        <v>0</v>
      </c>
      <c r="H327" s="91">
        <f t="shared" si="58"/>
        <v>803.72366099999999</v>
      </c>
      <c r="I327" s="35"/>
      <c r="L327" s="139"/>
      <c r="M327" s="139"/>
      <c r="N327" s="35"/>
      <c r="T327" s="20"/>
    </row>
    <row r="328" spans="1:20" s="90" customFormat="1" ht="15.75" customHeight="1" x14ac:dyDescent="0.25">
      <c r="A328" s="137">
        <f t="shared" si="56"/>
        <v>7</v>
      </c>
      <c r="B328" s="138"/>
      <c r="C328" s="91" t="s">
        <v>409</v>
      </c>
      <c r="D328" s="91">
        <f>(43.822)*10.764</f>
        <v>471.70000800000003</v>
      </c>
      <c r="E328" s="91">
        <f>(0.75*(2.9+2.292+2.75))*10.764</f>
        <v>64.115765999999994</v>
      </c>
      <c r="F328" s="91">
        <f t="shared" si="57"/>
        <v>535.81577400000003</v>
      </c>
      <c r="G328" s="91">
        <v>0</v>
      </c>
      <c r="H328" s="91">
        <f t="shared" si="58"/>
        <v>803.72366099999999</v>
      </c>
      <c r="I328" s="35"/>
      <c r="L328" s="139"/>
      <c r="M328" s="139"/>
      <c r="N328" s="35"/>
      <c r="T328" s="20"/>
    </row>
    <row r="329" spans="1:20" s="90" customFormat="1" x14ac:dyDescent="0.25">
      <c r="A329" s="144" t="s">
        <v>398</v>
      </c>
      <c r="B329" s="145"/>
      <c r="C329" s="145"/>
      <c r="D329" s="145"/>
      <c r="E329" s="145"/>
      <c r="F329" s="145"/>
      <c r="G329" s="145"/>
      <c r="H329" s="146"/>
      <c r="I329" s="90">
        <v>1</v>
      </c>
      <c r="J329" s="35"/>
    </row>
    <row r="330" spans="1:20" s="90" customFormat="1" ht="15.75" customHeight="1" x14ac:dyDescent="0.25">
      <c r="A330" s="137">
        <v>1</v>
      </c>
      <c r="B330" s="138"/>
      <c r="C330" s="91" t="s">
        <v>409</v>
      </c>
      <c r="D330" s="91">
        <f>(39.015)*10.764</f>
        <v>419.95745999999997</v>
      </c>
      <c r="E330" s="91">
        <f>(0.75*(3+2.292+2.75))*10.764</f>
        <v>64.923065999999992</v>
      </c>
      <c r="F330" s="91">
        <f>D330+E330</f>
        <v>484.88052599999997</v>
      </c>
      <c r="G330" s="91">
        <v>0</v>
      </c>
      <c r="H330" s="91">
        <f t="shared" ref="H330:H335" si="59">F330*(($H$221)+1)+(IF(G330&lt;101,G330,IF(G330&lt;201,G330/2,IF(G330&lt;=301,G330/3,G330/4))))</f>
        <v>727.32078899999999</v>
      </c>
      <c r="I330" s="35"/>
      <c r="L330" s="139"/>
      <c r="M330" s="139"/>
      <c r="N330" s="35"/>
    </row>
    <row r="331" spans="1:20" s="90" customFormat="1" ht="15.75" customHeight="1" x14ac:dyDescent="0.25">
      <c r="A331" s="137">
        <f>A330+1</f>
        <v>2</v>
      </c>
      <c r="B331" s="138"/>
      <c r="C331" s="91" t="s">
        <v>390</v>
      </c>
      <c r="D331" s="91">
        <f>(45.266)*10.764</f>
        <v>487.24322399999994</v>
      </c>
      <c r="E331" s="91">
        <f>(0.75*(2.9+5.25))*10.764</f>
        <v>65.79495</v>
      </c>
      <c r="F331" s="91">
        <f>D331+E331</f>
        <v>553.03817399999991</v>
      </c>
      <c r="G331" s="91">
        <v>0</v>
      </c>
      <c r="H331" s="91">
        <f t="shared" si="59"/>
        <v>829.55726099999993</v>
      </c>
      <c r="I331" s="35"/>
      <c r="L331" s="139"/>
      <c r="M331" s="139"/>
      <c r="N331" s="35"/>
    </row>
    <row r="332" spans="1:20" s="90" customFormat="1" ht="15.75" customHeight="1" x14ac:dyDescent="0.25">
      <c r="A332" s="137">
        <f>A331+1</f>
        <v>3</v>
      </c>
      <c r="B332" s="138"/>
      <c r="C332" s="91" t="s">
        <v>390</v>
      </c>
      <c r="D332" s="91">
        <f>(51.917)*10.764</f>
        <v>558.83458799999994</v>
      </c>
      <c r="E332" s="91">
        <f>(0.75*(2.9+5.25+4))*10.764</f>
        <v>98.086950000000002</v>
      </c>
      <c r="F332" s="91">
        <f>D332+E332</f>
        <v>656.92153799999994</v>
      </c>
      <c r="G332" s="91">
        <v>0</v>
      </c>
      <c r="H332" s="91">
        <f t="shared" si="59"/>
        <v>985.38230699999986</v>
      </c>
      <c r="I332" s="35"/>
      <c r="L332" s="139"/>
      <c r="M332" s="139"/>
      <c r="N332" s="35"/>
    </row>
    <row r="333" spans="1:20" s="90" customFormat="1" ht="15.75" customHeight="1" x14ac:dyDescent="0.25">
      <c r="A333" s="137">
        <f>A332+1</f>
        <v>4</v>
      </c>
      <c r="B333" s="138"/>
      <c r="C333" s="91" t="s">
        <v>409</v>
      </c>
      <c r="D333" s="91">
        <f>(42.486)*10.764</f>
        <v>457.31930399999993</v>
      </c>
      <c r="E333" s="91">
        <f>(0.75*(2.781+2.361+2.75))*10.764</f>
        <v>63.712116000000002</v>
      </c>
      <c r="F333" s="91">
        <f>D333+E333</f>
        <v>521.03141999999991</v>
      </c>
      <c r="G333" s="91">
        <v>0</v>
      </c>
      <c r="H333" s="91">
        <f t="shared" si="59"/>
        <v>781.54712999999992</v>
      </c>
      <c r="I333" s="35"/>
      <c r="L333" s="139"/>
      <c r="M333" s="139"/>
      <c r="N333" s="35"/>
      <c r="T333" s="20"/>
    </row>
    <row r="334" spans="1:20" s="90" customFormat="1" ht="15.75" customHeight="1" x14ac:dyDescent="0.25">
      <c r="A334" s="137">
        <f t="shared" ref="A334:A336" si="60">A333+1</f>
        <v>5</v>
      </c>
      <c r="B334" s="138"/>
      <c r="C334" s="91" t="s">
        <v>409</v>
      </c>
      <c r="D334" s="91">
        <f>(42.486)*10.764</f>
        <v>457.31930399999993</v>
      </c>
      <c r="E334" s="91">
        <f>(0.75*(2.781+2.361+2.75))*10.764</f>
        <v>63.712116000000002</v>
      </c>
      <c r="F334" s="91">
        <f t="shared" ref="F334:F335" si="61">D334+E334</f>
        <v>521.03141999999991</v>
      </c>
      <c r="G334" s="91">
        <v>0</v>
      </c>
      <c r="H334" s="91">
        <f t="shared" si="59"/>
        <v>781.54712999999992</v>
      </c>
      <c r="I334" s="35"/>
      <c r="L334" s="139"/>
      <c r="M334" s="139"/>
      <c r="N334" s="35"/>
      <c r="T334" s="20"/>
    </row>
    <row r="335" spans="1:20" s="90" customFormat="1" ht="15.75" customHeight="1" x14ac:dyDescent="0.25">
      <c r="A335" s="137">
        <f t="shared" si="60"/>
        <v>6</v>
      </c>
      <c r="B335" s="138"/>
      <c r="C335" s="91" t="s">
        <v>409</v>
      </c>
      <c r="D335" s="91">
        <f>(43.822)*10.764</f>
        <v>471.70000800000003</v>
      </c>
      <c r="E335" s="91">
        <f>(0.75*(2.9+2.292+2.75))*10.764</f>
        <v>64.115765999999994</v>
      </c>
      <c r="F335" s="91">
        <f t="shared" si="61"/>
        <v>535.81577400000003</v>
      </c>
      <c r="G335" s="91">
        <v>0</v>
      </c>
      <c r="H335" s="91">
        <f t="shared" si="59"/>
        <v>803.72366099999999</v>
      </c>
      <c r="I335" s="35"/>
      <c r="L335" s="139"/>
      <c r="M335" s="139"/>
      <c r="N335" s="35"/>
      <c r="T335" s="20"/>
    </row>
    <row r="336" spans="1:20" s="90" customFormat="1" ht="15.75" customHeight="1" x14ac:dyDescent="0.25">
      <c r="A336" s="137">
        <f t="shared" si="60"/>
        <v>7</v>
      </c>
      <c r="B336" s="138"/>
      <c r="C336" s="137" t="s">
        <v>395</v>
      </c>
      <c r="D336" s="140"/>
      <c r="E336" s="140"/>
      <c r="F336" s="140"/>
      <c r="G336" s="140"/>
      <c r="H336" s="138"/>
      <c r="I336" s="35"/>
      <c r="L336" s="139"/>
      <c r="M336" s="139"/>
      <c r="N336" s="35"/>
      <c r="T336" s="20"/>
    </row>
    <row r="337" spans="1:20" s="36" customFormat="1" hidden="1" x14ac:dyDescent="0.25">
      <c r="A337" s="144" t="s">
        <v>116</v>
      </c>
      <c r="B337" s="145"/>
      <c r="C337" s="145"/>
      <c r="D337" s="145"/>
      <c r="E337" s="145"/>
      <c r="F337" s="145"/>
      <c r="G337" s="145"/>
      <c r="H337" s="146"/>
      <c r="J337" s="35"/>
    </row>
    <row r="338" spans="1:20" s="36" customFormat="1" ht="15.75" hidden="1" customHeight="1" x14ac:dyDescent="0.25">
      <c r="A338" s="137">
        <v>1</v>
      </c>
      <c r="B338" s="138"/>
      <c r="C338" s="41"/>
      <c r="D338" s="41"/>
      <c r="E338" s="41">
        <v>0</v>
      </c>
      <c r="F338" s="41">
        <f>D338+E338</f>
        <v>0</v>
      </c>
      <c r="G338" s="55">
        <v>0</v>
      </c>
      <c r="H338" s="55">
        <f>F338*(($H$221)+1)+(IF(G338&lt;101,G338,IF(G338&lt;201,G338/2,IF(G338&lt;=301,G338/3,G338/4))))</f>
        <v>0</v>
      </c>
      <c r="I338" s="35"/>
      <c r="L338" s="139"/>
      <c r="M338" s="139"/>
      <c r="N338" s="35"/>
    </row>
    <row r="339" spans="1:20" s="36" customFormat="1" ht="15.75" hidden="1" customHeight="1" x14ac:dyDescent="0.25">
      <c r="A339" s="137">
        <f>A338+1</f>
        <v>2</v>
      </c>
      <c r="B339" s="138"/>
      <c r="C339" s="41"/>
      <c r="D339" s="41"/>
      <c r="E339" s="41">
        <v>0</v>
      </c>
      <c r="F339" s="55">
        <f>D339+E339</f>
        <v>0</v>
      </c>
      <c r="G339" s="55">
        <v>0</v>
      </c>
      <c r="H339" s="55">
        <f>F339*(($H$221)+1)+(IF(G339&lt;101,G339,IF(G339&lt;201,G339/2,IF(G339&lt;=301,G339/3,G339/4))))</f>
        <v>0</v>
      </c>
      <c r="I339" s="35"/>
      <c r="L339" s="139"/>
      <c r="M339" s="139"/>
      <c r="N339" s="35"/>
    </row>
    <row r="340" spans="1:20" s="36" customFormat="1" ht="15.75" hidden="1" customHeight="1" x14ac:dyDescent="0.25">
      <c r="A340" s="137">
        <f>A339+1</f>
        <v>3</v>
      </c>
      <c r="B340" s="138"/>
      <c r="C340" s="41"/>
      <c r="D340" s="41"/>
      <c r="E340" s="41">
        <v>0</v>
      </c>
      <c r="F340" s="55">
        <f>D340+E340</f>
        <v>0</v>
      </c>
      <c r="G340" s="55">
        <v>0</v>
      </c>
      <c r="H340" s="55">
        <f>F340*(($H$221)+1)+(IF(G340&lt;101,G340,IF(G340&lt;201,G340/2,IF(G340&lt;=301,G340/3,G340/4))))</f>
        <v>0</v>
      </c>
      <c r="I340" s="35"/>
      <c r="L340" s="139"/>
      <c r="M340" s="139"/>
      <c r="N340" s="35"/>
    </row>
    <row r="341" spans="1:20" s="36" customFormat="1" ht="15.75" hidden="1" customHeight="1" x14ac:dyDescent="0.25">
      <c r="A341" s="137">
        <f>A340+1</f>
        <v>4</v>
      </c>
      <c r="B341" s="138"/>
      <c r="C341" s="41"/>
      <c r="D341" s="41"/>
      <c r="E341" s="41">
        <v>0</v>
      </c>
      <c r="F341" s="55">
        <f>D341+E341</f>
        <v>0</v>
      </c>
      <c r="G341" s="55">
        <v>0</v>
      </c>
      <c r="H341" s="55">
        <f>F341*(($H$221)+1)+(IF(G341&lt;101,G341,IF(G341&lt;201,G341/2,IF(G341&lt;=301,G341/3,G341/4))))</f>
        <v>0</v>
      </c>
      <c r="I341" s="35"/>
      <c r="L341" s="139"/>
      <c r="M341" s="139"/>
      <c r="N341" s="35"/>
      <c r="T341" s="20"/>
    </row>
    <row r="342" spans="1:20" s="89" customFormat="1" ht="15.75" hidden="1" customHeight="1" x14ac:dyDescent="0.25">
      <c r="A342" s="137">
        <f t="shared" ref="A342:A345" si="62">A341+1</f>
        <v>5</v>
      </c>
      <c r="B342" s="138"/>
      <c r="C342" s="88"/>
      <c r="D342" s="88"/>
      <c r="E342" s="88">
        <v>0</v>
      </c>
      <c r="F342" s="88">
        <f t="shared" ref="F342:F345" si="63">D342+E342</f>
        <v>0</v>
      </c>
      <c r="G342" s="88">
        <v>0</v>
      </c>
      <c r="H342" s="88">
        <f t="shared" ref="H342:H345" si="64">F342*(($H$221)+1)+(IF(G342&lt;101,G342,IF(G342&lt;201,G342/2,IF(G342&lt;=301,G342/3,G342/4))))</f>
        <v>0</v>
      </c>
      <c r="I342" s="35"/>
      <c r="L342" s="139"/>
      <c r="M342" s="139"/>
      <c r="N342" s="35"/>
      <c r="T342" s="20"/>
    </row>
    <row r="343" spans="1:20" s="89" customFormat="1" ht="15.75" hidden="1" customHeight="1" x14ac:dyDescent="0.25">
      <c r="A343" s="137">
        <f t="shared" si="62"/>
        <v>6</v>
      </c>
      <c r="B343" s="138"/>
      <c r="C343" s="88"/>
      <c r="D343" s="88"/>
      <c r="E343" s="88">
        <v>0</v>
      </c>
      <c r="F343" s="88">
        <f t="shared" si="63"/>
        <v>0</v>
      </c>
      <c r="G343" s="88">
        <v>0</v>
      </c>
      <c r="H343" s="88">
        <f t="shared" si="64"/>
        <v>0</v>
      </c>
      <c r="I343" s="35"/>
      <c r="L343" s="139"/>
      <c r="M343" s="139"/>
      <c r="N343" s="35"/>
      <c r="T343" s="20"/>
    </row>
    <row r="344" spans="1:20" s="89" customFormat="1" ht="15.75" hidden="1" customHeight="1" x14ac:dyDescent="0.25">
      <c r="A344" s="137">
        <f t="shared" si="62"/>
        <v>7</v>
      </c>
      <c r="B344" s="138"/>
      <c r="C344" s="88"/>
      <c r="D344" s="88"/>
      <c r="E344" s="88">
        <v>0</v>
      </c>
      <c r="F344" s="88">
        <f t="shared" si="63"/>
        <v>0</v>
      </c>
      <c r="G344" s="88">
        <v>0</v>
      </c>
      <c r="H344" s="88">
        <f t="shared" si="64"/>
        <v>0</v>
      </c>
      <c r="I344" s="35"/>
      <c r="L344" s="139"/>
      <c r="M344" s="139"/>
      <c r="N344" s="35"/>
      <c r="T344" s="20"/>
    </row>
    <row r="345" spans="1:20" s="89" customFormat="1" ht="15.75" hidden="1" customHeight="1" x14ac:dyDescent="0.25">
      <c r="A345" s="137">
        <f t="shared" si="62"/>
        <v>8</v>
      </c>
      <c r="B345" s="138"/>
      <c r="C345" s="88"/>
      <c r="D345" s="88"/>
      <c r="E345" s="88">
        <v>0</v>
      </c>
      <c r="F345" s="88">
        <f t="shared" si="63"/>
        <v>0</v>
      </c>
      <c r="G345" s="88">
        <v>0</v>
      </c>
      <c r="H345" s="88">
        <f t="shared" si="64"/>
        <v>0</v>
      </c>
      <c r="I345" s="35"/>
      <c r="L345" s="139"/>
      <c r="M345" s="139"/>
      <c r="N345" s="35"/>
      <c r="T345" s="20"/>
    </row>
    <row r="346" spans="1:20" s="36" customFormat="1" hidden="1" x14ac:dyDescent="0.25">
      <c r="A346" s="147" t="s">
        <v>117</v>
      </c>
      <c r="B346" s="147"/>
      <c r="C346" s="147"/>
      <c r="D346" s="147"/>
      <c r="E346" s="147"/>
      <c r="F346" s="147"/>
      <c r="G346" s="147"/>
      <c r="H346" s="147"/>
      <c r="I346" s="35"/>
      <c r="L346" s="139"/>
      <c r="M346" s="139"/>
    </row>
    <row r="347" spans="1:20" s="36" customFormat="1" hidden="1" x14ac:dyDescent="0.25">
      <c r="A347" s="148">
        <f>LEFT(A346,SUM(LEN(A346)-LEN(SUBSTITUTE(A346,{"0","1","2","3","4","5","6","7","8","9"},""))))*100+1</f>
        <v>201</v>
      </c>
      <c r="B347" s="148"/>
      <c r="C347" s="41"/>
      <c r="D347" s="41"/>
      <c r="E347" s="55">
        <v>0</v>
      </c>
      <c r="F347" s="55">
        <f>D347+E347</f>
        <v>0</v>
      </c>
      <c r="G347" s="55">
        <v>0</v>
      </c>
      <c r="H347" s="55">
        <f>F347*(($H$221)+1)+(IF(G347&lt;101,G347,IF(G347&lt;201,G347/2,IF(G347&lt;=301,G347/3,G347/4))))</f>
        <v>0</v>
      </c>
      <c r="I347" s="35"/>
      <c r="N347" s="35"/>
    </row>
    <row r="348" spans="1:20" s="36" customFormat="1" hidden="1" x14ac:dyDescent="0.25">
      <c r="A348" s="148">
        <f>A347+1</f>
        <v>202</v>
      </c>
      <c r="B348" s="148"/>
      <c r="C348" s="41"/>
      <c r="D348" s="41"/>
      <c r="E348" s="55">
        <v>0</v>
      </c>
      <c r="F348" s="55">
        <f>D348+E348</f>
        <v>0</v>
      </c>
      <c r="G348" s="55">
        <v>0</v>
      </c>
      <c r="H348" s="55">
        <f>F348*(($H$221)+1)+(IF(G348&lt;101,G348,IF(G348&lt;201,G348/2,IF(G348&lt;=301,G348/3,G348/4))))</f>
        <v>0</v>
      </c>
      <c r="I348" s="35"/>
      <c r="N348" s="35"/>
    </row>
    <row r="349" spans="1:20" s="36" customFormat="1" hidden="1" x14ac:dyDescent="0.25">
      <c r="A349" s="148">
        <f>A348+1</f>
        <v>203</v>
      </c>
      <c r="B349" s="148"/>
      <c r="C349" s="41"/>
      <c r="D349" s="41"/>
      <c r="E349" s="55">
        <v>0</v>
      </c>
      <c r="F349" s="55">
        <f>D349+E349</f>
        <v>0</v>
      </c>
      <c r="G349" s="55">
        <v>0</v>
      </c>
      <c r="H349" s="55">
        <f>F349*(($H$221)+1)+(IF(G349&lt;101,G349,IF(G349&lt;201,G349/2,IF(G349&lt;=301,G349/3,G349/4))))</f>
        <v>0</v>
      </c>
      <c r="I349" s="35"/>
      <c r="N349" s="35"/>
    </row>
    <row r="350" spans="1:20" s="36" customFormat="1" hidden="1" x14ac:dyDescent="0.25">
      <c r="A350" s="148">
        <f>A349+1</f>
        <v>204</v>
      </c>
      <c r="B350" s="148"/>
      <c r="C350" s="41"/>
      <c r="D350" s="41"/>
      <c r="E350" s="55">
        <v>0</v>
      </c>
      <c r="F350" s="55">
        <f>D350+E350</f>
        <v>0</v>
      </c>
      <c r="G350" s="55">
        <v>0</v>
      </c>
      <c r="H350" s="55">
        <f>F350*(($H$221)+1)+(IF(G350&lt;101,G350,IF(G350&lt;201,G350/2,IF(G350&lt;=301,G350/3,G350/4))))</f>
        <v>0</v>
      </c>
      <c r="I350" s="35"/>
      <c r="N350" s="35"/>
    </row>
    <row r="351" spans="1:20" s="36" customFormat="1" hidden="1" x14ac:dyDescent="0.25">
      <c r="A351" s="148">
        <f>A350+1</f>
        <v>205</v>
      </c>
      <c r="B351" s="148"/>
      <c r="C351" s="41"/>
      <c r="D351" s="41"/>
      <c r="E351" s="55">
        <v>0</v>
      </c>
      <c r="F351" s="55">
        <f>D351+E351</f>
        <v>0</v>
      </c>
      <c r="G351" s="55">
        <v>0</v>
      </c>
      <c r="H351" s="55">
        <f>F351*(($H$221)+1)+(IF(G351&lt;101,G351,IF(G351&lt;201,G351/2,IF(G351&lt;=301,G351/3,G351/4))))</f>
        <v>0</v>
      </c>
      <c r="I351" s="35"/>
      <c r="N351" s="35"/>
    </row>
    <row r="352" spans="1:20" s="36" customFormat="1" ht="15.75" hidden="1" customHeight="1" x14ac:dyDescent="0.25">
      <c r="A352" s="144" t="s">
        <v>148</v>
      </c>
      <c r="B352" s="145"/>
      <c r="C352" s="145"/>
      <c r="D352" s="145"/>
      <c r="E352" s="145"/>
      <c r="F352" s="145"/>
      <c r="G352" s="145"/>
      <c r="H352" s="146"/>
      <c r="I352" s="35"/>
    </row>
    <row r="353" spans="1:9" s="36" customFormat="1" ht="15.75" hidden="1" customHeight="1" x14ac:dyDescent="0.25">
      <c r="A353" s="137" t="str">
        <f ca="1">(SUMPRODUCT(MID(0&amp;(LEFT(A352,SUM(LEN(A352)-LEN(SUBSTITUTE(A352,{"0","1","2"},""))))), LARGE(INDEX(ISNUMBER(--MID((LEFT(A352,SUM(LEN(A352)-LEN(SUBSTITUTE(A352,{"0","1","2"},""))))), ROW(INDIRECT("1:"&amp;LEN((LEFT(A352,SUM(LEN(A352)-LEN(SUBSTITUTE(A352,{"0","1","2"},"")))))))), 1)) * ROW(INDIRECT("1:"&amp;LEN((LEFT(A352,SUM(LEN(A352)-LEN(SUBSTITUTE(A352,{"0","1","2"},"")))))))), 0), ROW(INDIRECT("1:"&amp;LEN((LEFT(A352,SUM(LEN(A352)-LEN(SUBSTITUTE(A352,{"0","1","2"},"")))))))))+1, 1) * 10^ROW(INDIRECT("1:"&amp;LEN((LEFT(A352,SUM(LEN(A352)-LEN(SUBSTITUTE(A352,{"0","1","2"},""))))))))/10))*100+1&amp;""&amp;" ,.., "&amp;""&amp;(SUMPRODUCT(MID(0&amp;(--TRIM(RIGHT(SUBSTITUTE(LEFT(A352,_xlfn.AGGREGATE(16,6,FIND({0,1,2,3,4,5,6,7,8,9},A352,ROW(INDIRECT("1:"&amp;LEN(A352)))),1))," ",REPT(" ",LEN(A352))),LEN(A352)))), LARGE(INDEX(ISNUMBER(--MID((--TRIM(RIGHT(SUBSTITUTE(LEFT(A352,_xlfn.AGGREGATE(16,6,FIND({0,1,2,3,4,5,6,7,8,9},A352,ROW(INDIRECT("1:"&amp;LEN(A352)))),1))," ",REPT(" ",LEN(A352))),LEN(A352)))), ROW(INDIRECT("1:"&amp;LEN((--TRIM(RIGHT(SUBSTITUTE(LEFT(A352,_xlfn.AGGREGATE(16,6,FIND({0,1,2,3,4,5,6,7,8,9},A352,ROW(INDIRECT("1:"&amp;LEN(A352)))),1))," ",REPT(" ",LEN(A352))),LEN(A352))))))), 1)) * ROW(INDIRECT("1:"&amp;LEN((--TRIM(RIGHT(SUBSTITUTE(LEFT(A352,_xlfn.AGGREGATE(16,6,FIND({0,1,2,3,4,5,6,7,8,9},A352,ROW(INDIRECT("1:"&amp;LEN(A352)))),1))," ",REPT(" ",LEN(A352))),LEN(A352))))))), 0), ROW(INDIRECT("1:"&amp;LEN((--TRIM(RIGHT(SUBSTITUTE(LEFT(A352,_xlfn.AGGREGATE(16,6,FIND({0,1,2,3,4,5,6,7,8,9},A352,ROW(INDIRECT("1:"&amp;LEN(A352)))),1))," ",REPT(" ",LEN(A352))),LEN(A352))))))))+1, 1) * 10^ROW(INDIRECT("1:"&amp;LEN((--TRIM(RIGHT(SUBSTITUTE(LEFT(A352,_xlfn.AGGREGATE(16,6,FIND({0,1,2,3,4,5,6,7,8,9},A352,ROW(INDIRECT("1:"&amp;LEN(A352)))),1))," ",REPT(" ",LEN(A352))),LEN(A352)))))))/10))*100+1</f>
        <v>301 ,.., 1501</v>
      </c>
      <c r="B353" s="138"/>
      <c r="C353" s="41"/>
      <c r="D353" s="41"/>
      <c r="E353" s="55">
        <v>0</v>
      </c>
      <c r="F353" s="55">
        <f>D353+E353</f>
        <v>0</v>
      </c>
      <c r="G353" s="55">
        <v>0</v>
      </c>
      <c r="H353" s="55">
        <f>F353*(($H$221)+1)+(IF(G353&lt;101,G353,IF(G353&lt;201,G353/2,IF(G353&lt;=301,G353/3,G353/4))))</f>
        <v>0</v>
      </c>
      <c r="I353" s="35"/>
    </row>
    <row r="354" spans="1:9" s="36" customFormat="1" ht="15.75" hidden="1" customHeight="1" x14ac:dyDescent="0.25">
      <c r="A354" s="137" t="str">
        <f ca="1">(SUMPRODUCT(MID(0&amp;(LEFT(A353,SUM(LEN(A353)-LEN(SUBSTITUTE(A353,{"0","1","2"},""))))), LARGE(INDEX(ISNUMBER(--MID((LEFT(A353,SUM(LEN(A353)-LEN(SUBSTITUTE(A353,{"0","1","2"},""))))), ROW(INDIRECT("1:"&amp;LEN((LEFT(A353,SUM(LEN(A353)-LEN(SUBSTITUTE(A353,{"0","1","2"},"")))))))), 1)) * ROW(INDIRECT("1:"&amp;LEN((LEFT(A353,SUM(LEN(A353)-LEN(SUBSTITUTE(A353,{"0","1","2"},"")))))))), 0), ROW(INDIRECT("1:"&amp;LEN((LEFT(A353,SUM(LEN(A353)-LEN(SUBSTITUTE(A353,{"0","1","2"},"")))))))))+1, 1) * 10^ROW(INDIRECT("1:"&amp;LEN((LEFT(A353,SUM(LEN(A353)-LEN(SUBSTITUTE(A353,{"0","1","2"},""))))))))/10))*1+1&amp;""&amp;" ,.., "&amp;""&amp;(SUMPRODUCT(MID(0&amp;(--TRIM(RIGHT(SUBSTITUTE(LEFT(A353,_xlfn.AGGREGATE(16,6,FIND({0,1,2,3,4,5,6,7,8,9},A353,ROW(INDIRECT("1:"&amp;LEN(A353)))),1))," ",REPT(" ",LEN(A353))),LEN(A353)))), LARGE(INDEX(ISNUMBER(--MID((--TRIM(RIGHT(SUBSTITUTE(LEFT(A353,_xlfn.AGGREGATE(16,6,FIND({0,1,2,3,4,5,6,7,8,9},A353,ROW(INDIRECT("1:"&amp;LEN(A353)))),1))," ",REPT(" ",LEN(A353))),LEN(A353)))), ROW(INDIRECT("1:"&amp;LEN((--TRIM(RIGHT(SUBSTITUTE(LEFT(A353,_xlfn.AGGREGATE(16,6,FIND({0,1,2,3,4,5,6,7,8,9},A353,ROW(INDIRECT("1:"&amp;LEN(A353)))),1))," ",REPT(" ",LEN(A353))),LEN(A353))))))), 1)) * ROW(INDIRECT("1:"&amp;LEN((--TRIM(RIGHT(SUBSTITUTE(LEFT(A353,_xlfn.AGGREGATE(16,6,FIND({0,1,2,3,4,5,6,7,8,9},A353,ROW(INDIRECT("1:"&amp;LEN(A353)))),1))," ",REPT(" ",LEN(A353))),LEN(A353))))))), 0), ROW(INDIRECT("1:"&amp;LEN((--TRIM(RIGHT(SUBSTITUTE(LEFT(A353,_xlfn.AGGREGATE(16,6,FIND({0,1,2,3,4,5,6,7,8,9},A353,ROW(INDIRECT("1:"&amp;LEN(A353)))),1))," ",REPT(" ",LEN(A353))),LEN(A353))))))))+1, 1) * 10^ROW(INDIRECT("1:"&amp;LEN((--TRIM(RIGHT(SUBSTITUTE(LEFT(A353,_xlfn.AGGREGATE(16,6,FIND({0,1,2,3,4,5,6,7,8,9},A353,ROW(INDIRECT("1:"&amp;LEN(A353)))),1))," ",REPT(" ",LEN(A353))),LEN(A353)))))))/10))*1+1</f>
        <v>302 ,.., 1502</v>
      </c>
      <c r="B354" s="138"/>
      <c r="C354" s="41"/>
      <c r="D354" s="41"/>
      <c r="E354" s="55">
        <v>0</v>
      </c>
      <c r="F354" s="55">
        <f>D354+E354</f>
        <v>0</v>
      </c>
      <c r="G354" s="55">
        <v>0</v>
      </c>
      <c r="H354" s="55">
        <f>F354*(($H$221)+1)+(IF(G354&lt;101,G354,IF(G354&lt;201,G354/2,IF(G354&lt;=301,G354/3,G354/4))))</f>
        <v>0</v>
      </c>
      <c r="I354" s="35"/>
    </row>
    <row r="355" spans="1:9" s="36" customFormat="1" ht="15.75" hidden="1" customHeight="1" x14ac:dyDescent="0.25">
      <c r="A355" s="137" t="str">
        <f ca="1">(SUMPRODUCT(MID(0&amp;(LEFT(A354,SUM(LEN(A354)-LEN(SUBSTITUTE(A354,{"0","1","2"},""))))), LARGE(INDEX(ISNUMBER(--MID((LEFT(A354,SUM(LEN(A354)-LEN(SUBSTITUTE(A354,{"0","1","2"},""))))), ROW(INDIRECT("1:"&amp;LEN((LEFT(A354,SUM(LEN(A354)-LEN(SUBSTITUTE(A354,{"0","1","2"},"")))))))), 1)) * ROW(INDIRECT("1:"&amp;LEN((LEFT(A354,SUM(LEN(A354)-LEN(SUBSTITUTE(A354,{"0","1","2"},"")))))))), 0), ROW(INDIRECT("1:"&amp;LEN((LEFT(A354,SUM(LEN(A354)-LEN(SUBSTITUTE(A354,{"0","1","2"},"")))))))))+1, 1) * 10^ROW(INDIRECT("1:"&amp;LEN((LEFT(A354,SUM(LEN(A354)-LEN(SUBSTITUTE(A354,{"0","1","2"},""))))))))/10))*1+1&amp;""&amp;" ,.., "&amp;""&amp;(SUMPRODUCT(MID(0&amp;(--TRIM(RIGHT(SUBSTITUTE(LEFT(A354,_xlfn.AGGREGATE(16,6,FIND({0,1,2,3,4,5,6,7,8,9},A354,ROW(INDIRECT("1:"&amp;LEN(A354)))),1))," ",REPT(" ",LEN(A354))),LEN(A354)))), LARGE(INDEX(ISNUMBER(--MID((--TRIM(RIGHT(SUBSTITUTE(LEFT(A354,_xlfn.AGGREGATE(16,6,FIND({0,1,2,3,4,5,6,7,8,9},A354,ROW(INDIRECT("1:"&amp;LEN(A354)))),1))," ",REPT(" ",LEN(A354))),LEN(A354)))), ROW(INDIRECT("1:"&amp;LEN((--TRIM(RIGHT(SUBSTITUTE(LEFT(A354,_xlfn.AGGREGATE(16,6,FIND({0,1,2,3,4,5,6,7,8,9},A354,ROW(INDIRECT("1:"&amp;LEN(A354)))),1))," ",REPT(" ",LEN(A354))),LEN(A354))))))), 1)) * ROW(INDIRECT("1:"&amp;LEN((--TRIM(RIGHT(SUBSTITUTE(LEFT(A354,_xlfn.AGGREGATE(16,6,FIND({0,1,2,3,4,5,6,7,8,9},A354,ROW(INDIRECT("1:"&amp;LEN(A354)))),1))," ",REPT(" ",LEN(A354))),LEN(A354))))))), 0), ROW(INDIRECT("1:"&amp;LEN((--TRIM(RIGHT(SUBSTITUTE(LEFT(A354,_xlfn.AGGREGATE(16,6,FIND({0,1,2,3,4,5,6,7,8,9},A354,ROW(INDIRECT("1:"&amp;LEN(A354)))),1))," ",REPT(" ",LEN(A354))),LEN(A354))))))))+1, 1) * 10^ROW(INDIRECT("1:"&amp;LEN((--TRIM(RIGHT(SUBSTITUTE(LEFT(A354,_xlfn.AGGREGATE(16,6,FIND({0,1,2,3,4,5,6,7,8,9},A354,ROW(INDIRECT("1:"&amp;LEN(A354)))),1))," ",REPT(" ",LEN(A354))),LEN(A354)))))))/10))*1+1</f>
        <v>303 ,.., 1503</v>
      </c>
      <c r="B355" s="138"/>
      <c r="C355" s="41"/>
      <c r="D355" s="41"/>
      <c r="E355" s="55">
        <v>0</v>
      </c>
      <c r="F355" s="55">
        <f>D355+E355</f>
        <v>0</v>
      </c>
      <c r="G355" s="55">
        <v>0</v>
      </c>
      <c r="H355" s="55">
        <f>F355*(($H$221)+1)+(IF(G355&lt;101,G355,IF(G355&lt;201,G355/2,IF(G355&lt;=301,G355/3,G355/4))))</f>
        <v>0</v>
      </c>
      <c r="I355" s="35"/>
    </row>
    <row r="356" spans="1:9" s="36" customFormat="1" ht="15.75" hidden="1" customHeight="1" x14ac:dyDescent="0.25">
      <c r="A356" s="137" t="str">
        <f ca="1">(SUMPRODUCT(MID(0&amp;(LEFT(A355,SUM(LEN(A355)-LEN(SUBSTITUTE(A355,{"0","1","2"},""))))), LARGE(INDEX(ISNUMBER(--MID((LEFT(A355,SUM(LEN(A355)-LEN(SUBSTITUTE(A355,{"0","1","2"},""))))), ROW(INDIRECT("1:"&amp;LEN((LEFT(A355,SUM(LEN(A355)-LEN(SUBSTITUTE(A355,{"0","1","2"},"")))))))), 1)) * ROW(INDIRECT("1:"&amp;LEN((LEFT(A355,SUM(LEN(A355)-LEN(SUBSTITUTE(A355,{"0","1","2"},"")))))))), 0), ROW(INDIRECT("1:"&amp;LEN((LEFT(A355,SUM(LEN(A355)-LEN(SUBSTITUTE(A355,{"0","1","2"},"")))))))))+1, 1) * 10^ROW(INDIRECT("1:"&amp;LEN((LEFT(A355,SUM(LEN(A355)-LEN(SUBSTITUTE(A355,{"0","1","2"},""))))))))/10))*1+1&amp;""&amp;" ,.., "&amp;""&amp;(SUMPRODUCT(MID(0&amp;(--TRIM(RIGHT(SUBSTITUTE(LEFT(A355,_xlfn.AGGREGATE(16,6,FIND({0,1,2,3,4,5,6,7,8,9},A355,ROW(INDIRECT("1:"&amp;LEN(A355)))),1))," ",REPT(" ",LEN(A355))),LEN(A355)))), LARGE(INDEX(ISNUMBER(--MID((--TRIM(RIGHT(SUBSTITUTE(LEFT(A355,_xlfn.AGGREGATE(16,6,FIND({0,1,2,3,4,5,6,7,8,9},A355,ROW(INDIRECT("1:"&amp;LEN(A355)))),1))," ",REPT(" ",LEN(A355))),LEN(A355)))), ROW(INDIRECT("1:"&amp;LEN((--TRIM(RIGHT(SUBSTITUTE(LEFT(A355,_xlfn.AGGREGATE(16,6,FIND({0,1,2,3,4,5,6,7,8,9},A355,ROW(INDIRECT("1:"&amp;LEN(A355)))),1))," ",REPT(" ",LEN(A355))),LEN(A355))))))), 1)) * ROW(INDIRECT("1:"&amp;LEN((--TRIM(RIGHT(SUBSTITUTE(LEFT(A355,_xlfn.AGGREGATE(16,6,FIND({0,1,2,3,4,5,6,7,8,9},A355,ROW(INDIRECT("1:"&amp;LEN(A355)))),1))," ",REPT(" ",LEN(A355))),LEN(A355))))))), 0), ROW(INDIRECT("1:"&amp;LEN((--TRIM(RIGHT(SUBSTITUTE(LEFT(A355,_xlfn.AGGREGATE(16,6,FIND({0,1,2,3,4,5,6,7,8,9},A355,ROW(INDIRECT("1:"&amp;LEN(A355)))),1))," ",REPT(" ",LEN(A355))),LEN(A355))))))))+1, 1) * 10^ROW(INDIRECT("1:"&amp;LEN((--TRIM(RIGHT(SUBSTITUTE(LEFT(A355,_xlfn.AGGREGATE(16,6,FIND({0,1,2,3,4,5,6,7,8,9},A355,ROW(INDIRECT("1:"&amp;LEN(A355)))),1))," ",REPT(" ",LEN(A355))),LEN(A355)))))))/10))*1+1</f>
        <v>304 ,.., 1504</v>
      </c>
      <c r="B356" s="138"/>
      <c r="C356" s="41"/>
      <c r="D356" s="41"/>
      <c r="E356" s="55">
        <v>0</v>
      </c>
      <c r="F356" s="55">
        <f>D356+E356</f>
        <v>0</v>
      </c>
      <c r="G356" s="55">
        <v>0</v>
      </c>
      <c r="H356" s="55">
        <f>F356*(($H$221)+1)+(IF(G356&lt;101,G356,IF(G356&lt;201,G356/2,IF(G356&lt;=301,G356/3,G356/4))))</f>
        <v>0</v>
      </c>
      <c r="I356" s="35"/>
    </row>
    <row r="357" spans="1:9" s="36" customFormat="1" ht="15.75" hidden="1" customHeight="1" x14ac:dyDescent="0.25">
      <c r="A357" s="137" t="str">
        <f ca="1">(SUMPRODUCT(MID(0&amp;(LEFT(A356,SUM(LEN(A356)-LEN(SUBSTITUTE(A356,{"0","1","2"},""))))), LARGE(INDEX(ISNUMBER(--MID((LEFT(A356,SUM(LEN(A356)-LEN(SUBSTITUTE(A356,{"0","1","2"},""))))), ROW(INDIRECT("1:"&amp;LEN((LEFT(A356,SUM(LEN(A356)-LEN(SUBSTITUTE(A356,{"0","1","2"},"")))))))), 1)) * ROW(INDIRECT("1:"&amp;LEN((LEFT(A356,SUM(LEN(A356)-LEN(SUBSTITUTE(A356,{"0","1","2"},"")))))))), 0), ROW(INDIRECT("1:"&amp;LEN((LEFT(A356,SUM(LEN(A356)-LEN(SUBSTITUTE(A356,{"0","1","2"},"")))))))))+1, 1) * 10^ROW(INDIRECT("1:"&amp;LEN((LEFT(A356,SUM(LEN(A356)-LEN(SUBSTITUTE(A356,{"0","1","2"},""))))))))/10))*1+1&amp;""&amp;" ,.., "&amp;""&amp;(SUMPRODUCT(MID(0&amp;(--TRIM(RIGHT(SUBSTITUTE(LEFT(A356,_xlfn.AGGREGATE(16,6,FIND({0,1,2,3,4,5,6,7,8,9},A356,ROW(INDIRECT("1:"&amp;LEN(A356)))),1))," ",REPT(" ",LEN(A356))),LEN(A356)))), LARGE(INDEX(ISNUMBER(--MID((--TRIM(RIGHT(SUBSTITUTE(LEFT(A356,_xlfn.AGGREGATE(16,6,FIND({0,1,2,3,4,5,6,7,8,9},A356,ROW(INDIRECT("1:"&amp;LEN(A356)))),1))," ",REPT(" ",LEN(A356))),LEN(A356)))), ROW(INDIRECT("1:"&amp;LEN((--TRIM(RIGHT(SUBSTITUTE(LEFT(A356,_xlfn.AGGREGATE(16,6,FIND({0,1,2,3,4,5,6,7,8,9},A356,ROW(INDIRECT("1:"&amp;LEN(A356)))),1))," ",REPT(" ",LEN(A356))),LEN(A356))))))), 1)) * ROW(INDIRECT("1:"&amp;LEN((--TRIM(RIGHT(SUBSTITUTE(LEFT(A356,_xlfn.AGGREGATE(16,6,FIND({0,1,2,3,4,5,6,7,8,9},A356,ROW(INDIRECT("1:"&amp;LEN(A356)))),1))," ",REPT(" ",LEN(A356))),LEN(A356))))))), 0), ROW(INDIRECT("1:"&amp;LEN((--TRIM(RIGHT(SUBSTITUTE(LEFT(A356,_xlfn.AGGREGATE(16,6,FIND({0,1,2,3,4,5,6,7,8,9},A356,ROW(INDIRECT("1:"&amp;LEN(A356)))),1))," ",REPT(" ",LEN(A356))),LEN(A356))))))))+1, 1) * 10^ROW(INDIRECT("1:"&amp;LEN((--TRIM(RIGHT(SUBSTITUTE(LEFT(A356,_xlfn.AGGREGATE(16,6,FIND({0,1,2,3,4,5,6,7,8,9},A356,ROW(INDIRECT("1:"&amp;LEN(A356)))),1))," ",REPT(" ",LEN(A356))),LEN(A356)))))))/10))*1+1</f>
        <v>305 ,.., 1505</v>
      </c>
      <c r="B357" s="138"/>
      <c r="C357" s="41"/>
      <c r="D357" s="41"/>
      <c r="E357" s="55">
        <v>0</v>
      </c>
      <c r="F357" s="55">
        <f>D357+E357</f>
        <v>0</v>
      </c>
      <c r="G357" s="55">
        <v>0</v>
      </c>
      <c r="H357" s="55">
        <f>F357*(($H$221)+1)+(IF(G357&lt;101,G357,IF(G357&lt;201,G357/2,IF(G357&lt;=301,G357/3,G357/4))))</f>
        <v>0</v>
      </c>
      <c r="I357" s="35"/>
    </row>
    <row r="358" spans="1:9" s="36" customFormat="1" hidden="1" x14ac:dyDescent="0.25">
      <c r="A358" s="144" t="s">
        <v>142</v>
      </c>
      <c r="B358" s="145"/>
      <c r="C358" s="145"/>
      <c r="D358" s="145"/>
      <c r="E358" s="145"/>
      <c r="F358" s="145"/>
      <c r="G358" s="145"/>
      <c r="H358" s="146"/>
      <c r="I358" s="35"/>
    </row>
    <row r="359" spans="1:9" s="36" customFormat="1" ht="15.75" hidden="1" customHeight="1" x14ac:dyDescent="0.25">
      <c r="A359" s="137" t="str">
        <f ca="1">(SUMPRODUCT(MID(0&amp;(LEFT(A358,SUM(LEN(A358)-LEN(SUBSTITUTE(A358,{"0","1","2"},""))))), LARGE(INDEX(ISNUMBER(--MID((LEFT(A358,SUM(LEN(A358)-LEN(SUBSTITUTE(A358,{"0","1","2"},""))))), ROW(INDIRECT("1:"&amp;LEN((LEFT(A358,SUM(LEN(A358)-LEN(SUBSTITUTE(A358,{"0","1","2"},"")))))))), 1)) * ROW(INDIRECT("1:"&amp;LEN((LEFT(A358,SUM(LEN(A358)-LEN(SUBSTITUTE(A358,{"0","1","2"},"")))))))), 0), ROW(INDIRECT("1:"&amp;LEN((LEFT(A358,SUM(LEN(A358)-LEN(SUBSTITUTE(A358,{"0","1","2"},"")))))))))+1, 1) * 10^ROW(INDIRECT("1:"&amp;LEN((LEFT(A358,SUM(LEN(A358)-LEN(SUBSTITUTE(A358,{"0","1","2"},""))))))))/10))*100+1&amp;""&amp;" to "&amp;""&amp;(SUMPRODUCT(MID(0&amp;(--TRIM(RIGHT(SUBSTITUTE(LEFT(A358,_xlfn.AGGREGATE(16,6,FIND({0,1,2,3,4,5,6,7,8,9},A358,ROW(INDIRECT("1:"&amp;LEN(A358)))),1))," ",REPT(" ",LEN(A358))),LEN(A358)))), LARGE(INDEX(ISNUMBER(--MID((--TRIM(RIGHT(SUBSTITUTE(LEFT(A358,_xlfn.AGGREGATE(16,6,FIND({0,1,2,3,4,5,6,7,8,9},A358,ROW(INDIRECT("1:"&amp;LEN(A358)))),1))," ",REPT(" ",LEN(A358))),LEN(A358)))), ROW(INDIRECT("1:"&amp;LEN((--TRIM(RIGHT(SUBSTITUTE(LEFT(A358,_xlfn.AGGREGATE(16,6,FIND({0,1,2,3,4,5,6,7,8,9},A358,ROW(INDIRECT("1:"&amp;LEN(A358)))),1))," ",REPT(" ",LEN(A358))),LEN(A358))))))), 1)) * ROW(INDIRECT("1:"&amp;LEN((--TRIM(RIGHT(SUBSTITUTE(LEFT(A358,_xlfn.AGGREGATE(16,6,FIND({0,1,2,3,4,5,6,7,8,9},A358,ROW(INDIRECT("1:"&amp;LEN(A358)))),1))," ",REPT(" ",LEN(A358))),LEN(A358))))))), 0), ROW(INDIRECT("1:"&amp;LEN((--TRIM(RIGHT(SUBSTITUTE(LEFT(A358,_xlfn.AGGREGATE(16,6,FIND({0,1,2,3,4,5,6,7,8,9},A358,ROW(INDIRECT("1:"&amp;LEN(A358)))),1))," ",REPT(" ",LEN(A358))),LEN(A358))))))))+1, 1) * 10^ROW(INDIRECT("1:"&amp;LEN((--TRIM(RIGHT(SUBSTITUTE(LEFT(A358,_xlfn.AGGREGATE(16,6,FIND({0,1,2,3,4,5,6,7,8,9},A358,ROW(INDIRECT("1:"&amp;LEN(A358)))),1))," ",REPT(" ",LEN(A358))),LEN(A358)))))))/10))*100+1</f>
        <v>201 to 501</v>
      </c>
      <c r="B359" s="138"/>
      <c r="C359" s="41"/>
      <c r="D359" s="41"/>
      <c r="E359" s="55">
        <v>0</v>
      </c>
      <c r="F359" s="55">
        <f>D359+E359</f>
        <v>0</v>
      </c>
      <c r="G359" s="55">
        <v>0</v>
      </c>
      <c r="H359" s="55">
        <f>F359*(($H$221)+1)+(IF(G359&lt;101,G359,IF(G359&lt;201,G359/2,IF(G359&lt;=301,G359/3,G359/4))))</f>
        <v>0</v>
      </c>
      <c r="I359" s="35"/>
    </row>
    <row r="360" spans="1:9" s="36" customFormat="1" ht="15.75" hidden="1" customHeight="1" x14ac:dyDescent="0.25">
      <c r="A360" s="137" t="str">
        <f ca="1">(SUMPRODUCT(MID(0&amp;(LEFT(A359,SUM(LEN(A359)-LEN(SUBSTITUTE(A359,{"0","1","2"},""))))), LARGE(INDEX(ISNUMBER(--MID((LEFT(A359,SUM(LEN(A359)-LEN(SUBSTITUTE(A359,{"0","1","2"},""))))), ROW(INDIRECT("1:"&amp;LEN((LEFT(A359,SUM(LEN(A359)-LEN(SUBSTITUTE(A359,{"0","1","2"},"")))))))), 1)) * ROW(INDIRECT("1:"&amp;LEN((LEFT(A359,SUM(LEN(A359)-LEN(SUBSTITUTE(A359,{"0","1","2"},"")))))))), 0), ROW(INDIRECT("1:"&amp;LEN((LEFT(A359,SUM(LEN(A359)-LEN(SUBSTITUTE(A359,{"0","1","2"},"")))))))))+1, 1) * 10^ROW(INDIRECT("1:"&amp;LEN((LEFT(A359,SUM(LEN(A359)-LEN(SUBSTITUTE(A359,{"0","1","2"},""))))))))/10))*1+1&amp;""&amp;" to "&amp;""&amp;(SUMPRODUCT(MID(0&amp;(--TRIM(RIGHT(SUBSTITUTE(LEFT(A359,_xlfn.AGGREGATE(16,6,FIND({0,1,2,3,4,5,6,7,8,9},A359,ROW(INDIRECT("1:"&amp;LEN(A359)))),1))," ",REPT(" ",LEN(A359))),LEN(A359)))), LARGE(INDEX(ISNUMBER(--MID((--TRIM(RIGHT(SUBSTITUTE(LEFT(A359,_xlfn.AGGREGATE(16,6,FIND({0,1,2,3,4,5,6,7,8,9},A359,ROW(INDIRECT("1:"&amp;LEN(A359)))),1))," ",REPT(" ",LEN(A359))),LEN(A359)))), ROW(INDIRECT("1:"&amp;LEN((--TRIM(RIGHT(SUBSTITUTE(LEFT(A359,_xlfn.AGGREGATE(16,6,FIND({0,1,2,3,4,5,6,7,8,9},A359,ROW(INDIRECT("1:"&amp;LEN(A359)))),1))," ",REPT(" ",LEN(A359))),LEN(A359))))))), 1)) * ROW(INDIRECT("1:"&amp;LEN((--TRIM(RIGHT(SUBSTITUTE(LEFT(A359,_xlfn.AGGREGATE(16,6,FIND({0,1,2,3,4,5,6,7,8,9},A359,ROW(INDIRECT("1:"&amp;LEN(A359)))),1))," ",REPT(" ",LEN(A359))),LEN(A359))))))), 0), ROW(INDIRECT("1:"&amp;LEN((--TRIM(RIGHT(SUBSTITUTE(LEFT(A359,_xlfn.AGGREGATE(16,6,FIND({0,1,2,3,4,5,6,7,8,9},A359,ROW(INDIRECT("1:"&amp;LEN(A359)))),1))," ",REPT(" ",LEN(A359))),LEN(A359))))))))+1, 1) * 10^ROW(INDIRECT("1:"&amp;LEN((--TRIM(RIGHT(SUBSTITUTE(LEFT(A359,_xlfn.AGGREGATE(16,6,FIND({0,1,2,3,4,5,6,7,8,9},A359,ROW(INDIRECT("1:"&amp;LEN(A359)))),1))," ",REPT(" ",LEN(A359))),LEN(A359)))))))/10))*1+1</f>
        <v>202 to 502</v>
      </c>
      <c r="B360" s="138"/>
      <c r="C360" s="41"/>
      <c r="D360" s="41"/>
      <c r="E360" s="55">
        <v>0</v>
      </c>
      <c r="F360" s="55">
        <f>D360+E360</f>
        <v>0</v>
      </c>
      <c r="G360" s="55">
        <v>0</v>
      </c>
      <c r="H360" s="55">
        <f>F360*(($H$221)+1)+(IF(G360&lt;101,G360,IF(G360&lt;201,G360/2,IF(G360&lt;=301,G360/3,G360/4))))</f>
        <v>0</v>
      </c>
      <c r="I360" s="35"/>
    </row>
    <row r="361" spans="1:9" s="36" customFormat="1" ht="15.75" hidden="1" customHeight="1" x14ac:dyDescent="0.25">
      <c r="A361" s="137" t="str">
        <f ca="1">(SUMPRODUCT(MID(0&amp;(LEFT(A360,SUM(LEN(A360)-LEN(SUBSTITUTE(A360,{"0","1","2"},""))))), LARGE(INDEX(ISNUMBER(--MID((LEFT(A360,SUM(LEN(A360)-LEN(SUBSTITUTE(A360,{"0","1","2"},""))))), ROW(INDIRECT("1:"&amp;LEN((LEFT(A360,SUM(LEN(A360)-LEN(SUBSTITUTE(A360,{"0","1","2"},"")))))))), 1)) * ROW(INDIRECT("1:"&amp;LEN((LEFT(A360,SUM(LEN(A360)-LEN(SUBSTITUTE(A360,{"0","1","2"},"")))))))), 0), ROW(INDIRECT("1:"&amp;LEN((LEFT(A360,SUM(LEN(A360)-LEN(SUBSTITUTE(A360,{"0","1","2"},"")))))))))+1, 1) * 10^ROW(INDIRECT("1:"&amp;LEN((LEFT(A360,SUM(LEN(A360)-LEN(SUBSTITUTE(A360,{"0","1","2"},""))))))))/10))*1+1&amp;""&amp;" to "&amp;""&amp;(SUMPRODUCT(MID(0&amp;(--TRIM(RIGHT(SUBSTITUTE(LEFT(A360,_xlfn.AGGREGATE(16,6,FIND({0,1,2,3,4,5,6,7,8,9},A360,ROW(INDIRECT("1:"&amp;LEN(A360)))),1))," ",REPT(" ",LEN(A360))),LEN(A360)))), LARGE(INDEX(ISNUMBER(--MID((--TRIM(RIGHT(SUBSTITUTE(LEFT(A360,_xlfn.AGGREGATE(16,6,FIND({0,1,2,3,4,5,6,7,8,9},A360,ROW(INDIRECT("1:"&amp;LEN(A360)))),1))," ",REPT(" ",LEN(A360))),LEN(A360)))), ROW(INDIRECT("1:"&amp;LEN((--TRIM(RIGHT(SUBSTITUTE(LEFT(A360,_xlfn.AGGREGATE(16,6,FIND({0,1,2,3,4,5,6,7,8,9},A360,ROW(INDIRECT("1:"&amp;LEN(A360)))),1))," ",REPT(" ",LEN(A360))),LEN(A360))))))), 1)) * ROW(INDIRECT("1:"&amp;LEN((--TRIM(RIGHT(SUBSTITUTE(LEFT(A360,_xlfn.AGGREGATE(16,6,FIND({0,1,2,3,4,5,6,7,8,9},A360,ROW(INDIRECT("1:"&amp;LEN(A360)))),1))," ",REPT(" ",LEN(A360))),LEN(A360))))))), 0), ROW(INDIRECT("1:"&amp;LEN((--TRIM(RIGHT(SUBSTITUTE(LEFT(A360,_xlfn.AGGREGATE(16,6,FIND({0,1,2,3,4,5,6,7,8,9},A360,ROW(INDIRECT("1:"&amp;LEN(A360)))),1))," ",REPT(" ",LEN(A360))),LEN(A360))))))))+1, 1) * 10^ROW(INDIRECT("1:"&amp;LEN((--TRIM(RIGHT(SUBSTITUTE(LEFT(A360,_xlfn.AGGREGATE(16,6,FIND({0,1,2,3,4,5,6,7,8,9},A360,ROW(INDIRECT("1:"&amp;LEN(A360)))),1))," ",REPT(" ",LEN(A360))),LEN(A360)))))))/10))*1+1</f>
        <v>203 to 503</v>
      </c>
      <c r="B361" s="138"/>
      <c r="C361" s="41"/>
      <c r="D361" s="41"/>
      <c r="E361" s="55">
        <v>0</v>
      </c>
      <c r="F361" s="55">
        <f>D361+E361</f>
        <v>0</v>
      </c>
      <c r="G361" s="55">
        <v>0</v>
      </c>
      <c r="H361" s="55">
        <f>F361*(($H$221)+1)+(IF(G361&lt;101,G361,IF(G361&lt;201,G361/2,IF(G361&lt;=301,G361/3,G361/4))))</f>
        <v>0</v>
      </c>
      <c r="I361" s="35"/>
    </row>
    <row r="362" spans="1:9" s="36" customFormat="1" ht="15.75" hidden="1" customHeight="1" x14ac:dyDescent="0.25">
      <c r="A362" s="137" t="str">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10^ROW(INDIRECT("1:"&amp;LEN((LEFT(A361,SUM(LEN(A361)-LEN(SUBSTITUTE(A361,{"0","1","2"},""))))))))/10))*1+1&amp;""&amp;" to "&amp;""&amp;(SUMPRODUCT(MID(0&amp;(--TRIM(RIGHT(SUBSTITUTE(LEFT(A361,_xlfn.AGGREGATE(16,6,FIND({0,1,2,3,4,5,6,7,8,9},A361,ROW(INDIRECT("1:"&amp;LEN(A361)))),1)),"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",LEN(A361))),LEN(A361)))))))/10))*1+1</f>
        <v>204 to 504</v>
      </c>
      <c r="B362" s="138"/>
      <c r="C362" s="41"/>
      <c r="D362" s="41"/>
      <c r="E362" s="55">
        <v>0</v>
      </c>
      <c r="F362" s="55">
        <f>D362+E362</f>
        <v>0</v>
      </c>
      <c r="G362" s="55">
        <v>0</v>
      </c>
      <c r="H362" s="55">
        <f>F362*(($H$221)+1)+(IF(G362&lt;101,G362,IF(G362&lt;201,G362/2,IF(G362&lt;=301,G362/3,G362/4))))</f>
        <v>0</v>
      </c>
      <c r="I362" s="35"/>
    </row>
    <row r="363" spans="1:9" s="36" customFormat="1" ht="15.75" hidden="1" customHeight="1" x14ac:dyDescent="0.25">
      <c r="A363" s="137" t="str">
        <f ca="1">(SUMPRODUCT(MID(0&amp;(LEFT(A362,SUM(LEN(A362)-LEN(SUBSTITUTE(A362,{"0","1","2"},""))))), LARGE(INDEX(ISNUMBER(--MID((LEFT(A362,SUM(LEN(A362)-LEN(SUBSTITUTE(A362,{"0","1","2"},""))))), ROW(INDIRECT("1:"&amp;LEN((LEFT(A362,SUM(LEN(A362)-LEN(SUBSTITUTE(A362,{"0","1","2"},"")))))))), 1)) * ROW(INDIRECT("1:"&amp;LEN((LEFT(A362,SUM(LEN(A362)-LEN(SUBSTITUTE(A362,{"0","1","2"},"")))))))), 0), ROW(INDIRECT("1:"&amp;LEN((LEFT(A362,SUM(LEN(A362)-LEN(SUBSTITUTE(A362,{"0","1","2"},"")))))))))+1, 1) * 10^ROW(INDIRECT("1:"&amp;LEN((LEFT(A362,SUM(LEN(A362)-LEN(SUBSTITUTE(A362,{"0","1","2"},""))))))))/10))*1+1&amp;""&amp;" to "&amp;""&amp;(SUMPRODUCT(MID(0&amp;(--TRIM(RIGHT(SUBSTITUTE(LEFT(A362,_xlfn.AGGREGATE(16,6,FIND({0,1,2,3,4,5,6,7,8,9},A362,ROW(INDIRECT("1:"&amp;LEN(A362)))),1))," ",REPT(" ",LEN(A362))),LEN(A362)))), LARGE(INDEX(ISNUMBER(--MID((--TRIM(RIGHT(SUBSTITUTE(LEFT(A362,_xlfn.AGGREGATE(16,6,FIND({0,1,2,3,4,5,6,7,8,9},A362,ROW(INDIRECT("1:"&amp;LEN(A362)))),1))," ",REPT(" ",LEN(A362))),LEN(A362)))), ROW(INDIRECT("1:"&amp;LEN((--TRIM(RIGHT(SUBSTITUTE(LEFT(A362,_xlfn.AGGREGATE(16,6,FIND({0,1,2,3,4,5,6,7,8,9},A362,ROW(INDIRECT("1:"&amp;LEN(A362)))),1))," ",REPT(" ",LEN(A362))),LEN(A362))))))), 1)) * ROW(INDIRECT("1:"&amp;LEN((--TRIM(RIGHT(SUBSTITUTE(LEFT(A362,_xlfn.AGGREGATE(16,6,FIND({0,1,2,3,4,5,6,7,8,9},A362,ROW(INDIRECT("1:"&amp;LEN(A362)))),1))," ",REPT(" ",LEN(A362))),LEN(A362))))))), 0), ROW(INDIRECT("1:"&amp;LEN((--TRIM(RIGHT(SUBSTITUTE(LEFT(A362,_xlfn.AGGREGATE(16,6,FIND({0,1,2,3,4,5,6,7,8,9},A362,ROW(INDIRECT("1:"&amp;LEN(A362)))),1))," ",REPT(" ",LEN(A362))),LEN(A362))))))))+1, 1) * 10^ROW(INDIRECT("1:"&amp;LEN((--TRIM(RIGHT(SUBSTITUTE(LEFT(A362,_xlfn.AGGREGATE(16,6,FIND({0,1,2,3,4,5,6,7,8,9},A362,ROW(INDIRECT("1:"&amp;LEN(A362)))),1))," ",REPT(" ",LEN(A362))),LEN(A362)))))))/10))*1+1</f>
        <v>205 to 505</v>
      </c>
      <c r="B363" s="138"/>
      <c r="C363" s="41"/>
      <c r="D363" s="41"/>
      <c r="E363" s="55">
        <v>0</v>
      </c>
      <c r="F363" s="55">
        <f>D363+E363</f>
        <v>0</v>
      </c>
      <c r="G363" s="55">
        <v>0</v>
      </c>
      <c r="H363" s="55">
        <f>F363*(($H$221)+1)+(IF(G363&lt;101,G363,IF(G363&lt;201,G363/2,IF(G363&lt;=301,G363/3,G363/4))))</f>
        <v>0</v>
      </c>
      <c r="I363" s="35"/>
    </row>
    <row r="364" spans="1:9" s="36" customFormat="1" hidden="1" x14ac:dyDescent="0.25">
      <c r="A364" s="144" t="s">
        <v>143</v>
      </c>
      <c r="B364" s="145"/>
      <c r="C364" s="145"/>
      <c r="D364" s="145"/>
      <c r="E364" s="145"/>
      <c r="F364" s="145"/>
      <c r="G364" s="145"/>
      <c r="H364" s="146"/>
      <c r="I364" s="35"/>
    </row>
    <row r="365" spans="1:9" s="36" customFormat="1" ht="15.75" hidden="1" customHeight="1" x14ac:dyDescent="0.25">
      <c r="A365" s="137" t="str">
        <f ca="1">(SUMPRODUCT(MID(0&amp;(LEFT(A364,SUM(LEN(A364)-LEN(SUBSTITUTE(A364,{"0","1","2"},""))))), LARGE(INDEX(ISNUMBER(--MID((LEFT(A364,SUM(LEN(A364)-LEN(SUBSTITUTE(A364,{"0","1","2"},""))))), ROW(INDIRECT("1:"&amp;LEN((LEFT(A364,SUM(LEN(A364)-LEN(SUBSTITUTE(A364,{"0","1","2"},"")))))))), 1)) * ROW(INDIRECT("1:"&amp;LEN((LEFT(A364,SUM(LEN(A364)-LEN(SUBSTITUTE(A364,{"0","1","2"},"")))))))), 0), ROW(INDIRECT("1:"&amp;LEN((LEFT(A364,SUM(LEN(A364)-LEN(SUBSTITUTE(A364,{"0","1","2"},"")))))))))+1, 1) * 10^ROW(INDIRECT("1:"&amp;LEN((LEFT(A364,SUM(LEN(A364)-LEN(SUBSTITUTE(A364,{"0","1","2"},""))))))))/10))*100+1&amp;""&amp;" &amp; "&amp;""&amp;(SUMPRODUCT(MID(0&amp;(--TRIM(RIGHT(SUBSTITUTE(LEFT(A364,_xlfn.AGGREGATE(16,6,FIND({0,1,2,3,4,5,6,7,8,9},A364,ROW(INDIRECT("1:"&amp;LEN(A364)))),1))," ",REPT(" ",LEN(A364))),LEN(A364)))), LARGE(INDEX(ISNUMBER(--MID((--TRIM(RIGHT(SUBSTITUTE(LEFT(A364,_xlfn.AGGREGATE(16,6,FIND({0,1,2,3,4,5,6,7,8,9},A364,ROW(INDIRECT("1:"&amp;LEN(A364)))),1))," ",REPT(" ",LEN(A364))),LEN(A364)))), ROW(INDIRECT("1:"&amp;LEN((--TRIM(RIGHT(SUBSTITUTE(LEFT(A364,_xlfn.AGGREGATE(16,6,FIND({0,1,2,3,4,5,6,7,8,9},A364,ROW(INDIRECT("1:"&amp;LEN(A364)))),1))," ",REPT(" ",LEN(A364))),LEN(A364))))))), 1)) * ROW(INDIRECT("1:"&amp;LEN((--TRIM(RIGHT(SUBSTITUTE(LEFT(A364,_xlfn.AGGREGATE(16,6,FIND({0,1,2,3,4,5,6,7,8,9},A364,ROW(INDIRECT("1:"&amp;LEN(A364)))),1))," ",REPT(" ",LEN(A364))),LEN(A364))))))), 0), ROW(INDIRECT("1:"&amp;LEN((--TRIM(RIGHT(SUBSTITUTE(LEFT(A364,_xlfn.AGGREGATE(16,6,FIND({0,1,2,3,4,5,6,7,8,9},A364,ROW(INDIRECT("1:"&amp;LEN(A364)))),1))," ",REPT(" ",LEN(A364))),LEN(A364))))))))+1, 1) * 10^ROW(INDIRECT("1:"&amp;LEN((--TRIM(RIGHT(SUBSTITUTE(LEFT(A364,_xlfn.AGGREGATE(16,6,FIND({0,1,2,3,4,5,6,7,8,9},A364,ROW(INDIRECT("1:"&amp;LEN(A364)))),1))," ",REPT(" ",LEN(A364))),LEN(A364)))))))/10))*100+1</f>
        <v>201 &amp; 501</v>
      </c>
      <c r="B365" s="138"/>
      <c r="C365" s="41"/>
      <c r="D365" s="41"/>
      <c r="E365" s="55">
        <v>0</v>
      </c>
      <c r="F365" s="55">
        <f>D365+E365</f>
        <v>0</v>
      </c>
      <c r="G365" s="55">
        <v>0</v>
      </c>
      <c r="H365" s="55">
        <f>F365*(($H$221)+1)+(IF(G365&lt;101,G365,IF(G365&lt;201,G365/2,IF(G365&lt;=301,G365/3,G365/4))))</f>
        <v>0</v>
      </c>
      <c r="I365" s="35"/>
    </row>
    <row r="366" spans="1:9" s="36" customFormat="1" ht="15.75" hidden="1" customHeight="1" x14ac:dyDescent="0.25">
      <c r="A366" s="137" t="str">
        <f ca="1">(SUMPRODUCT(MID(0&amp;(LEFT(A365,SUM(LEN(A365)-LEN(SUBSTITUTE(A365,{"0","1","2"},""))))), LARGE(INDEX(ISNUMBER(--MID((LEFT(A365,SUM(LEN(A365)-LEN(SUBSTITUTE(A365,{"0","1","2"},""))))), ROW(INDIRECT("1:"&amp;LEN((LEFT(A365,SUM(LEN(A365)-LEN(SUBSTITUTE(A365,{"0","1","2"},"")))))))), 1)) * ROW(INDIRECT("1:"&amp;LEN((LEFT(A365,SUM(LEN(A365)-LEN(SUBSTITUTE(A365,{"0","1","2"},"")))))))), 0), ROW(INDIRECT("1:"&amp;LEN((LEFT(A365,SUM(LEN(A365)-LEN(SUBSTITUTE(A365,{"0","1","2"},"")))))))))+1, 1) * 10^ROW(INDIRECT("1:"&amp;LEN((LEFT(A365,SUM(LEN(A365)-LEN(SUBSTITUTE(A365,{"0","1","2"},""))))))))/10))*1+1&amp;""&amp;" &amp; "&amp;""&amp;(SUMPRODUCT(MID(0&amp;(--TRIM(RIGHT(SUBSTITUTE(LEFT(A365,_xlfn.AGGREGATE(16,6,FIND({0,1,2,3,4,5,6,7,8,9},A365,ROW(INDIRECT("1:"&amp;LEN(A365)))),1))," ",REPT(" ",LEN(A365))),LEN(A365)))), LARGE(INDEX(ISNUMBER(--MID((--TRIM(RIGHT(SUBSTITUTE(LEFT(A365,_xlfn.AGGREGATE(16,6,FIND({0,1,2,3,4,5,6,7,8,9},A365,ROW(INDIRECT("1:"&amp;LEN(A365)))),1))," ",REPT(" ",LEN(A365))),LEN(A365)))), ROW(INDIRECT("1:"&amp;LEN((--TRIM(RIGHT(SUBSTITUTE(LEFT(A365,_xlfn.AGGREGATE(16,6,FIND({0,1,2,3,4,5,6,7,8,9},A365,ROW(INDIRECT("1:"&amp;LEN(A365)))),1))," ",REPT(" ",LEN(A365))),LEN(A365))))))), 1)) * ROW(INDIRECT("1:"&amp;LEN((--TRIM(RIGHT(SUBSTITUTE(LEFT(A365,_xlfn.AGGREGATE(16,6,FIND({0,1,2,3,4,5,6,7,8,9},A365,ROW(INDIRECT("1:"&amp;LEN(A365)))),1))," ",REPT(" ",LEN(A365))),LEN(A365))))))), 0), ROW(INDIRECT("1:"&amp;LEN((--TRIM(RIGHT(SUBSTITUTE(LEFT(A365,_xlfn.AGGREGATE(16,6,FIND({0,1,2,3,4,5,6,7,8,9},A365,ROW(INDIRECT("1:"&amp;LEN(A365)))),1))," ",REPT(" ",LEN(A365))),LEN(A365))))))))+1, 1) * 10^ROW(INDIRECT("1:"&amp;LEN((--TRIM(RIGHT(SUBSTITUTE(LEFT(A365,_xlfn.AGGREGATE(16,6,FIND({0,1,2,3,4,5,6,7,8,9},A365,ROW(INDIRECT("1:"&amp;LEN(A365)))),1))," ",REPT(" ",LEN(A365))),LEN(A365)))))))/10))*1+1</f>
        <v>202 &amp; 502</v>
      </c>
      <c r="B366" s="138"/>
      <c r="C366" s="41"/>
      <c r="D366" s="41"/>
      <c r="E366" s="55">
        <v>0</v>
      </c>
      <c r="F366" s="55">
        <f>D366+E366</f>
        <v>0</v>
      </c>
      <c r="G366" s="55">
        <v>0</v>
      </c>
      <c r="H366" s="55">
        <f>F366*(($H$221)+1)+(IF(G366&lt;101,G366,IF(G366&lt;201,G366/2,IF(G366&lt;=301,G366/3,G366/4))))</f>
        <v>0</v>
      </c>
      <c r="I366" s="35"/>
    </row>
    <row r="367" spans="1:9" s="36" customFormat="1" ht="15.75" hidden="1" customHeight="1" x14ac:dyDescent="0.25">
      <c r="A367" s="137" t="str">
        <f ca="1">(SUMPRODUCT(MID(0&amp;(LEFT(A366,SUM(LEN(A366)-LEN(SUBSTITUTE(A366,{"0","1","2"},""))))), LARGE(INDEX(ISNUMBER(--MID((LEFT(A366,SUM(LEN(A366)-LEN(SUBSTITUTE(A366,{"0","1","2"},""))))), ROW(INDIRECT("1:"&amp;LEN((LEFT(A366,SUM(LEN(A366)-LEN(SUBSTITUTE(A366,{"0","1","2"},"")))))))), 1)) * ROW(INDIRECT("1:"&amp;LEN((LEFT(A366,SUM(LEN(A366)-LEN(SUBSTITUTE(A366,{"0","1","2"},"")))))))), 0), ROW(INDIRECT("1:"&amp;LEN((LEFT(A366,SUM(LEN(A366)-LEN(SUBSTITUTE(A366,{"0","1","2"},"")))))))))+1, 1) * 10^ROW(INDIRECT("1:"&amp;LEN((LEFT(A366,SUM(LEN(A366)-LEN(SUBSTITUTE(A366,{"0","1","2"},""))))))))/10))*1+1&amp;""&amp;" &amp; "&amp;""&amp;(SUMPRODUCT(MID(0&amp;(--TRIM(RIGHT(SUBSTITUTE(LEFT(A366,_xlfn.AGGREGATE(16,6,FIND({0,1,2,3,4,5,6,7,8,9},A366,ROW(INDIRECT("1:"&amp;LEN(A366)))),1))," ",REPT(" ",LEN(A366))),LEN(A366)))), LARGE(INDEX(ISNUMBER(--MID((--TRIM(RIGHT(SUBSTITUTE(LEFT(A366,_xlfn.AGGREGATE(16,6,FIND({0,1,2,3,4,5,6,7,8,9},A366,ROW(INDIRECT("1:"&amp;LEN(A366)))),1))," ",REPT(" ",LEN(A366))),LEN(A366)))), ROW(INDIRECT("1:"&amp;LEN((--TRIM(RIGHT(SUBSTITUTE(LEFT(A366,_xlfn.AGGREGATE(16,6,FIND({0,1,2,3,4,5,6,7,8,9},A366,ROW(INDIRECT("1:"&amp;LEN(A366)))),1))," ",REPT(" ",LEN(A366))),LEN(A366))))))), 1)) * ROW(INDIRECT("1:"&amp;LEN((--TRIM(RIGHT(SUBSTITUTE(LEFT(A366,_xlfn.AGGREGATE(16,6,FIND({0,1,2,3,4,5,6,7,8,9},A366,ROW(INDIRECT("1:"&amp;LEN(A366)))),1))," ",REPT(" ",LEN(A366))),LEN(A366))))))), 0), ROW(INDIRECT("1:"&amp;LEN((--TRIM(RIGHT(SUBSTITUTE(LEFT(A366,_xlfn.AGGREGATE(16,6,FIND({0,1,2,3,4,5,6,7,8,9},A366,ROW(INDIRECT("1:"&amp;LEN(A366)))),1))," ",REPT(" ",LEN(A366))),LEN(A366))))))))+1, 1) * 10^ROW(INDIRECT("1:"&amp;LEN((--TRIM(RIGHT(SUBSTITUTE(LEFT(A366,_xlfn.AGGREGATE(16,6,FIND({0,1,2,3,4,5,6,7,8,9},A366,ROW(INDIRECT("1:"&amp;LEN(A366)))),1))," ",REPT(" ",LEN(A366))),LEN(A366)))))))/10))*1+1</f>
        <v>203 &amp; 503</v>
      </c>
      <c r="B367" s="138"/>
      <c r="C367" s="41"/>
      <c r="D367" s="41"/>
      <c r="E367" s="55">
        <v>0</v>
      </c>
      <c r="F367" s="55">
        <f>D367+E367</f>
        <v>0</v>
      </c>
      <c r="G367" s="55">
        <v>0</v>
      </c>
      <c r="H367" s="55">
        <f>F367*(($H$221)+1)+(IF(G367&lt;101,G367,IF(G367&lt;201,G367/2,IF(G367&lt;=301,G367/3,G367/4))))</f>
        <v>0</v>
      </c>
      <c r="I367" s="35"/>
    </row>
    <row r="368" spans="1:9" s="36" customFormat="1" ht="15.75" hidden="1" customHeight="1" x14ac:dyDescent="0.25">
      <c r="A368" s="137" t="str">
        <f ca="1">(SUMPRODUCT(MID(0&amp;(LEFT(A367,SUM(LEN(A367)-LEN(SUBSTITUTE(A367,{"0","1","2"},""))))), LARGE(INDEX(ISNUMBER(--MID((LEFT(A367,SUM(LEN(A367)-LEN(SUBSTITUTE(A367,{"0","1","2"},""))))), ROW(INDIRECT("1:"&amp;LEN((LEFT(A367,SUM(LEN(A367)-LEN(SUBSTITUTE(A367,{"0","1","2"},"")))))))), 1)) * ROW(INDIRECT("1:"&amp;LEN((LEFT(A367,SUM(LEN(A367)-LEN(SUBSTITUTE(A367,{"0","1","2"},"")))))))), 0), ROW(INDIRECT("1:"&amp;LEN((LEFT(A367,SUM(LEN(A367)-LEN(SUBSTITUTE(A367,{"0","1","2"},"")))))))))+1, 1) * 10^ROW(INDIRECT("1:"&amp;LEN((LEFT(A367,SUM(LEN(A367)-LEN(SUBSTITUTE(A367,{"0","1","2"},""))))))))/10))*1+1&amp;""&amp;" &amp; "&amp;""&amp;(SUMPRODUCT(MID(0&amp;(--TRIM(RIGHT(SUBSTITUTE(LEFT(A367,_xlfn.AGGREGATE(16,6,FIND({0,1,2,3,4,5,6,7,8,9},A367,ROW(INDIRECT("1:"&amp;LEN(A367)))),1))," ",REPT(" ",LEN(A367))),LEN(A367)))), LARGE(INDEX(ISNUMBER(--MID((--TRIM(RIGHT(SUBSTITUTE(LEFT(A367,_xlfn.AGGREGATE(16,6,FIND({0,1,2,3,4,5,6,7,8,9},A367,ROW(INDIRECT("1:"&amp;LEN(A367)))),1))," ",REPT(" ",LEN(A367))),LEN(A367)))), ROW(INDIRECT("1:"&amp;LEN((--TRIM(RIGHT(SUBSTITUTE(LEFT(A367,_xlfn.AGGREGATE(16,6,FIND({0,1,2,3,4,5,6,7,8,9},A367,ROW(INDIRECT("1:"&amp;LEN(A367)))),1))," ",REPT(" ",LEN(A367))),LEN(A367))))))), 1)) * ROW(INDIRECT("1:"&amp;LEN((--TRIM(RIGHT(SUBSTITUTE(LEFT(A367,_xlfn.AGGREGATE(16,6,FIND({0,1,2,3,4,5,6,7,8,9},A367,ROW(INDIRECT("1:"&amp;LEN(A367)))),1))," ",REPT(" ",LEN(A367))),LEN(A367))))))), 0), ROW(INDIRECT("1:"&amp;LEN((--TRIM(RIGHT(SUBSTITUTE(LEFT(A367,_xlfn.AGGREGATE(16,6,FIND({0,1,2,3,4,5,6,7,8,9},A367,ROW(INDIRECT("1:"&amp;LEN(A367)))),1))," ",REPT(" ",LEN(A367))),LEN(A367))))))))+1, 1) * 10^ROW(INDIRECT("1:"&amp;LEN((--TRIM(RIGHT(SUBSTITUTE(LEFT(A367,_xlfn.AGGREGATE(16,6,FIND({0,1,2,3,4,5,6,7,8,9},A367,ROW(INDIRECT("1:"&amp;LEN(A367)))),1))," ",REPT(" ",LEN(A367))),LEN(A367)))))))/10))*1+1</f>
        <v>204 &amp; 504</v>
      </c>
      <c r="B368" s="138"/>
      <c r="C368" s="41"/>
      <c r="D368" s="41"/>
      <c r="E368" s="55">
        <v>0</v>
      </c>
      <c r="F368" s="55">
        <f>D368+E368</f>
        <v>0</v>
      </c>
      <c r="G368" s="55">
        <v>0</v>
      </c>
      <c r="H368" s="55">
        <f>F368*(($H$221)+1)+(IF(G368&lt;101,G368,IF(G368&lt;201,G368/2,IF(G368&lt;=301,G368/3,G368/4))))</f>
        <v>0</v>
      </c>
      <c r="I368" s="35"/>
    </row>
    <row r="369" spans="1:20" s="36" customFormat="1" ht="15.75" hidden="1" customHeight="1" x14ac:dyDescent="0.25">
      <c r="A369" s="137" t="str">
        <f ca="1">(SUMPRODUCT(MID(0&amp;(LEFT(A368,SUM(LEN(A368)-LEN(SUBSTITUTE(A368,{"0","1","2"},""))))), LARGE(INDEX(ISNUMBER(--MID((LEFT(A368,SUM(LEN(A368)-LEN(SUBSTITUTE(A368,{"0","1","2"},""))))), ROW(INDIRECT("1:"&amp;LEN((LEFT(A368,SUM(LEN(A368)-LEN(SUBSTITUTE(A368,{"0","1","2"},"")))))))), 1)) * ROW(INDIRECT("1:"&amp;LEN((LEFT(A368,SUM(LEN(A368)-LEN(SUBSTITUTE(A368,{"0","1","2"},"")))))))), 0), ROW(INDIRECT("1:"&amp;LEN((LEFT(A368,SUM(LEN(A368)-LEN(SUBSTITUTE(A368,{"0","1","2"},"")))))))))+1, 1) * 10^ROW(INDIRECT("1:"&amp;LEN((LEFT(A368,SUM(LEN(A368)-LEN(SUBSTITUTE(A368,{"0","1","2"},""))))))))/10))*1+1&amp;""&amp;" &amp; "&amp;""&amp;(SUMPRODUCT(MID(0&amp;(--TRIM(RIGHT(SUBSTITUTE(LEFT(A368,_xlfn.AGGREGATE(16,6,FIND({0,1,2,3,4,5,6,7,8,9},A368,ROW(INDIRECT("1:"&amp;LEN(A368)))),1))," ",REPT(" ",LEN(A368))),LEN(A368)))), LARGE(INDEX(ISNUMBER(--MID((--TRIM(RIGHT(SUBSTITUTE(LEFT(A368,_xlfn.AGGREGATE(16,6,FIND({0,1,2,3,4,5,6,7,8,9},A368,ROW(INDIRECT("1:"&amp;LEN(A368)))),1))," ",REPT(" ",LEN(A368))),LEN(A368)))), ROW(INDIRECT("1:"&amp;LEN((--TRIM(RIGHT(SUBSTITUTE(LEFT(A368,_xlfn.AGGREGATE(16,6,FIND({0,1,2,3,4,5,6,7,8,9},A368,ROW(INDIRECT("1:"&amp;LEN(A368)))),1))," ",REPT(" ",LEN(A368))),LEN(A368))))))), 1)) * ROW(INDIRECT("1:"&amp;LEN((--TRIM(RIGHT(SUBSTITUTE(LEFT(A368,_xlfn.AGGREGATE(16,6,FIND({0,1,2,3,4,5,6,7,8,9},A368,ROW(INDIRECT("1:"&amp;LEN(A368)))),1))," ",REPT(" ",LEN(A368))),LEN(A368))))))), 0), ROW(INDIRECT("1:"&amp;LEN((--TRIM(RIGHT(SUBSTITUTE(LEFT(A368,_xlfn.AGGREGATE(16,6,FIND({0,1,2,3,4,5,6,7,8,9},A368,ROW(INDIRECT("1:"&amp;LEN(A368)))),1))," ",REPT(" ",LEN(A368))),LEN(A368))))))))+1, 1) * 10^ROW(INDIRECT("1:"&amp;LEN((--TRIM(RIGHT(SUBSTITUTE(LEFT(A368,_xlfn.AGGREGATE(16,6,FIND({0,1,2,3,4,5,6,7,8,9},A368,ROW(INDIRECT("1:"&amp;LEN(A368)))),1))," ",REPT(" ",LEN(A368))),LEN(A368)))))))/10))*1+1</f>
        <v>205 &amp; 505</v>
      </c>
      <c r="B369" s="138"/>
      <c r="C369" s="41"/>
      <c r="D369" s="41"/>
      <c r="E369" s="55">
        <v>0</v>
      </c>
      <c r="F369" s="55">
        <f>D369+E369</f>
        <v>0</v>
      </c>
      <c r="G369" s="55">
        <v>0</v>
      </c>
      <c r="H369" s="55">
        <f>F369*(($H$221)+1)+(IF(G369&lt;101,G369,IF(G369&lt;201,G369/2,IF(G369&lt;=301,G369/3,G369/4))))</f>
        <v>0</v>
      </c>
      <c r="I369" s="35"/>
    </row>
    <row r="370" spans="1:20" s="34" customFormat="1" x14ac:dyDescent="0.25">
      <c r="A370" s="273" t="s">
        <v>65</v>
      </c>
      <c r="B370" s="273"/>
      <c r="C370" s="273"/>
      <c r="D370" s="273"/>
      <c r="E370" s="273"/>
      <c r="F370" s="273"/>
      <c r="G370" s="273"/>
      <c r="H370" s="273"/>
      <c r="T370" s="36"/>
    </row>
    <row r="371" spans="1:20" s="34" customFormat="1" ht="31.5" customHeight="1" x14ac:dyDescent="0.25">
      <c r="A371" s="45" t="s">
        <v>152</v>
      </c>
      <c r="B371" s="161" t="s">
        <v>434</v>
      </c>
      <c r="C371" s="162"/>
      <c r="D371" s="162"/>
      <c r="E371" s="162"/>
      <c r="F371" s="162"/>
      <c r="G371" s="162"/>
      <c r="H371" s="163"/>
      <c r="T371" s="36"/>
    </row>
    <row r="372" spans="1:20" s="34" customFormat="1" x14ac:dyDescent="0.25">
      <c r="A372" s="45" t="s">
        <v>152</v>
      </c>
      <c r="B372" s="252" t="str">
        <f>(IF(H220="Saleable area Loading :","We have considered Saleable area of Flats as per our Calculation.","We considered Saleable area of Flat as per Builder area Sheet."))</f>
        <v>We have considered Saleable area of Flats as per our Calculation.</v>
      </c>
      <c r="C372" s="253"/>
      <c r="D372" s="253"/>
      <c r="E372" s="253"/>
      <c r="F372" s="253"/>
      <c r="G372" s="253"/>
      <c r="H372" s="254"/>
      <c r="T372" s="36"/>
    </row>
    <row r="373" spans="1:20" s="34" customFormat="1" x14ac:dyDescent="0.25">
      <c r="A373" s="45" t="s">
        <v>152</v>
      </c>
      <c r="B373" s="161" t="str">
        <f>(IF(H145="Saleable area Loading :","We have considered Saleable area of Commercial as per our Calculation.","We considered Saleable area of Commercial as per Builder area Sheet."))</f>
        <v>We have considered Saleable area of Commercial as per our Calculation.</v>
      </c>
      <c r="C373" s="162"/>
      <c r="D373" s="162"/>
      <c r="E373" s="162"/>
      <c r="F373" s="162"/>
      <c r="G373" s="162"/>
      <c r="H373" s="163"/>
      <c r="T373" s="36"/>
    </row>
    <row r="374" spans="1:20" s="34" customFormat="1" x14ac:dyDescent="0.25">
      <c r="A374" s="45" t="s">
        <v>152</v>
      </c>
      <c r="B374" s="181" t="s">
        <v>119</v>
      </c>
      <c r="C374" s="182"/>
      <c r="D374" s="182"/>
      <c r="E374" s="182"/>
      <c r="F374" s="182"/>
      <c r="G374" s="182"/>
      <c r="H374" s="183"/>
      <c r="T374" s="36"/>
    </row>
    <row r="375" spans="1:20" s="34" customFormat="1" x14ac:dyDescent="0.25">
      <c r="A375" s="45" t="s">
        <v>152</v>
      </c>
      <c r="B375" s="161" t="s">
        <v>412</v>
      </c>
      <c r="C375" s="162"/>
      <c r="D375" s="162"/>
      <c r="E375" s="162"/>
      <c r="F375" s="162"/>
      <c r="G375" s="162"/>
      <c r="H375" s="163"/>
      <c r="T375" s="36"/>
    </row>
    <row r="376" spans="1:20" s="34" customFormat="1" x14ac:dyDescent="0.25">
      <c r="A376" s="45" t="s">
        <v>152</v>
      </c>
      <c r="B376" s="181" t="s">
        <v>151</v>
      </c>
      <c r="C376" s="182"/>
      <c r="D376" s="182"/>
      <c r="E376" s="182"/>
      <c r="F376" s="182"/>
      <c r="G376" s="182"/>
      <c r="H376" s="183"/>
    </row>
    <row r="377" spans="1:20" s="34" customFormat="1" x14ac:dyDescent="0.25">
      <c r="A377" s="45" t="s">
        <v>152</v>
      </c>
      <c r="B377" s="181" t="s">
        <v>120</v>
      </c>
      <c r="C377" s="182"/>
      <c r="D377" s="182"/>
      <c r="E377" s="182"/>
      <c r="F377" s="182"/>
      <c r="G377" s="182"/>
      <c r="H377" s="183"/>
    </row>
    <row r="378" spans="1:20" s="34" customFormat="1" ht="34.5" customHeight="1" x14ac:dyDescent="0.25">
      <c r="A378" s="45" t="s">
        <v>152</v>
      </c>
      <c r="B378" s="161" t="s">
        <v>153</v>
      </c>
      <c r="C378" s="162"/>
      <c r="D378" s="162"/>
      <c r="E378" s="162"/>
      <c r="F378" s="162"/>
      <c r="G378" s="162"/>
      <c r="H378" s="163"/>
    </row>
    <row r="379" spans="1:20" s="34" customFormat="1" x14ac:dyDescent="0.25">
      <c r="A379" s="45" t="s">
        <v>152</v>
      </c>
      <c r="B379" s="181" t="s">
        <v>121</v>
      </c>
      <c r="C379" s="182"/>
      <c r="D379" s="182"/>
      <c r="E379" s="182"/>
      <c r="F379" s="182"/>
      <c r="G379" s="182"/>
      <c r="H379" s="183"/>
    </row>
    <row r="380" spans="1:20" s="34" customFormat="1" ht="32.25" hidden="1" customHeight="1" x14ac:dyDescent="0.25">
      <c r="A380" s="52" t="s">
        <v>152</v>
      </c>
      <c r="B380" s="155" t="s">
        <v>179</v>
      </c>
      <c r="C380" s="156"/>
      <c r="D380" s="156"/>
      <c r="E380" s="156"/>
      <c r="F380" s="156"/>
      <c r="G380" s="156"/>
      <c r="H380" s="157"/>
    </row>
    <row r="381" spans="1:20" s="34" customFormat="1" hidden="1" x14ac:dyDescent="0.25">
      <c r="A381" s="82" t="s">
        <v>152</v>
      </c>
      <c r="B381" s="155" t="s">
        <v>353</v>
      </c>
      <c r="C381" s="156"/>
      <c r="D381" s="156"/>
      <c r="E381" s="156"/>
      <c r="F381" s="156"/>
      <c r="G381" s="156"/>
      <c r="H381" s="157"/>
    </row>
    <row r="382" spans="1:20" s="34" customFormat="1" hidden="1" x14ac:dyDescent="0.25">
      <c r="A382" s="82" t="s">
        <v>152</v>
      </c>
      <c r="B382" s="155" t="str">
        <f ca="1">IF(G52&gt;EDATE(E3,-48),"NO REMARK FOR CC","REMARK FOR CC")</f>
        <v>NO REMARK FOR CC</v>
      </c>
      <c r="C382" s="156"/>
      <c r="D382" s="156"/>
      <c r="E382" s="156"/>
      <c r="F382" s="156"/>
      <c r="G382" s="156"/>
      <c r="H382" s="157"/>
    </row>
    <row r="383" spans="1:20" s="34" customFormat="1" ht="81.75" hidden="1" customHeight="1" x14ac:dyDescent="0.25">
      <c r="A383" s="83" t="s">
        <v>152</v>
      </c>
      <c r="B383" s="155" t="s">
        <v>354</v>
      </c>
      <c r="C383" s="156"/>
      <c r="D383" s="156"/>
      <c r="E383" s="156"/>
      <c r="F383" s="156"/>
      <c r="G383" s="156"/>
      <c r="H383" s="157"/>
    </row>
    <row r="384" spans="1:20" s="34" customFormat="1" x14ac:dyDescent="0.25">
      <c r="A384" s="102" t="s">
        <v>152</v>
      </c>
      <c r="B384" s="181" t="s">
        <v>428</v>
      </c>
      <c r="C384" s="182"/>
      <c r="D384" s="182"/>
      <c r="E384" s="182"/>
      <c r="F384" s="182"/>
      <c r="G384" s="182"/>
      <c r="H384" s="183"/>
    </row>
    <row r="385" spans="1:20" x14ac:dyDescent="0.25">
      <c r="A385" s="236" t="s">
        <v>58</v>
      </c>
      <c r="B385" s="236"/>
      <c r="C385" s="236"/>
      <c r="D385" s="236"/>
      <c r="E385" s="236"/>
      <c r="F385" s="236"/>
      <c r="G385" s="236"/>
      <c r="H385" s="236"/>
      <c r="T385" s="34"/>
    </row>
    <row r="386" spans="1:20" x14ac:dyDescent="0.25">
      <c r="A386" s="172" t="s">
        <v>59</v>
      </c>
      <c r="B386" s="172"/>
      <c r="C386" s="172"/>
      <c r="D386" s="172"/>
      <c r="E386" s="172"/>
      <c r="F386" s="172"/>
      <c r="G386" s="172"/>
      <c r="H386" s="172"/>
      <c r="T386" s="34"/>
    </row>
    <row r="387" spans="1:20" ht="15.75" customHeight="1" x14ac:dyDescent="0.25">
      <c r="A387" s="259" t="s">
        <v>60</v>
      </c>
      <c r="B387" s="259"/>
      <c r="C387" s="259"/>
      <c r="D387" s="259"/>
      <c r="E387" s="259"/>
      <c r="F387" s="259"/>
      <c r="G387" s="259"/>
      <c r="H387" s="259"/>
      <c r="T387" s="34"/>
    </row>
    <row r="388" spans="1:20" x14ac:dyDescent="0.25">
      <c r="A388" s="172" t="s">
        <v>61</v>
      </c>
      <c r="B388" s="172"/>
      <c r="C388" s="172"/>
      <c r="D388" s="172"/>
      <c r="E388" s="172"/>
      <c r="F388" s="172"/>
      <c r="G388" s="172"/>
      <c r="H388" s="172"/>
      <c r="T388" s="34"/>
    </row>
    <row r="389" spans="1:20" x14ac:dyDescent="0.25">
      <c r="A389" s="172" t="s">
        <v>62</v>
      </c>
      <c r="B389" s="172"/>
      <c r="C389" s="172"/>
      <c r="D389" s="172"/>
      <c r="E389" s="172"/>
      <c r="F389" s="172"/>
      <c r="G389" s="172"/>
      <c r="H389" s="172"/>
      <c r="T389" s="34"/>
    </row>
    <row r="390" spans="1:20" x14ac:dyDescent="0.25">
      <c r="A390" s="172" t="s">
        <v>122</v>
      </c>
      <c r="B390" s="172"/>
      <c r="C390" s="172"/>
      <c r="D390" s="172"/>
      <c r="E390" s="172"/>
      <c r="F390" s="172"/>
      <c r="G390" s="172"/>
      <c r="H390" s="172"/>
      <c r="T390" s="34"/>
    </row>
    <row r="391" spans="1:20" ht="33.950000000000003" customHeight="1" x14ac:dyDescent="0.25">
      <c r="A391" s="237" t="s">
        <v>123</v>
      </c>
      <c r="B391" s="237"/>
      <c r="C391" s="237"/>
      <c r="D391" s="237"/>
      <c r="E391" s="237"/>
      <c r="F391" s="237"/>
      <c r="G391" s="237"/>
      <c r="H391" s="237"/>
    </row>
    <row r="392" spans="1:20" x14ac:dyDescent="0.25">
      <c r="A392" s="245" t="s">
        <v>74</v>
      </c>
      <c r="B392" s="245"/>
      <c r="C392" s="245" t="s">
        <v>430</v>
      </c>
      <c r="D392" s="245"/>
      <c r="E392" s="245" t="s">
        <v>103</v>
      </c>
      <c r="F392" s="245"/>
      <c r="G392" s="246" t="s">
        <v>433</v>
      </c>
      <c r="H392" s="246"/>
    </row>
    <row r="393" spans="1:20" x14ac:dyDescent="0.25">
      <c r="A393" s="244" t="s">
        <v>76</v>
      </c>
      <c r="B393" s="244"/>
      <c r="C393" s="244"/>
      <c r="D393" s="244"/>
      <c r="E393" s="244"/>
      <c r="F393" s="244"/>
      <c r="G393" s="244"/>
      <c r="H393" s="244"/>
    </row>
    <row r="394" spans="1:20" x14ac:dyDescent="0.25">
      <c r="A394" s="244"/>
      <c r="B394" s="244"/>
      <c r="C394" s="244"/>
      <c r="D394" s="244"/>
      <c r="E394" s="244"/>
      <c r="F394" s="244"/>
      <c r="G394" s="244"/>
      <c r="H394" s="244"/>
    </row>
    <row r="395" spans="1:20" x14ac:dyDescent="0.25">
      <c r="A395" s="244"/>
      <c r="B395" s="244"/>
      <c r="C395" s="244"/>
      <c r="D395" s="244"/>
      <c r="E395" s="244"/>
      <c r="F395" s="244"/>
      <c r="G395" s="244"/>
      <c r="H395" s="244"/>
    </row>
    <row r="396" spans="1:20" x14ac:dyDescent="0.25">
      <c r="A396" s="244"/>
      <c r="B396" s="244"/>
      <c r="C396" s="244"/>
      <c r="D396" s="244"/>
      <c r="E396" s="244"/>
      <c r="F396" s="244"/>
      <c r="G396" s="244"/>
      <c r="H396" s="244"/>
    </row>
    <row r="397" spans="1:20" x14ac:dyDescent="0.25">
      <c r="A397" s="37" t="s">
        <v>63</v>
      </c>
      <c r="B397" s="38"/>
      <c r="C397" s="38"/>
      <c r="D397" s="37" t="str">
        <f>E9</f>
        <v>Gami Bianca</v>
      </c>
      <c r="F397" s="38"/>
      <c r="G397" s="38"/>
      <c r="H397" s="38"/>
    </row>
    <row r="398" spans="1:20" x14ac:dyDescent="0.25">
      <c r="A398" s="38"/>
      <c r="B398" s="38"/>
      <c r="C398" s="38"/>
      <c r="D398" s="38"/>
      <c r="E398" s="38"/>
      <c r="F398" s="38"/>
      <c r="G398" s="38"/>
      <c r="H398" s="38"/>
    </row>
    <row r="399" spans="1:20" x14ac:dyDescent="0.25">
      <c r="A399" s="38"/>
      <c r="B399" s="38"/>
      <c r="C399" s="38"/>
      <c r="D399" s="38"/>
      <c r="E399" s="38"/>
      <c r="F399" s="38"/>
      <c r="G399" s="38"/>
      <c r="H399" s="38"/>
    </row>
    <row r="400" spans="1:20" ht="15" customHeight="1" x14ac:dyDescent="0.25"/>
    <row r="440" spans="1:1" x14ac:dyDescent="0.25">
      <c r="A440" s="40" t="s">
        <v>163</v>
      </c>
    </row>
    <row r="483" spans="1:1" x14ac:dyDescent="0.25">
      <c r="A483" s="40" t="s">
        <v>64</v>
      </c>
    </row>
  </sheetData>
  <mergeCells count="720">
    <mergeCell ref="B384:H384"/>
    <mergeCell ref="A343:B343"/>
    <mergeCell ref="L343:M343"/>
    <mergeCell ref="A344:B344"/>
    <mergeCell ref="L344:M344"/>
    <mergeCell ref="A345:B345"/>
    <mergeCell ref="L345:M345"/>
    <mergeCell ref="A230:B230"/>
    <mergeCell ref="L230:M230"/>
    <mergeCell ref="A231:B231"/>
    <mergeCell ref="L231:M231"/>
    <mergeCell ref="A232:B232"/>
    <mergeCell ref="L232:M232"/>
    <mergeCell ref="A233:B233"/>
    <mergeCell ref="L233:M233"/>
    <mergeCell ref="A342:B342"/>
    <mergeCell ref="L342:M342"/>
    <mergeCell ref="A252:H252"/>
    <mergeCell ref="A253:B253"/>
    <mergeCell ref="L253:M253"/>
    <mergeCell ref="A254:B254"/>
    <mergeCell ref="L254:M254"/>
    <mergeCell ref="A255:B255"/>
    <mergeCell ref="L255:M255"/>
    <mergeCell ref="A236:B236"/>
    <mergeCell ref="L236:M236"/>
    <mergeCell ref="A237:B237"/>
    <mergeCell ref="L237:M237"/>
    <mergeCell ref="A238:B238"/>
    <mergeCell ref="L238:M238"/>
    <mergeCell ref="A239:B239"/>
    <mergeCell ref="L239:M239"/>
    <mergeCell ref="A240:B240"/>
    <mergeCell ref="L240:M240"/>
    <mergeCell ref="A225:H225"/>
    <mergeCell ref="A226:B226"/>
    <mergeCell ref="L226:M226"/>
    <mergeCell ref="A227:B227"/>
    <mergeCell ref="L227:M227"/>
    <mergeCell ref="A228:B228"/>
    <mergeCell ref="L228:M228"/>
    <mergeCell ref="A229:B229"/>
    <mergeCell ref="L229:M229"/>
    <mergeCell ref="L180:M180"/>
    <mergeCell ref="A181:B181"/>
    <mergeCell ref="L181:M181"/>
    <mergeCell ref="A182:B182"/>
    <mergeCell ref="L182:M182"/>
    <mergeCell ref="A183:B183"/>
    <mergeCell ref="L183:M183"/>
    <mergeCell ref="A224:H224"/>
    <mergeCell ref="A222:H222"/>
    <mergeCell ref="A223:H223"/>
    <mergeCell ref="L184:M184"/>
    <mergeCell ref="L185:M185"/>
    <mergeCell ref="L186:M186"/>
    <mergeCell ref="L187:M187"/>
    <mergeCell ref="L188:M188"/>
    <mergeCell ref="L189:M189"/>
    <mergeCell ref="L190:M190"/>
    <mergeCell ref="L202:M202"/>
    <mergeCell ref="A192:B192"/>
    <mergeCell ref="L192:M192"/>
    <mergeCell ref="A204:H204"/>
    <mergeCell ref="A205:B205"/>
    <mergeCell ref="L205:M205"/>
    <mergeCell ref="A206:B206"/>
    <mergeCell ref="L177:M177"/>
    <mergeCell ref="A164:B164"/>
    <mergeCell ref="L164:M164"/>
    <mergeCell ref="A178:H178"/>
    <mergeCell ref="A179:H179"/>
    <mergeCell ref="L171:M171"/>
    <mergeCell ref="A172:B172"/>
    <mergeCell ref="L172:M172"/>
    <mergeCell ref="A173:B173"/>
    <mergeCell ref="L173:M173"/>
    <mergeCell ref="A174:B174"/>
    <mergeCell ref="L174:M174"/>
    <mergeCell ref="A175:B175"/>
    <mergeCell ref="L175:M175"/>
    <mergeCell ref="L166:M166"/>
    <mergeCell ref="A167:B167"/>
    <mergeCell ref="L167:M167"/>
    <mergeCell ref="A168:B168"/>
    <mergeCell ref="L168:M168"/>
    <mergeCell ref="A169:B169"/>
    <mergeCell ref="L169:M169"/>
    <mergeCell ref="A170:B170"/>
    <mergeCell ref="L160:M160"/>
    <mergeCell ref="A161:B161"/>
    <mergeCell ref="L161:M161"/>
    <mergeCell ref="A162:B162"/>
    <mergeCell ref="L162:M162"/>
    <mergeCell ref="A163:H163"/>
    <mergeCell ref="A165:B165"/>
    <mergeCell ref="L165:M165"/>
    <mergeCell ref="L176:M176"/>
    <mergeCell ref="L214:M214"/>
    <mergeCell ref="A215:B215"/>
    <mergeCell ref="L215:M215"/>
    <mergeCell ref="A216:B216"/>
    <mergeCell ref="L216:M216"/>
    <mergeCell ref="A217:B217"/>
    <mergeCell ref="L217:M217"/>
    <mergeCell ref="A147:H147"/>
    <mergeCell ref="A153:B153"/>
    <mergeCell ref="L153:M153"/>
    <mergeCell ref="A154:B154"/>
    <mergeCell ref="L154:M154"/>
    <mergeCell ref="A155:B155"/>
    <mergeCell ref="L155:M155"/>
    <mergeCell ref="A156:B156"/>
    <mergeCell ref="L156:M156"/>
    <mergeCell ref="A157:B157"/>
    <mergeCell ref="L157:M157"/>
    <mergeCell ref="A158:B158"/>
    <mergeCell ref="L158:M158"/>
    <mergeCell ref="A159:B159"/>
    <mergeCell ref="L170:M170"/>
    <mergeCell ref="L159:M159"/>
    <mergeCell ref="A160:B160"/>
    <mergeCell ref="E43:H43"/>
    <mergeCell ref="A43:D43"/>
    <mergeCell ref="A84:B84"/>
    <mergeCell ref="A50:B50"/>
    <mergeCell ref="D67:H67"/>
    <mergeCell ref="C52:E52"/>
    <mergeCell ref="A370:H370"/>
    <mergeCell ref="A362:B362"/>
    <mergeCell ref="A363:B363"/>
    <mergeCell ref="A358:H358"/>
    <mergeCell ref="A352:H352"/>
    <mergeCell ref="A367:B367"/>
    <mergeCell ref="A364:H364"/>
    <mergeCell ref="A72:C72"/>
    <mergeCell ref="D73:H73"/>
    <mergeCell ref="A79:B79"/>
    <mergeCell ref="G78:H78"/>
    <mergeCell ref="A87:B87"/>
    <mergeCell ref="A88:B88"/>
    <mergeCell ref="A83:B83"/>
    <mergeCell ref="A82:B82"/>
    <mergeCell ref="C53:H53"/>
    <mergeCell ref="A213:H213"/>
    <mergeCell ref="A214:B214"/>
    <mergeCell ref="E78:F78"/>
    <mergeCell ref="A85:B85"/>
    <mergeCell ref="I15:P15"/>
    <mergeCell ref="F127:H127"/>
    <mergeCell ref="F125:H125"/>
    <mergeCell ref="A354:B354"/>
    <mergeCell ref="A144:H144"/>
    <mergeCell ref="G131:H131"/>
    <mergeCell ref="A126:E126"/>
    <mergeCell ref="A150:B150"/>
    <mergeCell ref="A60:B60"/>
    <mergeCell ref="C60:E60"/>
    <mergeCell ref="D62:H62"/>
    <mergeCell ref="F126:H126"/>
    <mergeCell ref="E131:F131"/>
    <mergeCell ref="A131:B131"/>
    <mergeCell ref="A133:B133"/>
    <mergeCell ref="C137:D137"/>
    <mergeCell ref="D72:H72"/>
    <mergeCell ref="D63:H63"/>
    <mergeCell ref="G60:H60"/>
    <mergeCell ref="A54:B55"/>
    <mergeCell ref="C59:E59"/>
    <mergeCell ref="G54:H54"/>
    <mergeCell ref="A390:H390"/>
    <mergeCell ref="A387:H387"/>
    <mergeCell ref="A347:B347"/>
    <mergeCell ref="A137:B137"/>
    <mergeCell ref="D220:D221"/>
    <mergeCell ref="E220:E221"/>
    <mergeCell ref="A97:B97"/>
    <mergeCell ref="A99:B99"/>
    <mergeCell ref="F118:H118"/>
    <mergeCell ref="G132:H132"/>
    <mergeCell ref="A102:B102"/>
    <mergeCell ref="F124:H124"/>
    <mergeCell ref="C131:D131"/>
    <mergeCell ref="C141:D141"/>
    <mergeCell ref="A337:H337"/>
    <mergeCell ref="A356:B356"/>
    <mergeCell ref="B375:H375"/>
    <mergeCell ref="A365:B365"/>
    <mergeCell ref="A366:B366"/>
    <mergeCell ref="A369:B369"/>
    <mergeCell ref="A386:H386"/>
    <mergeCell ref="B382:H382"/>
    <mergeCell ref="B381:H381"/>
    <mergeCell ref="A177:B177"/>
    <mergeCell ref="A219:H219"/>
    <mergeCell ref="E137:F137"/>
    <mergeCell ref="A143:H143"/>
    <mergeCell ref="A220:A221"/>
    <mergeCell ref="F220:F221"/>
    <mergeCell ref="A166:B166"/>
    <mergeCell ref="A171:B171"/>
    <mergeCell ref="A176:B176"/>
    <mergeCell ref="A180:B180"/>
    <mergeCell ref="A184:B184"/>
    <mergeCell ref="A185:B185"/>
    <mergeCell ref="A186:B186"/>
    <mergeCell ref="A187:B187"/>
    <mergeCell ref="A188:B188"/>
    <mergeCell ref="A189:B189"/>
    <mergeCell ref="A190:B190"/>
    <mergeCell ref="A202:B202"/>
    <mergeCell ref="C164:H164"/>
    <mergeCell ref="C198:H198"/>
    <mergeCell ref="D145:D146"/>
    <mergeCell ref="G139:H139"/>
    <mergeCell ref="A353:B353"/>
    <mergeCell ref="A149:B149"/>
    <mergeCell ref="B380:H380"/>
    <mergeCell ref="A142:B142"/>
    <mergeCell ref="A100:B100"/>
    <mergeCell ref="A101:B101"/>
    <mergeCell ref="A120:E120"/>
    <mergeCell ref="A117:E117"/>
    <mergeCell ref="F121:H121"/>
    <mergeCell ref="A357:B357"/>
    <mergeCell ref="A121:E121"/>
    <mergeCell ref="A341:B341"/>
    <mergeCell ref="B378:H378"/>
    <mergeCell ref="G145:G146"/>
    <mergeCell ref="A360:B360"/>
    <mergeCell ref="A368:B368"/>
    <mergeCell ref="B371:H371"/>
    <mergeCell ref="B372:H372"/>
    <mergeCell ref="B374:H374"/>
    <mergeCell ref="F117:H117"/>
    <mergeCell ref="F122:H122"/>
    <mergeCell ref="A338:B338"/>
    <mergeCell ref="A152:B152"/>
    <mergeCell ref="A151:B151"/>
    <mergeCell ref="A393:H396"/>
    <mergeCell ref="A392:B392"/>
    <mergeCell ref="E392:F392"/>
    <mergeCell ref="C392:D392"/>
    <mergeCell ref="G392:H392"/>
    <mergeCell ref="A130:H130"/>
    <mergeCell ref="A128:E128"/>
    <mergeCell ref="F128:H128"/>
    <mergeCell ref="A129:E129"/>
    <mergeCell ref="F129:H129"/>
    <mergeCell ref="A346:H346"/>
    <mergeCell ref="A138:B138"/>
    <mergeCell ref="A355:B355"/>
    <mergeCell ref="A132:B132"/>
    <mergeCell ref="A388:H388"/>
    <mergeCell ref="A136:H136"/>
    <mergeCell ref="A391:H391"/>
    <mergeCell ref="A389:H389"/>
    <mergeCell ref="A385:H385"/>
    <mergeCell ref="G137:H137"/>
    <mergeCell ref="B376:H376"/>
    <mergeCell ref="A361:B361"/>
    <mergeCell ref="A350:B350"/>
    <mergeCell ref="C142:D14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A45:D45"/>
    <mergeCell ref="A49:B49"/>
    <mergeCell ref="C49:H49"/>
    <mergeCell ref="A65:C67"/>
    <mergeCell ref="D65:H65"/>
    <mergeCell ref="D66:H66"/>
    <mergeCell ref="G52:H52"/>
    <mergeCell ref="A61:H61"/>
    <mergeCell ref="A62:C62"/>
    <mergeCell ref="A56:B57"/>
    <mergeCell ref="C56:E56"/>
    <mergeCell ref="G59:H59"/>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55:H55"/>
    <mergeCell ref="C39:H39"/>
    <mergeCell ref="A63:C63"/>
    <mergeCell ref="L150:M150"/>
    <mergeCell ref="L149:M149"/>
    <mergeCell ref="A86:B86"/>
    <mergeCell ref="C138:D138"/>
    <mergeCell ref="E138:F138"/>
    <mergeCell ref="G138:H138"/>
    <mergeCell ref="A118:E118"/>
    <mergeCell ref="A89:B89"/>
    <mergeCell ref="C89:H89"/>
    <mergeCell ref="A148:H148"/>
    <mergeCell ref="E145:E146"/>
    <mergeCell ref="A93:B93"/>
    <mergeCell ref="C91:H91"/>
    <mergeCell ref="A94:B94"/>
    <mergeCell ref="A95:B95"/>
    <mergeCell ref="G93:H102"/>
    <mergeCell ref="A96:B96"/>
    <mergeCell ref="F119:H119"/>
    <mergeCell ref="A119:E119"/>
    <mergeCell ref="E142:F142"/>
    <mergeCell ref="A91:B91"/>
    <mergeCell ref="A125:E125"/>
    <mergeCell ref="F120:H120"/>
    <mergeCell ref="A124:E124"/>
    <mergeCell ref="A40:B40"/>
    <mergeCell ref="C40:H40"/>
    <mergeCell ref="F145:F146"/>
    <mergeCell ref="C132:D132"/>
    <mergeCell ref="E132:F132"/>
    <mergeCell ref="B145:B146"/>
    <mergeCell ref="A145:A146"/>
    <mergeCell ref="C220:C221"/>
    <mergeCell ref="G220:G221"/>
    <mergeCell ref="G142:H142"/>
    <mergeCell ref="C54:E54"/>
    <mergeCell ref="A78:B78"/>
    <mergeCell ref="A46:D46"/>
    <mergeCell ref="A47:D47"/>
    <mergeCell ref="D69:H69"/>
    <mergeCell ref="A44:D44"/>
    <mergeCell ref="E44:H44"/>
    <mergeCell ref="E45:H45"/>
    <mergeCell ref="E46:H46"/>
    <mergeCell ref="E47:H47"/>
    <mergeCell ref="C57:H57"/>
    <mergeCell ref="A48:H48"/>
    <mergeCell ref="D64:H64"/>
    <mergeCell ref="A64:C64"/>
    <mergeCell ref="A81:B81"/>
    <mergeCell ref="E79:F88"/>
    <mergeCell ref="G79:H88"/>
    <mergeCell ref="A122:E122"/>
    <mergeCell ref="A141:B141"/>
    <mergeCell ref="E141:F141"/>
    <mergeCell ref="A127:E127"/>
    <mergeCell ref="G141:H141"/>
    <mergeCell ref="C133:D133"/>
    <mergeCell ref="E133:F133"/>
    <mergeCell ref="G133:H133"/>
    <mergeCell ref="A135:B135"/>
    <mergeCell ref="C135:D135"/>
    <mergeCell ref="E135:F135"/>
    <mergeCell ref="G135:H135"/>
    <mergeCell ref="A139:B139"/>
    <mergeCell ref="C139:D139"/>
    <mergeCell ref="E139:F139"/>
    <mergeCell ref="A98:B98"/>
    <mergeCell ref="G92:H92"/>
    <mergeCell ref="A123:E123"/>
    <mergeCell ref="F123:H123"/>
    <mergeCell ref="A103:B103"/>
    <mergeCell ref="A80:B80"/>
    <mergeCell ref="A260:B260"/>
    <mergeCell ref="L260:M260"/>
    <mergeCell ref="B383:H383"/>
    <mergeCell ref="C145:C146"/>
    <mergeCell ref="B220:B221"/>
    <mergeCell ref="B373:H373"/>
    <mergeCell ref="A92:B92"/>
    <mergeCell ref="E92:F92"/>
    <mergeCell ref="E93:F102"/>
    <mergeCell ref="B379:H379"/>
    <mergeCell ref="B377:H377"/>
    <mergeCell ref="L346:M346"/>
    <mergeCell ref="A351:B351"/>
    <mergeCell ref="A348:B348"/>
    <mergeCell ref="A349:B349"/>
    <mergeCell ref="A359:B359"/>
    <mergeCell ref="L341:M341"/>
    <mergeCell ref="L338:M338"/>
    <mergeCell ref="A339:B339"/>
    <mergeCell ref="L339:M339"/>
    <mergeCell ref="A340:B340"/>
    <mergeCell ref="L340:M340"/>
    <mergeCell ref="L152:M152"/>
    <mergeCell ref="L151:M151"/>
    <mergeCell ref="A257:B257"/>
    <mergeCell ref="L257:M257"/>
    <mergeCell ref="A258:B258"/>
    <mergeCell ref="L258:M258"/>
    <mergeCell ref="A259:B259"/>
    <mergeCell ref="L259:M259"/>
    <mergeCell ref="A241:B241"/>
    <mergeCell ref="L241:M241"/>
    <mergeCell ref="A242:B242"/>
    <mergeCell ref="A243:H243"/>
    <mergeCell ref="A244:B244"/>
    <mergeCell ref="L244:M244"/>
    <mergeCell ref="A245:B245"/>
    <mergeCell ref="L245:M245"/>
    <mergeCell ref="A246:B246"/>
    <mergeCell ref="L246:M246"/>
    <mergeCell ref="A256:B256"/>
    <mergeCell ref="A247:B247"/>
    <mergeCell ref="L247:M247"/>
    <mergeCell ref="L256:M256"/>
    <mergeCell ref="L273:M273"/>
    <mergeCell ref="A261:H261"/>
    <mergeCell ref="A262:B262"/>
    <mergeCell ref="L262:M262"/>
    <mergeCell ref="A263:B263"/>
    <mergeCell ref="L263:M263"/>
    <mergeCell ref="A264:B264"/>
    <mergeCell ref="L264:M264"/>
    <mergeCell ref="A265:B265"/>
    <mergeCell ref="L265:M265"/>
    <mergeCell ref="A266:B266"/>
    <mergeCell ref="L266:M266"/>
    <mergeCell ref="L200:M200"/>
    <mergeCell ref="A201:B201"/>
    <mergeCell ref="L201:M201"/>
    <mergeCell ref="A274:B274"/>
    <mergeCell ref="L274:M274"/>
    <mergeCell ref="A275:B275"/>
    <mergeCell ref="L275:M275"/>
    <mergeCell ref="A276:B276"/>
    <mergeCell ref="L276:M276"/>
    <mergeCell ref="A267:B267"/>
    <mergeCell ref="L267:M267"/>
    <mergeCell ref="A268:B268"/>
    <mergeCell ref="L268:M268"/>
    <mergeCell ref="A248:B248"/>
    <mergeCell ref="L248:M248"/>
    <mergeCell ref="A249:B249"/>
    <mergeCell ref="L249:M249"/>
    <mergeCell ref="A250:B250"/>
    <mergeCell ref="L250:M250"/>
    <mergeCell ref="A251:B251"/>
    <mergeCell ref="L251:M251"/>
    <mergeCell ref="A234:H234"/>
    <mergeCell ref="A235:B235"/>
    <mergeCell ref="L235:M235"/>
    <mergeCell ref="A203:H203"/>
    <mergeCell ref="A209:B209"/>
    <mergeCell ref="L209:M209"/>
    <mergeCell ref="A210:B210"/>
    <mergeCell ref="L210:M210"/>
    <mergeCell ref="A269:B269"/>
    <mergeCell ref="L269:M269"/>
    <mergeCell ref="C277:H277"/>
    <mergeCell ref="A191:H191"/>
    <mergeCell ref="A193:B193"/>
    <mergeCell ref="L193:M193"/>
    <mergeCell ref="A194:B194"/>
    <mergeCell ref="L194:M194"/>
    <mergeCell ref="A195:B195"/>
    <mergeCell ref="L195:M195"/>
    <mergeCell ref="A196:B196"/>
    <mergeCell ref="L196:M196"/>
    <mergeCell ref="A197:B197"/>
    <mergeCell ref="L197:M197"/>
    <mergeCell ref="A198:B198"/>
    <mergeCell ref="L198:M198"/>
    <mergeCell ref="A199:B199"/>
    <mergeCell ref="L199:M199"/>
    <mergeCell ref="A200:B200"/>
    <mergeCell ref="A286:B286"/>
    <mergeCell ref="L286:M286"/>
    <mergeCell ref="A297:H297"/>
    <mergeCell ref="A211:B211"/>
    <mergeCell ref="L211:M211"/>
    <mergeCell ref="A212:B212"/>
    <mergeCell ref="L212:M212"/>
    <mergeCell ref="L206:M206"/>
    <mergeCell ref="A207:B207"/>
    <mergeCell ref="L207:M207"/>
    <mergeCell ref="A208:B208"/>
    <mergeCell ref="L208:M208"/>
    <mergeCell ref="A277:B277"/>
    <mergeCell ref="L277:M277"/>
    <mergeCell ref="A278:B278"/>
    <mergeCell ref="L278:M278"/>
    <mergeCell ref="L242:M242"/>
    <mergeCell ref="C250:H250"/>
    <mergeCell ref="A270:H270"/>
    <mergeCell ref="A271:B271"/>
    <mergeCell ref="L271:M271"/>
    <mergeCell ref="A272:B272"/>
    <mergeCell ref="L272:M272"/>
    <mergeCell ref="A273:B273"/>
    <mergeCell ref="A218:H218"/>
    <mergeCell ref="A303:H303"/>
    <mergeCell ref="A304:H304"/>
    <mergeCell ref="A305:H305"/>
    <mergeCell ref="A306:B306"/>
    <mergeCell ref="L306:M306"/>
    <mergeCell ref="A299:B299"/>
    <mergeCell ref="L299:M299"/>
    <mergeCell ref="A300:B300"/>
    <mergeCell ref="L300:M300"/>
    <mergeCell ref="A279:H279"/>
    <mergeCell ref="A280:H280"/>
    <mergeCell ref="A281:H281"/>
    <mergeCell ref="A282:H282"/>
    <mergeCell ref="A283:B283"/>
    <mergeCell ref="L283:M283"/>
    <mergeCell ref="A284:B284"/>
    <mergeCell ref="L284:M284"/>
    <mergeCell ref="A285:B285"/>
    <mergeCell ref="L285:M285"/>
    <mergeCell ref="A294:B294"/>
    <mergeCell ref="L294:M294"/>
    <mergeCell ref="A295:B295"/>
    <mergeCell ref="L295:M295"/>
    <mergeCell ref="A307:B307"/>
    <mergeCell ref="L307:M307"/>
    <mergeCell ref="A301:B301"/>
    <mergeCell ref="L301:M301"/>
    <mergeCell ref="A287:H287"/>
    <mergeCell ref="A288:B288"/>
    <mergeCell ref="L288:M288"/>
    <mergeCell ref="A289:B289"/>
    <mergeCell ref="L289:M289"/>
    <mergeCell ref="A290:B290"/>
    <mergeCell ref="L290:M290"/>
    <mergeCell ref="A291:B291"/>
    <mergeCell ref="L291:M291"/>
    <mergeCell ref="C288:H288"/>
    <mergeCell ref="A292:H292"/>
    <mergeCell ref="A293:B293"/>
    <mergeCell ref="L293:M293"/>
    <mergeCell ref="A298:B298"/>
    <mergeCell ref="L298:M298"/>
    <mergeCell ref="A302:H302"/>
    <mergeCell ref="A296:B296"/>
    <mergeCell ref="L296:M296"/>
    <mergeCell ref="C298:H298"/>
    <mergeCell ref="L322:M322"/>
    <mergeCell ref="A323:B323"/>
    <mergeCell ref="L323:M323"/>
    <mergeCell ref="A324:B324"/>
    <mergeCell ref="L324:M324"/>
    <mergeCell ref="A325:B325"/>
    <mergeCell ref="L325:M325"/>
    <mergeCell ref="A308:B308"/>
    <mergeCell ref="L308:M308"/>
    <mergeCell ref="A309:B309"/>
    <mergeCell ref="L309:M309"/>
    <mergeCell ref="A310:B310"/>
    <mergeCell ref="L310:M310"/>
    <mergeCell ref="A311:B311"/>
    <mergeCell ref="L311:M311"/>
    <mergeCell ref="A312:B312"/>
    <mergeCell ref="L312:M312"/>
    <mergeCell ref="A326:B326"/>
    <mergeCell ref="L326:M326"/>
    <mergeCell ref="A327:B327"/>
    <mergeCell ref="L327:M327"/>
    <mergeCell ref="A328:B328"/>
    <mergeCell ref="L328:M328"/>
    <mergeCell ref="A313:H313"/>
    <mergeCell ref="A314:B314"/>
    <mergeCell ref="L314:M314"/>
    <mergeCell ref="A315:B315"/>
    <mergeCell ref="L315:M315"/>
    <mergeCell ref="A316:B316"/>
    <mergeCell ref="L316:M316"/>
    <mergeCell ref="A317:B317"/>
    <mergeCell ref="L317:M317"/>
    <mergeCell ref="A318:B318"/>
    <mergeCell ref="L318:M318"/>
    <mergeCell ref="A319:B319"/>
    <mergeCell ref="L319:M319"/>
    <mergeCell ref="A320:B320"/>
    <mergeCell ref="L320:M320"/>
    <mergeCell ref="C320:H320"/>
    <mergeCell ref="A321:H321"/>
    <mergeCell ref="A322:B322"/>
    <mergeCell ref="A334:B334"/>
    <mergeCell ref="L334:M334"/>
    <mergeCell ref="A335:B335"/>
    <mergeCell ref="L335:M335"/>
    <mergeCell ref="A336:B336"/>
    <mergeCell ref="L336:M336"/>
    <mergeCell ref="C336:H336"/>
    <mergeCell ref="A134:B134"/>
    <mergeCell ref="C134:D134"/>
    <mergeCell ref="E134:F134"/>
    <mergeCell ref="G134:H134"/>
    <mergeCell ref="A140:B140"/>
    <mergeCell ref="C140:D140"/>
    <mergeCell ref="E140:F140"/>
    <mergeCell ref="G140:H140"/>
    <mergeCell ref="A329:H329"/>
    <mergeCell ref="A330:B330"/>
    <mergeCell ref="L330:M330"/>
    <mergeCell ref="A331:B331"/>
    <mergeCell ref="L331:M331"/>
    <mergeCell ref="A332:B332"/>
    <mergeCell ref="L332:M332"/>
    <mergeCell ref="A333:B333"/>
    <mergeCell ref="L333:M33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392:H392">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5:B146">
      <formula1>"Shop No. (Sale Plan),Sale / Rehab,Sale / Mhada"</formula1>
    </dataValidation>
    <dataValidation type="list" allowBlank="1" showInputMessage="1" showErrorMessage="1" sqref="B220:B2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20:E221">
      <formula1>"Fungible area,Balcony Area,Chajja Area,Cornice Area,AP Area,WS Area"</formula1>
    </dataValidation>
    <dataValidation type="list" allowBlank="1" showInputMessage="1" showErrorMessage="1" sqref="H146 H2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5 H220">
      <formula1>"Saleable area Loading :,Builder Saleable Area"</formula1>
    </dataValidation>
    <dataValidation type="list" allowBlank="1" showInputMessage="1" showErrorMessage="1" sqref="D145:D146 D220:D221">
      <formula1>"Carpet area,RERA Carpet area"</formula1>
    </dataValidation>
  </dataValidations>
  <hyperlinks>
    <hyperlink ref="C40" r:id="rId1"/>
    <hyperlink ref="I71" display="https://www.99acres.com/gami-bianca-dronagiri-navi-mumbai-npxid-r418660?nn_source=Performance&amp;nn_account=Google_99acres-NPGoogle-Account&amp;nn_campaign=21308664433_159874220782_699878897664&amp;nn_medium=21308664433_159874220782_699878897664&amp;nn_adtype=g_&amp;nn_keyw"/>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7" man="1"/>
    <brk id="396" max="16383" man="1"/>
    <brk id="439" max="7" man="1"/>
    <brk id="48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9" t="s">
        <v>104</v>
      </c>
      <c r="C3" s="279"/>
      <c r="D3" s="279"/>
      <c r="E3" s="279"/>
      <c r="F3" s="279"/>
      <c r="G3" s="279"/>
      <c r="H3" s="279"/>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180</v>
      </c>
      <c r="E4" s="54" t="s">
        <v>190</v>
      </c>
      <c r="F4" s="54" t="s">
        <v>173</v>
      </c>
      <c r="G4" s="54" t="s">
        <v>195</v>
      </c>
      <c r="H4" s="54" t="s">
        <v>213</v>
      </c>
      <c r="J4" t="s">
        <v>195</v>
      </c>
      <c r="K4" t="s">
        <v>211</v>
      </c>
    </row>
    <row r="5" spans="2:11" x14ac:dyDescent="0.25">
      <c r="B5" s="53"/>
      <c r="C5" s="53"/>
      <c r="D5" s="54" t="s">
        <v>181</v>
      </c>
      <c r="E5" s="54" t="s">
        <v>188</v>
      </c>
      <c r="F5" s="54" t="s">
        <v>210</v>
      </c>
      <c r="G5" s="54" t="s">
        <v>196</v>
      </c>
      <c r="H5" s="54" t="s">
        <v>214</v>
      </c>
    </row>
    <row r="6" spans="2:11" x14ac:dyDescent="0.25">
      <c r="B6" s="53"/>
      <c r="C6" s="53"/>
      <c r="D6" s="54" t="s">
        <v>182</v>
      </c>
      <c r="E6" s="54" t="s">
        <v>189</v>
      </c>
      <c r="F6" s="54" t="s">
        <v>211</v>
      </c>
      <c r="G6" s="54" t="s">
        <v>197</v>
      </c>
      <c r="H6" s="54" t="s">
        <v>227</v>
      </c>
    </row>
    <row r="7" spans="2:11" x14ac:dyDescent="0.25">
      <c r="B7" s="53"/>
      <c r="C7" s="53"/>
      <c r="D7" s="54" t="s">
        <v>183</v>
      </c>
      <c r="E7" s="54" t="s">
        <v>191</v>
      </c>
      <c r="F7" s="54" t="s">
        <v>212</v>
      </c>
      <c r="G7" s="54" t="s">
        <v>198</v>
      </c>
      <c r="H7" s="54" t="s">
        <v>215</v>
      </c>
    </row>
    <row r="8" spans="2:11" x14ac:dyDescent="0.25">
      <c r="B8" s="53"/>
      <c r="C8" s="53"/>
      <c r="D8" s="54" t="s">
        <v>184</v>
      </c>
      <c r="E8" s="54" t="s">
        <v>192</v>
      </c>
      <c r="F8" s="54"/>
      <c r="G8" s="54" t="s">
        <v>199</v>
      </c>
      <c r="H8" s="54" t="s">
        <v>216</v>
      </c>
    </row>
    <row r="9" spans="2:11" x14ac:dyDescent="0.25">
      <c r="B9" s="53"/>
      <c r="C9" s="53"/>
      <c r="D9" s="54" t="s">
        <v>185</v>
      </c>
      <c r="E9" s="54" t="s">
        <v>190</v>
      </c>
      <c r="F9" s="54"/>
      <c r="G9" s="54" t="s">
        <v>200</v>
      </c>
      <c r="H9" s="54" t="s">
        <v>217</v>
      </c>
    </row>
    <row r="10" spans="2:11" x14ac:dyDescent="0.25">
      <c r="B10" s="53"/>
      <c r="C10" s="53"/>
      <c r="D10" s="54" t="s">
        <v>186</v>
      </c>
      <c r="E10" s="54" t="s">
        <v>193</v>
      </c>
      <c r="F10" s="54"/>
      <c r="G10" s="54" t="s">
        <v>201</v>
      </c>
      <c r="H10" s="54" t="s">
        <v>218</v>
      </c>
    </row>
    <row r="11" spans="2:11" x14ac:dyDescent="0.25">
      <c r="B11" s="53"/>
      <c r="C11" s="53"/>
      <c r="D11" s="54" t="s">
        <v>187</v>
      </c>
      <c r="E11" s="54" t="s">
        <v>194</v>
      </c>
      <c r="F11" s="54"/>
      <c r="G11" s="54" t="s">
        <v>202</v>
      </c>
      <c r="H11" s="54" t="s">
        <v>219</v>
      </c>
    </row>
    <row r="12" spans="2:11" x14ac:dyDescent="0.25">
      <c r="B12" s="53"/>
      <c r="C12" s="53"/>
      <c r="D12" s="54"/>
      <c r="E12" s="54"/>
      <c r="F12" s="54"/>
      <c r="G12" s="54" t="s">
        <v>203</v>
      </c>
      <c r="H12" s="54" t="s">
        <v>220</v>
      </c>
    </row>
    <row r="13" spans="2:11" x14ac:dyDescent="0.25">
      <c r="B13" s="53"/>
      <c r="C13" s="53"/>
      <c r="D13" s="54"/>
      <c r="E13" s="54"/>
      <c r="F13" s="54"/>
      <c r="G13" s="54" t="s">
        <v>204</v>
      </c>
      <c r="H13" s="54" t="s">
        <v>221</v>
      </c>
    </row>
    <row r="14" spans="2:11" x14ac:dyDescent="0.25">
      <c r="B14" s="53"/>
      <c r="C14" s="53"/>
      <c r="D14" s="54"/>
      <c r="E14" s="54"/>
      <c r="F14" s="54"/>
      <c r="G14" s="54" t="s">
        <v>205</v>
      </c>
      <c r="H14" s="54" t="s">
        <v>222</v>
      </c>
    </row>
    <row r="15" spans="2:11" x14ac:dyDescent="0.25">
      <c r="B15" s="53"/>
      <c r="C15" s="53"/>
      <c r="D15" s="54"/>
      <c r="E15" s="54"/>
      <c r="F15" s="54"/>
      <c r="G15" s="54" t="s">
        <v>206</v>
      </c>
      <c r="H15" s="54" t="s">
        <v>223</v>
      </c>
    </row>
    <row r="16" spans="2:11" x14ac:dyDescent="0.25">
      <c r="B16" s="53"/>
      <c r="C16" s="53"/>
      <c r="D16" s="54"/>
      <c r="E16" s="54"/>
      <c r="F16" s="54"/>
      <c r="G16" s="54" t="s">
        <v>207</v>
      </c>
      <c r="H16" s="54" t="s">
        <v>224</v>
      </c>
    </row>
    <row r="17" spans="2:8" x14ac:dyDescent="0.25">
      <c r="B17" s="53"/>
      <c r="C17" s="53"/>
      <c r="D17" s="54"/>
      <c r="E17" s="54"/>
      <c r="F17" s="54"/>
      <c r="G17" s="54" t="s">
        <v>208</v>
      </c>
      <c r="H17" s="54" t="s">
        <v>225</v>
      </c>
    </row>
    <row r="18" spans="2:8" x14ac:dyDescent="0.25">
      <c r="B18" s="53"/>
      <c r="C18" s="53"/>
      <c r="D18" s="54"/>
      <c r="E18" s="54"/>
      <c r="F18" s="54"/>
      <c r="G18" s="54" t="s">
        <v>209</v>
      </c>
      <c r="H18" s="54" t="s">
        <v>226</v>
      </c>
    </row>
    <row r="24" spans="2:8" x14ac:dyDescent="0.25">
      <c r="C24" t="s">
        <v>170</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170</v>
      </c>
    </row>
    <row r="33" spans="3:11" x14ac:dyDescent="0.25">
      <c r="J33">
        <v>1</v>
      </c>
      <c r="K33">
        <v>2</v>
      </c>
    </row>
    <row r="34" spans="3:11" x14ac:dyDescent="0.25">
      <c r="C34" s="56" t="s">
        <v>237</v>
      </c>
      <c r="D34" s="54" t="s">
        <v>235</v>
      </c>
      <c r="E34" s="54" t="s">
        <v>240</v>
      </c>
      <c r="F34" s="54" t="s">
        <v>238</v>
      </c>
      <c r="G34" s="54" t="s">
        <v>239</v>
      </c>
      <c r="H34" s="54" t="s">
        <v>241</v>
      </c>
      <c r="J34" t="s">
        <v>195</v>
      </c>
      <c r="K34" t="s">
        <v>211</v>
      </c>
    </row>
    <row r="35" spans="3:11" x14ac:dyDescent="0.25">
      <c r="C35" s="53" t="s">
        <v>236</v>
      </c>
      <c r="D35" s="54" t="s">
        <v>171</v>
      </c>
      <c r="E35" s="54" t="s">
        <v>245</v>
      </c>
      <c r="F35" s="54" t="s">
        <v>247</v>
      </c>
      <c r="G35" s="54" t="s">
        <v>249</v>
      </c>
      <c r="H35" s="54"/>
    </row>
    <row r="36" spans="3:11" x14ac:dyDescent="0.25">
      <c r="C36" s="53"/>
      <c r="D36" s="54" t="s">
        <v>242</v>
      </c>
      <c r="E36" s="54" t="s">
        <v>246</v>
      </c>
      <c r="F36" s="54" t="s">
        <v>248</v>
      </c>
      <c r="G36" s="54" t="s">
        <v>250</v>
      </c>
      <c r="H36" s="54"/>
    </row>
    <row r="37" spans="3:11" x14ac:dyDescent="0.25">
      <c r="C37" s="53"/>
      <c r="D37" s="54" t="s">
        <v>243</v>
      </c>
      <c r="E37" s="54"/>
      <c r="F37" s="54"/>
      <c r="G37" s="54" t="s">
        <v>251</v>
      </c>
      <c r="H37" s="54"/>
    </row>
    <row r="38" spans="3:11" x14ac:dyDescent="0.25">
      <c r="C38" s="53"/>
      <c r="D38" s="54" t="s">
        <v>244</v>
      </c>
      <c r="E38" s="54"/>
      <c r="F38" s="54"/>
      <c r="G38" s="54" t="s">
        <v>251</v>
      </c>
      <c r="H38" s="54"/>
    </row>
    <row r="39" spans="3:11" x14ac:dyDescent="0.25">
      <c r="C39" s="53"/>
      <c r="D39" s="54"/>
      <c r="E39" s="54"/>
      <c r="F39" s="54"/>
      <c r="G39" s="54" t="s">
        <v>252</v>
      </c>
      <c r="H39" s="54"/>
    </row>
    <row r="40" spans="3:11" x14ac:dyDescent="0.25">
      <c r="C40" s="53"/>
      <c r="D40" s="54"/>
      <c r="E40" s="54"/>
      <c r="F40" s="54"/>
      <c r="G40" s="54" t="s">
        <v>253</v>
      </c>
      <c r="H40" s="54"/>
    </row>
    <row r="41" spans="3:11" x14ac:dyDescent="0.25">
      <c r="C41" s="53"/>
      <c r="D41" s="54"/>
      <c r="E41" s="54"/>
      <c r="F41" s="54"/>
      <c r="G41" s="54"/>
      <c r="H41" s="54"/>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180</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195</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190</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7">
        <v>1</v>
      </c>
      <c r="C2" s="60" t="s">
        <v>284</v>
      </c>
    </row>
    <row r="3" spans="2:3" x14ac:dyDescent="0.25">
      <c r="B3" s="57">
        <v>2</v>
      </c>
      <c r="C3" s="58" t="s">
        <v>285</v>
      </c>
    </row>
    <row r="4" spans="2:3" x14ac:dyDescent="0.25">
      <c r="B4" s="57">
        <v>3</v>
      </c>
      <c r="C4" s="59" t="s">
        <v>286</v>
      </c>
    </row>
    <row r="5" spans="2:3" x14ac:dyDescent="0.25">
      <c r="B5" s="57">
        <v>4</v>
      </c>
      <c r="C5" s="58" t="s">
        <v>287</v>
      </c>
    </row>
    <row r="6" spans="2:3" x14ac:dyDescent="0.25">
      <c r="B6" s="57">
        <v>5</v>
      </c>
      <c r="C6" s="59" t="s">
        <v>288</v>
      </c>
    </row>
    <row r="7" spans="2:3" ht="30" x14ac:dyDescent="0.25">
      <c r="B7" s="57">
        <v>6</v>
      </c>
      <c r="C7" s="58" t="s">
        <v>289</v>
      </c>
    </row>
    <row r="8" spans="2:3" ht="75" x14ac:dyDescent="0.25">
      <c r="B8" s="57">
        <v>7</v>
      </c>
      <c r="C8" s="58" t="s">
        <v>290</v>
      </c>
    </row>
    <row r="9" spans="2:3" x14ac:dyDescent="0.25">
      <c r="B9" s="57">
        <v>8</v>
      </c>
      <c r="C9" s="59" t="s">
        <v>291</v>
      </c>
    </row>
    <row r="10" spans="2:3" x14ac:dyDescent="0.25">
      <c r="B10" s="57">
        <v>9</v>
      </c>
      <c r="C10" s="59" t="s">
        <v>292</v>
      </c>
    </row>
    <row r="11" spans="2:3" x14ac:dyDescent="0.25">
      <c r="B11" s="57">
        <v>10</v>
      </c>
      <c r="C11" s="59" t="s">
        <v>293</v>
      </c>
    </row>
    <row r="12" spans="2:3" x14ac:dyDescent="0.25">
      <c r="B12" s="57">
        <v>11</v>
      </c>
      <c r="C12" s="59" t="s">
        <v>294</v>
      </c>
    </row>
    <row r="13" spans="2:3" x14ac:dyDescent="0.25">
      <c r="B13" s="57">
        <v>12</v>
      </c>
      <c r="C13" s="59" t="s">
        <v>295</v>
      </c>
    </row>
    <row r="14" spans="2:3" x14ac:dyDescent="0.25">
      <c r="B14" s="57">
        <v>13</v>
      </c>
      <c r="C14" s="59" t="s">
        <v>296</v>
      </c>
    </row>
    <row r="15" spans="2:3" x14ac:dyDescent="0.25">
      <c r="B15" s="57">
        <v>14</v>
      </c>
      <c r="C15" s="59" t="s">
        <v>286</v>
      </c>
    </row>
    <row r="16" spans="2:3" x14ac:dyDescent="0.25">
      <c r="B16" s="57">
        <v>15</v>
      </c>
      <c r="C16" s="59" t="s">
        <v>299</v>
      </c>
    </row>
    <row r="17" spans="2:3" x14ac:dyDescent="0.25">
      <c r="B17" s="80">
        <v>16</v>
      </c>
      <c r="C17" s="65" t="s">
        <v>300</v>
      </c>
    </row>
    <row r="18" spans="2:3" x14ac:dyDescent="0.25">
      <c r="B18" s="64">
        <v>17</v>
      </c>
      <c r="C18" s="65" t="s">
        <v>301</v>
      </c>
    </row>
    <row r="19" spans="2:3" x14ac:dyDescent="0.25">
      <c r="B19" s="63">
        <v>18</v>
      </c>
      <c r="C19" s="57" t="s">
        <v>302</v>
      </c>
    </row>
    <row r="20" spans="2:3" x14ac:dyDescent="0.25">
      <c r="B20" s="64">
        <v>19</v>
      </c>
      <c r="C20" s="57" t="s">
        <v>338</v>
      </c>
    </row>
    <row r="21" spans="2:3" x14ac:dyDescent="0.25">
      <c r="B21" s="66">
        <v>20</v>
      </c>
      <c r="C21" s="57" t="s">
        <v>303</v>
      </c>
    </row>
    <row r="22" spans="2:3" x14ac:dyDescent="0.25">
      <c r="B22" s="64">
        <v>21</v>
      </c>
      <c r="C22" s="57" t="s">
        <v>302</v>
      </c>
    </row>
    <row r="23" spans="2:3" s="74" customFormat="1" ht="29.25" customHeight="1" x14ac:dyDescent="0.25">
      <c r="B23" s="73">
        <v>22</v>
      </c>
      <c r="C23" s="60" t="s">
        <v>330</v>
      </c>
    </row>
    <row r="24" spans="2:3" s="74" customFormat="1" ht="30.75" customHeight="1" x14ac:dyDescent="0.25">
      <c r="B24" s="75">
        <v>23</v>
      </c>
      <c r="C24" s="60" t="s">
        <v>331</v>
      </c>
    </row>
    <row r="25" spans="2:3" x14ac:dyDescent="0.25">
      <c r="B25" s="66">
        <v>24</v>
      </c>
      <c r="C25" s="57" t="s">
        <v>334</v>
      </c>
    </row>
    <row r="26" spans="2:3" x14ac:dyDescent="0.25">
      <c r="B26" s="64">
        <v>25</v>
      </c>
      <c r="C26" s="57" t="s">
        <v>332</v>
      </c>
    </row>
    <row r="27" spans="2:3" x14ac:dyDescent="0.25">
      <c r="B27" s="75">
        <v>26</v>
      </c>
      <c r="C27" s="66" t="s">
        <v>333</v>
      </c>
    </row>
    <row r="28" spans="2:3" x14ac:dyDescent="0.25">
      <c r="B28" s="76">
        <v>27</v>
      </c>
      <c r="C28" s="57" t="s">
        <v>335</v>
      </c>
    </row>
    <row r="29" spans="2:3" ht="60" x14ac:dyDescent="0.25">
      <c r="B29" s="79">
        <v>28</v>
      </c>
      <c r="C29" s="58" t="s">
        <v>336</v>
      </c>
    </row>
    <row r="30" spans="2:3" x14ac:dyDescent="0.25">
      <c r="B30" s="75">
        <v>29</v>
      </c>
      <c r="C30" s="57" t="s">
        <v>337</v>
      </c>
    </row>
    <row r="31" spans="2:3" ht="30" x14ac:dyDescent="0.25">
      <c r="B31" s="81">
        <v>30</v>
      </c>
      <c r="C31" s="58" t="s">
        <v>339</v>
      </c>
    </row>
    <row r="32" spans="2:3" x14ac:dyDescent="0.25">
      <c r="B32" s="75">
        <v>31</v>
      </c>
      <c r="C32" s="57" t="s">
        <v>340</v>
      </c>
    </row>
    <row r="33" spans="2:3" x14ac:dyDescent="0.25">
      <c r="B33" s="75">
        <v>32</v>
      </c>
      <c r="C33" s="57" t="s">
        <v>341</v>
      </c>
    </row>
    <row r="34" spans="2:3" ht="36.75" customHeight="1" x14ac:dyDescent="0.25">
      <c r="B34" s="81">
        <v>33</v>
      </c>
      <c r="C34" s="65" t="s">
        <v>342</v>
      </c>
    </row>
    <row r="35" spans="2:3" x14ac:dyDescent="0.25">
      <c r="B35" s="86">
        <v>34</v>
      </c>
      <c r="C35" s="57" t="s">
        <v>351</v>
      </c>
    </row>
    <row r="36" spans="2:3" ht="60" x14ac:dyDescent="0.25">
      <c r="B36" s="73">
        <v>35</v>
      </c>
      <c r="C36" s="58" t="s">
        <v>354</v>
      </c>
    </row>
    <row r="37" spans="2:3" x14ac:dyDescent="0.25">
      <c r="B37" s="57"/>
      <c r="C37" s="57"/>
    </row>
    <row r="38" spans="2:3" x14ac:dyDescent="0.25">
      <c r="B38" s="57"/>
      <c r="C38" s="57"/>
    </row>
    <row r="39" spans="2:3" x14ac:dyDescent="0.25">
      <c r="B39" s="57"/>
      <c r="C39" s="57"/>
    </row>
    <row r="40" spans="2:3" x14ac:dyDescent="0.25">
      <c r="B40" s="57"/>
      <c r="C40" s="57"/>
    </row>
    <row r="41" spans="2:3" x14ac:dyDescent="0.25">
      <c r="B41" s="57"/>
      <c r="C41" s="57"/>
    </row>
    <row r="42" spans="2:3" x14ac:dyDescent="0.25">
      <c r="B42" s="57"/>
      <c r="C42" s="57"/>
    </row>
    <row r="43" spans="2:3" x14ac:dyDescent="0.25">
      <c r="B43" s="57"/>
      <c r="C43" s="57"/>
    </row>
    <row r="44" spans="2:3" x14ac:dyDescent="0.2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7" t="s">
        <v>304</v>
      </c>
      <c r="C2" s="280"/>
      <c r="D2" s="280"/>
    </row>
    <row r="3" spans="1:12" x14ac:dyDescent="0.25">
      <c r="D3" s="68"/>
      <c r="E3" s="68"/>
      <c r="F3" s="68"/>
      <c r="G3" s="68"/>
      <c r="H3" s="68"/>
      <c r="I3" s="68"/>
    </row>
    <row r="4" spans="1:12" x14ac:dyDescent="0.25">
      <c r="A4" s="67" t="s">
        <v>66</v>
      </c>
      <c r="B4" s="69" t="s">
        <v>305</v>
      </c>
      <c r="C4" s="281" t="s">
        <v>306</v>
      </c>
      <c r="D4" s="281"/>
      <c r="E4" s="281"/>
      <c r="F4" s="69"/>
      <c r="G4" s="282" t="s">
        <v>307</v>
      </c>
      <c r="H4" s="282"/>
      <c r="I4" s="282"/>
      <c r="J4" s="283" t="s">
        <v>308</v>
      </c>
      <c r="K4" s="283"/>
      <c r="L4" s="283"/>
    </row>
    <row r="5" spans="1:12" x14ac:dyDescent="0.25">
      <c r="A5" s="67"/>
      <c r="B5" s="69"/>
      <c r="C5" s="69" t="s">
        <v>309</v>
      </c>
      <c r="D5" s="69" t="s">
        <v>310</v>
      </c>
      <c r="E5" s="69" t="s">
        <v>311</v>
      </c>
      <c r="F5" s="69"/>
      <c r="G5" s="69" t="s">
        <v>309</v>
      </c>
      <c r="H5" s="69" t="s">
        <v>310</v>
      </c>
      <c r="I5" s="69" t="s">
        <v>311</v>
      </c>
      <c r="J5" s="69" t="s">
        <v>309</v>
      </c>
      <c r="K5" s="69" t="s">
        <v>310</v>
      </c>
      <c r="L5" s="69" t="s">
        <v>311</v>
      </c>
    </row>
    <row r="6" spans="1:12" x14ac:dyDescent="0.25">
      <c r="B6" s="54" t="s">
        <v>312</v>
      </c>
      <c r="C6" s="54"/>
      <c r="D6" s="54"/>
      <c r="E6" s="54">
        <f>C6*D6</f>
        <v>0</v>
      </c>
      <c r="F6" s="54" t="s">
        <v>329</v>
      </c>
      <c r="G6" s="54"/>
      <c r="H6" s="54"/>
      <c r="I6" s="54">
        <f>G6*H6</f>
        <v>0</v>
      </c>
      <c r="J6" s="54"/>
      <c r="K6" s="54"/>
      <c r="L6" s="54">
        <f>J6*K6</f>
        <v>0</v>
      </c>
    </row>
    <row r="7" spans="1:12" x14ac:dyDescent="0.25">
      <c r="B7" s="54"/>
      <c r="C7" s="54"/>
      <c r="D7" s="54"/>
      <c r="E7" s="54">
        <f t="shared" ref="E7:E41" si="0">C7*D7</f>
        <v>0</v>
      </c>
      <c r="F7" s="54" t="s">
        <v>329</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313</v>
      </c>
      <c r="G9" s="54"/>
      <c r="H9" s="54"/>
      <c r="I9" s="54">
        <f t="shared" si="1"/>
        <v>0</v>
      </c>
      <c r="J9" s="54"/>
      <c r="K9" s="54"/>
      <c r="L9" s="54">
        <f t="shared" si="2"/>
        <v>0</v>
      </c>
    </row>
    <row r="10" spans="1:12" x14ac:dyDescent="0.25">
      <c r="B10" s="54" t="s">
        <v>314</v>
      </c>
      <c r="C10" s="54"/>
      <c r="D10" s="54"/>
      <c r="E10" s="54">
        <f t="shared" si="0"/>
        <v>0</v>
      </c>
      <c r="F10" s="54" t="s">
        <v>313</v>
      </c>
      <c r="G10" s="54"/>
      <c r="H10" s="54"/>
      <c r="I10" s="54">
        <f t="shared" si="1"/>
        <v>0</v>
      </c>
      <c r="J10" s="54"/>
      <c r="K10" s="54"/>
      <c r="L10" s="54">
        <f t="shared" si="2"/>
        <v>0</v>
      </c>
    </row>
    <row r="11" spans="1:12" x14ac:dyDescent="0.25">
      <c r="B11" s="54"/>
      <c r="C11" s="54"/>
      <c r="D11" s="54"/>
      <c r="E11" s="54">
        <f t="shared" si="0"/>
        <v>0</v>
      </c>
      <c r="F11" s="54" t="s">
        <v>315</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316</v>
      </c>
      <c r="C14" s="54"/>
      <c r="D14" s="54"/>
      <c r="E14" s="54">
        <f t="shared" si="0"/>
        <v>0</v>
      </c>
      <c r="F14" s="54" t="s">
        <v>313</v>
      </c>
      <c r="G14" s="54"/>
      <c r="H14" s="54"/>
      <c r="I14" s="54">
        <f t="shared" si="1"/>
        <v>0</v>
      </c>
      <c r="J14" s="54"/>
      <c r="K14" s="54"/>
      <c r="L14" s="54">
        <f t="shared" si="2"/>
        <v>0</v>
      </c>
    </row>
    <row r="15" spans="1:12" x14ac:dyDescent="0.25">
      <c r="B15" s="54"/>
      <c r="C15" s="54"/>
      <c r="D15" s="54"/>
      <c r="E15" s="54">
        <f t="shared" si="0"/>
        <v>0</v>
      </c>
      <c r="F15" s="54" t="s">
        <v>315</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317</v>
      </c>
      <c r="C18" s="54"/>
      <c r="D18" s="54"/>
      <c r="E18" s="54">
        <f t="shared" si="0"/>
        <v>0</v>
      </c>
      <c r="F18" s="54" t="s">
        <v>313</v>
      </c>
      <c r="G18" s="54"/>
      <c r="H18" s="54"/>
      <c r="I18" s="54">
        <f t="shared" si="1"/>
        <v>0</v>
      </c>
      <c r="J18" s="54"/>
      <c r="K18" s="54"/>
      <c r="L18" s="54">
        <f t="shared" si="2"/>
        <v>0</v>
      </c>
    </row>
    <row r="19" spans="2:12" x14ac:dyDescent="0.25">
      <c r="B19" s="54"/>
      <c r="C19" s="54"/>
      <c r="D19" s="54"/>
      <c r="E19" s="54">
        <f t="shared" si="0"/>
        <v>0</v>
      </c>
      <c r="F19" s="54" t="s">
        <v>315</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318</v>
      </c>
      <c r="C21" s="54"/>
      <c r="D21" s="54"/>
      <c r="E21" s="54">
        <f t="shared" si="0"/>
        <v>0</v>
      </c>
      <c r="F21" s="54" t="s">
        <v>313</v>
      </c>
      <c r="G21" s="54"/>
      <c r="H21" s="54"/>
      <c r="I21" s="54">
        <f t="shared" si="1"/>
        <v>0</v>
      </c>
      <c r="J21" s="54"/>
      <c r="K21" s="54"/>
      <c r="L21" s="54">
        <f t="shared" si="2"/>
        <v>0</v>
      </c>
    </row>
    <row r="22" spans="2:12" x14ac:dyDescent="0.25">
      <c r="B22" s="54"/>
      <c r="C22" s="54"/>
      <c r="D22" s="54"/>
      <c r="E22" s="54">
        <f t="shared" si="0"/>
        <v>0</v>
      </c>
      <c r="F22" s="54" t="s">
        <v>315</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319</v>
      </c>
      <c r="C24" s="54"/>
      <c r="D24" s="54"/>
      <c r="E24" s="54">
        <f t="shared" si="0"/>
        <v>0</v>
      </c>
      <c r="F24" s="54" t="s">
        <v>320</v>
      </c>
      <c r="G24" s="54"/>
      <c r="H24" s="54"/>
      <c r="I24" s="54">
        <f t="shared" si="1"/>
        <v>0</v>
      </c>
      <c r="J24" s="54"/>
      <c r="K24" s="54"/>
      <c r="L24" s="54">
        <f t="shared" si="2"/>
        <v>0</v>
      </c>
    </row>
    <row r="25" spans="2:12" x14ac:dyDescent="0.25">
      <c r="B25" s="54"/>
      <c r="C25" s="54"/>
      <c r="D25" s="54"/>
      <c r="E25" s="54">
        <f>C25*D25</f>
        <v>0</v>
      </c>
      <c r="F25" s="54" t="s">
        <v>320</v>
      </c>
      <c r="G25" s="54"/>
      <c r="H25" s="54"/>
      <c r="I25" s="54">
        <f>G25*H25</f>
        <v>0</v>
      </c>
      <c r="J25" s="54"/>
      <c r="K25" s="54"/>
      <c r="L25" s="54">
        <f>J25*K25</f>
        <v>0</v>
      </c>
    </row>
    <row r="26" spans="2:12" x14ac:dyDescent="0.25">
      <c r="B26" s="54"/>
      <c r="C26" s="54"/>
      <c r="D26" s="54"/>
      <c r="E26" s="54">
        <f>C26*D26</f>
        <v>0</v>
      </c>
      <c r="F26" s="54" t="s">
        <v>320</v>
      </c>
      <c r="G26" s="54"/>
      <c r="H26" s="54"/>
      <c r="I26" s="54">
        <f>G26*H26</f>
        <v>0</v>
      </c>
      <c r="J26" s="54"/>
      <c r="K26" s="54"/>
      <c r="L26" s="54">
        <f>J26*K26</f>
        <v>0</v>
      </c>
    </row>
    <row r="27" spans="2:12" x14ac:dyDescent="0.25">
      <c r="B27" s="54"/>
      <c r="C27" s="54"/>
      <c r="D27" s="54"/>
      <c r="E27" s="54">
        <f>C27*D27</f>
        <v>0</v>
      </c>
      <c r="F27" s="54" t="s">
        <v>320</v>
      </c>
      <c r="G27" s="54"/>
      <c r="H27" s="54"/>
      <c r="I27" s="54">
        <f>G27*H27</f>
        <v>0</v>
      </c>
      <c r="J27" s="54"/>
      <c r="K27" s="54"/>
      <c r="L27" s="54">
        <f>J27*K27</f>
        <v>0</v>
      </c>
    </row>
    <row r="28" spans="2:12" x14ac:dyDescent="0.25">
      <c r="B28" s="54" t="s">
        <v>321</v>
      </c>
      <c r="C28" s="54"/>
      <c r="D28" s="54"/>
      <c r="E28" s="54">
        <f t="shared" si="0"/>
        <v>0</v>
      </c>
      <c r="F28" s="54" t="s">
        <v>320</v>
      </c>
      <c r="G28" s="54"/>
      <c r="H28" s="54"/>
      <c r="I28" s="54">
        <f t="shared" si="1"/>
        <v>0</v>
      </c>
      <c r="J28" s="54"/>
      <c r="K28" s="54"/>
      <c r="L28" s="54">
        <f t="shared" si="2"/>
        <v>0</v>
      </c>
    </row>
    <row r="29" spans="2:12" x14ac:dyDescent="0.25">
      <c r="B29" s="54" t="s">
        <v>322</v>
      </c>
      <c r="C29" s="54"/>
      <c r="D29" s="54"/>
      <c r="E29" s="54">
        <f t="shared" si="0"/>
        <v>0</v>
      </c>
      <c r="F29" s="54" t="s">
        <v>320</v>
      </c>
      <c r="G29" s="54"/>
      <c r="H29" s="54"/>
      <c r="I29" s="54">
        <f t="shared" si="1"/>
        <v>0</v>
      </c>
      <c r="J29" s="54"/>
      <c r="K29" s="54"/>
      <c r="L29" s="54">
        <f t="shared" si="2"/>
        <v>0</v>
      </c>
    </row>
    <row r="30" spans="2:12" x14ac:dyDescent="0.25">
      <c r="B30" s="54" t="s">
        <v>326</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323</v>
      </c>
      <c r="C33" s="54"/>
      <c r="D33" s="54"/>
      <c r="E33" s="54">
        <f t="shared" si="0"/>
        <v>0</v>
      </c>
      <c r="F33" s="54"/>
      <c r="G33" s="54"/>
      <c r="H33" s="54"/>
      <c r="I33" s="54">
        <f t="shared" si="1"/>
        <v>0</v>
      </c>
      <c r="J33" s="54"/>
      <c r="K33" s="54"/>
      <c r="L33" s="54">
        <f t="shared" si="2"/>
        <v>0</v>
      </c>
    </row>
    <row r="34" spans="2:12" x14ac:dyDescent="0.25">
      <c r="B34" s="54" t="s">
        <v>327</v>
      </c>
      <c r="C34" s="54"/>
      <c r="D34" s="54"/>
      <c r="E34" s="54">
        <f t="shared" si="0"/>
        <v>0</v>
      </c>
      <c r="F34" s="54"/>
      <c r="G34" s="54"/>
      <c r="H34" s="54"/>
      <c r="I34" s="54">
        <f t="shared" si="1"/>
        <v>0</v>
      </c>
      <c r="J34" s="54"/>
      <c r="K34" s="54"/>
      <c r="L34" s="54">
        <f t="shared" si="2"/>
        <v>0</v>
      </c>
    </row>
    <row r="35" spans="2:12" x14ac:dyDescent="0.25">
      <c r="B35" s="54" t="s">
        <v>324</v>
      </c>
      <c r="C35" s="54"/>
      <c r="D35" s="54"/>
      <c r="E35" s="54">
        <f t="shared" si="0"/>
        <v>0</v>
      </c>
      <c r="F35" s="54"/>
      <c r="G35" s="54"/>
      <c r="H35" s="54"/>
      <c r="I35" s="54">
        <f t="shared" si="1"/>
        <v>0</v>
      </c>
      <c r="J35" s="54"/>
      <c r="K35" s="54"/>
      <c r="L35" s="54">
        <f t="shared" si="2"/>
        <v>0</v>
      </c>
    </row>
    <row r="36" spans="2:12" x14ac:dyDescent="0.25">
      <c r="B36" s="54" t="s">
        <v>325</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328</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149</v>
      </c>
      <c r="C42" s="54"/>
      <c r="D42" s="54">
        <f>E42*10.764</f>
        <v>0</v>
      </c>
      <c r="E42" s="72">
        <f>SUM(E6:E41)</f>
        <v>0</v>
      </c>
      <c r="F42" s="54"/>
      <c r="G42" s="54"/>
      <c r="H42" s="54">
        <f>I42*10.764</f>
        <v>0</v>
      </c>
      <c r="I42" s="71">
        <f>SUM(I6:I41)</f>
        <v>0</v>
      </c>
      <c r="J42" s="54"/>
      <c r="K42" s="54">
        <f>L42*10.764</f>
        <v>0</v>
      </c>
      <c r="L42" s="70">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2025-09-10T06:34:41Z</cp:lastPrinted>
  <dcterms:created xsi:type="dcterms:W3CDTF">2019-07-16T09:29:46Z</dcterms:created>
  <dcterms:modified xsi:type="dcterms:W3CDTF">2025-09-10T06:39:47Z</dcterms:modified>
</cp:coreProperties>
</file>