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E:\Shruti\Sept 25\Dump\"/>
    </mc:Choice>
  </mc:AlternateContent>
  <bookViews>
    <workbookView xWindow="0" yWindow="0" windowWidth="20490" windowHeight="7755" tabRatio="725"/>
  </bookViews>
  <sheets>
    <sheet name="Report" sheetId="1" r:id="rId1"/>
    <sheet name="valuation" sheetId="5" r:id="rId2"/>
    <sheet name="Research" sheetId="4" r:id="rId3"/>
  </sheets>
  <definedNames>
    <definedName name="_xlnm.Print_Area" localSheetId="0">Report!$A$1:$H$353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83" i="1" l="1"/>
  <c r="D172" i="1" l="1"/>
  <c r="F172" i="1" s="1"/>
  <c r="D171" i="1"/>
  <c r="F171" i="1" s="1"/>
  <c r="J171" i="1" s="1"/>
  <c r="D170" i="1"/>
  <c r="F170" i="1" s="1"/>
  <c r="D169" i="1"/>
  <c r="F169" i="1" s="1"/>
  <c r="D168" i="1"/>
  <c r="F168" i="1" s="1"/>
  <c r="D167" i="1"/>
  <c r="F167" i="1" s="1"/>
  <c r="D166" i="1"/>
  <c r="F166" i="1" s="1"/>
  <c r="D165" i="1"/>
  <c r="F165" i="1" s="1"/>
  <c r="D163" i="1"/>
  <c r="F163" i="1" s="1"/>
  <c r="D160" i="1"/>
  <c r="F160" i="1" s="1"/>
  <c r="D159" i="1"/>
  <c r="F159" i="1" s="1"/>
  <c r="D158" i="1"/>
  <c r="F158" i="1" s="1"/>
  <c r="D157" i="1"/>
  <c r="F157" i="1" s="1"/>
  <c r="D156" i="1"/>
  <c r="F156" i="1" s="1"/>
  <c r="D154" i="1"/>
  <c r="F154" i="1" s="1"/>
  <c r="J154" i="1" s="1"/>
  <c r="D153" i="1"/>
  <c r="F153" i="1" s="1"/>
  <c r="J153" i="1" s="1"/>
  <c r="D152" i="1"/>
  <c r="F152" i="1" s="1"/>
  <c r="J152" i="1" s="1"/>
  <c r="D151" i="1"/>
  <c r="F151" i="1" s="1"/>
  <c r="J151" i="1" s="1"/>
  <c r="D150" i="1"/>
  <c r="F150" i="1" s="1"/>
  <c r="J150" i="1" s="1"/>
  <c r="D149" i="1"/>
  <c r="F149" i="1" s="1"/>
  <c r="J149" i="1" s="1"/>
  <c r="D148" i="1"/>
  <c r="F148" i="1" s="1"/>
  <c r="J148" i="1" s="1"/>
  <c r="D147" i="1"/>
  <c r="F147" i="1" s="1"/>
  <c r="J147" i="1" s="1"/>
  <c r="D145" i="1"/>
  <c r="F145" i="1" s="1"/>
  <c r="D144" i="1"/>
  <c r="F144" i="1" s="1"/>
  <c r="D139" i="1"/>
  <c r="F139" i="1" s="1"/>
  <c r="D138" i="1"/>
  <c r="F138" i="1" s="1"/>
  <c r="D136" i="1"/>
  <c r="F136" i="1" s="1"/>
  <c r="D135" i="1"/>
  <c r="F135" i="1" s="1"/>
  <c r="D130" i="1"/>
  <c r="F130" i="1" s="1"/>
  <c r="D129" i="1"/>
  <c r="F129" i="1" s="1"/>
  <c r="D127" i="1"/>
  <c r="F127" i="1" s="1"/>
  <c r="J127" i="1" s="1"/>
  <c r="D126" i="1"/>
  <c r="F126" i="1" s="1"/>
  <c r="D121" i="1"/>
  <c r="F121" i="1" s="1"/>
  <c r="D120" i="1"/>
  <c r="A166" i="1"/>
  <c r="A167" i="1" s="1"/>
  <c r="A168" i="1" s="1"/>
  <c r="A169" i="1" s="1"/>
  <c r="A170" i="1" s="1"/>
  <c r="A171" i="1" s="1"/>
  <c r="A172" i="1" s="1"/>
  <c r="G165" i="1"/>
  <c r="A157" i="1"/>
  <c r="A158" i="1" s="1"/>
  <c r="A159" i="1" s="1"/>
  <c r="A160" i="1" s="1"/>
  <c r="A161" i="1" s="1"/>
  <c r="A162" i="1" s="1"/>
  <c r="A163" i="1" s="1"/>
  <c r="G156" i="1"/>
  <c r="A139" i="1"/>
  <c r="A140" i="1" s="1"/>
  <c r="A141" i="1" s="1"/>
  <c r="A142" i="1" s="1"/>
  <c r="A143" i="1" s="1"/>
  <c r="A144" i="1" s="1"/>
  <c r="A145" i="1" s="1"/>
  <c r="G138" i="1"/>
  <c r="A130" i="1"/>
  <c r="A131" i="1" s="1"/>
  <c r="A132" i="1" s="1"/>
  <c r="A133" i="1" s="1"/>
  <c r="A134" i="1" s="1"/>
  <c r="A135" i="1" s="1"/>
  <c r="A136" i="1" s="1"/>
  <c r="G129" i="1"/>
  <c r="I120" i="1"/>
  <c r="A148" i="1"/>
  <c r="A149" i="1" s="1"/>
  <c r="A150" i="1" s="1"/>
  <c r="A151" i="1" s="1"/>
  <c r="A152" i="1" s="1"/>
  <c r="A153" i="1" s="1"/>
  <c r="A154" i="1" s="1"/>
  <c r="G147" i="1"/>
  <c r="A121" i="1"/>
  <c r="A122" i="1" s="1"/>
  <c r="A123" i="1" s="1"/>
  <c r="A124" i="1" s="1"/>
  <c r="A125" i="1" s="1"/>
  <c r="A126" i="1" s="1"/>
  <c r="A127" i="1" s="1"/>
  <c r="G120" i="1"/>
  <c r="F120" i="1" l="1"/>
  <c r="E103" i="1"/>
  <c r="E104" i="1" s="1"/>
  <c r="C103" i="1"/>
  <c r="C104" i="1" s="1"/>
  <c r="Z12" i="1"/>
  <c r="I14" i="1"/>
  <c r="J120" i="1" l="1"/>
  <c r="G103" i="1"/>
  <c r="G104" i="1" s="1"/>
  <c r="F174" i="1"/>
  <c r="F110" i="1"/>
  <c r="J83" i="1" l="1"/>
  <c r="I83" i="1" s="1"/>
  <c r="E43" i="1"/>
  <c r="E44" i="1" s="1"/>
  <c r="C15" i="1" l="1"/>
  <c r="E30" i="1" l="1"/>
  <c r="F175" i="1" l="1"/>
  <c r="F176" i="1"/>
  <c r="F177" i="1"/>
  <c r="A175" i="1"/>
  <c r="A176" i="1" s="1"/>
  <c r="A177" i="1" s="1"/>
  <c r="G174" i="1"/>
  <c r="G175" i="1" s="1"/>
  <c r="G176" i="1" s="1"/>
  <c r="G177" i="1" s="1"/>
  <c r="F95" i="1" l="1"/>
  <c r="F111" i="1" l="1"/>
  <c r="F112" i="1"/>
  <c r="F113" i="1"/>
  <c r="B204" i="1" l="1"/>
  <c r="A191" i="1"/>
  <c r="A197" i="1"/>
  <c r="A185" i="1"/>
  <c r="F201" i="1" l="1"/>
  <c r="F200" i="1"/>
  <c r="F199" i="1"/>
  <c r="F198" i="1"/>
  <c r="F197" i="1"/>
  <c r="F195" i="1"/>
  <c r="F194" i="1"/>
  <c r="F193" i="1"/>
  <c r="F192" i="1"/>
  <c r="F191" i="1"/>
  <c r="F189" i="1"/>
  <c r="F188" i="1"/>
  <c r="F187" i="1"/>
  <c r="F186" i="1"/>
  <c r="F185" i="1"/>
  <c r="F183" i="1"/>
  <c r="F182" i="1"/>
  <c r="F180" i="1"/>
  <c r="F179" i="1"/>
  <c r="F181" i="1"/>
  <c r="A186" i="1"/>
  <c r="A198" i="1"/>
  <c r="A192" i="1"/>
  <c r="B205" i="1" l="1"/>
  <c r="A187" i="1"/>
  <c r="A199" i="1"/>
  <c r="A193" i="1"/>
  <c r="F11" i="5" l="1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D228" i="1"/>
  <c r="G197" i="1"/>
  <c r="G198" i="1" s="1"/>
  <c r="G199" i="1" s="1"/>
  <c r="G200" i="1" s="1"/>
  <c r="G201" i="1" s="1"/>
  <c r="G191" i="1"/>
  <c r="G192" i="1" s="1"/>
  <c r="G193" i="1" s="1"/>
  <c r="G194" i="1" s="1"/>
  <c r="G195" i="1" s="1"/>
  <c r="G185" i="1"/>
  <c r="G186" i="1" s="1"/>
  <c r="G187" i="1" s="1"/>
  <c r="G188" i="1" s="1"/>
  <c r="G189" i="1" s="1"/>
  <c r="G179" i="1"/>
  <c r="G180" i="1" s="1"/>
  <c r="G181" i="1" s="1"/>
  <c r="G182" i="1" s="1"/>
  <c r="G183" i="1" s="1"/>
  <c r="A179" i="1"/>
  <c r="A180" i="1" s="1"/>
  <c r="A181" i="1" s="1"/>
  <c r="A182" i="1" s="1"/>
  <c r="A183" i="1" s="1"/>
  <c r="A111" i="1"/>
  <c r="A112" i="1" s="1"/>
  <c r="A113" i="1" s="1"/>
  <c r="G110" i="1"/>
  <c r="G111" i="1" s="1"/>
  <c r="G112" i="1" s="1"/>
  <c r="G113" i="1" s="1"/>
  <c r="C68" i="1"/>
  <c r="B69" i="1" s="1"/>
  <c r="D57" i="1"/>
  <c r="G50" i="1"/>
  <c r="C50" i="1"/>
  <c r="E27" i="1"/>
  <c r="E25" i="1"/>
  <c r="E7" i="1"/>
  <c r="E3" i="1"/>
  <c r="A200" i="1"/>
  <c r="A188" i="1"/>
  <c r="A194" i="1"/>
  <c r="D62" i="1" l="1"/>
  <c r="A195" i="1"/>
  <c r="H69" i="1"/>
  <c r="A189" i="1"/>
  <c r="A201" i="1"/>
  <c r="D81" i="1" l="1"/>
  <c r="D79" i="1"/>
  <c r="D78" i="1"/>
  <c r="D75" i="1"/>
  <c r="D77" i="1"/>
  <c r="J74" i="1"/>
  <c r="J75" i="1" s="1"/>
  <c r="J80" i="1" s="1"/>
  <c r="D80" i="1"/>
  <c r="J68" i="1"/>
  <c r="J70" i="1" s="1"/>
  <c r="D76" i="1"/>
  <c r="J72" i="1"/>
  <c r="J73" i="1"/>
  <c r="C72" i="1" s="1"/>
  <c r="D72" i="1" s="1"/>
  <c r="J71" i="1"/>
  <c r="J76" i="1"/>
  <c r="J77" i="1" s="1"/>
  <c r="J78" i="1" s="1"/>
  <c r="J79" i="1" s="1"/>
  <c r="D74" i="1"/>
  <c r="J81" i="1" l="1"/>
  <c r="C73" i="1" s="1"/>
  <c r="G72" i="1" s="1"/>
  <c r="D66" i="1" s="1"/>
  <c r="D67" i="1" s="1"/>
  <c r="J69" i="1" l="1"/>
  <c r="D73" i="1"/>
  <c r="I69" i="1" s="1"/>
  <c r="I70" i="1" s="1"/>
  <c r="E72" i="1"/>
  <c r="F67" i="1"/>
  <c r="I68" i="1" l="1"/>
  <c r="C70" i="1" s="1"/>
</calcChain>
</file>

<file path=xl/comments1.xml><?xml version="1.0" encoding="utf-8"?>
<comments xmlns="http://schemas.openxmlformats.org/spreadsheetml/2006/main">
  <authors>
    <author>Sachin</author>
  </authors>
  <commentList>
    <comment ref="E11" authorId="0" shapeId="0">
      <text>
        <r>
          <rPr>
            <b/>
            <sz val="9"/>
            <color indexed="81"/>
            <rFont val="Tahoma"/>
            <family val="2"/>
          </rPr>
          <t>Sachin:</t>
        </r>
        <r>
          <rPr>
            <sz val="9"/>
            <color indexed="81"/>
            <rFont val="Tahoma"/>
            <family val="2"/>
          </rPr>
          <t xml:space="preserve">
Building No. 
Tower No.
Wing 
Bunglow No., etc</t>
        </r>
      </text>
    </comment>
    <comment ref="E12" authorId="0" shapeId="0">
      <text>
        <r>
          <rPr>
            <b/>
            <sz val="9"/>
            <color indexed="81"/>
            <rFont val="Tahoma"/>
            <family val="2"/>
          </rPr>
          <t>Sachin:</t>
        </r>
        <r>
          <rPr>
            <sz val="9"/>
            <color indexed="81"/>
            <rFont val="Tahoma"/>
            <family val="2"/>
          </rPr>
          <t xml:space="preserve">
If exisiting Building is provided write it or else
NA</t>
        </r>
      </text>
    </comment>
    <comment ref="D57" authorId="0" shapeId="0">
      <text>
        <r>
          <rPr>
            <b/>
            <sz val="9"/>
            <color indexed="81"/>
            <rFont val="Tahoma"/>
            <family val="2"/>
          </rPr>
          <t>Sachin:</t>
        </r>
        <r>
          <rPr>
            <sz val="9"/>
            <color indexed="81"/>
            <rFont val="Tahoma"/>
            <family val="2"/>
          </rPr>
          <t xml:space="preserve">
If multiple building in project or complex just mention builtup of required building</t>
        </r>
      </text>
    </comment>
  </commentList>
</comments>
</file>

<file path=xl/sharedStrings.xml><?xml version="1.0" encoding="utf-8"?>
<sst xmlns="http://schemas.openxmlformats.org/spreadsheetml/2006/main" count="434" uniqueCount="293">
  <si>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</si>
  <si>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</si>
  <si>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</si>
  <si>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</si>
  <si>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</si>
  <si>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</si>
  <si>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</si>
  <si>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</si>
  <si>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</si>
  <si>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</si>
  <si>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</si>
  <si>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</si>
  <si>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</si>
  <si>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</si>
  <si>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</si>
  <si>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</si>
  <si>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</si>
  <si>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</si>
  <si>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</si>
  <si>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</si>
  <si>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</si>
  <si>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</si>
  <si>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</si>
  <si>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</si>
  <si>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</si>
  <si>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</si>
  <si>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</si>
  <si>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</si>
  <si>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</si>
  <si>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</si>
  <si>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</si>
  <si>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</si>
  <si>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</si>
  <si>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</si>
  <si>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</si>
  <si>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</si>
  <si>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</si>
  <si>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</si>
  <si>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</si>
  <si>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</si>
  <si>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</si>
  <si>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</si>
  <si>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</si>
  <si>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</si>
  <si>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 xml:space="preserve">O. Certificate No.: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</si>
  <si>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</si>
  <si>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</si>
  <si>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</si>
  <si>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</si>
  <si>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</si>
  <si>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</si>
  <si>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</si>
  <si>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</si>
  <si>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</si>
  <si>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</si>
  <si>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</si>
  <si>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</si>
  <si>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</si>
  <si>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</si>
  <si>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</si>
  <si>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</si>
  <si>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</si>
  <si>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</si>
  <si>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</si>
  <si>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</si>
  <si>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</si>
  <si>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</si>
  <si>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</si>
  <si>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</si>
  <si>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</si>
  <si>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Residential Area Details :</t>
  </si>
  <si>
    <t>Podium</t>
  </si>
  <si>
    <t>Ground</t>
  </si>
  <si>
    <t>Locality/Village</t>
  </si>
  <si>
    <t>Taluka</t>
  </si>
  <si>
    <t>Commercial Area Details :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</si>
  <si>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</si>
  <si>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</si>
  <si>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</si>
  <si>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</si>
  <si>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</si>
  <si>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</si>
  <si>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</si>
  <si>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</si>
  <si>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</si>
  <si>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</si>
  <si>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</si>
  <si>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</si>
  <si>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</si>
  <si>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</si>
  <si>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</si>
  <si>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</si>
  <si>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</si>
  <si>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</si>
  <si>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</si>
  <si>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Development Charges</t>
  </si>
  <si>
    <t>Club Charges</t>
  </si>
  <si>
    <t>Gas Connection Charges</t>
  </si>
  <si>
    <t>Water, Electricity, Drainages, Sewerage Connection</t>
  </si>
  <si>
    <t>Society Formation Charges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</si>
  <si>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</si>
  <si>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</si>
  <si>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</si>
  <si>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</si>
  <si>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</si>
  <si>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</si>
  <si>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</si>
  <si>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</si>
  <si>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</si>
  <si>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</si>
  <si>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</si>
  <si>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</si>
  <si>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</si>
  <si>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</si>
  <si>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</si>
  <si>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</si>
  <si>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</si>
  <si>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</si>
  <si>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</si>
  <si>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</si>
  <si>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t>Ground Floor</t>
  </si>
  <si>
    <t>2nd Floor</t>
  </si>
  <si>
    <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</si>
  <si>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</si>
  <si>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01 Building</t>
  </si>
  <si>
    <t>Valid Upto 
Date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</si>
  <si>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</si>
  <si>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</si>
  <si>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</si>
  <si>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</si>
  <si>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</si>
  <si>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</si>
  <si>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</si>
  <si>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</si>
  <si>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</si>
  <si>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</si>
  <si>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</si>
  <si>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</si>
  <si>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</si>
  <si>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</si>
  <si>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</si>
  <si>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</si>
  <si>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</si>
  <si>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</si>
  <si>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</si>
  <si>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</si>
  <si>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</si>
  <si>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</si>
  <si>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</si>
  <si>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</si>
  <si>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2nd to 5th Floor</t>
  </si>
  <si>
    <t>2nd &amp; 5th Floor</t>
  </si>
  <si>
    <t>Basement 1</t>
  </si>
  <si>
    <t>Plinth in process</t>
  </si>
  <si>
    <t xml:space="preserve">Violations Observed if any : </t>
  </si>
  <si>
    <t>Saleable area Loading :</t>
  </si>
  <si>
    <t>3rd, 5th, 7th, 9th, 11th, 13th, 15th Floor</t>
  </si>
  <si>
    <t>Total</t>
  </si>
  <si>
    <t>Name of Municipal Corporation/Authority</t>
  </si>
  <si>
    <t>We have considered proposed No. of Floor for Stage Calculation.</t>
  </si>
  <si>
    <t>*</t>
  </si>
  <si>
    <t>Recommended rate should be considered as all inclusive rate if other charges are not mentioned. (Excluding GST &amp; other government Taxes)</t>
  </si>
  <si>
    <t xml:space="preserve">Commencement-CC No
Valid Up to: </t>
  </si>
  <si>
    <t>Attached Loft area</t>
  </si>
  <si>
    <t xml:space="preserve">Recommended Rates of the Property : </t>
  </si>
  <si>
    <t>Recommended rate of the Shop Per Sq. Ft.</t>
  </si>
  <si>
    <t>Recommended rate of the Flat Per Sq. Ft.</t>
  </si>
  <si>
    <t>Recommended rate of the Office Per Sq. Ft.</t>
  </si>
  <si>
    <t>On Saleable Area</t>
  </si>
  <si>
    <t>Legal Charges</t>
  </si>
  <si>
    <t>Location Link</t>
  </si>
  <si>
    <t>Locality</t>
  </si>
  <si>
    <t>Layout :</t>
  </si>
  <si>
    <t>Latitude, Longitude</t>
  </si>
  <si>
    <t>Provided Contact Details (Name &amp; Contact No.)</t>
  </si>
  <si>
    <t>Site Person - Contact Details (Name &amp; Contact No.)</t>
  </si>
  <si>
    <t>Approved Plans, CC, Sale Plans, Builder Saleable Area, Cost Sheet, Airport Noc, Railway Noc, OC</t>
  </si>
  <si>
    <t>Axis Goregaon</t>
  </si>
  <si>
    <t>Name / No of the Existing Building</t>
  </si>
  <si>
    <t>Mumbai</t>
  </si>
  <si>
    <t>As per Layout</t>
  </si>
  <si>
    <t>Floor Rise Rate from    Floor</t>
  </si>
  <si>
    <t>Shop No. (Sale Plan)</t>
  </si>
  <si>
    <t>Flat No. (Sale Plan)</t>
  </si>
  <si>
    <t xml:space="preserve">Thane </t>
  </si>
  <si>
    <t>Thane</t>
  </si>
  <si>
    <t>Shahpur</t>
  </si>
  <si>
    <t>Kalyan</t>
  </si>
  <si>
    <t>Bhiwandi</t>
  </si>
  <si>
    <t>Ulhasnagar</t>
  </si>
  <si>
    <t>Ambernath</t>
  </si>
  <si>
    <t>Murbad</t>
  </si>
  <si>
    <t>Mokhada</t>
  </si>
  <si>
    <t>Talasari</t>
  </si>
  <si>
    <t>Palghar</t>
  </si>
  <si>
    <t>Vasai</t>
  </si>
  <si>
    <t>Vikramgad</t>
  </si>
  <si>
    <t>Dahanu</t>
  </si>
  <si>
    <t>Wada</t>
  </si>
  <si>
    <t>Raigad</t>
  </si>
  <si>
    <t>Alibag</t>
  </si>
  <si>
    <t>Panvel</t>
  </si>
  <si>
    <t>Uran</t>
  </si>
  <si>
    <t>Karjat</t>
  </si>
  <si>
    <t>Khalapur</t>
  </si>
  <si>
    <t>Pen</t>
  </si>
  <si>
    <t>Sudhagad</t>
  </si>
  <si>
    <t>Mahad</t>
  </si>
  <si>
    <t>Roha</t>
  </si>
  <si>
    <t>Mangaon</t>
  </si>
  <si>
    <t>Poladpur</t>
  </si>
  <si>
    <t>Mahasala</t>
  </si>
  <si>
    <t>Shriwardhan</t>
  </si>
  <si>
    <t>Murud</t>
  </si>
  <si>
    <t>Andheri</t>
  </si>
  <si>
    <t>Borivali</t>
  </si>
  <si>
    <t>Kurla</t>
  </si>
  <si>
    <t>Pune</t>
  </si>
  <si>
    <t>Pune City</t>
  </si>
  <si>
    <t>Khed</t>
  </si>
  <si>
    <t>Baramati</t>
  </si>
  <si>
    <t>Junnar</t>
  </si>
  <si>
    <t>Shirur</t>
  </si>
  <si>
    <t>Indapur</t>
  </si>
  <si>
    <t>Daund</t>
  </si>
  <si>
    <t>Mawal</t>
  </si>
  <si>
    <t>Ambegaon</t>
  </si>
  <si>
    <t>Purandhar</t>
  </si>
  <si>
    <t>Bhor</t>
  </si>
  <si>
    <t>Mulshi</t>
  </si>
  <si>
    <t>Velhe</t>
  </si>
  <si>
    <t>Haveli</t>
  </si>
  <si>
    <t>Approved Plans, CC</t>
  </si>
  <si>
    <t>Approved Plans, CC, Sale Plans</t>
  </si>
  <si>
    <t>Approved Plans, CC, Sale Plans, Builder Saleable Area</t>
  </si>
  <si>
    <t>Approved Plans, CC, Sale Plans, Builder Saleable Area, Cost Sheet,</t>
  </si>
  <si>
    <t>Approved Plans, CC, Builder Saleable Area,</t>
  </si>
  <si>
    <t>Shree Krishna Sai Development Corporation</t>
  </si>
  <si>
    <t>Khandelwal Reserve Wing B</t>
  </si>
  <si>
    <t>P51800045778</t>
  </si>
  <si>
    <t>Wing B</t>
  </si>
  <si>
    <t>Plot No</t>
  </si>
  <si>
    <t>Borivali (West)</t>
  </si>
  <si>
    <t>Maharashtra Housing and Area Development Authority (MHADA)</t>
  </si>
  <si>
    <t>Mhada-72/1103/2022</t>
  </si>
  <si>
    <t>MH/EE/(BP)/GM/MHADA-72/1103/2023/FCC/1/New</t>
  </si>
  <si>
    <t>This C.C. is further extended for work upto top of 19th upper floor (i.e., ht. upto 60.90m AGL) as per approved IOA dtd. 20.04.2022.</t>
  </si>
  <si>
    <t>Wing B = Gr/Stilt + 1st to 22nd Floor</t>
  </si>
  <si>
    <t>As per RERA - 31/12/2027</t>
  </si>
  <si>
    <t>Ground Floor for Meter Room, Entrance lobby &amp; Parking</t>
  </si>
  <si>
    <t>Parking Area</t>
  </si>
  <si>
    <t>1BHK</t>
  </si>
  <si>
    <t>2BHK</t>
  </si>
  <si>
    <t>Parking &amp; Fitness Center</t>
  </si>
  <si>
    <t>Fitness Center</t>
  </si>
  <si>
    <t>4th to 6th, 8th to 13th, 15th to 20th &amp; 22nd Floor</t>
  </si>
  <si>
    <t>7th &amp; 14th Floor (Part Refuge Area)</t>
  </si>
  <si>
    <t>Refuge Area</t>
  </si>
  <si>
    <t>21st Floor (Part Refuge Area)</t>
  </si>
  <si>
    <t>1RK</t>
  </si>
  <si>
    <t>Flats - 160</t>
  </si>
  <si>
    <t>We considered Gross carpet area = Net carpet.</t>
  </si>
  <si>
    <t xml:space="preserve">As the project is redevelopement project but rehab statement or rehab flats is not mentioned in approved layout plan &amp; floor plan.
</t>
  </si>
  <si>
    <t>12.20 M Wide Road (RSC-3)</t>
  </si>
  <si>
    <t>Other Plot</t>
  </si>
  <si>
    <t>https://maps.app.goo.gl/Ucy134f1BiezZpA8A</t>
  </si>
  <si>
    <t>19.2345461,72.8310376</t>
  </si>
  <si>
    <t>Internal Road</t>
  </si>
  <si>
    <t>3.6 KM from Borivali Railway Station</t>
  </si>
  <si>
    <t>Open Plot</t>
  </si>
  <si>
    <t>Shiv Shambhu CHS</t>
  </si>
  <si>
    <t>Casa Bellisimo Building</t>
  </si>
  <si>
    <t>Gorai 3</t>
  </si>
  <si>
    <t>Sky Lounge, Poolside Deck with Cabana, Multipurpose Lawn, Astronomy Deck, Barbeque lounge, Infinity pool, Gymnasium, Botanical garden, Kids Play Area, Reading Area, Jacuzzi, Yoga Lawn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</si>
  <si>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rFont val="Times New Roman"/>
        <family val="1"/>
      </rPr>
      <t xml:space="preserve">                                               </t>
    </r>
  </si>
  <si>
    <t>Online</t>
  </si>
  <si>
    <t>Visitor</t>
  </si>
  <si>
    <t>Office No. 1031, Wing J, Akshar Business Park, Plot No. 03 Sector 25, Near APMC Market,
Vashi, Navi Mumbai, Maharashtra 400703 TEL: 022-46090378/79/80                                                                       
E mail : vsjcapf@gmail.com. Web site : www.vsjadon.com</t>
  </si>
  <si>
    <t>Gorai Shree Shiv Shankar CHSL</t>
  </si>
  <si>
    <t>7, R.S.C.3 &amp; Redevelopment of building " Gorai Shree Shiv Shankar CHSL "</t>
  </si>
  <si>
    <t xml:space="preserve">Details of Residential in Building   </t>
  </si>
  <si>
    <t>1st Floor for Residential &amp; Parking</t>
  </si>
  <si>
    <t>2nd Floor For Part Residential</t>
  </si>
  <si>
    <t>3rd Floor For Part Residential &amp; Amenities</t>
  </si>
  <si>
    <t>The Gorai Dump Yard is near the project @230m approx on west side &amp; On east side Water Body is present.</t>
  </si>
  <si>
    <t>Mr. Mishra 9892989395</t>
  </si>
  <si>
    <t>This C.C. is now Re-endorsed upto top of 22nd upper floor (i.e. for entire work) for Wing B and further granted upto top of Plinth level for Wing A as per approved plan dtd. 17.05.2024.</t>
  </si>
  <si>
    <t>MH/EE/(BP)/GM/MHADA-72/1103/2024/FCC/2/Amend</t>
  </si>
  <si>
    <t>We have updated revised approved CC from MHADA Site on 19/03/2025.</t>
  </si>
  <si>
    <t>Please provide revised approved plans.</t>
  </si>
  <si>
    <t>Shruti Tathare</t>
  </si>
  <si>
    <t>Pratik Niwate</t>
  </si>
  <si>
    <t>Construction work is in process at the time of Visit. Internal visit was not allowed.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</si>
</sst>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 * #,##0.00_ ;_ * \-#,##0.00_ ;_ * &quot;-&quot;??_ ;_ @_ "/>
    <numFmt numFmtId="164" formatCode="0.0"/>
    <numFmt numFmtId="165" formatCode="_(* #,##0.00_);_(* \(#,##0.00\);_(* &quot;-&quot;??_);_(@_)"/>
    <numFmt numFmtId="166" formatCode="_(* #,##0_);_(* \(#,##0\);_(* &quot;-&quot;??_);_(@_)"/>
    <numFmt numFmtId="167" formatCode="_ * #,##0_ ;_ * \-#,##0_ ;_ * &quot;-&quot;??_ ;_ @_ "/>
  </numFmts>
  <fonts count="30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1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5" fontId="5" fillId="0" borderId="0" applyFont="0" applyFill="0" applyBorder="0" applyAlignment="0" applyProtection="0"/>
    <xf numFmtId="0" fontId="20" fillId="0" borderId="0"/>
    <xf numFmtId="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0" borderId="0" applyNumberFormat="0" applyFill="0" applyBorder="0" applyAlignment="0" applyProtection="0"/>
  </cellStyleXfs>
  <cellXfs count="208">
    <xf numFmtId="0" fontId="0" fillId="0" borderId="0" xfId="0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19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8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9" fontId="8" fillId="0" borderId="16" xfId="8" applyFont="1" applyFill="1" applyBorder="1" applyAlignment="1" applyProtection="1">
      <alignment horizontal="center" vertical="top" wrapText="1"/>
      <protection locked="0"/>
    </xf>
    <xf numFmtId="0" fontId="17" fillId="0" borderId="0" xfId="0" applyFont="1" applyProtection="1">
      <protection hidden="1"/>
    </xf>
    <xf numFmtId="0" fontId="17" fillId="0" borderId="11" xfId="0" applyFont="1" applyBorder="1" applyProtection="1">
      <protection hidden="1"/>
    </xf>
    <xf numFmtId="0" fontId="12" fillId="0" borderId="4" xfId="1" applyFont="1" applyBorder="1" applyAlignment="1" applyProtection="1">
      <alignment horizontal="center" vertical="top"/>
      <protection locked="0"/>
    </xf>
    <xf numFmtId="0" fontId="12" fillId="0" borderId="5" xfId="1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vertical="top" wrapText="1"/>
      <protection locked="0"/>
    </xf>
    <xf numFmtId="9" fontId="7" fillId="0" borderId="1" xfId="8" applyFont="1" applyFill="1" applyBorder="1" applyAlignment="1" applyProtection="1">
      <alignment horizontal="center" vertical="top" wrapText="1"/>
      <protection locked="0"/>
    </xf>
    <xf numFmtId="9" fontId="7" fillId="0" borderId="7" xfId="8" applyFont="1" applyFill="1" applyBorder="1" applyAlignment="1" applyProtection="1">
      <alignment horizontal="center" vertical="top" wrapText="1"/>
      <protection locked="0"/>
    </xf>
    <xf numFmtId="0" fontId="7" fillId="0" borderId="0" xfId="1" applyFont="1"/>
    <xf numFmtId="0" fontId="15" fillId="0" borderId="0" xfId="1" applyFont="1"/>
    <xf numFmtId="0" fontId="12" fillId="0" borderId="0" xfId="1" applyFont="1"/>
    <xf numFmtId="1" fontId="7" fillId="0" borderId="0" xfId="1" applyNumberFormat="1" applyFont="1"/>
    <xf numFmtId="14" fontId="7" fillId="0" borderId="0" xfId="1" applyNumberFormat="1" applyFont="1"/>
    <xf numFmtId="0" fontId="7" fillId="0" borderId="0" xfId="1" applyFont="1" applyProtection="1">
      <protection hidden="1"/>
    </xf>
    <xf numFmtId="0" fontId="23" fillId="0" borderId="0" xfId="1" applyFont="1"/>
    <xf numFmtId="0" fontId="7" fillId="0" borderId="10" xfId="1" applyFont="1" applyBorder="1"/>
    <xf numFmtId="0" fontId="17" fillId="0" borderId="10" xfId="0" applyFont="1" applyBorder="1" applyProtection="1">
      <protection hidden="1"/>
    </xf>
    <xf numFmtId="1" fontId="0" fillId="0" borderId="10" xfId="0" applyNumberFormat="1" applyBorder="1"/>
    <xf numFmtId="1" fontId="0" fillId="0" borderId="10" xfId="0" applyNumberFormat="1" applyBorder="1" applyAlignment="1">
      <alignment horizontal="right"/>
    </xf>
    <xf numFmtId="1" fontId="0" fillId="0" borderId="12" xfId="0" applyNumberFormat="1" applyBorder="1"/>
    <xf numFmtId="0" fontId="16" fillId="0" borderId="0" xfId="1" applyFont="1"/>
    <xf numFmtId="0" fontId="6" fillId="0" borderId="0" xfId="2" applyFont="1"/>
    <xf numFmtId="0" fontId="7" fillId="0" borderId="0" xfId="0" applyFont="1" applyAlignment="1">
      <alignment horizontal="center" vertical="center"/>
    </xf>
    <xf numFmtId="1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3" xfId="1" applyNumberFormat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7" fillId="0" borderId="7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24" fillId="2" borderId="30" xfId="0" applyFont="1" applyFill="1" applyBorder="1"/>
    <xf numFmtId="0" fontId="25" fillId="0" borderId="31" xfId="0" applyFont="1" applyBorder="1"/>
    <xf numFmtId="0" fontId="25" fillId="0" borderId="1" xfId="0" applyFont="1" applyBorder="1"/>
    <xf numFmtId="0" fontId="25" fillId="0" borderId="5" xfId="0" applyFont="1" applyBorder="1"/>
    <xf numFmtId="0" fontId="12" fillId="0" borderId="1" xfId="1" applyFont="1" applyBorder="1" applyAlignment="1" applyProtection="1">
      <alignment horizontal="center" vertical="top"/>
      <protection locked="0"/>
    </xf>
    <xf numFmtId="1" fontId="8" fillId="0" borderId="3" xfId="1" applyNumberFormat="1" applyFont="1" applyBorder="1" applyAlignment="1" applyProtection="1">
      <alignment horizontal="center" vertical="top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0" fontId="7" fillId="0" borderId="0" xfId="1" applyFont="1" applyAlignment="1">
      <alignment horizontal="center" vertical="center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1" fontId="7" fillId="0" borderId="1" xfId="1" applyNumberFormat="1" applyFont="1" applyBorder="1" applyAlignment="1">
      <alignment horizontal="center" vertical="center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1" fontId="7" fillId="0" borderId="1" xfId="1" applyNumberFormat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0" fontId="15" fillId="0" borderId="0" xfId="1" applyFont="1" applyAlignment="1">
      <alignment horizontal="center" vertical="center"/>
    </xf>
    <xf numFmtId="1" fontId="15" fillId="0" borderId="0" xfId="1" applyNumberFormat="1" applyFont="1" applyAlignment="1">
      <alignment horizontal="center" vertical="center"/>
    </xf>
    <xf numFmtId="0" fontId="29" fillId="0" borderId="0" xfId="1" applyFont="1" applyAlignment="1">
      <alignment horizontal="center" vertical="center"/>
    </xf>
    <xf numFmtId="0" fontId="15" fillId="0" borderId="0" xfId="2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1" fontId="8" fillId="0" borderId="8" xfId="0" applyNumberFormat="1" applyFont="1" applyBorder="1" applyAlignment="1" applyProtection="1">
      <alignment vertical="top" wrapText="1"/>
      <protection locked="0"/>
    </xf>
    <xf numFmtId="1" fontId="8" fillId="0" borderId="21" xfId="0" applyNumberFormat="1" applyFont="1" applyBorder="1" applyAlignment="1" applyProtection="1">
      <alignment vertical="top" wrapText="1"/>
      <protection locked="0"/>
    </xf>
    <xf numFmtId="1" fontId="8" fillId="0" borderId="9" xfId="0" applyNumberFormat="1" applyFont="1" applyBorder="1" applyAlignment="1" applyProtection="1">
      <alignment vertical="top" wrapText="1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0" fontId="8" fillId="0" borderId="16" xfId="1" applyFont="1" applyBorder="1" applyAlignment="1" applyProtection="1">
      <alignment horizontal="left" vertical="top"/>
      <protection locked="0"/>
    </xf>
    <xf numFmtId="167" fontId="12" fillId="0" borderId="1" xfId="9" applyNumberFormat="1" applyFont="1" applyFill="1" applyBorder="1" applyAlignment="1" applyProtection="1">
      <alignment horizontal="left" vertical="top"/>
      <protection locked="0"/>
    </xf>
    <xf numFmtId="1" fontId="8" fillId="0" borderId="32" xfId="0" applyNumberFormat="1" applyFont="1" applyBorder="1" applyAlignment="1" applyProtection="1">
      <alignment horizontal="center" vertical="center" wrapText="1"/>
      <protection locked="0"/>
    </xf>
    <xf numFmtId="1" fontId="8" fillId="0" borderId="33" xfId="0" applyNumberFormat="1" applyFont="1" applyBorder="1" applyAlignment="1" applyProtection="1">
      <alignment horizontal="center" vertical="center" wrapText="1"/>
      <protection locked="0"/>
    </xf>
    <xf numFmtId="1" fontId="10" fillId="0" borderId="33" xfId="0" applyNumberFormat="1" applyFont="1" applyBorder="1" applyAlignment="1" applyProtection="1">
      <alignment horizontal="center" vertical="top" wrapText="1"/>
      <protection locked="0"/>
    </xf>
    <xf numFmtId="0" fontId="10" fillId="0" borderId="33" xfId="0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0" fontId="26" fillId="0" borderId="1" xfId="10" applyFont="1" applyFill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0" fontId="6" fillId="0" borderId="8" xfId="1" applyFont="1" applyBorder="1" applyAlignment="1" applyProtection="1">
      <alignment horizontal="left" vertical="top" wrapText="1"/>
      <protection locked="0"/>
    </xf>
    <xf numFmtId="0" fontId="6" fillId="0" borderId="9" xfId="1" applyFont="1" applyBorder="1" applyAlignment="1" applyProtection="1">
      <alignment horizontal="left" vertical="top" wrapText="1"/>
      <protection locked="0"/>
    </xf>
    <xf numFmtId="0" fontId="13" fillId="0" borderId="8" xfId="1" applyFont="1" applyBorder="1" applyAlignment="1" applyProtection="1">
      <alignment horizontal="left" vertical="top"/>
      <protection locked="0"/>
    </xf>
    <xf numFmtId="0" fontId="13" fillId="0" borderId="21" xfId="1" applyFont="1" applyBorder="1" applyAlignment="1" applyProtection="1">
      <alignment horizontal="left" vertical="top"/>
      <protection locked="0"/>
    </xf>
    <xf numFmtId="0" fontId="13" fillId="0" borderId="9" xfId="1" applyFont="1" applyBorder="1" applyAlignment="1" applyProtection="1">
      <alignment horizontal="left" vertical="top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3" xfId="1" applyNumberFormat="1" applyFont="1" applyBorder="1" applyAlignment="1" applyProtection="1">
      <alignment horizontal="center" vertical="top" wrapText="1"/>
      <protection locked="0"/>
    </xf>
    <xf numFmtId="1" fontId="8" fillId="0" borderId="16" xfId="1" applyNumberFormat="1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horizontal="left" vertical="top" wrapText="1"/>
      <protection locked="0"/>
    </xf>
    <xf numFmtId="1" fontId="8" fillId="0" borderId="1" xfId="1" applyNumberFormat="1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top" wrapText="1"/>
      <protection locked="0"/>
    </xf>
    <xf numFmtId="1" fontId="8" fillId="3" borderId="8" xfId="1" applyNumberFormat="1" applyFont="1" applyFill="1" applyBorder="1" applyAlignment="1" applyProtection="1">
      <alignment horizontal="center" vertical="center" wrapText="1"/>
      <protection locked="0"/>
    </xf>
    <xf numFmtId="1" fontId="8" fillId="3" borderId="21" xfId="1" applyNumberFormat="1" applyFont="1" applyFill="1" applyBorder="1" applyAlignment="1" applyProtection="1">
      <alignment horizontal="center" vertical="center" wrapText="1"/>
      <protection locked="0"/>
    </xf>
    <xf numFmtId="1" fontId="8" fillId="3" borderId="9" xfId="1" applyNumberFormat="1" applyFont="1" applyFill="1" applyBorder="1" applyAlignment="1" applyProtection="1">
      <alignment horizontal="center" vertical="center" wrapText="1"/>
      <protection locked="0"/>
    </xf>
    <xf numFmtId="1" fontId="8" fillId="0" borderId="8" xfId="1" applyNumberFormat="1" applyFont="1" applyBorder="1" applyAlignment="1" applyProtection="1">
      <alignment horizontal="center" vertical="center" wrapText="1"/>
      <protection locked="0"/>
    </xf>
    <xf numFmtId="1" fontId="8" fillId="0" borderId="21" xfId="1" applyNumberFormat="1" applyFont="1" applyBorder="1" applyAlignment="1" applyProtection="1">
      <alignment horizontal="center" vertical="center" wrapText="1"/>
      <protection locked="0"/>
    </xf>
    <xf numFmtId="1" fontId="8" fillId="0" borderId="9" xfId="1" applyNumberFormat="1" applyFont="1" applyBorder="1" applyAlignment="1" applyProtection="1">
      <alignment horizontal="center" vertical="center" wrapText="1"/>
      <protection locked="0"/>
    </xf>
    <xf numFmtId="1" fontId="6" fillId="0" borderId="8" xfId="1" applyNumberFormat="1" applyFont="1" applyBorder="1" applyAlignment="1" applyProtection="1">
      <alignment horizontal="center" vertical="center" wrapText="1"/>
      <protection locked="0"/>
    </xf>
    <xf numFmtId="1" fontId="6" fillId="0" borderId="9" xfId="1" applyNumberFormat="1" applyFont="1" applyBorder="1" applyAlignment="1" applyProtection="1">
      <alignment horizontal="center" vertical="center" wrapText="1"/>
      <protection locked="0"/>
    </xf>
    <xf numFmtId="0" fontId="7" fillId="0" borderId="0" xfId="1" applyFont="1" applyAlignment="1">
      <alignment horizontal="center" vertical="center"/>
    </xf>
    <xf numFmtId="0" fontId="7" fillId="0" borderId="4" xfId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1" fontId="7" fillId="0" borderId="3" xfId="0" applyNumberFormat="1" applyFont="1" applyBorder="1" applyAlignment="1" applyProtection="1">
      <alignment horizontal="center" vertical="top" wrapText="1"/>
      <protection locked="0"/>
    </xf>
    <xf numFmtId="1" fontId="4" fillId="0" borderId="3" xfId="1" applyNumberFormat="1" applyFont="1" applyBorder="1" applyAlignment="1" applyProtection="1">
      <alignment horizontal="center" vertical="top" wrapText="1"/>
      <protection locked="0"/>
    </xf>
    <xf numFmtId="1" fontId="4" fillId="0" borderId="16" xfId="1" applyNumberFormat="1" applyFont="1" applyBorder="1" applyAlignment="1" applyProtection="1">
      <alignment horizontal="center" vertical="top" wrapText="1"/>
      <protection locked="0"/>
    </xf>
    <xf numFmtId="1" fontId="8" fillId="0" borderId="17" xfId="1" applyNumberFormat="1" applyFont="1" applyBorder="1" applyAlignment="1" applyProtection="1">
      <alignment horizontal="center" vertical="top" wrapText="1"/>
      <protection locked="0"/>
    </xf>
    <xf numFmtId="1" fontId="8" fillId="0" borderId="18" xfId="1" applyNumberFormat="1" applyFont="1" applyBorder="1" applyAlignment="1" applyProtection="1">
      <alignment horizontal="center" vertical="top" wrapText="1"/>
      <protection locked="0"/>
    </xf>
    <xf numFmtId="1" fontId="8" fillId="0" borderId="19" xfId="1" applyNumberFormat="1" applyFont="1" applyBorder="1" applyAlignment="1" applyProtection="1">
      <alignment horizontal="center" vertical="top" wrapText="1"/>
      <protection locked="0"/>
    </xf>
    <xf numFmtId="1" fontId="8" fillId="0" borderId="20" xfId="1" applyNumberFormat="1" applyFont="1" applyBorder="1" applyAlignment="1" applyProtection="1">
      <alignment horizontal="center" vertical="top" wrapText="1"/>
      <protection locked="0"/>
    </xf>
    <xf numFmtId="1" fontId="8" fillId="0" borderId="33" xfId="0" applyNumberFormat="1" applyFont="1" applyBorder="1" applyAlignment="1" applyProtection="1">
      <alignment horizontal="center" vertical="top" wrapText="1"/>
      <protection locked="0"/>
    </xf>
    <xf numFmtId="1" fontId="8" fillId="0" borderId="34" xfId="0" applyNumberFormat="1" applyFont="1" applyBorder="1" applyAlignment="1" applyProtection="1">
      <alignment horizontal="center" vertical="top" wrapText="1"/>
      <protection locked="0"/>
    </xf>
    <xf numFmtId="0" fontId="13" fillId="0" borderId="4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0" fontId="8" fillId="0" borderId="22" xfId="1" applyFont="1" applyBorder="1" applyAlignment="1" applyProtection="1">
      <alignment horizontal="left" vertical="top" wrapText="1"/>
      <protection locked="0"/>
    </xf>
    <xf numFmtId="0" fontId="8" fillId="0" borderId="15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12" fillId="0" borderId="8" xfId="1" applyFont="1" applyBorder="1" applyAlignment="1" applyProtection="1">
      <alignment horizontal="center" vertical="top"/>
      <protection locked="0"/>
    </xf>
    <xf numFmtId="0" fontId="12" fillId="0" borderId="21" xfId="1" applyFont="1" applyBorder="1" applyAlignment="1" applyProtection="1">
      <alignment horizontal="center" vertical="top"/>
      <protection locked="0"/>
    </xf>
    <xf numFmtId="0" fontId="12" fillId="0" borderId="9" xfId="1" applyFont="1" applyBorder="1" applyAlignment="1" applyProtection="1">
      <alignment horizontal="center" vertical="top"/>
      <protection locked="0"/>
    </xf>
    <xf numFmtId="2" fontId="6" fillId="0" borderId="1" xfId="1" applyNumberFormat="1" applyFont="1" applyBorder="1" applyAlignment="1" applyProtection="1">
      <alignment horizontal="left" vertical="top" wrapText="1"/>
      <protection locked="0"/>
    </xf>
    <xf numFmtId="0" fontId="6" fillId="0" borderId="16" xfId="1" applyFont="1" applyBorder="1" applyAlignment="1" applyProtection="1">
      <alignment horizontal="left" vertical="top" wrapText="1"/>
      <protection locked="0"/>
    </xf>
    <xf numFmtId="1" fontId="6" fillId="0" borderId="1" xfId="1" applyNumberFormat="1" applyFont="1" applyBorder="1" applyAlignment="1" applyProtection="1">
      <alignment horizontal="left" vertical="top" wrapText="1"/>
      <protection locked="0"/>
    </xf>
    <xf numFmtId="164" fontId="6" fillId="0" borderId="1" xfId="1" applyNumberFormat="1" applyFont="1" applyBorder="1" applyAlignment="1" applyProtection="1">
      <alignment horizontal="left" vertical="top"/>
      <protection locked="0"/>
    </xf>
    <xf numFmtId="2" fontId="6" fillId="0" borderId="1" xfId="1" applyNumberFormat="1" applyFont="1" applyBorder="1" applyAlignment="1" applyProtection="1">
      <alignment horizontal="left" vertical="top"/>
      <protection locked="0"/>
    </xf>
    <xf numFmtId="0" fontId="12" fillId="0" borderId="3" xfId="1" applyFont="1" applyBorder="1" applyAlignment="1" applyProtection="1">
      <alignment horizontal="left" vertical="top" wrapText="1"/>
      <protection locked="0"/>
    </xf>
    <xf numFmtId="0" fontId="12" fillId="0" borderId="3" xfId="1" applyFont="1" applyBorder="1" applyAlignment="1" applyProtection="1">
      <alignment horizontal="left" vertical="top"/>
      <protection locked="0"/>
    </xf>
    <xf numFmtId="0" fontId="12" fillId="0" borderId="17" xfId="1" applyFont="1" applyBorder="1" applyAlignment="1" applyProtection="1">
      <alignment horizontal="left" vertical="top" wrapText="1"/>
      <protection locked="0"/>
    </xf>
    <xf numFmtId="0" fontId="12" fillId="0" borderId="24" xfId="1" applyFont="1" applyBorder="1" applyAlignment="1" applyProtection="1">
      <alignment horizontal="left" vertical="top" wrapText="1"/>
      <protection locked="0"/>
    </xf>
    <xf numFmtId="0" fontId="12" fillId="0" borderId="18" xfId="1" applyFont="1" applyBorder="1" applyAlignment="1" applyProtection="1">
      <alignment horizontal="left" vertical="top" wrapText="1"/>
      <protection locked="0"/>
    </xf>
    <xf numFmtId="14" fontId="6" fillId="0" borderId="8" xfId="1" applyNumberFormat="1" applyFont="1" applyBorder="1" applyAlignment="1" applyProtection="1">
      <alignment horizontal="left" vertical="top" wrapText="1"/>
      <protection locked="0"/>
    </xf>
    <xf numFmtId="14" fontId="6" fillId="0" borderId="9" xfId="1" applyNumberFormat="1" applyFont="1" applyBorder="1" applyAlignment="1" applyProtection="1">
      <alignment horizontal="left" vertical="top" wrapText="1"/>
      <protection locked="0"/>
    </xf>
    <xf numFmtId="0" fontId="6" fillId="0" borderId="17" xfId="1" applyFont="1" applyBorder="1" applyAlignment="1" applyProtection="1">
      <alignment horizontal="left" vertical="top" wrapText="1"/>
      <protection locked="0"/>
    </xf>
    <xf numFmtId="0" fontId="6" fillId="0" borderId="18" xfId="1" applyFont="1" applyBorder="1" applyAlignment="1" applyProtection="1">
      <alignment horizontal="left" vertical="top" wrapText="1"/>
      <protection locked="0"/>
    </xf>
    <xf numFmtId="0" fontId="6" fillId="0" borderId="19" xfId="1" applyFont="1" applyBorder="1" applyAlignment="1" applyProtection="1">
      <alignment horizontal="left" vertical="top" wrapText="1"/>
      <protection locked="0"/>
    </xf>
    <xf numFmtId="0" fontId="6" fillId="0" borderId="20" xfId="1" applyFont="1" applyBorder="1" applyAlignment="1" applyProtection="1">
      <alignment horizontal="left" vertical="top" wrapText="1"/>
      <protection locked="0"/>
    </xf>
    <xf numFmtId="0" fontId="6" fillId="0" borderId="21" xfId="1" applyFont="1" applyBorder="1" applyAlignment="1" applyProtection="1">
      <alignment horizontal="left" vertical="top" wrapText="1"/>
      <protection locked="0"/>
    </xf>
    <xf numFmtId="0" fontId="13" fillId="0" borderId="8" xfId="1" applyFont="1" applyBorder="1" applyAlignment="1" applyProtection="1">
      <alignment horizontal="center" vertical="top"/>
      <protection locked="0"/>
    </xf>
    <xf numFmtId="0" fontId="13" fillId="0" borderId="21" xfId="1" applyFont="1" applyBorder="1" applyAlignment="1" applyProtection="1">
      <alignment horizontal="center" vertical="top"/>
      <protection locked="0"/>
    </xf>
    <xf numFmtId="0" fontId="13" fillId="0" borderId="9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14" fontId="12" fillId="0" borderId="1" xfId="1" applyNumberFormat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0" fontId="6" fillId="0" borderId="3" xfId="1" applyFont="1" applyBorder="1" applyAlignment="1" applyProtection="1">
      <alignment horizontal="left" vertical="top" wrapText="1"/>
      <protection locked="0"/>
    </xf>
    <xf numFmtId="0" fontId="12" fillId="0" borderId="5" xfId="1" applyFont="1" applyBorder="1" applyAlignment="1" applyProtection="1">
      <alignment horizontal="center" vertical="top" wrapText="1"/>
      <protection locked="0"/>
    </xf>
    <xf numFmtId="9" fontId="7" fillId="0" borderId="17" xfId="8" applyFont="1" applyFill="1" applyBorder="1" applyAlignment="1" applyProtection="1">
      <alignment horizontal="center" vertical="center" wrapText="1"/>
      <protection locked="0"/>
    </xf>
    <xf numFmtId="9" fontId="7" fillId="0" borderId="18" xfId="8" applyFont="1" applyFill="1" applyBorder="1" applyAlignment="1" applyProtection="1">
      <alignment horizontal="center" vertical="center" wrapText="1"/>
      <protection locked="0"/>
    </xf>
    <xf numFmtId="9" fontId="7" fillId="0" borderId="25" xfId="8" applyFont="1" applyFill="1" applyBorder="1" applyAlignment="1" applyProtection="1">
      <alignment horizontal="center" vertical="center" wrapText="1"/>
      <protection locked="0"/>
    </xf>
    <xf numFmtId="9" fontId="7" fillId="0" borderId="26" xfId="8" applyFont="1" applyFill="1" applyBorder="1" applyAlignment="1" applyProtection="1">
      <alignment horizontal="center" vertical="center" wrapText="1"/>
      <protection locked="0"/>
    </xf>
    <xf numFmtId="9" fontId="7" fillId="0" borderId="28" xfId="8" applyFont="1" applyFill="1" applyBorder="1" applyAlignment="1" applyProtection="1">
      <alignment horizontal="center" vertical="center" wrapText="1"/>
      <protection locked="0"/>
    </xf>
    <xf numFmtId="9" fontId="7" fillId="0" borderId="29" xfId="8" applyFont="1" applyFill="1" applyBorder="1" applyAlignment="1" applyProtection="1">
      <alignment horizontal="center" vertical="center" wrapText="1"/>
      <protection locked="0"/>
    </xf>
    <xf numFmtId="9" fontId="7" fillId="0" borderId="27" xfId="8" applyFont="1" applyFill="1" applyBorder="1" applyAlignment="1" applyProtection="1">
      <alignment horizontal="center" vertical="center" wrapText="1"/>
      <protection locked="0"/>
    </xf>
    <xf numFmtId="9" fontId="7" fillId="0" borderId="10" xfId="8" applyFont="1" applyFill="1" applyBorder="1" applyAlignment="1" applyProtection="1">
      <alignment horizontal="center" vertical="center" wrapText="1"/>
      <protection locked="0"/>
    </xf>
    <xf numFmtId="9" fontId="7" fillId="0" borderId="12" xfId="8" applyFont="1" applyFill="1" applyBorder="1" applyAlignment="1" applyProtection="1">
      <alignment horizontal="center" vertical="center" wrapText="1"/>
      <protection locked="0"/>
    </xf>
    <xf numFmtId="0" fontId="7" fillId="0" borderId="6" xfId="1" applyFont="1" applyBorder="1" applyAlignment="1" applyProtection="1">
      <alignment horizontal="center" vertical="top" wrapText="1"/>
      <protection locked="0"/>
    </xf>
    <xf numFmtId="0" fontId="7" fillId="0" borderId="7" xfId="1" applyFont="1" applyBorder="1" applyAlignment="1" applyProtection="1">
      <alignment horizontal="center" vertical="top" wrapText="1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1" fontId="6" fillId="0" borderId="3" xfId="0" applyNumberFormat="1" applyFont="1" applyBorder="1" applyAlignment="1" applyProtection="1">
      <alignment horizontal="center" vertical="center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0" fontId="8" fillId="0" borderId="16" xfId="1" applyFont="1" applyBorder="1" applyAlignment="1" applyProtection="1">
      <alignment horizontal="center" vertical="top"/>
      <protection locked="0"/>
    </xf>
    <xf numFmtId="1" fontId="6" fillId="0" borderId="21" xfId="1" applyNumberFormat="1" applyFont="1" applyBorder="1" applyAlignment="1" applyProtection="1">
      <alignment horizontal="center" vertical="center" wrapText="1"/>
      <protection locked="0"/>
    </xf>
    <xf numFmtId="1" fontId="6" fillId="0" borderId="1" xfId="0" applyNumberFormat="1" applyFont="1" applyBorder="1" applyAlignment="1" applyProtection="1">
      <alignment horizontal="center" vertical="top" wrapText="1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0" fontId="6" fillId="0" borderId="1" xfId="1" applyFont="1" applyBorder="1" applyAlignment="1" applyProtection="1">
      <alignment vertical="top"/>
      <protection locked="0"/>
    </xf>
    <xf numFmtId="1" fontId="13" fillId="0" borderId="8" xfId="0" applyNumberFormat="1" applyFont="1" applyBorder="1" applyAlignment="1" applyProtection="1">
      <alignment vertical="top" wrapText="1"/>
      <protection locked="0"/>
    </xf>
    <xf numFmtId="1" fontId="13" fillId="0" borderId="21" xfId="0" applyNumberFormat="1" applyFont="1" applyBorder="1" applyAlignment="1" applyProtection="1">
      <alignment vertical="top" wrapText="1"/>
      <protection locked="0"/>
    </xf>
    <xf numFmtId="1" fontId="13" fillId="0" borderId="9" xfId="0" applyNumberFormat="1" applyFont="1" applyBorder="1" applyAlignment="1" applyProtection="1">
      <alignment vertical="top" wrapText="1"/>
      <protection locked="0"/>
    </xf>
    <xf numFmtId="1" fontId="13" fillId="0" borderId="1" xfId="0" applyNumberFormat="1" applyFont="1" applyBorder="1" applyAlignment="1" applyProtection="1">
      <alignment vertical="top" wrapText="1"/>
      <protection locked="0"/>
    </xf>
    <xf numFmtId="1" fontId="6" fillId="0" borderId="17" xfId="1" applyNumberFormat="1" applyFont="1" applyBorder="1" applyAlignment="1" applyProtection="1">
      <alignment horizontal="center" vertical="center" wrapText="1"/>
      <protection locked="0"/>
    </xf>
    <xf numFmtId="1" fontId="6" fillId="0" borderId="24" xfId="1" applyNumberFormat="1" applyFont="1" applyBorder="1" applyAlignment="1" applyProtection="1">
      <alignment horizontal="center" vertical="center" wrapText="1"/>
      <protection locked="0"/>
    </xf>
    <xf numFmtId="1" fontId="6" fillId="0" borderId="18" xfId="1" applyNumberFormat="1" applyFont="1" applyBorder="1" applyAlignment="1" applyProtection="1">
      <alignment horizontal="center" vertical="center" wrapText="1"/>
      <protection locked="0"/>
    </xf>
    <xf numFmtId="1" fontId="6" fillId="0" borderId="19" xfId="1" applyNumberFormat="1" applyFont="1" applyBorder="1" applyAlignment="1" applyProtection="1">
      <alignment horizontal="center" vertical="center" wrapText="1"/>
      <protection locked="0"/>
    </xf>
    <xf numFmtId="1" fontId="6" fillId="0" borderId="2" xfId="1" applyNumberFormat="1" applyFont="1" applyBorder="1" applyAlignment="1" applyProtection="1">
      <alignment horizontal="center" vertical="center" wrapText="1"/>
      <protection locked="0"/>
    </xf>
    <xf numFmtId="1" fontId="6" fillId="0" borderId="20" xfId="1" applyNumberFormat="1" applyFont="1" applyBorder="1" applyAlignment="1" applyProtection="1">
      <alignment horizontal="center" vertical="center" wrapText="1"/>
      <protection locked="0"/>
    </xf>
    <xf numFmtId="1" fontId="10" fillId="0" borderId="33" xfId="0" applyNumberFormat="1" applyFont="1" applyBorder="1" applyAlignment="1" applyProtection="1">
      <alignment horizontal="center" vertical="center"/>
      <protection locked="0"/>
    </xf>
    <xf numFmtId="0" fontId="10" fillId="0" borderId="33" xfId="0" applyFont="1" applyBorder="1" applyAlignment="1" applyProtection="1">
      <alignment horizontal="center" vertical="center"/>
      <protection locked="0"/>
    </xf>
    <xf numFmtId="1" fontId="6" fillId="0" borderId="25" xfId="1" applyNumberFormat="1" applyFont="1" applyBorder="1" applyAlignment="1" applyProtection="1">
      <alignment horizontal="center" vertical="center" wrapText="1"/>
      <protection locked="0"/>
    </xf>
    <xf numFmtId="1" fontId="6" fillId="0" borderId="26" xfId="1" applyNumberFormat="1" applyFont="1" applyBorder="1" applyAlignment="1" applyProtection="1">
      <alignment horizontal="center" vertical="center" wrapText="1"/>
      <protection locked="0"/>
    </xf>
    <xf numFmtId="0" fontId="8" fillId="0" borderId="8" xfId="1" applyFont="1" applyBorder="1" applyAlignment="1" applyProtection="1">
      <alignment horizontal="left" vertical="top"/>
      <protection locked="0"/>
    </xf>
    <xf numFmtId="0" fontId="8" fillId="0" borderId="9" xfId="1" applyFont="1" applyBorder="1" applyAlignment="1" applyProtection="1">
      <alignment horizontal="left" vertical="top"/>
      <protection locked="0"/>
    </xf>
    <xf numFmtId="0" fontId="13" fillId="0" borderId="13" xfId="1" applyFont="1" applyBorder="1" applyAlignment="1" applyProtection="1">
      <alignment horizontal="left" vertical="top" wrapText="1"/>
      <protection locked="0"/>
    </xf>
    <xf numFmtId="0" fontId="13" fillId="0" borderId="14" xfId="1" applyFont="1" applyBorder="1" applyAlignment="1" applyProtection="1">
      <alignment horizontal="left" vertical="top" wrapText="1"/>
      <protection locked="0"/>
    </xf>
    <xf numFmtId="0" fontId="13" fillId="0" borderId="23" xfId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0" fontId="13" fillId="0" borderId="5" xfId="1" applyFont="1" applyBorder="1" applyAlignment="1" applyProtection="1">
      <alignment horizontal="left" vertical="top" wrapText="1"/>
      <protection locked="0"/>
    </xf>
    <xf numFmtId="0" fontId="7" fillId="0" borderId="25" xfId="1" applyFont="1" applyBorder="1" applyAlignment="1">
      <alignment horizontal="center"/>
    </xf>
    <xf numFmtId="0" fontId="7" fillId="0" borderId="0" xfId="1" applyFont="1" applyAlignment="1">
      <alignment horizontal="center"/>
    </xf>
    <xf numFmtId="0" fontId="8" fillId="0" borderId="8" xfId="1" applyFont="1" applyBorder="1" applyAlignment="1" applyProtection="1">
      <alignment horizontal="left" vertical="top" wrapText="1"/>
      <protection locked="0"/>
    </xf>
    <xf numFmtId="0" fontId="8" fillId="0" borderId="9" xfId="1" applyFont="1" applyBorder="1" applyAlignment="1" applyProtection="1">
      <alignment horizontal="left" vertical="top" wrapText="1"/>
      <protection locked="0"/>
    </xf>
    <xf numFmtId="0" fontId="8" fillId="0" borderId="21" xfId="1" applyFont="1" applyBorder="1" applyAlignment="1" applyProtection="1">
      <alignment horizontal="left" vertical="top" wrapText="1"/>
      <protection locked="0"/>
    </xf>
    <xf numFmtId="0" fontId="6" fillId="0" borderId="3" xfId="1" applyFont="1" applyBorder="1" applyAlignment="1" applyProtection="1">
      <alignment horizontal="left" vertical="top"/>
      <protection locked="0"/>
    </xf>
    <xf numFmtId="1" fontId="6" fillId="0" borderId="0" xfId="1" applyNumberFormat="1" applyFont="1" applyBorder="1" applyAlignment="1" applyProtection="1">
      <alignment horizontal="center" vertical="center" wrapText="1"/>
      <protection locked="0"/>
    </xf>
    <xf numFmtId="0" fontId="9" fillId="0" borderId="1" xfId="5" applyFont="1" applyBorder="1" applyAlignment="1">
      <alignment horizontal="left"/>
    </xf>
  </cellXfs>
  <cellStyles count="11">
    <cellStyle name="Comma" xfId="9" builtinId="3"/>
    <cellStyle name="Comma 2" xfId="6"/>
    <cellStyle name="Excel Built-in Normal" xfId="2"/>
    <cellStyle name="Excel Built-in Normal 2" xfId="4"/>
    <cellStyle name="Hyperlink" xfId="10" builtinId="8"/>
    <cellStyle name="Normal" xfId="0" builtinId="0"/>
    <cellStyle name="Normal 2" xfId="3"/>
    <cellStyle name="Normal 3" xfId="1"/>
    <cellStyle name="Normal 3 3" xfId="7"/>
    <cellStyle name="Normal 4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png"/><Relationship Id="rId10" Type="http://schemas.openxmlformats.org/officeDocument/2006/relationships/image" Target="../media/image10.jpeg"/><Relationship Id="rId4" Type="http://schemas.openxmlformats.org/officeDocument/2006/relationships/image" Target="../media/image4.png"/><Relationship Id="rId9" Type="http://schemas.openxmlformats.org/officeDocument/2006/relationships/image" Target="../media/image9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8.png"/><Relationship Id="rId2" Type="http://schemas.openxmlformats.org/officeDocument/2006/relationships/image" Target="../media/image17.png"/><Relationship Id="rId1" Type="http://schemas.openxmlformats.org/officeDocument/2006/relationships/image" Target="../media/image16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15.png"/><Relationship Id="rId1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476253</xdr:colOff>
      <xdr:row>293</xdr:row>
      <xdr:rowOff>42139</xdr:rowOff>
    </xdr:from>
    <xdr:to>
      <xdr:col>6</xdr:col>
      <xdr:colOff>341748</xdr:colOff>
      <xdr:row>310</xdr:row>
      <xdr:rowOff>59635</xdr:rowOff>
    </xdr:to>
    <xdr:pic>
      <xdr:nvPicPr>
        <xdr:cNvPr id="2" name="Picture 1"/>
        <xdr:cNvPicPr>
          <a:picLocks noChangeAspect="1"/>
        </xdr:cNvPicPr>
      </xdr:nvPicPr>
      <xdr:blipFill rotWithShape="1"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258131" y="53448400"/>
          <a:ext cx="4126069" cy="33968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2</xdr:col>
      <xdr:colOff>560150</xdr:colOff>
      <xdr:row>270</xdr:row>
      <xdr:rowOff>86590</xdr:rowOff>
    </xdr:from>
    <xdr:to>
      <xdr:col>5</xdr:col>
      <xdr:colOff>240533</xdr:colOff>
      <xdr:row>292</xdr:row>
      <xdr:rowOff>158554</xdr:rowOff>
    </xdr:to>
    <xdr:pic>
      <xdr:nvPicPr>
        <xdr:cNvPr id="3" name="Picture 2"/>
        <xdr:cNvPicPr>
          <a:picLocks noChangeAspect="1"/>
        </xdr:cNvPicPr>
      </xdr:nvPicPr>
      <xdr:blipFill rotWithShape="1"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118786" y="49452067"/>
          <a:ext cx="2252133" cy="4453466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4</xdr:col>
      <xdr:colOff>521519</xdr:colOff>
      <xdr:row>289</xdr:row>
      <xdr:rowOff>31978</xdr:rowOff>
    </xdr:from>
    <xdr:to>
      <xdr:col>5</xdr:col>
      <xdr:colOff>244844</xdr:colOff>
      <xdr:row>292</xdr:row>
      <xdr:rowOff>158497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5400000">
          <a:off x="3770903" y="53024056"/>
          <a:ext cx="720000" cy="507306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65080</xdr:colOff>
      <xdr:row>329</xdr:row>
      <xdr:rowOff>47565</xdr:rowOff>
    </xdr:from>
    <xdr:to>
      <xdr:col>6</xdr:col>
      <xdr:colOff>574048</xdr:colOff>
      <xdr:row>350</xdr:row>
      <xdr:rowOff>94401</xdr:rowOff>
    </xdr:to>
    <xdr:pic>
      <xdr:nvPicPr>
        <xdr:cNvPr id="6" name="Picture 5"/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65732" y="61454826"/>
          <a:ext cx="4860099" cy="4221271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502478</xdr:colOff>
      <xdr:row>312</xdr:row>
      <xdr:rowOff>132522</xdr:rowOff>
    </xdr:from>
    <xdr:to>
      <xdr:col>7</xdr:col>
      <xdr:colOff>136652</xdr:colOff>
      <xdr:row>328</xdr:row>
      <xdr:rowOff>108560</xdr:rowOff>
    </xdr:to>
    <xdr:pic>
      <xdr:nvPicPr>
        <xdr:cNvPr id="7" name="Picture 6"/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02478" y="58160479"/>
          <a:ext cx="5586609" cy="3156559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2</xdr:col>
      <xdr:colOff>607783</xdr:colOff>
      <xdr:row>337</xdr:row>
      <xdr:rowOff>25068</xdr:rowOff>
    </xdr:from>
    <xdr:to>
      <xdr:col>3</xdr:col>
      <xdr:colOff>791181</xdr:colOff>
      <xdr:row>341</xdr:row>
      <xdr:rowOff>183005</xdr:rowOff>
    </xdr:to>
    <xdr:sp macro="" textlink="">
      <xdr:nvSpPr>
        <xdr:cNvPr id="8" name="Rectangle 7"/>
        <xdr:cNvSpPr/>
      </xdr:nvSpPr>
      <xdr:spPr>
        <a:xfrm rot="707264">
          <a:off x="2288665" y="61791892"/>
          <a:ext cx="1102281" cy="964760"/>
        </a:xfrm>
        <a:prstGeom prst="rect">
          <a:avLst/>
        </a:prstGeom>
        <a:noFill/>
        <a:ln w="28575"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n-IN" sz="1100"/>
        </a:p>
      </xdr:txBody>
    </xdr:sp>
    <xdr:clientData/>
  </xdr:twoCellAnchor>
  <xdr:twoCellAnchor>
    <xdr:from>
      <xdr:col>0</xdr:col>
      <xdr:colOff>344415</xdr:colOff>
      <xdr:row>228</xdr:row>
      <xdr:rowOff>44821</xdr:rowOff>
    </xdr:from>
    <xdr:to>
      <xdr:col>7</xdr:col>
      <xdr:colOff>453841</xdr:colOff>
      <xdr:row>268</xdr:row>
      <xdr:rowOff>93070</xdr:rowOff>
    </xdr:to>
    <xdr:grpSp>
      <xdr:nvGrpSpPr>
        <xdr:cNvPr id="12" name="Group 11"/>
        <xdr:cNvGrpSpPr/>
      </xdr:nvGrpSpPr>
      <xdr:grpSpPr>
        <a:xfrm>
          <a:off x="344415" y="40834233"/>
          <a:ext cx="5757191" cy="8105278"/>
          <a:chOff x="344415" y="40834233"/>
          <a:chExt cx="5757191" cy="8105278"/>
        </a:xfrm>
      </xdr:grpSpPr>
      <xdr:pic>
        <xdr:nvPicPr>
          <xdr:cNvPr id="24" name="Picture 23" descr="https://vsjcllp.vsjadon.com/upload/insp-246597-846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344415" y="40838158"/>
            <a:ext cx="2820318" cy="3783666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grpSp>
        <xdr:nvGrpSpPr>
          <xdr:cNvPr id="11" name="Group 10"/>
          <xdr:cNvGrpSpPr/>
        </xdr:nvGrpSpPr>
        <xdr:grpSpPr>
          <a:xfrm>
            <a:off x="616018" y="40834233"/>
            <a:ext cx="5485588" cy="8105278"/>
            <a:chOff x="616018" y="40834233"/>
            <a:chExt cx="5485588" cy="8105278"/>
          </a:xfrm>
        </xdr:grpSpPr>
        <xdr:grpSp>
          <xdr:nvGrpSpPr>
            <xdr:cNvPr id="10" name="Group 9"/>
            <xdr:cNvGrpSpPr/>
          </xdr:nvGrpSpPr>
          <xdr:grpSpPr>
            <a:xfrm>
              <a:off x="616018" y="44703061"/>
              <a:ext cx="5300786" cy="4236450"/>
              <a:chOff x="615855" y="44411250"/>
              <a:chExt cx="5294985" cy="4202175"/>
            </a:xfrm>
          </xdr:grpSpPr>
          <xdr:pic>
            <xdr:nvPicPr>
              <xdr:cNvPr id="18" name="Picture 17" descr="https://vsjcllp.vsjadon.com/upload/insp-246597-1525.jpg"/>
              <xdr:cNvPicPr>
                <a:picLocks noChangeAspect="1" noChangeArrowheads="1"/>
              </xdr:cNvPicPr>
            </xdr:nvPicPr>
            <xdr:blipFill>
              <a:blip xmlns:r="http://schemas.openxmlformats.org/officeDocument/2006/relationships" r:embed="rId7" cstate="print">
                <a:extLst>
                  <a:ext uri="{28A0092B-C50C-407E-A947-70E740481C1C}">
                    <a14:useLocalDpi xmlns:a14="http://schemas.microsoft.com/office/drawing/2010/main"/>
                  </a:ext>
                </a:extLst>
              </a:blip>
              <a:srcRect/>
              <a:stretch>
                <a:fillRect/>
              </a:stretch>
            </xdr:blipFill>
            <xdr:spPr bwMode="auto">
              <a:xfrm>
                <a:off x="4040061" y="46777275"/>
                <a:ext cx="1377113" cy="1836150"/>
              </a:xfrm>
              <a:prstGeom prst="rect">
                <a:avLst/>
              </a:prstGeom>
              <a:noFill/>
              <a:ln>
                <a:solidFill>
                  <a:schemeClr val="tx1"/>
                </a:solidFill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pic>
          <xdr:pic>
            <xdr:nvPicPr>
              <xdr:cNvPr id="19" name="Picture 18" descr="https://vsjcllp.vsjadon.com/upload/insp-246597-843.jpg"/>
              <xdr:cNvPicPr>
                <a:picLocks noChangeAspect="1" noChangeArrowheads="1"/>
              </xdr:cNvPicPr>
            </xdr:nvPicPr>
            <xdr:blipFill>
              <a:blip xmlns:r="http://schemas.openxmlformats.org/officeDocument/2006/relationships" r:embed="rId8" cstate="print">
                <a:extLst>
                  <a:ext uri="{28A0092B-C50C-407E-A947-70E740481C1C}">
                    <a14:useLocalDpi xmlns:a14="http://schemas.microsoft.com/office/drawing/2010/main"/>
                  </a:ext>
                </a:extLst>
              </a:blip>
              <a:srcRect/>
              <a:stretch>
                <a:fillRect/>
              </a:stretch>
            </xdr:blipFill>
            <xdr:spPr bwMode="auto">
              <a:xfrm>
                <a:off x="4214640" y="44413484"/>
                <a:ext cx="1696200" cy="2261600"/>
              </a:xfrm>
              <a:prstGeom prst="rect">
                <a:avLst/>
              </a:prstGeom>
              <a:noFill/>
              <a:ln>
                <a:solidFill>
                  <a:schemeClr val="tx1"/>
                </a:solidFill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pic>
          <xdr:pic>
            <xdr:nvPicPr>
              <xdr:cNvPr id="20" name="Picture 19" descr="https://vsjcllp.vsjadon.com/upload/insp-246597-845.jpg"/>
              <xdr:cNvPicPr>
                <a:picLocks noChangeAspect="1" noChangeArrowheads="1"/>
              </xdr:cNvPicPr>
            </xdr:nvPicPr>
            <xdr:blipFill>
              <a:blip xmlns:r="http://schemas.openxmlformats.org/officeDocument/2006/relationships" r:embed="rId9" cstate="print">
                <a:extLst>
                  <a:ext uri="{28A0092B-C50C-407E-A947-70E740481C1C}">
                    <a14:useLocalDpi xmlns:a14="http://schemas.microsoft.com/office/drawing/2010/main"/>
                  </a:ext>
                </a:extLst>
              </a:blip>
              <a:srcRect/>
              <a:stretch>
                <a:fillRect/>
              </a:stretch>
            </xdr:blipFill>
            <xdr:spPr bwMode="auto">
              <a:xfrm>
                <a:off x="2414415" y="44413484"/>
                <a:ext cx="1696200" cy="2261600"/>
              </a:xfrm>
              <a:prstGeom prst="rect">
                <a:avLst/>
              </a:prstGeom>
              <a:noFill/>
              <a:ln>
                <a:solidFill>
                  <a:schemeClr val="tx1"/>
                </a:solidFill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pic>
          <xdr:pic>
            <xdr:nvPicPr>
              <xdr:cNvPr id="25" name="Picture 24" descr="https://vsjcllp.vsjadon.com/upload/insp-246597-844.jpg"/>
              <xdr:cNvPicPr>
                <a:picLocks noChangeAspect="1" noChangeArrowheads="1"/>
              </xdr:cNvPicPr>
            </xdr:nvPicPr>
            <xdr:blipFill>
              <a:blip xmlns:r="http://schemas.openxmlformats.org/officeDocument/2006/relationships" r:embed="rId10" cstate="print">
                <a:extLst>
                  <a:ext uri="{28A0092B-C50C-407E-A947-70E740481C1C}">
                    <a14:useLocalDpi xmlns:a14="http://schemas.microsoft.com/office/drawing/2010/main"/>
                  </a:ext>
                </a:extLst>
              </a:blip>
              <a:srcRect/>
              <a:stretch>
                <a:fillRect/>
              </a:stretch>
            </xdr:blipFill>
            <xdr:spPr bwMode="auto">
              <a:xfrm>
                <a:off x="615855" y="44411250"/>
                <a:ext cx="1701736" cy="2268980"/>
              </a:xfrm>
              <a:prstGeom prst="rect">
                <a:avLst/>
              </a:prstGeom>
              <a:noFill/>
              <a:ln>
                <a:solidFill>
                  <a:schemeClr val="tx1"/>
                </a:solidFill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pic>
          <xdr:pic>
            <xdr:nvPicPr>
              <xdr:cNvPr id="27" name="Picture 26" descr="https://vsjcllp.vsjadon.com/upload/insp-246597-849.jpg"/>
              <xdr:cNvPicPr>
                <a:picLocks noChangeAspect="1" noChangeArrowheads="1"/>
              </xdr:cNvPicPr>
            </xdr:nvPicPr>
            <xdr:blipFill>
              <a:blip xmlns:r="http://schemas.openxmlformats.org/officeDocument/2006/relationships" r:embed="rId11" cstate="print">
                <a:extLst>
                  <a:ext uri="{28A0092B-C50C-407E-A947-70E740481C1C}">
                    <a14:useLocalDpi xmlns:a14="http://schemas.microsoft.com/office/drawing/2010/main"/>
                  </a:ext>
                </a:extLst>
              </a:blip>
              <a:srcRect/>
              <a:stretch>
                <a:fillRect/>
              </a:stretch>
            </xdr:blipFill>
            <xdr:spPr bwMode="auto">
              <a:xfrm>
                <a:off x="1077413" y="46775236"/>
                <a:ext cx="1377113" cy="1836150"/>
              </a:xfrm>
              <a:prstGeom prst="rect">
                <a:avLst/>
              </a:prstGeom>
              <a:noFill/>
              <a:ln>
                <a:solidFill>
                  <a:schemeClr val="tx1"/>
                </a:solidFill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pic>
          <xdr:pic>
            <xdr:nvPicPr>
              <xdr:cNvPr id="28" name="Picture 27" descr="https://vsjcllp.vsjadon.com/upload/insp-246597-851.jpg"/>
              <xdr:cNvPicPr>
                <a:picLocks noChangeAspect="1" noChangeArrowheads="1"/>
              </xdr:cNvPicPr>
            </xdr:nvPicPr>
            <xdr:blipFill>
              <a:blip xmlns:r="http://schemas.openxmlformats.org/officeDocument/2006/relationships" r:embed="rId12" cstate="print">
                <a:extLst>
                  <a:ext uri="{28A0092B-C50C-407E-A947-70E740481C1C}">
                    <a14:useLocalDpi xmlns:a14="http://schemas.microsoft.com/office/drawing/2010/main"/>
                  </a:ext>
                </a:extLst>
              </a:blip>
              <a:srcRect/>
              <a:stretch>
                <a:fillRect/>
              </a:stretch>
            </xdr:blipFill>
            <xdr:spPr bwMode="auto">
              <a:xfrm>
                <a:off x="2562490" y="46774158"/>
                <a:ext cx="1377113" cy="1836150"/>
              </a:xfrm>
              <a:prstGeom prst="rect">
                <a:avLst/>
              </a:prstGeom>
              <a:noFill/>
              <a:ln>
                <a:solidFill>
                  <a:schemeClr val="tx1"/>
                </a:solidFill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pic>
        </xdr:grpSp>
        <xdr:pic>
          <xdr:nvPicPr>
            <xdr:cNvPr id="34" name="Picture 33" descr="https://vsjcllp.vsjadon.com/upload/insp-246597-848.jpg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3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3260912" y="40834233"/>
              <a:ext cx="2840694" cy="3787591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14</xdr:row>
      <xdr:rowOff>0</xdr:rowOff>
    </xdr:from>
    <xdr:to>
      <xdr:col>6</xdr:col>
      <xdr:colOff>491412</xdr:colOff>
      <xdr:row>35</xdr:row>
      <xdr:rowOff>113000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12588" y="2696882"/>
          <a:ext cx="7200000" cy="405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6</xdr:col>
      <xdr:colOff>646278</xdr:colOff>
      <xdr:row>14</xdr:row>
      <xdr:rowOff>0</xdr:rowOff>
    </xdr:from>
    <xdr:to>
      <xdr:col>16</xdr:col>
      <xdr:colOff>398101</xdr:colOff>
      <xdr:row>35</xdr:row>
      <xdr:rowOff>113000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967454" y="2696882"/>
          <a:ext cx="7200000" cy="405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24</xdr:col>
      <xdr:colOff>137024</xdr:colOff>
      <xdr:row>91</xdr:row>
      <xdr:rowOff>1436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82706" y="7059706"/>
          <a:ext cx="18290553" cy="1028843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maps.app.goo.gl/Ucy134f1BiezZpA8A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2.v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Z312"/>
  <sheetViews>
    <sheetView tabSelected="1" view="pageBreakPreview" zoomScale="85" zoomScaleNormal="100" zoomScaleSheetLayoutView="85" zoomScalePageLayoutView="85" workbookViewId="0">
      <selection activeCell="L8" sqref="L8"/>
    </sheetView>
  </sheetViews>
  <sheetFormatPr defaultColWidth="9.140625" defaultRowHeight="15.75" x14ac:dyDescent="0.25"/>
  <cols>
    <col min="1" max="1" width="11.42578125" style="40" customWidth="1"/>
    <col min="2" max="2" width="12" style="40" customWidth="1"/>
    <col min="3" max="3" width="12.5703125" style="40" customWidth="1"/>
    <col min="4" max="4" width="14.140625" style="40" customWidth="1"/>
    <col min="5" max="6" width="11.5703125" style="40" customWidth="1"/>
    <col min="7" max="7" width="11.42578125" style="40" customWidth="1"/>
    <col min="8" max="8" width="10.5703125" style="40" customWidth="1"/>
    <col min="9" max="9" width="17.42578125" style="21" customWidth="1"/>
    <col min="10" max="10" width="11.42578125" style="21" customWidth="1"/>
    <col min="11" max="11" width="10.5703125" style="21" bestFit="1" customWidth="1"/>
    <col min="12" max="12" width="10.5703125" style="21" customWidth="1"/>
    <col min="13" max="13" width="11.85546875" style="21" customWidth="1"/>
    <col min="14" max="14" width="12.5703125" style="21" customWidth="1"/>
    <col min="15" max="15" width="9.85546875" style="21" customWidth="1"/>
    <col min="16" max="16" width="11.5703125" style="21" customWidth="1"/>
    <col min="17" max="247" width="9.140625" style="21"/>
    <col min="248" max="248" width="8.5703125" style="21" customWidth="1"/>
    <col min="249" max="249" width="9.85546875" style="21" customWidth="1"/>
    <col min="250" max="250" width="14.42578125" style="21" customWidth="1"/>
    <col min="251" max="251" width="7.42578125" style="21" customWidth="1"/>
    <col min="252" max="252" width="5.5703125" style="21" customWidth="1"/>
    <col min="253" max="253" width="9" style="21" customWidth="1"/>
    <col min="254" max="255" width="9.85546875" style="21" customWidth="1"/>
    <col min="256" max="256" width="11.140625" style="21" customWidth="1"/>
    <col min="257" max="257" width="2.85546875" style="21" customWidth="1"/>
    <col min="258" max="258" width="3.5703125" style="21" customWidth="1"/>
    <col min="259" max="503" width="9.140625" style="21"/>
    <col min="504" max="504" width="8.5703125" style="21" customWidth="1"/>
    <col min="505" max="505" width="9.85546875" style="21" customWidth="1"/>
    <col min="506" max="506" width="14.42578125" style="21" customWidth="1"/>
    <col min="507" max="507" width="7.42578125" style="21" customWidth="1"/>
    <col min="508" max="508" width="5.5703125" style="21" customWidth="1"/>
    <col min="509" max="509" width="9" style="21" customWidth="1"/>
    <col min="510" max="511" width="9.85546875" style="21" customWidth="1"/>
    <col min="512" max="512" width="11.140625" style="21" customWidth="1"/>
    <col min="513" max="513" width="2.85546875" style="21" customWidth="1"/>
    <col min="514" max="514" width="3.5703125" style="21" customWidth="1"/>
    <col min="515" max="759" width="9.140625" style="21"/>
    <col min="760" max="760" width="8.5703125" style="21" customWidth="1"/>
    <col min="761" max="761" width="9.85546875" style="21" customWidth="1"/>
    <col min="762" max="762" width="14.42578125" style="21" customWidth="1"/>
    <col min="763" max="763" width="7.42578125" style="21" customWidth="1"/>
    <col min="764" max="764" width="5.5703125" style="21" customWidth="1"/>
    <col min="765" max="765" width="9" style="21" customWidth="1"/>
    <col min="766" max="767" width="9.85546875" style="21" customWidth="1"/>
    <col min="768" max="768" width="11.140625" style="21" customWidth="1"/>
    <col min="769" max="769" width="2.85546875" style="21" customWidth="1"/>
    <col min="770" max="770" width="3.5703125" style="21" customWidth="1"/>
    <col min="771" max="1015" width="9.140625" style="21"/>
    <col min="1016" max="1016" width="8.5703125" style="21" customWidth="1"/>
    <col min="1017" max="1017" width="9.85546875" style="21" customWidth="1"/>
    <col min="1018" max="1018" width="14.42578125" style="21" customWidth="1"/>
    <col min="1019" max="1019" width="7.42578125" style="21" customWidth="1"/>
    <col min="1020" max="1020" width="5.5703125" style="21" customWidth="1"/>
    <col min="1021" max="1021" width="9" style="21" customWidth="1"/>
    <col min="1022" max="1023" width="9.85546875" style="21" customWidth="1"/>
    <col min="1024" max="1024" width="11.140625" style="21" customWidth="1"/>
    <col min="1025" max="1025" width="2.85546875" style="21" customWidth="1"/>
    <col min="1026" max="1026" width="3.5703125" style="21" customWidth="1"/>
    <col min="1027" max="1271" width="9.140625" style="21"/>
    <col min="1272" max="1272" width="8.5703125" style="21" customWidth="1"/>
    <col min="1273" max="1273" width="9.85546875" style="21" customWidth="1"/>
    <col min="1274" max="1274" width="14.42578125" style="21" customWidth="1"/>
    <col min="1275" max="1275" width="7.42578125" style="21" customWidth="1"/>
    <col min="1276" max="1276" width="5.5703125" style="21" customWidth="1"/>
    <col min="1277" max="1277" width="9" style="21" customWidth="1"/>
    <col min="1278" max="1279" width="9.85546875" style="21" customWidth="1"/>
    <col min="1280" max="1280" width="11.140625" style="21" customWidth="1"/>
    <col min="1281" max="1281" width="2.85546875" style="21" customWidth="1"/>
    <col min="1282" max="1282" width="3.5703125" style="21" customWidth="1"/>
    <col min="1283" max="1527" width="9.140625" style="21"/>
    <col min="1528" max="1528" width="8.5703125" style="21" customWidth="1"/>
    <col min="1529" max="1529" width="9.85546875" style="21" customWidth="1"/>
    <col min="1530" max="1530" width="14.42578125" style="21" customWidth="1"/>
    <col min="1531" max="1531" width="7.42578125" style="21" customWidth="1"/>
    <col min="1532" max="1532" width="5.5703125" style="21" customWidth="1"/>
    <col min="1533" max="1533" width="9" style="21" customWidth="1"/>
    <col min="1534" max="1535" width="9.85546875" style="21" customWidth="1"/>
    <col min="1536" max="1536" width="11.140625" style="21" customWidth="1"/>
    <col min="1537" max="1537" width="2.85546875" style="21" customWidth="1"/>
    <col min="1538" max="1538" width="3.5703125" style="21" customWidth="1"/>
    <col min="1539" max="1783" width="9.140625" style="21"/>
    <col min="1784" max="1784" width="8.5703125" style="21" customWidth="1"/>
    <col min="1785" max="1785" width="9.85546875" style="21" customWidth="1"/>
    <col min="1786" max="1786" width="14.42578125" style="21" customWidth="1"/>
    <col min="1787" max="1787" width="7.42578125" style="21" customWidth="1"/>
    <col min="1788" max="1788" width="5.5703125" style="21" customWidth="1"/>
    <col min="1789" max="1789" width="9" style="21" customWidth="1"/>
    <col min="1790" max="1791" width="9.85546875" style="21" customWidth="1"/>
    <col min="1792" max="1792" width="11.140625" style="21" customWidth="1"/>
    <col min="1793" max="1793" width="2.85546875" style="21" customWidth="1"/>
    <col min="1794" max="1794" width="3.5703125" style="21" customWidth="1"/>
    <col min="1795" max="2039" width="9.140625" style="21"/>
    <col min="2040" max="2040" width="8.5703125" style="21" customWidth="1"/>
    <col min="2041" max="2041" width="9.85546875" style="21" customWidth="1"/>
    <col min="2042" max="2042" width="14.42578125" style="21" customWidth="1"/>
    <col min="2043" max="2043" width="7.42578125" style="21" customWidth="1"/>
    <col min="2044" max="2044" width="5.5703125" style="21" customWidth="1"/>
    <col min="2045" max="2045" width="9" style="21" customWidth="1"/>
    <col min="2046" max="2047" width="9.85546875" style="21" customWidth="1"/>
    <col min="2048" max="2048" width="11.140625" style="21" customWidth="1"/>
    <col min="2049" max="2049" width="2.85546875" style="21" customWidth="1"/>
    <col min="2050" max="2050" width="3.5703125" style="21" customWidth="1"/>
    <col min="2051" max="2295" width="9.140625" style="21"/>
    <col min="2296" max="2296" width="8.5703125" style="21" customWidth="1"/>
    <col min="2297" max="2297" width="9.85546875" style="21" customWidth="1"/>
    <col min="2298" max="2298" width="14.42578125" style="21" customWidth="1"/>
    <col min="2299" max="2299" width="7.42578125" style="21" customWidth="1"/>
    <col min="2300" max="2300" width="5.5703125" style="21" customWidth="1"/>
    <col min="2301" max="2301" width="9" style="21" customWidth="1"/>
    <col min="2302" max="2303" width="9.85546875" style="21" customWidth="1"/>
    <col min="2304" max="2304" width="11.140625" style="21" customWidth="1"/>
    <col min="2305" max="2305" width="2.85546875" style="21" customWidth="1"/>
    <col min="2306" max="2306" width="3.5703125" style="21" customWidth="1"/>
    <col min="2307" max="2551" width="9.140625" style="21"/>
    <col min="2552" max="2552" width="8.5703125" style="21" customWidth="1"/>
    <col min="2553" max="2553" width="9.85546875" style="21" customWidth="1"/>
    <col min="2554" max="2554" width="14.42578125" style="21" customWidth="1"/>
    <col min="2555" max="2555" width="7.42578125" style="21" customWidth="1"/>
    <col min="2556" max="2556" width="5.5703125" style="21" customWidth="1"/>
    <col min="2557" max="2557" width="9" style="21" customWidth="1"/>
    <col min="2558" max="2559" width="9.85546875" style="21" customWidth="1"/>
    <col min="2560" max="2560" width="11.140625" style="21" customWidth="1"/>
    <col min="2561" max="2561" width="2.85546875" style="21" customWidth="1"/>
    <col min="2562" max="2562" width="3.5703125" style="21" customWidth="1"/>
    <col min="2563" max="2807" width="9.140625" style="21"/>
    <col min="2808" max="2808" width="8.5703125" style="21" customWidth="1"/>
    <col min="2809" max="2809" width="9.85546875" style="21" customWidth="1"/>
    <col min="2810" max="2810" width="14.42578125" style="21" customWidth="1"/>
    <col min="2811" max="2811" width="7.42578125" style="21" customWidth="1"/>
    <col min="2812" max="2812" width="5.5703125" style="21" customWidth="1"/>
    <col min="2813" max="2813" width="9" style="21" customWidth="1"/>
    <col min="2814" max="2815" width="9.85546875" style="21" customWidth="1"/>
    <col min="2816" max="2816" width="11.140625" style="21" customWidth="1"/>
    <col min="2817" max="2817" width="2.85546875" style="21" customWidth="1"/>
    <col min="2818" max="2818" width="3.5703125" style="21" customWidth="1"/>
    <col min="2819" max="3063" width="9.140625" style="21"/>
    <col min="3064" max="3064" width="8.5703125" style="21" customWidth="1"/>
    <col min="3065" max="3065" width="9.85546875" style="21" customWidth="1"/>
    <col min="3066" max="3066" width="14.42578125" style="21" customWidth="1"/>
    <col min="3067" max="3067" width="7.42578125" style="21" customWidth="1"/>
    <col min="3068" max="3068" width="5.5703125" style="21" customWidth="1"/>
    <col min="3069" max="3069" width="9" style="21" customWidth="1"/>
    <col min="3070" max="3071" width="9.85546875" style="21" customWidth="1"/>
    <col min="3072" max="3072" width="11.140625" style="21" customWidth="1"/>
    <col min="3073" max="3073" width="2.85546875" style="21" customWidth="1"/>
    <col min="3074" max="3074" width="3.5703125" style="21" customWidth="1"/>
    <col min="3075" max="3319" width="9.140625" style="21"/>
    <col min="3320" max="3320" width="8.5703125" style="21" customWidth="1"/>
    <col min="3321" max="3321" width="9.85546875" style="21" customWidth="1"/>
    <col min="3322" max="3322" width="14.42578125" style="21" customWidth="1"/>
    <col min="3323" max="3323" width="7.42578125" style="21" customWidth="1"/>
    <col min="3324" max="3324" width="5.5703125" style="21" customWidth="1"/>
    <col min="3325" max="3325" width="9" style="21" customWidth="1"/>
    <col min="3326" max="3327" width="9.85546875" style="21" customWidth="1"/>
    <col min="3328" max="3328" width="11.140625" style="21" customWidth="1"/>
    <col min="3329" max="3329" width="2.85546875" style="21" customWidth="1"/>
    <col min="3330" max="3330" width="3.5703125" style="21" customWidth="1"/>
    <col min="3331" max="3575" width="9.140625" style="21"/>
    <col min="3576" max="3576" width="8.5703125" style="21" customWidth="1"/>
    <col min="3577" max="3577" width="9.85546875" style="21" customWidth="1"/>
    <col min="3578" max="3578" width="14.42578125" style="21" customWidth="1"/>
    <col min="3579" max="3579" width="7.42578125" style="21" customWidth="1"/>
    <col min="3580" max="3580" width="5.5703125" style="21" customWidth="1"/>
    <col min="3581" max="3581" width="9" style="21" customWidth="1"/>
    <col min="3582" max="3583" width="9.85546875" style="21" customWidth="1"/>
    <col min="3584" max="3584" width="11.140625" style="21" customWidth="1"/>
    <col min="3585" max="3585" width="2.85546875" style="21" customWidth="1"/>
    <col min="3586" max="3586" width="3.5703125" style="21" customWidth="1"/>
    <col min="3587" max="3831" width="9.140625" style="21"/>
    <col min="3832" max="3832" width="8.5703125" style="21" customWidth="1"/>
    <col min="3833" max="3833" width="9.85546875" style="21" customWidth="1"/>
    <col min="3834" max="3834" width="14.42578125" style="21" customWidth="1"/>
    <col min="3835" max="3835" width="7.42578125" style="21" customWidth="1"/>
    <col min="3836" max="3836" width="5.5703125" style="21" customWidth="1"/>
    <col min="3837" max="3837" width="9" style="21" customWidth="1"/>
    <col min="3838" max="3839" width="9.85546875" style="21" customWidth="1"/>
    <col min="3840" max="3840" width="11.140625" style="21" customWidth="1"/>
    <col min="3841" max="3841" width="2.85546875" style="21" customWidth="1"/>
    <col min="3842" max="3842" width="3.5703125" style="21" customWidth="1"/>
    <col min="3843" max="4087" width="9.140625" style="21"/>
    <col min="4088" max="4088" width="8.5703125" style="21" customWidth="1"/>
    <col min="4089" max="4089" width="9.85546875" style="21" customWidth="1"/>
    <col min="4090" max="4090" width="14.42578125" style="21" customWidth="1"/>
    <col min="4091" max="4091" width="7.42578125" style="21" customWidth="1"/>
    <col min="4092" max="4092" width="5.5703125" style="21" customWidth="1"/>
    <col min="4093" max="4093" width="9" style="21" customWidth="1"/>
    <col min="4094" max="4095" width="9.85546875" style="21" customWidth="1"/>
    <col min="4096" max="4096" width="11.140625" style="21" customWidth="1"/>
    <col min="4097" max="4097" width="2.85546875" style="21" customWidth="1"/>
    <col min="4098" max="4098" width="3.5703125" style="21" customWidth="1"/>
    <col min="4099" max="4343" width="9.140625" style="21"/>
    <col min="4344" max="4344" width="8.5703125" style="21" customWidth="1"/>
    <col min="4345" max="4345" width="9.85546875" style="21" customWidth="1"/>
    <col min="4346" max="4346" width="14.42578125" style="21" customWidth="1"/>
    <col min="4347" max="4347" width="7.42578125" style="21" customWidth="1"/>
    <col min="4348" max="4348" width="5.5703125" style="21" customWidth="1"/>
    <col min="4349" max="4349" width="9" style="21" customWidth="1"/>
    <col min="4350" max="4351" width="9.85546875" style="21" customWidth="1"/>
    <col min="4352" max="4352" width="11.140625" style="21" customWidth="1"/>
    <col min="4353" max="4353" width="2.85546875" style="21" customWidth="1"/>
    <col min="4354" max="4354" width="3.5703125" style="21" customWidth="1"/>
    <col min="4355" max="4599" width="9.140625" style="21"/>
    <col min="4600" max="4600" width="8.5703125" style="21" customWidth="1"/>
    <col min="4601" max="4601" width="9.85546875" style="21" customWidth="1"/>
    <col min="4602" max="4602" width="14.42578125" style="21" customWidth="1"/>
    <col min="4603" max="4603" width="7.42578125" style="21" customWidth="1"/>
    <col min="4604" max="4604" width="5.5703125" style="21" customWidth="1"/>
    <col min="4605" max="4605" width="9" style="21" customWidth="1"/>
    <col min="4606" max="4607" width="9.85546875" style="21" customWidth="1"/>
    <col min="4608" max="4608" width="11.140625" style="21" customWidth="1"/>
    <col min="4609" max="4609" width="2.85546875" style="21" customWidth="1"/>
    <col min="4610" max="4610" width="3.5703125" style="21" customWidth="1"/>
    <col min="4611" max="4855" width="9.140625" style="21"/>
    <col min="4856" max="4856" width="8.5703125" style="21" customWidth="1"/>
    <col min="4857" max="4857" width="9.85546875" style="21" customWidth="1"/>
    <col min="4858" max="4858" width="14.42578125" style="21" customWidth="1"/>
    <col min="4859" max="4859" width="7.42578125" style="21" customWidth="1"/>
    <col min="4860" max="4860" width="5.5703125" style="21" customWidth="1"/>
    <col min="4861" max="4861" width="9" style="21" customWidth="1"/>
    <col min="4862" max="4863" width="9.85546875" style="21" customWidth="1"/>
    <col min="4864" max="4864" width="11.140625" style="21" customWidth="1"/>
    <col min="4865" max="4865" width="2.85546875" style="21" customWidth="1"/>
    <col min="4866" max="4866" width="3.5703125" style="21" customWidth="1"/>
    <col min="4867" max="5111" width="9.140625" style="21"/>
    <col min="5112" max="5112" width="8.5703125" style="21" customWidth="1"/>
    <col min="5113" max="5113" width="9.85546875" style="21" customWidth="1"/>
    <col min="5114" max="5114" width="14.42578125" style="21" customWidth="1"/>
    <col min="5115" max="5115" width="7.42578125" style="21" customWidth="1"/>
    <col min="5116" max="5116" width="5.5703125" style="21" customWidth="1"/>
    <col min="5117" max="5117" width="9" style="21" customWidth="1"/>
    <col min="5118" max="5119" width="9.85546875" style="21" customWidth="1"/>
    <col min="5120" max="5120" width="11.140625" style="21" customWidth="1"/>
    <col min="5121" max="5121" width="2.85546875" style="21" customWidth="1"/>
    <col min="5122" max="5122" width="3.5703125" style="21" customWidth="1"/>
    <col min="5123" max="5367" width="9.140625" style="21"/>
    <col min="5368" max="5368" width="8.5703125" style="21" customWidth="1"/>
    <col min="5369" max="5369" width="9.85546875" style="21" customWidth="1"/>
    <col min="5370" max="5370" width="14.42578125" style="21" customWidth="1"/>
    <col min="5371" max="5371" width="7.42578125" style="21" customWidth="1"/>
    <col min="5372" max="5372" width="5.5703125" style="21" customWidth="1"/>
    <col min="5373" max="5373" width="9" style="21" customWidth="1"/>
    <col min="5374" max="5375" width="9.85546875" style="21" customWidth="1"/>
    <col min="5376" max="5376" width="11.140625" style="21" customWidth="1"/>
    <col min="5377" max="5377" width="2.85546875" style="21" customWidth="1"/>
    <col min="5378" max="5378" width="3.5703125" style="21" customWidth="1"/>
    <col min="5379" max="5623" width="9.140625" style="21"/>
    <col min="5624" max="5624" width="8.5703125" style="21" customWidth="1"/>
    <col min="5625" max="5625" width="9.85546875" style="21" customWidth="1"/>
    <col min="5626" max="5626" width="14.42578125" style="21" customWidth="1"/>
    <col min="5627" max="5627" width="7.42578125" style="21" customWidth="1"/>
    <col min="5628" max="5628" width="5.5703125" style="21" customWidth="1"/>
    <col min="5629" max="5629" width="9" style="21" customWidth="1"/>
    <col min="5630" max="5631" width="9.85546875" style="21" customWidth="1"/>
    <col min="5632" max="5632" width="11.140625" style="21" customWidth="1"/>
    <col min="5633" max="5633" width="2.85546875" style="21" customWidth="1"/>
    <col min="5634" max="5634" width="3.5703125" style="21" customWidth="1"/>
    <col min="5635" max="5879" width="9.140625" style="21"/>
    <col min="5880" max="5880" width="8.5703125" style="21" customWidth="1"/>
    <col min="5881" max="5881" width="9.85546875" style="21" customWidth="1"/>
    <col min="5882" max="5882" width="14.42578125" style="21" customWidth="1"/>
    <col min="5883" max="5883" width="7.42578125" style="21" customWidth="1"/>
    <col min="5884" max="5884" width="5.5703125" style="21" customWidth="1"/>
    <col min="5885" max="5885" width="9" style="21" customWidth="1"/>
    <col min="5886" max="5887" width="9.85546875" style="21" customWidth="1"/>
    <col min="5888" max="5888" width="11.140625" style="21" customWidth="1"/>
    <col min="5889" max="5889" width="2.85546875" style="21" customWidth="1"/>
    <col min="5890" max="5890" width="3.5703125" style="21" customWidth="1"/>
    <col min="5891" max="6135" width="9.140625" style="21"/>
    <col min="6136" max="6136" width="8.5703125" style="21" customWidth="1"/>
    <col min="6137" max="6137" width="9.85546875" style="21" customWidth="1"/>
    <col min="6138" max="6138" width="14.42578125" style="21" customWidth="1"/>
    <col min="6139" max="6139" width="7.42578125" style="21" customWidth="1"/>
    <col min="6140" max="6140" width="5.5703125" style="21" customWidth="1"/>
    <col min="6141" max="6141" width="9" style="21" customWidth="1"/>
    <col min="6142" max="6143" width="9.85546875" style="21" customWidth="1"/>
    <col min="6144" max="6144" width="11.140625" style="21" customWidth="1"/>
    <col min="6145" max="6145" width="2.85546875" style="21" customWidth="1"/>
    <col min="6146" max="6146" width="3.5703125" style="21" customWidth="1"/>
    <col min="6147" max="6391" width="9.140625" style="21"/>
    <col min="6392" max="6392" width="8.5703125" style="21" customWidth="1"/>
    <col min="6393" max="6393" width="9.85546875" style="21" customWidth="1"/>
    <col min="6394" max="6394" width="14.42578125" style="21" customWidth="1"/>
    <col min="6395" max="6395" width="7.42578125" style="21" customWidth="1"/>
    <col min="6396" max="6396" width="5.5703125" style="21" customWidth="1"/>
    <col min="6397" max="6397" width="9" style="21" customWidth="1"/>
    <col min="6398" max="6399" width="9.85546875" style="21" customWidth="1"/>
    <col min="6400" max="6400" width="11.140625" style="21" customWidth="1"/>
    <col min="6401" max="6401" width="2.85546875" style="21" customWidth="1"/>
    <col min="6402" max="6402" width="3.5703125" style="21" customWidth="1"/>
    <col min="6403" max="6647" width="9.140625" style="21"/>
    <col min="6648" max="6648" width="8.5703125" style="21" customWidth="1"/>
    <col min="6649" max="6649" width="9.85546875" style="21" customWidth="1"/>
    <col min="6650" max="6650" width="14.42578125" style="21" customWidth="1"/>
    <col min="6651" max="6651" width="7.42578125" style="21" customWidth="1"/>
    <col min="6652" max="6652" width="5.5703125" style="21" customWidth="1"/>
    <col min="6653" max="6653" width="9" style="21" customWidth="1"/>
    <col min="6654" max="6655" width="9.85546875" style="21" customWidth="1"/>
    <col min="6656" max="6656" width="11.140625" style="21" customWidth="1"/>
    <col min="6657" max="6657" width="2.85546875" style="21" customWidth="1"/>
    <col min="6658" max="6658" width="3.5703125" style="21" customWidth="1"/>
    <col min="6659" max="6903" width="9.140625" style="21"/>
    <col min="6904" max="6904" width="8.5703125" style="21" customWidth="1"/>
    <col min="6905" max="6905" width="9.85546875" style="21" customWidth="1"/>
    <col min="6906" max="6906" width="14.42578125" style="21" customWidth="1"/>
    <col min="6907" max="6907" width="7.42578125" style="21" customWidth="1"/>
    <col min="6908" max="6908" width="5.5703125" style="21" customWidth="1"/>
    <col min="6909" max="6909" width="9" style="21" customWidth="1"/>
    <col min="6910" max="6911" width="9.85546875" style="21" customWidth="1"/>
    <col min="6912" max="6912" width="11.140625" style="21" customWidth="1"/>
    <col min="6913" max="6913" width="2.85546875" style="21" customWidth="1"/>
    <col min="6914" max="6914" width="3.5703125" style="21" customWidth="1"/>
    <col min="6915" max="7159" width="9.140625" style="21"/>
    <col min="7160" max="7160" width="8.5703125" style="21" customWidth="1"/>
    <col min="7161" max="7161" width="9.85546875" style="21" customWidth="1"/>
    <col min="7162" max="7162" width="14.42578125" style="21" customWidth="1"/>
    <col min="7163" max="7163" width="7.42578125" style="21" customWidth="1"/>
    <col min="7164" max="7164" width="5.5703125" style="21" customWidth="1"/>
    <col min="7165" max="7165" width="9" style="21" customWidth="1"/>
    <col min="7166" max="7167" width="9.85546875" style="21" customWidth="1"/>
    <col min="7168" max="7168" width="11.140625" style="21" customWidth="1"/>
    <col min="7169" max="7169" width="2.85546875" style="21" customWidth="1"/>
    <col min="7170" max="7170" width="3.5703125" style="21" customWidth="1"/>
    <col min="7171" max="7415" width="9.140625" style="21"/>
    <col min="7416" max="7416" width="8.5703125" style="21" customWidth="1"/>
    <col min="7417" max="7417" width="9.85546875" style="21" customWidth="1"/>
    <col min="7418" max="7418" width="14.42578125" style="21" customWidth="1"/>
    <col min="7419" max="7419" width="7.42578125" style="21" customWidth="1"/>
    <col min="7420" max="7420" width="5.5703125" style="21" customWidth="1"/>
    <col min="7421" max="7421" width="9" style="21" customWidth="1"/>
    <col min="7422" max="7423" width="9.85546875" style="21" customWidth="1"/>
    <col min="7424" max="7424" width="11.140625" style="21" customWidth="1"/>
    <col min="7425" max="7425" width="2.85546875" style="21" customWidth="1"/>
    <col min="7426" max="7426" width="3.5703125" style="21" customWidth="1"/>
    <col min="7427" max="7671" width="9.140625" style="21"/>
    <col min="7672" max="7672" width="8.5703125" style="21" customWidth="1"/>
    <col min="7673" max="7673" width="9.85546875" style="21" customWidth="1"/>
    <col min="7674" max="7674" width="14.42578125" style="21" customWidth="1"/>
    <col min="7675" max="7675" width="7.42578125" style="21" customWidth="1"/>
    <col min="7676" max="7676" width="5.5703125" style="21" customWidth="1"/>
    <col min="7677" max="7677" width="9" style="21" customWidth="1"/>
    <col min="7678" max="7679" width="9.85546875" style="21" customWidth="1"/>
    <col min="7680" max="7680" width="11.140625" style="21" customWidth="1"/>
    <col min="7681" max="7681" width="2.85546875" style="21" customWidth="1"/>
    <col min="7682" max="7682" width="3.5703125" style="21" customWidth="1"/>
    <col min="7683" max="7927" width="9.140625" style="21"/>
    <col min="7928" max="7928" width="8.5703125" style="21" customWidth="1"/>
    <col min="7929" max="7929" width="9.85546875" style="21" customWidth="1"/>
    <col min="7930" max="7930" width="14.42578125" style="21" customWidth="1"/>
    <col min="7931" max="7931" width="7.42578125" style="21" customWidth="1"/>
    <col min="7932" max="7932" width="5.5703125" style="21" customWidth="1"/>
    <col min="7933" max="7933" width="9" style="21" customWidth="1"/>
    <col min="7934" max="7935" width="9.85546875" style="21" customWidth="1"/>
    <col min="7936" max="7936" width="11.140625" style="21" customWidth="1"/>
    <col min="7937" max="7937" width="2.85546875" style="21" customWidth="1"/>
    <col min="7938" max="7938" width="3.5703125" style="21" customWidth="1"/>
    <col min="7939" max="8183" width="9.140625" style="21"/>
    <col min="8184" max="8184" width="8.5703125" style="21" customWidth="1"/>
    <col min="8185" max="8185" width="9.85546875" style="21" customWidth="1"/>
    <col min="8186" max="8186" width="14.42578125" style="21" customWidth="1"/>
    <col min="8187" max="8187" width="7.42578125" style="21" customWidth="1"/>
    <col min="8188" max="8188" width="5.5703125" style="21" customWidth="1"/>
    <col min="8189" max="8189" width="9" style="21" customWidth="1"/>
    <col min="8190" max="8191" width="9.85546875" style="21" customWidth="1"/>
    <col min="8192" max="8192" width="11.140625" style="21" customWidth="1"/>
    <col min="8193" max="8193" width="2.85546875" style="21" customWidth="1"/>
    <col min="8194" max="8194" width="3.5703125" style="21" customWidth="1"/>
    <col min="8195" max="8439" width="9.140625" style="21"/>
    <col min="8440" max="8440" width="8.5703125" style="21" customWidth="1"/>
    <col min="8441" max="8441" width="9.85546875" style="21" customWidth="1"/>
    <col min="8442" max="8442" width="14.42578125" style="21" customWidth="1"/>
    <col min="8443" max="8443" width="7.42578125" style="21" customWidth="1"/>
    <col min="8444" max="8444" width="5.5703125" style="21" customWidth="1"/>
    <col min="8445" max="8445" width="9" style="21" customWidth="1"/>
    <col min="8446" max="8447" width="9.85546875" style="21" customWidth="1"/>
    <col min="8448" max="8448" width="11.140625" style="21" customWidth="1"/>
    <col min="8449" max="8449" width="2.85546875" style="21" customWidth="1"/>
    <col min="8450" max="8450" width="3.5703125" style="21" customWidth="1"/>
    <col min="8451" max="8695" width="9.140625" style="21"/>
    <col min="8696" max="8696" width="8.5703125" style="21" customWidth="1"/>
    <col min="8697" max="8697" width="9.85546875" style="21" customWidth="1"/>
    <col min="8698" max="8698" width="14.42578125" style="21" customWidth="1"/>
    <col min="8699" max="8699" width="7.42578125" style="21" customWidth="1"/>
    <col min="8700" max="8700" width="5.5703125" style="21" customWidth="1"/>
    <col min="8701" max="8701" width="9" style="21" customWidth="1"/>
    <col min="8702" max="8703" width="9.85546875" style="21" customWidth="1"/>
    <col min="8704" max="8704" width="11.140625" style="21" customWidth="1"/>
    <col min="8705" max="8705" width="2.85546875" style="21" customWidth="1"/>
    <col min="8706" max="8706" width="3.5703125" style="21" customWidth="1"/>
    <col min="8707" max="8951" width="9.140625" style="21"/>
    <col min="8952" max="8952" width="8.5703125" style="21" customWidth="1"/>
    <col min="8953" max="8953" width="9.85546875" style="21" customWidth="1"/>
    <col min="8954" max="8954" width="14.42578125" style="21" customWidth="1"/>
    <col min="8955" max="8955" width="7.42578125" style="21" customWidth="1"/>
    <col min="8956" max="8956" width="5.5703125" style="21" customWidth="1"/>
    <col min="8957" max="8957" width="9" style="21" customWidth="1"/>
    <col min="8958" max="8959" width="9.85546875" style="21" customWidth="1"/>
    <col min="8960" max="8960" width="11.140625" style="21" customWidth="1"/>
    <col min="8961" max="8961" width="2.85546875" style="21" customWidth="1"/>
    <col min="8962" max="8962" width="3.5703125" style="21" customWidth="1"/>
    <col min="8963" max="9207" width="9.140625" style="21"/>
    <col min="9208" max="9208" width="8.5703125" style="21" customWidth="1"/>
    <col min="9209" max="9209" width="9.85546875" style="21" customWidth="1"/>
    <col min="9210" max="9210" width="14.42578125" style="21" customWidth="1"/>
    <col min="9211" max="9211" width="7.42578125" style="21" customWidth="1"/>
    <col min="9212" max="9212" width="5.5703125" style="21" customWidth="1"/>
    <col min="9213" max="9213" width="9" style="21" customWidth="1"/>
    <col min="9214" max="9215" width="9.85546875" style="21" customWidth="1"/>
    <col min="9216" max="9216" width="11.140625" style="21" customWidth="1"/>
    <col min="9217" max="9217" width="2.85546875" style="21" customWidth="1"/>
    <col min="9218" max="9218" width="3.5703125" style="21" customWidth="1"/>
    <col min="9219" max="9463" width="9.140625" style="21"/>
    <col min="9464" max="9464" width="8.5703125" style="21" customWidth="1"/>
    <col min="9465" max="9465" width="9.85546875" style="21" customWidth="1"/>
    <col min="9466" max="9466" width="14.42578125" style="21" customWidth="1"/>
    <col min="9467" max="9467" width="7.42578125" style="21" customWidth="1"/>
    <col min="9468" max="9468" width="5.5703125" style="21" customWidth="1"/>
    <col min="9469" max="9469" width="9" style="21" customWidth="1"/>
    <col min="9470" max="9471" width="9.85546875" style="21" customWidth="1"/>
    <col min="9472" max="9472" width="11.140625" style="21" customWidth="1"/>
    <col min="9473" max="9473" width="2.85546875" style="21" customWidth="1"/>
    <col min="9474" max="9474" width="3.5703125" style="21" customWidth="1"/>
    <col min="9475" max="9719" width="9.140625" style="21"/>
    <col min="9720" max="9720" width="8.5703125" style="21" customWidth="1"/>
    <col min="9721" max="9721" width="9.85546875" style="21" customWidth="1"/>
    <col min="9722" max="9722" width="14.42578125" style="21" customWidth="1"/>
    <col min="9723" max="9723" width="7.42578125" style="21" customWidth="1"/>
    <col min="9724" max="9724" width="5.5703125" style="21" customWidth="1"/>
    <col min="9725" max="9725" width="9" style="21" customWidth="1"/>
    <col min="9726" max="9727" width="9.85546875" style="21" customWidth="1"/>
    <col min="9728" max="9728" width="11.140625" style="21" customWidth="1"/>
    <col min="9729" max="9729" width="2.85546875" style="21" customWidth="1"/>
    <col min="9730" max="9730" width="3.5703125" style="21" customWidth="1"/>
    <col min="9731" max="9975" width="9.140625" style="21"/>
    <col min="9976" max="9976" width="8.5703125" style="21" customWidth="1"/>
    <col min="9977" max="9977" width="9.85546875" style="21" customWidth="1"/>
    <col min="9978" max="9978" width="14.42578125" style="21" customWidth="1"/>
    <col min="9979" max="9979" width="7.42578125" style="21" customWidth="1"/>
    <col min="9980" max="9980" width="5.5703125" style="21" customWidth="1"/>
    <col min="9981" max="9981" width="9" style="21" customWidth="1"/>
    <col min="9982" max="9983" width="9.85546875" style="21" customWidth="1"/>
    <col min="9984" max="9984" width="11.140625" style="21" customWidth="1"/>
    <col min="9985" max="9985" width="2.85546875" style="21" customWidth="1"/>
    <col min="9986" max="9986" width="3.5703125" style="21" customWidth="1"/>
    <col min="9987" max="10231" width="9.140625" style="21"/>
    <col min="10232" max="10232" width="8.5703125" style="21" customWidth="1"/>
    <col min="10233" max="10233" width="9.85546875" style="21" customWidth="1"/>
    <col min="10234" max="10234" width="14.42578125" style="21" customWidth="1"/>
    <col min="10235" max="10235" width="7.42578125" style="21" customWidth="1"/>
    <col min="10236" max="10236" width="5.5703125" style="21" customWidth="1"/>
    <col min="10237" max="10237" width="9" style="21" customWidth="1"/>
    <col min="10238" max="10239" width="9.85546875" style="21" customWidth="1"/>
    <col min="10240" max="10240" width="11.140625" style="21" customWidth="1"/>
    <col min="10241" max="10241" width="2.85546875" style="21" customWidth="1"/>
    <col min="10242" max="10242" width="3.5703125" style="21" customWidth="1"/>
    <col min="10243" max="10487" width="9.140625" style="21"/>
    <col min="10488" max="10488" width="8.5703125" style="21" customWidth="1"/>
    <col min="10489" max="10489" width="9.85546875" style="21" customWidth="1"/>
    <col min="10490" max="10490" width="14.42578125" style="21" customWidth="1"/>
    <col min="10491" max="10491" width="7.42578125" style="21" customWidth="1"/>
    <col min="10492" max="10492" width="5.5703125" style="21" customWidth="1"/>
    <col min="10493" max="10493" width="9" style="21" customWidth="1"/>
    <col min="10494" max="10495" width="9.85546875" style="21" customWidth="1"/>
    <col min="10496" max="10496" width="11.140625" style="21" customWidth="1"/>
    <col min="10497" max="10497" width="2.85546875" style="21" customWidth="1"/>
    <col min="10498" max="10498" width="3.5703125" style="21" customWidth="1"/>
    <col min="10499" max="10743" width="9.140625" style="21"/>
    <col min="10744" max="10744" width="8.5703125" style="21" customWidth="1"/>
    <col min="10745" max="10745" width="9.85546875" style="21" customWidth="1"/>
    <col min="10746" max="10746" width="14.42578125" style="21" customWidth="1"/>
    <col min="10747" max="10747" width="7.42578125" style="21" customWidth="1"/>
    <col min="10748" max="10748" width="5.5703125" style="21" customWidth="1"/>
    <col min="10749" max="10749" width="9" style="21" customWidth="1"/>
    <col min="10750" max="10751" width="9.85546875" style="21" customWidth="1"/>
    <col min="10752" max="10752" width="11.140625" style="21" customWidth="1"/>
    <col min="10753" max="10753" width="2.85546875" style="21" customWidth="1"/>
    <col min="10754" max="10754" width="3.5703125" style="21" customWidth="1"/>
    <col min="10755" max="10999" width="9.140625" style="21"/>
    <col min="11000" max="11000" width="8.5703125" style="21" customWidth="1"/>
    <col min="11001" max="11001" width="9.85546875" style="21" customWidth="1"/>
    <col min="11002" max="11002" width="14.42578125" style="21" customWidth="1"/>
    <col min="11003" max="11003" width="7.42578125" style="21" customWidth="1"/>
    <col min="11004" max="11004" width="5.5703125" style="21" customWidth="1"/>
    <col min="11005" max="11005" width="9" style="21" customWidth="1"/>
    <col min="11006" max="11007" width="9.85546875" style="21" customWidth="1"/>
    <col min="11008" max="11008" width="11.140625" style="21" customWidth="1"/>
    <col min="11009" max="11009" width="2.85546875" style="21" customWidth="1"/>
    <col min="11010" max="11010" width="3.5703125" style="21" customWidth="1"/>
    <col min="11011" max="11255" width="9.140625" style="21"/>
    <col min="11256" max="11256" width="8.5703125" style="21" customWidth="1"/>
    <col min="11257" max="11257" width="9.85546875" style="21" customWidth="1"/>
    <col min="11258" max="11258" width="14.42578125" style="21" customWidth="1"/>
    <col min="11259" max="11259" width="7.42578125" style="21" customWidth="1"/>
    <col min="11260" max="11260" width="5.5703125" style="21" customWidth="1"/>
    <col min="11261" max="11261" width="9" style="21" customWidth="1"/>
    <col min="11262" max="11263" width="9.85546875" style="21" customWidth="1"/>
    <col min="11264" max="11264" width="11.140625" style="21" customWidth="1"/>
    <col min="11265" max="11265" width="2.85546875" style="21" customWidth="1"/>
    <col min="11266" max="11266" width="3.5703125" style="21" customWidth="1"/>
    <col min="11267" max="11511" width="9.140625" style="21"/>
    <col min="11512" max="11512" width="8.5703125" style="21" customWidth="1"/>
    <col min="11513" max="11513" width="9.85546875" style="21" customWidth="1"/>
    <col min="11514" max="11514" width="14.42578125" style="21" customWidth="1"/>
    <col min="11515" max="11515" width="7.42578125" style="21" customWidth="1"/>
    <col min="11516" max="11516" width="5.5703125" style="21" customWidth="1"/>
    <col min="11517" max="11517" width="9" style="21" customWidth="1"/>
    <col min="11518" max="11519" width="9.85546875" style="21" customWidth="1"/>
    <col min="11520" max="11520" width="11.140625" style="21" customWidth="1"/>
    <col min="11521" max="11521" width="2.85546875" style="21" customWidth="1"/>
    <col min="11522" max="11522" width="3.5703125" style="21" customWidth="1"/>
    <col min="11523" max="11767" width="9.140625" style="21"/>
    <col min="11768" max="11768" width="8.5703125" style="21" customWidth="1"/>
    <col min="11769" max="11769" width="9.85546875" style="21" customWidth="1"/>
    <col min="11770" max="11770" width="14.42578125" style="21" customWidth="1"/>
    <col min="11771" max="11771" width="7.42578125" style="21" customWidth="1"/>
    <col min="11772" max="11772" width="5.5703125" style="21" customWidth="1"/>
    <col min="11773" max="11773" width="9" style="21" customWidth="1"/>
    <col min="11774" max="11775" width="9.85546875" style="21" customWidth="1"/>
    <col min="11776" max="11776" width="11.140625" style="21" customWidth="1"/>
    <col min="11777" max="11777" width="2.85546875" style="21" customWidth="1"/>
    <col min="11778" max="11778" width="3.5703125" style="21" customWidth="1"/>
    <col min="11779" max="12023" width="9.140625" style="21"/>
    <col min="12024" max="12024" width="8.5703125" style="21" customWidth="1"/>
    <col min="12025" max="12025" width="9.85546875" style="21" customWidth="1"/>
    <col min="12026" max="12026" width="14.42578125" style="21" customWidth="1"/>
    <col min="12027" max="12027" width="7.42578125" style="21" customWidth="1"/>
    <col min="12028" max="12028" width="5.5703125" style="21" customWidth="1"/>
    <col min="12029" max="12029" width="9" style="21" customWidth="1"/>
    <col min="12030" max="12031" width="9.85546875" style="21" customWidth="1"/>
    <col min="12032" max="12032" width="11.140625" style="21" customWidth="1"/>
    <col min="12033" max="12033" width="2.85546875" style="21" customWidth="1"/>
    <col min="12034" max="12034" width="3.5703125" style="21" customWidth="1"/>
    <col min="12035" max="12279" width="9.140625" style="21"/>
    <col min="12280" max="12280" width="8.5703125" style="21" customWidth="1"/>
    <col min="12281" max="12281" width="9.85546875" style="21" customWidth="1"/>
    <col min="12282" max="12282" width="14.42578125" style="21" customWidth="1"/>
    <col min="12283" max="12283" width="7.42578125" style="21" customWidth="1"/>
    <col min="12284" max="12284" width="5.5703125" style="21" customWidth="1"/>
    <col min="12285" max="12285" width="9" style="21" customWidth="1"/>
    <col min="12286" max="12287" width="9.85546875" style="21" customWidth="1"/>
    <col min="12288" max="12288" width="11.140625" style="21" customWidth="1"/>
    <col min="12289" max="12289" width="2.85546875" style="21" customWidth="1"/>
    <col min="12290" max="12290" width="3.5703125" style="21" customWidth="1"/>
    <col min="12291" max="12535" width="9.140625" style="21"/>
    <col min="12536" max="12536" width="8.5703125" style="21" customWidth="1"/>
    <col min="12537" max="12537" width="9.85546875" style="21" customWidth="1"/>
    <col min="12538" max="12538" width="14.42578125" style="21" customWidth="1"/>
    <col min="12539" max="12539" width="7.42578125" style="21" customWidth="1"/>
    <col min="12540" max="12540" width="5.5703125" style="21" customWidth="1"/>
    <col min="12541" max="12541" width="9" style="21" customWidth="1"/>
    <col min="12542" max="12543" width="9.85546875" style="21" customWidth="1"/>
    <col min="12544" max="12544" width="11.140625" style="21" customWidth="1"/>
    <col min="12545" max="12545" width="2.85546875" style="21" customWidth="1"/>
    <col min="12546" max="12546" width="3.5703125" style="21" customWidth="1"/>
    <col min="12547" max="12791" width="9.140625" style="21"/>
    <col min="12792" max="12792" width="8.5703125" style="21" customWidth="1"/>
    <col min="12793" max="12793" width="9.85546875" style="21" customWidth="1"/>
    <col min="12794" max="12794" width="14.42578125" style="21" customWidth="1"/>
    <col min="12795" max="12795" width="7.42578125" style="21" customWidth="1"/>
    <col min="12796" max="12796" width="5.5703125" style="21" customWidth="1"/>
    <col min="12797" max="12797" width="9" style="21" customWidth="1"/>
    <col min="12798" max="12799" width="9.85546875" style="21" customWidth="1"/>
    <col min="12800" max="12800" width="11.140625" style="21" customWidth="1"/>
    <col min="12801" max="12801" width="2.85546875" style="21" customWidth="1"/>
    <col min="12802" max="12802" width="3.5703125" style="21" customWidth="1"/>
    <col min="12803" max="13047" width="9.140625" style="21"/>
    <col min="13048" max="13048" width="8.5703125" style="21" customWidth="1"/>
    <col min="13049" max="13049" width="9.85546875" style="21" customWidth="1"/>
    <col min="13050" max="13050" width="14.42578125" style="21" customWidth="1"/>
    <col min="13051" max="13051" width="7.42578125" style="21" customWidth="1"/>
    <col min="13052" max="13052" width="5.5703125" style="21" customWidth="1"/>
    <col min="13053" max="13053" width="9" style="21" customWidth="1"/>
    <col min="13054" max="13055" width="9.85546875" style="21" customWidth="1"/>
    <col min="13056" max="13056" width="11.140625" style="21" customWidth="1"/>
    <col min="13057" max="13057" width="2.85546875" style="21" customWidth="1"/>
    <col min="13058" max="13058" width="3.5703125" style="21" customWidth="1"/>
    <col min="13059" max="13303" width="9.140625" style="21"/>
    <col min="13304" max="13304" width="8.5703125" style="21" customWidth="1"/>
    <col min="13305" max="13305" width="9.85546875" style="21" customWidth="1"/>
    <col min="13306" max="13306" width="14.42578125" style="21" customWidth="1"/>
    <col min="13307" max="13307" width="7.42578125" style="21" customWidth="1"/>
    <col min="13308" max="13308" width="5.5703125" style="21" customWidth="1"/>
    <col min="13309" max="13309" width="9" style="21" customWidth="1"/>
    <col min="13310" max="13311" width="9.85546875" style="21" customWidth="1"/>
    <col min="13312" max="13312" width="11.140625" style="21" customWidth="1"/>
    <col min="13313" max="13313" width="2.85546875" style="21" customWidth="1"/>
    <col min="13314" max="13314" width="3.5703125" style="21" customWidth="1"/>
    <col min="13315" max="13559" width="9.140625" style="21"/>
    <col min="13560" max="13560" width="8.5703125" style="21" customWidth="1"/>
    <col min="13561" max="13561" width="9.85546875" style="21" customWidth="1"/>
    <col min="13562" max="13562" width="14.42578125" style="21" customWidth="1"/>
    <col min="13563" max="13563" width="7.42578125" style="21" customWidth="1"/>
    <col min="13564" max="13564" width="5.5703125" style="21" customWidth="1"/>
    <col min="13565" max="13565" width="9" style="21" customWidth="1"/>
    <col min="13566" max="13567" width="9.85546875" style="21" customWidth="1"/>
    <col min="13568" max="13568" width="11.140625" style="21" customWidth="1"/>
    <col min="13569" max="13569" width="2.85546875" style="21" customWidth="1"/>
    <col min="13570" max="13570" width="3.5703125" style="21" customWidth="1"/>
    <col min="13571" max="13815" width="9.140625" style="21"/>
    <col min="13816" max="13816" width="8.5703125" style="21" customWidth="1"/>
    <col min="13817" max="13817" width="9.85546875" style="21" customWidth="1"/>
    <col min="13818" max="13818" width="14.42578125" style="21" customWidth="1"/>
    <col min="13819" max="13819" width="7.42578125" style="21" customWidth="1"/>
    <col min="13820" max="13820" width="5.5703125" style="21" customWidth="1"/>
    <col min="13821" max="13821" width="9" style="21" customWidth="1"/>
    <col min="13822" max="13823" width="9.85546875" style="21" customWidth="1"/>
    <col min="13824" max="13824" width="11.140625" style="21" customWidth="1"/>
    <col min="13825" max="13825" width="2.85546875" style="21" customWidth="1"/>
    <col min="13826" max="13826" width="3.5703125" style="21" customWidth="1"/>
    <col min="13827" max="14071" width="9.140625" style="21"/>
    <col min="14072" max="14072" width="8.5703125" style="21" customWidth="1"/>
    <col min="14073" max="14073" width="9.85546875" style="21" customWidth="1"/>
    <col min="14074" max="14074" width="14.42578125" style="21" customWidth="1"/>
    <col min="14075" max="14075" width="7.42578125" style="21" customWidth="1"/>
    <col min="14076" max="14076" width="5.5703125" style="21" customWidth="1"/>
    <col min="14077" max="14077" width="9" style="21" customWidth="1"/>
    <col min="14078" max="14079" width="9.85546875" style="21" customWidth="1"/>
    <col min="14080" max="14080" width="11.140625" style="21" customWidth="1"/>
    <col min="14081" max="14081" width="2.85546875" style="21" customWidth="1"/>
    <col min="14082" max="14082" width="3.5703125" style="21" customWidth="1"/>
    <col min="14083" max="14327" width="9.140625" style="21"/>
    <col min="14328" max="14328" width="8.5703125" style="21" customWidth="1"/>
    <col min="14329" max="14329" width="9.85546875" style="21" customWidth="1"/>
    <col min="14330" max="14330" width="14.42578125" style="21" customWidth="1"/>
    <col min="14331" max="14331" width="7.42578125" style="21" customWidth="1"/>
    <col min="14332" max="14332" width="5.5703125" style="21" customWidth="1"/>
    <col min="14333" max="14333" width="9" style="21" customWidth="1"/>
    <col min="14334" max="14335" width="9.85546875" style="21" customWidth="1"/>
    <col min="14336" max="14336" width="11.140625" style="21" customWidth="1"/>
    <col min="14337" max="14337" width="2.85546875" style="21" customWidth="1"/>
    <col min="14338" max="14338" width="3.5703125" style="21" customWidth="1"/>
    <col min="14339" max="14583" width="9.140625" style="21"/>
    <col min="14584" max="14584" width="8.5703125" style="21" customWidth="1"/>
    <col min="14585" max="14585" width="9.85546875" style="21" customWidth="1"/>
    <col min="14586" max="14586" width="14.42578125" style="21" customWidth="1"/>
    <col min="14587" max="14587" width="7.42578125" style="21" customWidth="1"/>
    <col min="14588" max="14588" width="5.5703125" style="21" customWidth="1"/>
    <col min="14589" max="14589" width="9" style="21" customWidth="1"/>
    <col min="14590" max="14591" width="9.85546875" style="21" customWidth="1"/>
    <col min="14592" max="14592" width="11.140625" style="21" customWidth="1"/>
    <col min="14593" max="14593" width="2.85546875" style="21" customWidth="1"/>
    <col min="14594" max="14594" width="3.5703125" style="21" customWidth="1"/>
    <col min="14595" max="14839" width="9.140625" style="21"/>
    <col min="14840" max="14840" width="8.5703125" style="21" customWidth="1"/>
    <col min="14841" max="14841" width="9.85546875" style="21" customWidth="1"/>
    <col min="14842" max="14842" width="14.42578125" style="21" customWidth="1"/>
    <col min="14843" max="14843" width="7.42578125" style="21" customWidth="1"/>
    <col min="14844" max="14844" width="5.5703125" style="21" customWidth="1"/>
    <col min="14845" max="14845" width="9" style="21" customWidth="1"/>
    <col min="14846" max="14847" width="9.85546875" style="21" customWidth="1"/>
    <col min="14848" max="14848" width="11.140625" style="21" customWidth="1"/>
    <col min="14849" max="14849" width="2.85546875" style="21" customWidth="1"/>
    <col min="14850" max="14850" width="3.5703125" style="21" customWidth="1"/>
    <col min="14851" max="15095" width="9.140625" style="21"/>
    <col min="15096" max="15096" width="8.5703125" style="21" customWidth="1"/>
    <col min="15097" max="15097" width="9.85546875" style="21" customWidth="1"/>
    <col min="15098" max="15098" width="14.42578125" style="21" customWidth="1"/>
    <col min="15099" max="15099" width="7.42578125" style="21" customWidth="1"/>
    <col min="15100" max="15100" width="5.5703125" style="21" customWidth="1"/>
    <col min="15101" max="15101" width="9" style="21" customWidth="1"/>
    <col min="15102" max="15103" width="9.85546875" style="21" customWidth="1"/>
    <col min="15104" max="15104" width="11.140625" style="21" customWidth="1"/>
    <col min="15105" max="15105" width="2.85546875" style="21" customWidth="1"/>
    <col min="15106" max="15106" width="3.5703125" style="21" customWidth="1"/>
    <col min="15107" max="15351" width="9.140625" style="21"/>
    <col min="15352" max="15352" width="8.5703125" style="21" customWidth="1"/>
    <col min="15353" max="15353" width="9.85546875" style="21" customWidth="1"/>
    <col min="15354" max="15354" width="14.42578125" style="21" customWidth="1"/>
    <col min="15355" max="15355" width="7.42578125" style="21" customWidth="1"/>
    <col min="15356" max="15356" width="5.5703125" style="21" customWidth="1"/>
    <col min="15357" max="15357" width="9" style="21" customWidth="1"/>
    <col min="15358" max="15359" width="9.85546875" style="21" customWidth="1"/>
    <col min="15360" max="15360" width="11.140625" style="21" customWidth="1"/>
    <col min="15361" max="15361" width="2.85546875" style="21" customWidth="1"/>
    <col min="15362" max="15362" width="3.5703125" style="21" customWidth="1"/>
    <col min="15363" max="15607" width="9.140625" style="21"/>
    <col min="15608" max="15608" width="8.5703125" style="21" customWidth="1"/>
    <col min="15609" max="15609" width="9.85546875" style="21" customWidth="1"/>
    <col min="15610" max="15610" width="14.42578125" style="21" customWidth="1"/>
    <col min="15611" max="15611" width="7.42578125" style="21" customWidth="1"/>
    <col min="15612" max="15612" width="5.5703125" style="21" customWidth="1"/>
    <col min="15613" max="15613" width="9" style="21" customWidth="1"/>
    <col min="15614" max="15615" width="9.85546875" style="21" customWidth="1"/>
    <col min="15616" max="15616" width="11.140625" style="21" customWidth="1"/>
    <col min="15617" max="15617" width="2.85546875" style="21" customWidth="1"/>
    <col min="15618" max="15618" width="3.5703125" style="21" customWidth="1"/>
    <col min="15619" max="15863" width="9.140625" style="21"/>
    <col min="15864" max="15864" width="8.5703125" style="21" customWidth="1"/>
    <col min="15865" max="15865" width="9.85546875" style="21" customWidth="1"/>
    <col min="15866" max="15866" width="14.42578125" style="21" customWidth="1"/>
    <col min="15867" max="15867" width="7.42578125" style="21" customWidth="1"/>
    <col min="15868" max="15868" width="5.5703125" style="21" customWidth="1"/>
    <col min="15869" max="15869" width="9" style="21" customWidth="1"/>
    <col min="15870" max="15871" width="9.85546875" style="21" customWidth="1"/>
    <col min="15872" max="15872" width="11.140625" style="21" customWidth="1"/>
    <col min="15873" max="15873" width="2.85546875" style="21" customWidth="1"/>
    <col min="15874" max="15874" width="3.5703125" style="21" customWidth="1"/>
    <col min="15875" max="16119" width="9.140625" style="21"/>
    <col min="16120" max="16120" width="8.5703125" style="21" customWidth="1"/>
    <col min="16121" max="16121" width="9.85546875" style="21" customWidth="1"/>
    <col min="16122" max="16122" width="14.42578125" style="21" customWidth="1"/>
    <col min="16123" max="16123" width="7.42578125" style="21" customWidth="1"/>
    <col min="16124" max="16124" width="5.5703125" style="21" customWidth="1"/>
    <col min="16125" max="16125" width="9" style="21" customWidth="1"/>
    <col min="16126" max="16127" width="9.85546875" style="21" customWidth="1"/>
    <col min="16128" max="16128" width="11.140625" style="21" customWidth="1"/>
    <col min="16129" max="16129" width="2.85546875" style="21" customWidth="1"/>
    <col min="16130" max="16130" width="3.5703125" style="21" customWidth="1"/>
    <col min="16131" max="16384" width="9.140625" style="21"/>
  </cols>
  <sheetData>
    <row r="1" spans="1:26" ht="46.5" customHeight="1" x14ac:dyDescent="0.25">
      <c r="A1" s="149" t="s">
        <v>277</v>
      </c>
      <c r="B1" s="149"/>
      <c r="C1" s="149"/>
      <c r="D1" s="149"/>
      <c r="E1" s="149"/>
      <c r="F1" s="149"/>
      <c r="G1" s="149"/>
      <c r="H1" s="149"/>
    </row>
    <row r="2" spans="1:26" ht="16.5" customHeight="1" x14ac:dyDescent="0.25">
      <c r="A2" s="150" t="s">
        <v>0</v>
      </c>
      <c r="B2" s="150"/>
      <c r="C2" s="150"/>
      <c r="D2" s="150"/>
      <c r="E2" s="150"/>
      <c r="F2" s="150"/>
      <c r="G2" s="150"/>
      <c r="H2" s="150"/>
    </row>
    <row r="3" spans="1:26" x14ac:dyDescent="0.25">
      <c r="A3" s="72" t="s">
        <v>1</v>
      </c>
      <c r="B3" s="72"/>
      <c r="C3" s="72"/>
      <c r="D3" s="72"/>
      <c r="E3" s="72" t="str">
        <f ca="1">TEXT(TODAY(),"DD/MM/YYYY")</f>
        <v>16/09/2025</v>
      </c>
      <c r="F3" s="72"/>
      <c r="G3" s="72"/>
      <c r="H3" s="72"/>
    </row>
    <row r="4" spans="1:26" ht="15" customHeight="1" x14ac:dyDescent="0.25">
      <c r="A4" s="72" t="s">
        <v>2</v>
      </c>
      <c r="B4" s="72"/>
      <c r="C4" s="72"/>
      <c r="D4" s="72"/>
      <c r="E4" s="72" t="s">
        <v>177</v>
      </c>
      <c r="F4" s="72"/>
      <c r="G4" s="72"/>
      <c r="H4" s="72"/>
    </row>
    <row r="5" spans="1:26" x14ac:dyDescent="0.25">
      <c r="A5" s="72" t="s">
        <v>3</v>
      </c>
      <c r="B5" s="72"/>
      <c r="C5" s="72"/>
      <c r="D5" s="72"/>
      <c r="E5" s="151">
        <v>45909</v>
      </c>
      <c r="F5" s="72"/>
      <c r="G5" s="72"/>
      <c r="H5" s="72"/>
    </row>
    <row r="6" spans="1:26" ht="16.5" customHeight="1" x14ac:dyDescent="0.25">
      <c r="A6" s="72" t="s">
        <v>4</v>
      </c>
      <c r="B6" s="72"/>
      <c r="C6" s="72"/>
      <c r="D6" s="72"/>
      <c r="E6" s="72" t="s">
        <v>237</v>
      </c>
      <c r="F6" s="72"/>
      <c r="G6" s="72"/>
      <c r="H6" s="72"/>
    </row>
    <row r="7" spans="1:26" ht="15" customHeight="1" x14ac:dyDescent="0.25">
      <c r="A7" s="72" t="s">
        <v>5</v>
      </c>
      <c r="B7" s="72"/>
      <c r="C7" s="72"/>
      <c r="D7" s="72"/>
      <c r="E7" s="72" t="str">
        <f>E6</f>
        <v>Shree Krishna Sai Development Corporation</v>
      </c>
      <c r="F7" s="72"/>
      <c r="G7" s="72"/>
      <c r="H7" s="72"/>
    </row>
    <row r="8" spans="1:26" x14ac:dyDescent="0.25">
      <c r="A8" s="72" t="s">
        <v>6</v>
      </c>
      <c r="B8" s="72"/>
      <c r="C8" s="72"/>
      <c r="D8" s="72"/>
      <c r="E8" s="119" t="s">
        <v>238</v>
      </c>
      <c r="F8" s="119"/>
      <c r="G8" s="119"/>
      <c r="H8" s="119"/>
    </row>
    <row r="9" spans="1:26" x14ac:dyDescent="0.25">
      <c r="A9" s="72" t="s">
        <v>174</v>
      </c>
      <c r="B9" s="72"/>
      <c r="C9" s="72"/>
      <c r="D9" s="72"/>
      <c r="E9" s="72">
        <v>26304005</v>
      </c>
      <c r="F9" s="72"/>
      <c r="G9" s="72"/>
      <c r="H9" s="72"/>
    </row>
    <row r="10" spans="1:26" hidden="1" x14ac:dyDescent="0.25">
      <c r="A10" s="72" t="s">
        <v>175</v>
      </c>
      <c r="B10" s="72"/>
      <c r="C10" s="72"/>
      <c r="D10" s="72"/>
      <c r="E10" s="72" t="s">
        <v>285</v>
      </c>
      <c r="F10" s="72"/>
      <c r="G10" s="72"/>
      <c r="H10" s="72"/>
      <c r="I10" s="72">
        <v>9987000099</v>
      </c>
      <c r="J10" s="72"/>
      <c r="K10" s="72"/>
      <c r="L10" s="72"/>
    </row>
    <row r="11" spans="1:26" x14ac:dyDescent="0.25">
      <c r="A11" s="72" t="s">
        <v>7</v>
      </c>
      <c r="B11" s="72"/>
      <c r="C11" s="72"/>
      <c r="D11" s="72"/>
      <c r="E11" s="72" t="s">
        <v>240</v>
      </c>
      <c r="F11" s="72"/>
      <c r="G11" s="72"/>
      <c r="H11" s="72"/>
    </row>
    <row r="12" spans="1:26" x14ac:dyDescent="0.25">
      <c r="A12" s="72" t="s">
        <v>178</v>
      </c>
      <c r="B12" s="72"/>
      <c r="C12" s="72"/>
      <c r="D12" s="72"/>
      <c r="E12" s="72" t="s">
        <v>278</v>
      </c>
      <c r="F12" s="72"/>
      <c r="G12" s="72"/>
      <c r="H12" s="72"/>
      <c r="S12" s="56" t="s">
        <v>184</v>
      </c>
      <c r="T12" s="56" t="s">
        <v>194</v>
      </c>
      <c r="U12" s="56" t="s">
        <v>179</v>
      </c>
      <c r="V12" s="56" t="s">
        <v>199</v>
      </c>
      <c r="W12" s="56" t="s">
        <v>217</v>
      </c>
      <c r="X12"/>
      <c r="Y12" t="s">
        <v>199</v>
      </c>
      <c r="Z12" t="e">
        <f ca="1">OFFSET($S$12,1,MATCH($G19,$S$12:$W$12,0)-1,15,1)</f>
        <v>#VALUE!</v>
      </c>
    </row>
    <row r="13" spans="1:26" x14ac:dyDescent="0.25">
      <c r="A13" s="76" t="s">
        <v>8</v>
      </c>
      <c r="B13" s="76"/>
      <c r="C13" s="76"/>
      <c r="D13" s="76"/>
      <c r="E13" s="85" t="s">
        <v>232</v>
      </c>
      <c r="F13" s="85"/>
      <c r="G13" s="85"/>
      <c r="H13" s="85"/>
      <c r="S13" s="56" t="s">
        <v>185</v>
      </c>
      <c r="T13" s="56" t="s">
        <v>192</v>
      </c>
      <c r="U13" s="56" t="s">
        <v>214</v>
      </c>
      <c r="V13" s="56" t="s">
        <v>200</v>
      </c>
      <c r="W13" s="56" t="s">
        <v>218</v>
      </c>
      <c r="X13"/>
      <c r="Y13"/>
      <c r="Z13"/>
    </row>
    <row r="14" spans="1:26" x14ac:dyDescent="0.25">
      <c r="A14" s="76" t="s">
        <v>9</v>
      </c>
      <c r="B14" s="76"/>
      <c r="C14" s="76"/>
      <c r="D14" s="76"/>
      <c r="E14" s="85" t="s">
        <v>239</v>
      </c>
      <c r="F14" s="72"/>
      <c r="G14" s="72"/>
      <c r="H14" s="72"/>
      <c r="I14" s="200" t="e">
        <f ca="1">OFFSET($D$4,1,MATCH($J12,$D$4:$H$4,0)-1,15,1)</f>
        <v>#N/A</v>
      </c>
      <c r="J14" s="201"/>
      <c r="K14" s="201"/>
      <c r="L14" s="201"/>
      <c r="M14" s="201"/>
      <c r="N14" s="201"/>
      <c r="O14" s="201"/>
      <c r="P14" s="201"/>
      <c r="S14" s="56" t="s">
        <v>186</v>
      </c>
      <c r="T14" s="56" t="s">
        <v>193</v>
      </c>
      <c r="U14" s="56" t="s">
        <v>215</v>
      </c>
      <c r="V14" s="56" t="s">
        <v>201</v>
      </c>
      <c r="W14" s="56" t="s">
        <v>231</v>
      </c>
      <c r="X14"/>
      <c r="Y14"/>
      <c r="Z14"/>
    </row>
    <row r="15" spans="1:26" ht="48.75" customHeight="1" x14ac:dyDescent="0.25">
      <c r="A15" s="85" t="s">
        <v>10</v>
      </c>
      <c r="B15" s="85"/>
      <c r="C15" s="85" t="str">
        <f>CONCATENATE((IF(OR(E8="",E8="NA"),"",E8)),", ",(IF(OR(A16="",A16="NA"),"",A16)),".",(IF(OR(C16="",C16="NA"),"",C16)),", near ",(IF(OR(C21="",C21="NA"),"",C21)),", ",(IF(OR(C18="",C18="NA"),"",C18)),", ",(IF(OR(C17="",C17="NA"),"",C17)),", ",(IF(OR(G18="",G18="NA"),"",G18)),", ",(IF(OR(C19="",C19="NA"),"",C19)),", ",(IF(OR(C20="",C20="NA"),"",C20)),", ",(IF(OR(G19="",G19="NA"),"",G19))," - ",(IF(OR(G20="",G20="NA"),"",G20)),".")</f>
        <v>Khandelwal Reserve Wing B, Plot No.7, R.S.C.3 &amp; Redevelopment of building " Gorai Shree Shiv Shankar CHSL ", near Shiv Shambhu CHS, Internal Road, Gorai 3, Borivali, Borivali (West), Borivali, Mumbai - 400091.</v>
      </c>
      <c r="D15" s="85"/>
      <c r="E15" s="85"/>
      <c r="F15" s="85"/>
      <c r="G15" s="85"/>
      <c r="H15" s="85"/>
      <c r="S15" s="56" t="s">
        <v>187</v>
      </c>
      <c r="T15" s="56" t="s">
        <v>195</v>
      </c>
      <c r="U15" s="56" t="s">
        <v>216</v>
      </c>
      <c r="V15" s="56" t="s">
        <v>202</v>
      </c>
      <c r="W15" s="56" t="s">
        <v>219</v>
      </c>
      <c r="X15"/>
      <c r="Y15"/>
      <c r="Z15"/>
    </row>
    <row r="16" spans="1:26" x14ac:dyDescent="0.25">
      <c r="A16" s="85" t="s">
        <v>241</v>
      </c>
      <c r="B16" s="85"/>
      <c r="C16" s="85" t="s">
        <v>279</v>
      </c>
      <c r="D16" s="85"/>
      <c r="E16" s="85"/>
      <c r="F16" s="85"/>
      <c r="G16" s="85"/>
      <c r="H16" s="85"/>
      <c r="S16" s="56" t="s">
        <v>188</v>
      </c>
      <c r="T16" s="56" t="s">
        <v>196</v>
      </c>
      <c r="U16" s="56"/>
      <c r="V16" s="56" t="s">
        <v>203</v>
      </c>
      <c r="W16" s="56" t="s">
        <v>220</v>
      </c>
      <c r="X16"/>
      <c r="Y16"/>
      <c r="Z16"/>
    </row>
    <row r="17" spans="1:26" ht="15.75" customHeight="1" x14ac:dyDescent="0.25">
      <c r="A17" s="85" t="s">
        <v>171</v>
      </c>
      <c r="B17" s="85"/>
      <c r="C17" s="85" t="s">
        <v>272</v>
      </c>
      <c r="D17" s="85"/>
      <c r="E17" s="85"/>
      <c r="F17" s="85"/>
      <c r="G17" s="85"/>
      <c r="H17" s="85"/>
      <c r="S17" s="56" t="s">
        <v>189</v>
      </c>
      <c r="T17" s="56" t="s">
        <v>194</v>
      </c>
      <c r="U17" s="56"/>
      <c r="V17" s="56" t="s">
        <v>204</v>
      </c>
      <c r="W17" s="56" t="s">
        <v>221</v>
      </c>
      <c r="X17"/>
      <c r="Y17"/>
      <c r="Z17"/>
    </row>
    <row r="18" spans="1:26" ht="15.75" customHeight="1" x14ac:dyDescent="0.25">
      <c r="A18" s="85" t="s">
        <v>11</v>
      </c>
      <c r="B18" s="85"/>
      <c r="C18" s="72" t="s">
        <v>267</v>
      </c>
      <c r="D18" s="72"/>
      <c r="E18" s="85" t="s">
        <v>73</v>
      </c>
      <c r="F18" s="85"/>
      <c r="G18" s="85" t="s">
        <v>215</v>
      </c>
      <c r="H18" s="85"/>
      <c r="S18" s="56" t="s">
        <v>190</v>
      </c>
      <c r="T18" s="56" t="s">
        <v>197</v>
      </c>
      <c r="U18" s="56"/>
      <c r="V18" s="56" t="s">
        <v>205</v>
      </c>
      <c r="W18" s="56" t="s">
        <v>222</v>
      </c>
      <c r="X18"/>
      <c r="Y18"/>
      <c r="Z18"/>
    </row>
    <row r="19" spans="1:26" x14ac:dyDescent="0.25">
      <c r="A19" s="72" t="s">
        <v>13</v>
      </c>
      <c r="B19" s="72"/>
      <c r="C19" s="85" t="s">
        <v>242</v>
      </c>
      <c r="D19" s="85"/>
      <c r="E19" s="85" t="s">
        <v>12</v>
      </c>
      <c r="F19" s="85"/>
      <c r="G19" s="148" t="s">
        <v>179</v>
      </c>
      <c r="H19" s="148"/>
      <c r="S19" s="56" t="s">
        <v>191</v>
      </c>
      <c r="T19" s="56" t="s">
        <v>198</v>
      </c>
      <c r="U19" s="56"/>
      <c r="V19" s="56" t="s">
        <v>206</v>
      </c>
      <c r="W19" s="56" t="s">
        <v>223</v>
      </c>
      <c r="X19"/>
      <c r="Y19"/>
      <c r="Z19"/>
    </row>
    <row r="20" spans="1:26" x14ac:dyDescent="0.25">
      <c r="A20" s="72" t="s">
        <v>74</v>
      </c>
      <c r="B20" s="72"/>
      <c r="C20" s="85" t="s">
        <v>215</v>
      </c>
      <c r="D20" s="85"/>
      <c r="E20" s="85" t="s">
        <v>14</v>
      </c>
      <c r="F20" s="85"/>
      <c r="G20" s="85">
        <v>400091</v>
      </c>
      <c r="H20" s="85"/>
      <c r="S20" s="56"/>
      <c r="T20" s="56"/>
      <c r="U20" s="56"/>
      <c r="V20" s="56" t="s">
        <v>207</v>
      </c>
      <c r="W20" s="56" t="s">
        <v>224</v>
      </c>
      <c r="X20"/>
      <c r="Y20"/>
      <c r="Z20"/>
    </row>
    <row r="21" spans="1:26" ht="32.25" customHeight="1" x14ac:dyDescent="0.25">
      <c r="A21" s="72" t="s">
        <v>126</v>
      </c>
      <c r="B21" s="72"/>
      <c r="C21" s="85" t="s">
        <v>270</v>
      </c>
      <c r="D21" s="85"/>
      <c r="E21" s="85" t="s">
        <v>15</v>
      </c>
      <c r="F21" s="85"/>
      <c r="G21" s="85" t="s">
        <v>268</v>
      </c>
      <c r="H21" s="85"/>
      <c r="S21" s="56"/>
      <c r="T21" s="56"/>
      <c r="U21" s="56"/>
      <c r="V21" s="56" t="s">
        <v>208</v>
      </c>
      <c r="W21" s="56" t="s">
        <v>225</v>
      </c>
      <c r="X21"/>
      <c r="Y21"/>
      <c r="Z21"/>
    </row>
    <row r="22" spans="1:26" ht="15" customHeight="1" x14ac:dyDescent="0.25">
      <c r="A22" s="147" t="s">
        <v>76</v>
      </c>
      <c r="B22" s="147"/>
      <c r="C22" s="147"/>
      <c r="D22" s="147"/>
      <c r="E22" s="72" t="s">
        <v>16</v>
      </c>
      <c r="F22" s="72"/>
      <c r="G22" s="72"/>
      <c r="H22" s="72"/>
      <c r="S22" s="56"/>
      <c r="T22" s="56"/>
      <c r="U22" s="56"/>
      <c r="V22" s="56" t="s">
        <v>209</v>
      </c>
      <c r="W22" s="56" t="s">
        <v>226</v>
      </c>
      <c r="X22"/>
      <c r="Y22"/>
      <c r="Z22"/>
    </row>
    <row r="23" spans="1:26" ht="18.75" customHeight="1" x14ac:dyDescent="0.25">
      <c r="A23" s="147"/>
      <c r="B23" s="147"/>
      <c r="C23" s="147"/>
      <c r="D23" s="147"/>
      <c r="E23" s="72"/>
      <c r="F23" s="72"/>
      <c r="G23" s="72"/>
      <c r="H23" s="72"/>
      <c r="S23" s="56"/>
      <c r="T23" s="56"/>
      <c r="U23" s="56"/>
      <c r="V23" s="56" t="s">
        <v>210</v>
      </c>
      <c r="W23" s="56" t="s">
        <v>227</v>
      </c>
      <c r="X23"/>
      <c r="Y23"/>
      <c r="Z23"/>
    </row>
    <row r="24" spans="1:26" ht="15" customHeight="1" x14ac:dyDescent="0.25">
      <c r="A24" s="147" t="s">
        <v>17</v>
      </c>
      <c r="B24" s="147"/>
      <c r="C24" s="147"/>
      <c r="D24" s="147"/>
      <c r="E24" s="85" t="s">
        <v>18</v>
      </c>
      <c r="F24" s="85"/>
      <c r="G24" s="85"/>
      <c r="H24" s="85"/>
      <c r="S24" s="56"/>
      <c r="T24" s="56"/>
      <c r="U24" s="56"/>
      <c r="V24" s="56" t="s">
        <v>211</v>
      </c>
      <c r="W24" s="56" t="s">
        <v>228</v>
      </c>
      <c r="X24"/>
      <c r="Y24"/>
      <c r="Z24"/>
    </row>
    <row r="25" spans="1:26" ht="15" customHeight="1" x14ac:dyDescent="0.25">
      <c r="A25" s="76" t="s">
        <v>19</v>
      </c>
      <c r="B25" s="76"/>
      <c r="C25" s="76"/>
      <c r="D25" s="76"/>
      <c r="E25" s="85" t="str">
        <f>IF(AND(G19="Mumbai"),"Upper Class","Middle Class")</f>
        <v>Upper Class</v>
      </c>
      <c r="F25" s="85"/>
      <c r="G25" s="85"/>
      <c r="H25" s="85"/>
      <c r="S25" s="56"/>
      <c r="T25" s="56"/>
      <c r="U25" s="56"/>
      <c r="V25" s="56" t="s">
        <v>212</v>
      </c>
      <c r="W25" s="56" t="s">
        <v>229</v>
      </c>
      <c r="X25"/>
      <c r="Y25"/>
      <c r="Z25"/>
    </row>
    <row r="26" spans="1:26" x14ac:dyDescent="0.25">
      <c r="A26" s="76" t="s">
        <v>20</v>
      </c>
      <c r="B26" s="76"/>
      <c r="C26" s="76"/>
      <c r="D26" s="76"/>
      <c r="E26" s="85" t="s">
        <v>21</v>
      </c>
      <c r="F26" s="85"/>
      <c r="G26" s="85"/>
      <c r="H26" s="85"/>
      <c r="S26" s="56"/>
      <c r="T26" s="56"/>
      <c r="U26" s="56"/>
      <c r="V26" s="56" t="s">
        <v>213</v>
      </c>
      <c r="W26" s="56" t="s">
        <v>230</v>
      </c>
      <c r="X26"/>
      <c r="Y26"/>
      <c r="Z26"/>
    </row>
    <row r="27" spans="1:26" ht="15.75" customHeight="1" x14ac:dyDescent="0.25">
      <c r="A27" s="76" t="s">
        <v>22</v>
      </c>
      <c r="B27" s="76"/>
      <c r="C27" s="76"/>
      <c r="D27" s="76"/>
      <c r="E27" s="85" t="str">
        <f>IF(AND(G19="Mumbai"),"Developed","Developing")</f>
        <v>Developed</v>
      </c>
      <c r="F27" s="85"/>
      <c r="G27" s="85"/>
      <c r="H27" s="85"/>
    </row>
    <row r="28" spans="1:26" x14ac:dyDescent="0.25">
      <c r="A28" s="76" t="s">
        <v>23</v>
      </c>
      <c r="B28" s="76"/>
      <c r="C28" s="76"/>
      <c r="D28" s="76"/>
      <c r="E28" s="85" t="s">
        <v>24</v>
      </c>
      <c r="F28" s="85"/>
      <c r="G28" s="85"/>
      <c r="H28" s="85"/>
    </row>
    <row r="29" spans="1:26" ht="15.75" customHeight="1" x14ac:dyDescent="0.25">
      <c r="A29" s="76" t="s">
        <v>81</v>
      </c>
      <c r="B29" s="76"/>
      <c r="C29" s="76"/>
      <c r="D29" s="76"/>
      <c r="E29" s="85" t="s">
        <v>82</v>
      </c>
      <c r="F29" s="85"/>
      <c r="G29" s="85"/>
      <c r="H29" s="85"/>
    </row>
    <row r="30" spans="1:26" ht="15" customHeight="1" x14ac:dyDescent="0.25">
      <c r="A30" s="76" t="s">
        <v>32</v>
      </c>
      <c r="B30" s="76"/>
      <c r="C30" s="76"/>
      <c r="D30" s="76"/>
      <c r="E30" s="85" t="str">
        <f>IF(AND(ISNUMBER(SEARCH("Flat",D58)),ISNUMBER(SEARCH("Shop",D58)),ISNUMBER(SEARCH("Office",D58))),"Residential + Commercial",IF(AND(ISNUMBER(SEARCH("Flat",D58)),ISNUMBER(SEARCH("Shop",D58))),"Residential + Commercial",IF(AND(ISNUMBER(SEARCH("Flat",D58)),ISNUMBER(SEARCH("Office",D58))),"Residential + Commercial",IF(AND(ISNUMBER(SEARCH("Shop",D58)),ISNUMBER(SEARCH("Office",D58))),"Commercial",IF(ISNUMBER(SEARCH("Shop",D58)),"Commercial",IF(ISNUMBER(SEARCH("Office",D58)),"Commercial",IF(ISNUMBER(SEARCH("Flat",D58)),"Residential")))))))</f>
        <v>Residential</v>
      </c>
      <c r="F30" s="85"/>
      <c r="G30" s="85"/>
      <c r="H30" s="85"/>
    </row>
    <row r="31" spans="1:26" ht="15.75" customHeight="1" x14ac:dyDescent="0.25">
      <c r="A31" s="76" t="s">
        <v>93</v>
      </c>
      <c r="B31" s="76"/>
      <c r="C31" s="76"/>
      <c r="D31" s="76"/>
      <c r="E31" s="85" t="s">
        <v>33</v>
      </c>
      <c r="F31" s="85"/>
      <c r="G31" s="85"/>
      <c r="H31" s="85"/>
    </row>
    <row r="32" spans="1:26" s="22" customFormat="1" x14ac:dyDescent="0.25">
      <c r="A32" s="146" t="s">
        <v>94</v>
      </c>
      <c r="B32" s="146"/>
      <c r="C32" s="143" t="s">
        <v>180</v>
      </c>
      <c r="D32" s="144"/>
      <c r="E32" s="145"/>
      <c r="F32" s="143" t="s">
        <v>30</v>
      </c>
      <c r="G32" s="144"/>
      <c r="H32" s="145"/>
    </row>
    <row r="33" spans="1:8" s="22" customFormat="1" x14ac:dyDescent="0.25">
      <c r="A33" s="122" t="s">
        <v>25</v>
      </c>
      <c r="B33" s="122" t="s">
        <v>29</v>
      </c>
      <c r="C33" s="123" t="s">
        <v>263</v>
      </c>
      <c r="D33" s="124"/>
      <c r="E33" s="125"/>
      <c r="F33" s="123" t="s">
        <v>267</v>
      </c>
      <c r="G33" s="124"/>
      <c r="H33" s="125"/>
    </row>
    <row r="34" spans="1:8" x14ac:dyDescent="0.25">
      <c r="A34" s="122" t="s">
        <v>26</v>
      </c>
      <c r="B34" s="122" t="s">
        <v>29</v>
      </c>
      <c r="C34" s="123" t="s">
        <v>264</v>
      </c>
      <c r="D34" s="124"/>
      <c r="E34" s="125"/>
      <c r="F34" s="123" t="s">
        <v>269</v>
      </c>
      <c r="G34" s="124"/>
      <c r="H34" s="125"/>
    </row>
    <row r="35" spans="1:8" s="22" customFormat="1" x14ac:dyDescent="0.25">
      <c r="A35" s="122" t="s">
        <v>28</v>
      </c>
      <c r="B35" s="122" t="s">
        <v>29</v>
      </c>
      <c r="C35" s="123" t="s">
        <v>264</v>
      </c>
      <c r="D35" s="124"/>
      <c r="E35" s="125"/>
      <c r="F35" s="123" t="s">
        <v>270</v>
      </c>
      <c r="G35" s="124"/>
      <c r="H35" s="125"/>
    </row>
    <row r="36" spans="1:8" x14ac:dyDescent="0.25">
      <c r="A36" s="122" t="s">
        <v>27</v>
      </c>
      <c r="B36" s="122" t="s">
        <v>29</v>
      </c>
      <c r="C36" s="123" t="s">
        <v>264</v>
      </c>
      <c r="D36" s="124"/>
      <c r="E36" s="125"/>
      <c r="F36" s="123" t="s">
        <v>271</v>
      </c>
      <c r="G36" s="124"/>
      <c r="H36" s="125"/>
    </row>
    <row r="37" spans="1:8" x14ac:dyDescent="0.25">
      <c r="A37" s="76" t="s">
        <v>31</v>
      </c>
      <c r="B37" s="76"/>
      <c r="C37" s="76"/>
      <c r="D37" s="76"/>
      <c r="E37" s="76"/>
      <c r="F37" s="76"/>
      <c r="G37" s="76"/>
      <c r="H37" s="76"/>
    </row>
    <row r="38" spans="1:8" ht="15.75" customHeight="1" x14ac:dyDescent="0.25">
      <c r="A38" s="83" t="s">
        <v>173</v>
      </c>
      <c r="B38" s="83"/>
      <c r="C38" s="76" t="s">
        <v>266</v>
      </c>
      <c r="D38" s="76"/>
      <c r="E38" s="76"/>
      <c r="F38" s="76"/>
      <c r="G38" s="76"/>
      <c r="H38" s="76"/>
    </row>
    <row r="39" spans="1:8" x14ac:dyDescent="0.25">
      <c r="A39" s="83" t="s">
        <v>170</v>
      </c>
      <c r="B39" s="83"/>
      <c r="C39" s="84" t="s">
        <v>265</v>
      </c>
      <c r="D39" s="85"/>
      <c r="E39" s="85"/>
      <c r="F39" s="85"/>
      <c r="G39" s="85"/>
      <c r="H39" s="85"/>
    </row>
    <row r="40" spans="1:8" x14ac:dyDescent="0.25">
      <c r="A40" s="83" t="s">
        <v>34</v>
      </c>
      <c r="B40" s="83"/>
      <c r="C40" s="83"/>
      <c r="D40" s="83"/>
      <c r="E40" s="83"/>
      <c r="F40" s="83"/>
      <c r="G40" s="83"/>
      <c r="H40" s="83"/>
    </row>
    <row r="41" spans="1:8" x14ac:dyDescent="0.25">
      <c r="A41" s="76" t="s">
        <v>35</v>
      </c>
      <c r="B41" s="76"/>
      <c r="C41" s="76"/>
      <c r="D41" s="76"/>
      <c r="E41" s="126">
        <v>2948.92</v>
      </c>
      <c r="F41" s="126"/>
      <c r="G41" s="126"/>
      <c r="H41" s="126"/>
    </row>
    <row r="42" spans="1:8" x14ac:dyDescent="0.25">
      <c r="A42" s="76" t="s">
        <v>36</v>
      </c>
      <c r="B42" s="76"/>
      <c r="C42" s="76"/>
      <c r="D42" s="76"/>
      <c r="E42" s="129">
        <v>2.5</v>
      </c>
      <c r="F42" s="129"/>
      <c r="G42" s="129"/>
      <c r="H42" s="129"/>
    </row>
    <row r="43" spans="1:8" x14ac:dyDescent="0.25">
      <c r="A43" s="76" t="s">
        <v>37</v>
      </c>
      <c r="B43" s="76"/>
      <c r="C43" s="76"/>
      <c r="D43" s="76"/>
      <c r="E43" s="129">
        <f>E45/E41-E42</f>
        <v>0</v>
      </c>
      <c r="F43" s="129"/>
      <c r="G43" s="129"/>
      <c r="H43" s="129"/>
    </row>
    <row r="44" spans="1:8" x14ac:dyDescent="0.25">
      <c r="A44" s="76" t="s">
        <v>38</v>
      </c>
      <c r="B44" s="76"/>
      <c r="C44" s="76"/>
      <c r="D44" s="76"/>
      <c r="E44" s="129">
        <f>E42+E43</f>
        <v>2.5</v>
      </c>
      <c r="F44" s="129"/>
      <c r="G44" s="129"/>
      <c r="H44" s="129"/>
    </row>
    <row r="45" spans="1:8" x14ac:dyDescent="0.25">
      <c r="A45" s="76" t="s">
        <v>92</v>
      </c>
      <c r="B45" s="76"/>
      <c r="C45" s="76"/>
      <c r="D45" s="76"/>
      <c r="E45" s="130">
        <v>7372.3</v>
      </c>
      <c r="F45" s="130"/>
      <c r="G45" s="130"/>
      <c r="H45" s="130"/>
    </row>
    <row r="46" spans="1:8" x14ac:dyDescent="0.25">
      <c r="A46" s="72" t="s">
        <v>39</v>
      </c>
      <c r="B46" s="72"/>
      <c r="C46" s="72"/>
      <c r="D46" s="72"/>
      <c r="E46" s="72" t="s">
        <v>124</v>
      </c>
      <c r="F46" s="72"/>
      <c r="G46" s="72"/>
      <c r="H46" s="72"/>
    </row>
    <row r="47" spans="1:8" x14ac:dyDescent="0.25">
      <c r="A47" s="83" t="s">
        <v>40</v>
      </c>
      <c r="B47" s="83"/>
      <c r="C47" s="83"/>
      <c r="D47" s="83"/>
      <c r="E47" s="83"/>
      <c r="F47" s="83"/>
      <c r="G47" s="83"/>
      <c r="H47" s="83"/>
    </row>
    <row r="48" spans="1:8" ht="33.75" customHeight="1" x14ac:dyDescent="0.25">
      <c r="A48" s="86" t="s">
        <v>158</v>
      </c>
      <c r="B48" s="87"/>
      <c r="C48" s="88" t="s">
        <v>243</v>
      </c>
      <c r="D48" s="89"/>
      <c r="E48" s="89"/>
      <c r="F48" s="89"/>
      <c r="G48" s="89"/>
      <c r="H48" s="90"/>
    </row>
    <row r="49" spans="1:14" ht="15.75" customHeight="1" x14ac:dyDescent="0.25">
      <c r="A49" s="86" t="s">
        <v>41</v>
      </c>
      <c r="B49" s="87"/>
      <c r="C49" s="86" t="s">
        <v>244</v>
      </c>
      <c r="D49" s="142"/>
      <c r="E49" s="87"/>
      <c r="F49" s="18" t="s">
        <v>42</v>
      </c>
      <c r="G49" s="136">
        <v>44671</v>
      </c>
      <c r="H49" s="137"/>
    </row>
    <row r="50" spans="1:14" x14ac:dyDescent="0.25">
      <c r="A50" s="86" t="s">
        <v>43</v>
      </c>
      <c r="B50" s="87"/>
      <c r="C50" s="86" t="str">
        <f>C49</f>
        <v>Mhada-72/1103/2022</v>
      </c>
      <c r="D50" s="142"/>
      <c r="E50" s="87"/>
      <c r="F50" s="18" t="s">
        <v>42</v>
      </c>
      <c r="G50" s="136">
        <f>G49</f>
        <v>44671</v>
      </c>
      <c r="H50" s="137"/>
    </row>
    <row r="51" spans="1:14" s="23" customFormat="1" ht="34.5" customHeight="1" x14ac:dyDescent="0.25">
      <c r="A51" s="138" t="s">
        <v>162</v>
      </c>
      <c r="B51" s="139"/>
      <c r="C51" s="86" t="s">
        <v>245</v>
      </c>
      <c r="D51" s="142"/>
      <c r="E51" s="87"/>
      <c r="F51" s="18" t="s">
        <v>42</v>
      </c>
      <c r="G51" s="136">
        <v>44971</v>
      </c>
      <c r="H51" s="137"/>
    </row>
    <row r="52" spans="1:14" s="23" customFormat="1" ht="65.25" customHeight="1" x14ac:dyDescent="0.25">
      <c r="A52" s="140"/>
      <c r="B52" s="141"/>
      <c r="C52" s="86" t="s">
        <v>246</v>
      </c>
      <c r="D52" s="142"/>
      <c r="E52" s="87"/>
      <c r="F52" s="18" t="s">
        <v>125</v>
      </c>
      <c r="G52" s="136">
        <v>45072</v>
      </c>
      <c r="H52" s="137"/>
    </row>
    <row r="53" spans="1:14" s="23" customFormat="1" ht="34.5" customHeight="1" x14ac:dyDescent="0.25">
      <c r="A53" s="138" t="s">
        <v>162</v>
      </c>
      <c r="B53" s="139"/>
      <c r="C53" s="86" t="s">
        <v>287</v>
      </c>
      <c r="D53" s="142"/>
      <c r="E53" s="87"/>
      <c r="F53" s="18" t="s">
        <v>42</v>
      </c>
      <c r="G53" s="136">
        <v>45476</v>
      </c>
      <c r="H53" s="137"/>
    </row>
    <row r="54" spans="1:14" s="23" customFormat="1" ht="79.349999999999994" customHeight="1" x14ac:dyDescent="0.25">
      <c r="A54" s="140"/>
      <c r="B54" s="141"/>
      <c r="C54" s="86" t="s">
        <v>286</v>
      </c>
      <c r="D54" s="142"/>
      <c r="E54" s="87"/>
      <c r="F54" s="18" t="s">
        <v>125</v>
      </c>
      <c r="G54" s="136">
        <v>46168</v>
      </c>
      <c r="H54" s="137"/>
    </row>
    <row r="55" spans="1:14" x14ac:dyDescent="0.25">
      <c r="A55" s="202" t="s">
        <v>44</v>
      </c>
      <c r="B55" s="203"/>
      <c r="C55" s="202" t="s">
        <v>106</v>
      </c>
      <c r="D55" s="204"/>
      <c r="E55" s="203"/>
      <c r="F55" s="46" t="s">
        <v>42</v>
      </c>
      <c r="G55" s="193" t="s">
        <v>29</v>
      </c>
      <c r="H55" s="194"/>
    </row>
    <row r="56" spans="1:14" x14ac:dyDescent="0.25">
      <c r="A56" s="171" t="s">
        <v>46</v>
      </c>
      <c r="B56" s="171"/>
      <c r="C56" s="171"/>
      <c r="D56" s="171"/>
      <c r="E56" s="171"/>
      <c r="F56" s="171"/>
      <c r="G56" s="171"/>
      <c r="H56" s="171"/>
    </row>
    <row r="57" spans="1:14" x14ac:dyDescent="0.25">
      <c r="A57" s="147" t="s">
        <v>91</v>
      </c>
      <c r="B57" s="147"/>
      <c r="C57" s="147"/>
      <c r="D57" s="76">
        <f>E45</f>
        <v>7372.3</v>
      </c>
      <c r="E57" s="76"/>
      <c r="F57" s="76"/>
      <c r="G57" s="76"/>
      <c r="H57" s="76"/>
    </row>
    <row r="58" spans="1:14" x14ac:dyDescent="0.25">
      <c r="A58" s="85" t="s">
        <v>47</v>
      </c>
      <c r="B58" s="72"/>
      <c r="C58" s="72"/>
      <c r="D58" s="72" t="s">
        <v>260</v>
      </c>
      <c r="E58" s="72"/>
      <c r="F58" s="72"/>
      <c r="G58" s="72"/>
      <c r="H58" s="72"/>
      <c r="I58" s="24"/>
    </row>
    <row r="59" spans="1:14" x14ac:dyDescent="0.25">
      <c r="A59" s="133" t="s">
        <v>48</v>
      </c>
      <c r="B59" s="134"/>
      <c r="C59" s="135"/>
      <c r="D59" s="131" t="s">
        <v>247</v>
      </c>
      <c r="E59" s="132"/>
      <c r="F59" s="132"/>
      <c r="G59" s="132"/>
      <c r="H59" s="132"/>
    </row>
    <row r="60" spans="1:14" ht="15.75" customHeight="1" x14ac:dyDescent="0.25">
      <c r="A60" s="133" t="s">
        <v>89</v>
      </c>
      <c r="B60" s="134"/>
      <c r="C60" s="134"/>
      <c r="D60" s="85" t="s">
        <v>247</v>
      </c>
      <c r="E60" s="72"/>
      <c r="F60" s="72"/>
      <c r="G60" s="72"/>
      <c r="H60" s="72"/>
    </row>
    <row r="61" spans="1:14" ht="15.75" customHeight="1" x14ac:dyDescent="0.25">
      <c r="A61" s="76" t="s">
        <v>45</v>
      </c>
      <c r="B61" s="76"/>
      <c r="C61" s="76"/>
      <c r="D61" s="127" t="s">
        <v>248</v>
      </c>
      <c r="E61" s="127"/>
      <c r="F61" s="127"/>
      <c r="G61" s="127"/>
      <c r="H61" s="127"/>
      <c r="J61" s="25"/>
      <c r="K61" s="24"/>
      <c r="N61" s="24"/>
    </row>
    <row r="62" spans="1:14" ht="15.75" customHeight="1" x14ac:dyDescent="0.25">
      <c r="A62" s="76" t="s">
        <v>87</v>
      </c>
      <c r="B62" s="76"/>
      <c r="C62" s="76"/>
      <c r="D62" s="128" t="str">
        <f>(IF(G55="NA","60 Years After Completion",IF(G55&lt;&gt;"NA",""&amp;60-ROUNDDOWN((E3-G55)/360,0)&amp;" Years"," ")))</f>
        <v>60 Years After Completion</v>
      </c>
      <c r="E62" s="128"/>
      <c r="F62" s="128"/>
      <c r="G62" s="128"/>
      <c r="H62" s="128"/>
      <c r="N62" s="24"/>
    </row>
    <row r="63" spans="1:14" ht="15.75" customHeight="1" x14ac:dyDescent="0.25">
      <c r="A63" s="76" t="s">
        <v>88</v>
      </c>
      <c r="B63" s="76"/>
      <c r="C63" s="76"/>
      <c r="D63" s="147" t="s">
        <v>24</v>
      </c>
      <c r="E63" s="147"/>
      <c r="F63" s="147"/>
      <c r="G63" s="147"/>
      <c r="H63" s="147"/>
      <c r="J63" s="26"/>
      <c r="K63" s="26"/>
    </row>
    <row r="64" spans="1:14" ht="63.6" customHeight="1" x14ac:dyDescent="0.25">
      <c r="A64" s="72" t="s">
        <v>274</v>
      </c>
      <c r="B64" s="72"/>
      <c r="C64" s="72"/>
      <c r="D64" s="85" t="s">
        <v>273</v>
      </c>
      <c r="E64" s="147"/>
      <c r="F64" s="147"/>
      <c r="G64" s="147"/>
      <c r="H64" s="147"/>
    </row>
    <row r="65" spans="1:14" x14ac:dyDescent="0.25">
      <c r="A65" s="147" t="s">
        <v>154</v>
      </c>
      <c r="B65" s="147"/>
      <c r="C65" s="147"/>
      <c r="D65" s="147" t="s">
        <v>29</v>
      </c>
      <c r="E65" s="147"/>
      <c r="F65" s="147"/>
      <c r="G65" s="147"/>
      <c r="H65" s="147"/>
      <c r="I65" s="27"/>
      <c r="J65" s="27"/>
      <c r="K65" s="27"/>
      <c r="L65" s="27"/>
      <c r="M65" s="27"/>
      <c r="N65" s="27"/>
    </row>
    <row r="66" spans="1:14" ht="15.75" customHeight="1" x14ac:dyDescent="0.25">
      <c r="A66" s="205" t="s">
        <v>86</v>
      </c>
      <c r="B66" s="205"/>
      <c r="C66" s="205"/>
      <c r="D66" s="131" t="str">
        <f ca="1">(IF(G72&gt;95%,"Nothing",IF(G72&gt;0%,"Cement, Aggregate, Steel, etc",IF(G72=0%,"Work not yet Started"))))</f>
        <v>Cement, Aggregate, Steel, etc</v>
      </c>
      <c r="E66" s="131"/>
      <c r="F66" s="131"/>
      <c r="G66" s="131"/>
      <c r="H66" s="131"/>
      <c r="J66" s="26"/>
    </row>
    <row r="67" spans="1:14" ht="33.75" customHeight="1" thickBot="1" x14ac:dyDescent="0.3">
      <c r="A67" s="153" t="s">
        <v>119</v>
      </c>
      <c r="B67" s="153"/>
      <c r="C67" s="153"/>
      <c r="D67" s="131" t="str">
        <f ca="1">(IF(D66="Nothing","Yes",IF(D66="Cement, Aggregate, Steel, etc","Under Construction",IF(D66="Work not yet Started","Work not yet Started"))))</f>
        <v>Under Construction</v>
      </c>
      <c r="E67" s="131"/>
      <c r="F67" s="131" t="str">
        <f ca="1">(IF(D66="Nothing","Yes",IF(D66="Cement, Aggregate, Steel, etc","Under Construction",IF(D66="Work not yet Started","Work not yet Started"))))</f>
        <v>Under Construction</v>
      </c>
      <c r="G67" s="131"/>
      <c r="H67" s="131"/>
    </row>
    <row r="68" spans="1:14" ht="15.75" customHeight="1" x14ac:dyDescent="0.25">
      <c r="A68" s="120" t="s">
        <v>144</v>
      </c>
      <c r="B68" s="121"/>
      <c r="C68" s="195" t="str">
        <f>D60</f>
        <v>Wing B = Gr/Stilt + 1st to 22nd Floor</v>
      </c>
      <c r="D68" s="196"/>
      <c r="E68" s="196"/>
      <c r="F68" s="196"/>
      <c r="G68" s="196"/>
      <c r="H68" s="197"/>
      <c r="I68" s="48" t="str">
        <f ca="1">IF(D81=100%,"All work Completed. Possession granted to the Building.",IF(D80=100%,"All work Completed, Waiting for OC",I69&amp;""&amp;I70&amp;""&amp;J69&amp;""&amp;J68&amp;" "&amp;J70))</f>
        <v>Excavation, Plinth, RCC Slab, Brickwork, Internal Plaster, External Plaster Completed, Flooring upto 19 Floor, Painting upto 19 Floor, Finishing upto 2 Floor Completed</v>
      </c>
      <c r="J68" s="49" t="str">
        <f ca="1">(IF(C74=(D69+F69+H69),"",IF(C74&gt;0,", RCC upto "&amp;C74&amp;" Slab","")))&amp;(IF(C75=H69,"",IF(C75&gt;0,", Brickwork upto "&amp;C75&amp;" Floor","")))&amp;(IF(C76=H69,"",IF(C76&gt;0,", Internal Plaster upto "&amp;C76&amp;" Floor","")))&amp;(IF(C77=H69,"",IF(C77&gt;0,", External Plaster upto "&amp;C77&amp;" Floor","")))&amp;(IF(C78=H69,"",IF(C78&gt;0,", Flooring upto "&amp;C78&amp;" Floor","")))&amp;(IF(C79=H69,"",IF(C79&gt;0,", Painting upto "&amp;C79&amp;" Floor","")))&amp;(IF(C80=H69,"",IF(C80&gt;0,", Finishing upto "&amp;C80&amp;" Floor","")))&amp;(IF(C81=H69,"",IF(C81&gt;0,", Possession upto "&amp;C81&amp;" Floor","")))</f>
        <v>, Flooring upto 19 Floor, Painting upto 19 Floor, Finishing upto 2 Floor</v>
      </c>
    </row>
    <row r="69" spans="1:14" x14ac:dyDescent="0.25">
      <c r="A69" s="16" t="s">
        <v>146</v>
      </c>
      <c r="B69" s="52">
        <f>IF(AND(ISNUMBER(SEARCH("1B",C68))),1,IF(AND(ISNUMBER(SEARCH("2B",C68))),2,IF(AND(ISNUMBER(SEARCH("3B",C68))),3,IF(AND(ISNUMBER(SEARCH("4B",C68))),4,IF(ISNUMBER(SEARCH("5B",C68)),5,0)))))</f>
        <v>0</v>
      </c>
      <c r="C69" s="52" t="s">
        <v>72</v>
      </c>
      <c r="D69" s="52">
        <v>1</v>
      </c>
      <c r="E69" s="52" t="s">
        <v>71</v>
      </c>
      <c r="F69" s="52">
        <v>0</v>
      </c>
      <c r="G69" s="52" t="s">
        <v>80</v>
      </c>
      <c r="H69" s="17">
        <f ca="1">--TRIM(RIGHT(SUBSTITUTE(LEFT(C68,_xlfn.AGGREGATE(16,6,FIND({0,1,2,3,4,5,6,7,8,9},C68,ROW(INDIRECT("1:"&amp;LEN(C68)))),1))," ",REPT(" ",LEN(C68))),LEN(C68)))</f>
        <v>22</v>
      </c>
      <c r="I69" s="50" t="str">
        <f ca="1">IF(D72=100%,"Excavation","")&amp;IF(D73=100%,", Plinth","")&amp;IF(D74=100%,", RCC Slab","")&amp;IF(D75=100%,", Brickwork","")&amp;IF(D76=100%,", Internal Plaster","")&amp;IF(D77=100%,", External Plaster","")&amp;IF(D78=100%,", Flooring","")&amp;IF(D79=100%,", Painting","")&amp;IF(D80=100%,", Building common Amenities","")</f>
        <v>Excavation, Plinth, RCC Slab, Brickwork, Internal Plaster, External Plaster</v>
      </c>
      <c r="J69" s="51" t="str">
        <f ca="1">(IF(C72=0,"Work not yet Started.",IF(D72=25%,"Piling work in process",IF(D72=50%,"Excavation work in process",IF(D72=100%,"","0")))))&amp;(IF(C73=0%,"",IF(C73=J74,", Footing work is process",IF(C73=J75,", Footing work Completed",IF(C73=J76,", 1st Basement Completed",IF(C73=J77,", 1st &amp; 2nd Basement Completed",IF(C73=J78,", 1st to 3rd Basement Completed",IF(C73=J79,", 1st to 4th Basement Completed",IF(C73=J80,", Plinth work is process",IF(C73=J81,"","0"))))))))))</f>
        <v/>
      </c>
    </row>
    <row r="70" spans="1:14" ht="50.25" customHeight="1" x14ac:dyDescent="0.25">
      <c r="A70" s="118" t="s">
        <v>90</v>
      </c>
      <c r="B70" s="119"/>
      <c r="C70" s="198" t="str">
        <f ca="1">I68</f>
        <v>Excavation, Plinth, RCC Slab, Brickwork, Internal Plaster, External Plaster Completed, Flooring upto 19 Floor, Painting upto 19 Floor, Finishing upto 2 Floor Completed</v>
      </c>
      <c r="D70" s="198"/>
      <c r="E70" s="198"/>
      <c r="F70" s="198"/>
      <c r="G70" s="198"/>
      <c r="H70" s="199"/>
      <c r="I70" s="50" t="str">
        <f ca="1">IF(I69&lt;&gt;""," Completed","")</f>
        <v xml:space="preserve"> Completed</v>
      </c>
      <c r="J70" s="51" t="str">
        <f ca="1">IF(J68&lt;&gt;"","Completed","")</f>
        <v>Completed</v>
      </c>
    </row>
    <row r="71" spans="1:14" ht="15.75" customHeight="1" x14ac:dyDescent="0.25">
      <c r="A71" s="107" t="s">
        <v>49</v>
      </c>
      <c r="B71" s="108"/>
      <c r="C71" s="63" t="s">
        <v>143</v>
      </c>
      <c r="D71" s="63" t="s">
        <v>83</v>
      </c>
      <c r="E71" s="152" t="s">
        <v>85</v>
      </c>
      <c r="F71" s="152"/>
      <c r="G71" s="152" t="s">
        <v>84</v>
      </c>
      <c r="H71" s="154"/>
      <c r="I71" s="14" t="s">
        <v>145</v>
      </c>
      <c r="J71" s="28">
        <f ca="1">H69*25%</f>
        <v>5.5</v>
      </c>
    </row>
    <row r="72" spans="1:14" x14ac:dyDescent="0.25">
      <c r="A72" s="107" t="s">
        <v>132</v>
      </c>
      <c r="B72" s="108"/>
      <c r="C72" s="44">
        <f ca="1">J73</f>
        <v>22</v>
      </c>
      <c r="D72" s="19">
        <f ca="1">((100/H69)*C72)/100</f>
        <v>1.0000000000000002</v>
      </c>
      <c r="E72" s="155">
        <f ca="1">(((C73/H69*10)+(40/(D69+F69+H69)*C74)+(7.5/(H69)*C75)+(7.5/(H69)*C76)+(10/H69*C77)+(10/H69*C78)+(5/H69*C79)+(5/H69*C80)+(5/H69*C81))/100)</f>
        <v>0.88409090909090904</v>
      </c>
      <c r="F72" s="156"/>
      <c r="G72" s="155">
        <f ca="1">((((C72/H69)*20)+((C73/H69)*25)+(30/(H69+F69+D69)*C74)+(5/H69*C75)+(5/H69*C76)+(5/H69*C77)+(5/H69*C78)+(0/H69*C79)+(0/H69*C80)+(5/H69*C81))/100)</f>
        <v>0.94318181818181812</v>
      </c>
      <c r="H72" s="161"/>
      <c r="I72" s="14" t="s">
        <v>101</v>
      </c>
      <c r="J72" s="29">
        <f ca="1">H69*50%</f>
        <v>11</v>
      </c>
    </row>
    <row r="73" spans="1:14" x14ac:dyDescent="0.25">
      <c r="A73" s="107" t="s">
        <v>50</v>
      </c>
      <c r="B73" s="108"/>
      <c r="C73" s="44">
        <f ca="1">J81</f>
        <v>22</v>
      </c>
      <c r="D73" s="19">
        <f ca="1">((100/H69)*C73)/100</f>
        <v>1.0000000000000002</v>
      </c>
      <c r="E73" s="157"/>
      <c r="F73" s="158"/>
      <c r="G73" s="157"/>
      <c r="H73" s="162"/>
      <c r="I73" s="14" t="s">
        <v>102</v>
      </c>
      <c r="J73" s="29">
        <f ca="1">H69</f>
        <v>22</v>
      </c>
    </row>
    <row r="74" spans="1:14" ht="15.75" customHeight="1" x14ac:dyDescent="0.25">
      <c r="A74" s="107" t="s">
        <v>133</v>
      </c>
      <c r="B74" s="108"/>
      <c r="C74" s="44">
        <v>23</v>
      </c>
      <c r="D74" s="19">
        <f ca="1">((100/(D69+F69+H69))*C74)/100</f>
        <v>1</v>
      </c>
      <c r="E74" s="157"/>
      <c r="F74" s="158"/>
      <c r="G74" s="157"/>
      <c r="H74" s="162"/>
      <c r="I74" s="14" t="s">
        <v>103</v>
      </c>
      <c r="J74" s="30">
        <f ca="1">(IF(B69&gt;1,(H69/(B69+2)),H69/4))</f>
        <v>5.5</v>
      </c>
    </row>
    <row r="75" spans="1:14" ht="15.75" customHeight="1" x14ac:dyDescent="0.25">
      <c r="A75" s="107" t="s">
        <v>140</v>
      </c>
      <c r="B75" s="108" t="s">
        <v>134</v>
      </c>
      <c r="C75" s="44">
        <v>22</v>
      </c>
      <c r="D75" s="19">
        <f ca="1">((100/H69)*C75)/100</f>
        <v>1.0000000000000002</v>
      </c>
      <c r="E75" s="157"/>
      <c r="F75" s="158"/>
      <c r="G75" s="157"/>
      <c r="H75" s="162"/>
      <c r="I75" s="14" t="s">
        <v>104</v>
      </c>
      <c r="J75" s="30">
        <f ca="1">(IF(B69&gt;1,(H69/(B69+2)+J74),H69/4+J74))</f>
        <v>11</v>
      </c>
    </row>
    <row r="76" spans="1:14" ht="15.75" customHeight="1" x14ac:dyDescent="0.25">
      <c r="A76" s="107" t="s">
        <v>141</v>
      </c>
      <c r="B76" s="108" t="s">
        <v>134</v>
      </c>
      <c r="C76" s="62">
        <v>22</v>
      </c>
      <c r="D76" s="19">
        <f ca="1">((100/H69)*C76)/100</f>
        <v>1.0000000000000002</v>
      </c>
      <c r="E76" s="157"/>
      <c r="F76" s="158"/>
      <c r="G76" s="157"/>
      <c r="H76" s="162"/>
      <c r="I76" s="14" t="s">
        <v>152</v>
      </c>
      <c r="J76" s="30">
        <f>(IF(B69&gt;1,(H69/(B69+2)+J75),0))</f>
        <v>0</v>
      </c>
    </row>
    <row r="77" spans="1:14" ht="15" customHeight="1" x14ac:dyDescent="0.25">
      <c r="A77" s="107" t="s">
        <v>139</v>
      </c>
      <c r="B77" s="108" t="s">
        <v>136</v>
      </c>
      <c r="C77" s="62">
        <v>22</v>
      </c>
      <c r="D77" s="19">
        <f ca="1">((100/(H69))*C77)/100</f>
        <v>1.0000000000000002</v>
      </c>
      <c r="E77" s="157"/>
      <c r="F77" s="158"/>
      <c r="G77" s="157"/>
      <c r="H77" s="162"/>
      <c r="I77" s="14" t="s">
        <v>147</v>
      </c>
      <c r="J77" s="30">
        <f>(IF(B69&gt;2,(H69/(B69+2)+J76),0))</f>
        <v>0</v>
      </c>
    </row>
    <row r="78" spans="1:14" ht="15.75" customHeight="1" x14ac:dyDescent="0.25">
      <c r="A78" s="107" t="s">
        <v>135</v>
      </c>
      <c r="B78" s="108" t="s">
        <v>135</v>
      </c>
      <c r="C78" s="44">
        <v>19</v>
      </c>
      <c r="D78" s="19">
        <f ca="1">((100/H69)*C78)/100</f>
        <v>0.86363636363636376</v>
      </c>
      <c r="E78" s="157"/>
      <c r="F78" s="158"/>
      <c r="G78" s="157"/>
      <c r="H78" s="162"/>
      <c r="I78" s="14" t="s">
        <v>148</v>
      </c>
      <c r="J78" s="31">
        <f>(IF(B69&gt;3,(H69/(B69+2)+J77),0))</f>
        <v>0</v>
      </c>
    </row>
    <row r="79" spans="1:14" ht="15.75" customHeight="1" x14ac:dyDescent="0.25">
      <c r="A79" s="107" t="s">
        <v>142</v>
      </c>
      <c r="B79" s="108"/>
      <c r="C79" s="44">
        <v>19</v>
      </c>
      <c r="D79" s="19">
        <f ca="1">((100/H69)*C79)/100</f>
        <v>0.86363636363636376</v>
      </c>
      <c r="E79" s="157"/>
      <c r="F79" s="158"/>
      <c r="G79" s="157"/>
      <c r="H79" s="162"/>
      <c r="I79" s="14" t="s">
        <v>149</v>
      </c>
      <c r="J79" s="30">
        <f>(IF(B69&gt;4,(H69/(B69+2)+J78),0))</f>
        <v>0</v>
      </c>
    </row>
    <row r="80" spans="1:14" ht="15.75" customHeight="1" x14ac:dyDescent="0.25">
      <c r="A80" s="107" t="s">
        <v>137</v>
      </c>
      <c r="B80" s="108" t="s">
        <v>137</v>
      </c>
      <c r="C80" s="44">
        <v>2</v>
      </c>
      <c r="D80" s="19">
        <f ca="1">((100/(H69))*C80)/100</f>
        <v>9.0909090909090912E-2</v>
      </c>
      <c r="E80" s="157"/>
      <c r="F80" s="158"/>
      <c r="G80" s="157"/>
      <c r="H80" s="162"/>
      <c r="I80" s="14" t="s">
        <v>153</v>
      </c>
      <c r="J80" s="30">
        <f ca="1">(IF(B69=1,(H69/(B69+3)+J75),IF(B69=0,(H69/4+J75),IF(B69&gt;1,0))))</f>
        <v>16.5</v>
      </c>
    </row>
    <row r="81" spans="1:14" ht="16.5" thickBot="1" x14ac:dyDescent="0.3">
      <c r="A81" s="164" t="s">
        <v>138</v>
      </c>
      <c r="B81" s="165"/>
      <c r="C81" s="45">
        <v>0</v>
      </c>
      <c r="D81" s="20">
        <f ca="1">((100/(H69))*C81)/100</f>
        <v>0</v>
      </c>
      <c r="E81" s="159"/>
      <c r="F81" s="160"/>
      <c r="G81" s="159"/>
      <c r="H81" s="163"/>
      <c r="I81" s="15" t="s">
        <v>105</v>
      </c>
      <c r="J81" s="32">
        <f ca="1">(IF(B69&gt;1.5,(H69/(B69+2)+J75+MAX(0,J76-J75)+MAX(0,J77-J76)+MAX(0,J78-J77)+MAX(0,J79-J78)+MAX(0,J80-J79)),IF(B69=1,(H69/(B69+3)+J80),IF(B69=0,H69/4+J80))))</f>
        <v>22</v>
      </c>
    </row>
    <row r="82" spans="1:14" x14ac:dyDescent="0.25">
      <c r="A82" s="77" t="s">
        <v>164</v>
      </c>
      <c r="B82" s="77"/>
      <c r="C82" s="77"/>
      <c r="D82" s="77"/>
      <c r="E82" s="77"/>
      <c r="F82" s="173" t="s">
        <v>168</v>
      </c>
      <c r="G82" s="173"/>
      <c r="H82" s="173"/>
      <c r="I82" s="64"/>
      <c r="J82" s="64" t="s">
        <v>275</v>
      </c>
      <c r="K82" s="64" t="s">
        <v>276</v>
      </c>
      <c r="L82" s="64"/>
      <c r="M82" s="64"/>
      <c r="N82" s="64"/>
    </row>
    <row r="83" spans="1:14" x14ac:dyDescent="0.25">
      <c r="A83" s="76" t="s">
        <v>166</v>
      </c>
      <c r="B83" s="76"/>
      <c r="C83" s="76"/>
      <c r="D83" s="76"/>
      <c r="E83" s="76"/>
      <c r="F83" s="78">
        <v>15000</v>
      </c>
      <c r="G83" s="78"/>
      <c r="H83" s="78"/>
      <c r="I83" s="65">
        <f>AVERAGE(J83:K83)</f>
        <v>14132.046805787679</v>
      </c>
      <c r="J83" s="65">
        <f>AVERAGE(J120,J171)</f>
        <v>14930.760278242025</v>
      </c>
      <c r="K83" s="65">
        <f>20000/1.5</f>
        <v>13333.333333333334</v>
      </c>
      <c r="L83" s="64"/>
      <c r="M83" s="64"/>
      <c r="N83" s="64"/>
    </row>
    <row r="84" spans="1:14" hidden="1" x14ac:dyDescent="0.25">
      <c r="A84" s="76" t="s">
        <v>165</v>
      </c>
      <c r="B84" s="76"/>
      <c r="C84" s="76"/>
      <c r="D84" s="76"/>
      <c r="E84" s="76"/>
      <c r="F84" s="78"/>
      <c r="G84" s="78"/>
      <c r="H84" s="78"/>
      <c r="I84" s="64"/>
      <c r="J84" s="64"/>
      <c r="K84" s="64"/>
      <c r="L84" s="64"/>
      <c r="M84" s="64"/>
      <c r="N84" s="64"/>
    </row>
    <row r="85" spans="1:14" hidden="1" x14ac:dyDescent="0.25">
      <c r="A85" s="76" t="s">
        <v>167</v>
      </c>
      <c r="B85" s="76"/>
      <c r="C85" s="76"/>
      <c r="D85" s="76"/>
      <c r="E85" s="76"/>
      <c r="F85" s="78"/>
      <c r="G85" s="78"/>
      <c r="H85" s="78"/>
      <c r="I85" s="64"/>
      <c r="J85" s="64"/>
      <c r="K85" s="64"/>
      <c r="L85" s="64"/>
      <c r="M85" s="64"/>
      <c r="N85" s="64"/>
    </row>
    <row r="86" spans="1:14" s="33" customFormat="1" hidden="1" x14ac:dyDescent="0.25">
      <c r="A86" s="76" t="s">
        <v>181</v>
      </c>
      <c r="B86" s="76"/>
      <c r="C86" s="76"/>
      <c r="D86" s="76"/>
      <c r="E86" s="76"/>
      <c r="F86" s="78"/>
      <c r="G86" s="78"/>
      <c r="H86" s="78"/>
      <c r="I86" s="66"/>
      <c r="J86" s="66"/>
      <c r="K86" s="66"/>
      <c r="L86" s="66"/>
      <c r="M86" s="66"/>
      <c r="N86" s="66"/>
    </row>
    <row r="87" spans="1:14" s="33" customFormat="1" hidden="1" x14ac:dyDescent="0.25">
      <c r="A87" s="76" t="s">
        <v>95</v>
      </c>
      <c r="B87" s="76"/>
      <c r="C87" s="76"/>
      <c r="D87" s="76"/>
      <c r="E87" s="76"/>
      <c r="F87" s="78"/>
      <c r="G87" s="78"/>
      <c r="H87" s="78"/>
      <c r="I87" s="66"/>
      <c r="J87" s="66"/>
      <c r="K87" s="66"/>
      <c r="L87" s="66"/>
      <c r="M87" s="66"/>
      <c r="N87" s="66"/>
    </row>
    <row r="88" spans="1:14" s="33" customFormat="1" hidden="1" x14ac:dyDescent="0.25">
      <c r="A88" s="76" t="s">
        <v>96</v>
      </c>
      <c r="B88" s="76"/>
      <c r="C88" s="76"/>
      <c r="D88" s="76"/>
      <c r="E88" s="76"/>
      <c r="F88" s="78"/>
      <c r="G88" s="78"/>
      <c r="H88" s="78"/>
      <c r="I88" s="66"/>
      <c r="J88" s="66"/>
      <c r="K88" s="66"/>
      <c r="L88" s="66"/>
      <c r="M88" s="66"/>
      <c r="N88" s="66"/>
    </row>
    <row r="89" spans="1:14" s="33" customFormat="1" hidden="1" x14ac:dyDescent="0.25">
      <c r="A89" s="76" t="s">
        <v>169</v>
      </c>
      <c r="B89" s="76"/>
      <c r="C89" s="76"/>
      <c r="D89" s="76"/>
      <c r="E89" s="76"/>
      <c r="F89" s="78"/>
      <c r="G89" s="78"/>
      <c r="H89" s="78"/>
      <c r="I89" s="66"/>
      <c r="J89" s="66"/>
      <c r="K89" s="66"/>
      <c r="L89" s="66"/>
      <c r="M89" s="66"/>
      <c r="N89" s="66"/>
    </row>
    <row r="90" spans="1:14" s="33" customFormat="1" hidden="1" x14ac:dyDescent="0.25">
      <c r="A90" s="76" t="s">
        <v>97</v>
      </c>
      <c r="B90" s="76"/>
      <c r="C90" s="76"/>
      <c r="D90" s="76"/>
      <c r="E90" s="76"/>
      <c r="F90" s="78"/>
      <c r="G90" s="78"/>
      <c r="H90" s="78"/>
      <c r="I90" s="66"/>
      <c r="J90" s="66"/>
      <c r="K90" s="66"/>
      <c r="L90" s="66"/>
      <c r="M90" s="66"/>
      <c r="N90" s="66"/>
    </row>
    <row r="91" spans="1:14" s="33" customFormat="1" hidden="1" x14ac:dyDescent="0.25">
      <c r="A91" s="76" t="s">
        <v>98</v>
      </c>
      <c r="B91" s="76"/>
      <c r="C91" s="76"/>
      <c r="D91" s="76"/>
      <c r="E91" s="76"/>
      <c r="F91" s="78"/>
      <c r="G91" s="78"/>
      <c r="H91" s="78"/>
      <c r="I91" s="66"/>
      <c r="J91" s="66"/>
      <c r="K91" s="66"/>
      <c r="L91" s="66"/>
      <c r="M91" s="66"/>
      <c r="N91" s="66"/>
    </row>
    <row r="92" spans="1:14" s="33" customFormat="1" hidden="1" x14ac:dyDescent="0.25">
      <c r="A92" s="76" t="s">
        <v>99</v>
      </c>
      <c r="B92" s="76"/>
      <c r="C92" s="76"/>
      <c r="D92" s="76"/>
      <c r="E92" s="76"/>
      <c r="F92" s="78"/>
      <c r="G92" s="78"/>
      <c r="H92" s="78"/>
      <c r="I92" s="66"/>
      <c r="J92" s="66"/>
      <c r="K92" s="66"/>
      <c r="L92" s="66"/>
      <c r="M92" s="66"/>
      <c r="N92" s="66"/>
    </row>
    <row r="93" spans="1:14" s="33" customFormat="1" hidden="1" x14ac:dyDescent="0.25">
      <c r="A93" s="76" t="s">
        <v>100</v>
      </c>
      <c r="B93" s="76"/>
      <c r="C93" s="76"/>
      <c r="D93" s="76"/>
      <c r="E93" s="76"/>
      <c r="F93" s="78"/>
      <c r="G93" s="78"/>
      <c r="H93" s="78"/>
      <c r="I93" s="66"/>
      <c r="J93" s="66"/>
      <c r="K93" s="66"/>
      <c r="L93" s="66"/>
      <c r="M93" s="66"/>
      <c r="N93" s="66"/>
    </row>
    <row r="94" spans="1:14" x14ac:dyDescent="0.25">
      <c r="A94" s="76" t="s">
        <v>51</v>
      </c>
      <c r="B94" s="76"/>
      <c r="C94" s="76"/>
      <c r="D94" s="76"/>
      <c r="E94" s="76"/>
      <c r="F94" s="78">
        <v>700000</v>
      </c>
      <c r="G94" s="78"/>
      <c r="H94" s="78"/>
      <c r="I94" s="64"/>
      <c r="J94" s="64"/>
      <c r="K94" s="64"/>
      <c r="L94" s="64"/>
      <c r="M94" s="64"/>
      <c r="N94" s="64"/>
    </row>
    <row r="95" spans="1:14" s="34" customFormat="1" x14ac:dyDescent="0.25">
      <c r="A95" s="83" t="s">
        <v>52</v>
      </c>
      <c r="B95" s="83"/>
      <c r="C95" s="83"/>
      <c r="D95" s="83"/>
      <c r="E95" s="83"/>
      <c r="F95" s="78">
        <f>F83*0.8</f>
        <v>12000</v>
      </c>
      <c r="G95" s="78"/>
      <c r="H95" s="78"/>
      <c r="I95" s="67"/>
      <c r="J95" s="67"/>
      <c r="K95" s="67"/>
      <c r="L95" s="67"/>
      <c r="M95" s="67"/>
      <c r="N95" s="67"/>
    </row>
    <row r="96" spans="1:14" s="35" customFormat="1" ht="15.75" hidden="1" customHeight="1" x14ac:dyDescent="0.25">
      <c r="A96" s="168" t="s">
        <v>75</v>
      </c>
      <c r="B96" s="168"/>
      <c r="C96" s="168"/>
      <c r="D96" s="168"/>
      <c r="E96" s="168"/>
      <c r="F96" s="168"/>
      <c r="G96" s="168"/>
      <c r="H96" s="168"/>
    </row>
    <row r="97" spans="1:14" s="35" customFormat="1" ht="15.75" hidden="1" customHeight="1" x14ac:dyDescent="0.25">
      <c r="A97" s="172" t="s">
        <v>53</v>
      </c>
      <c r="B97" s="172"/>
      <c r="C97" s="176" t="s">
        <v>78</v>
      </c>
      <c r="D97" s="176"/>
      <c r="E97" s="177" t="s">
        <v>54</v>
      </c>
      <c r="F97" s="177"/>
      <c r="G97" s="172" t="s">
        <v>55</v>
      </c>
      <c r="H97" s="172"/>
    </row>
    <row r="98" spans="1:14" s="35" customFormat="1" hidden="1" x14ac:dyDescent="0.25">
      <c r="A98" s="170"/>
      <c r="B98" s="170"/>
      <c r="C98" s="96"/>
      <c r="D98" s="96"/>
      <c r="E98" s="97"/>
      <c r="F98" s="97"/>
      <c r="G98" s="175"/>
      <c r="H98" s="175"/>
    </row>
    <row r="99" spans="1:14" s="35" customFormat="1" hidden="1" x14ac:dyDescent="0.25">
      <c r="A99" s="170"/>
      <c r="B99" s="170"/>
      <c r="C99" s="96"/>
      <c r="D99" s="96"/>
      <c r="E99" s="97"/>
      <c r="F99" s="97"/>
      <c r="G99" s="175"/>
      <c r="H99" s="175"/>
    </row>
    <row r="100" spans="1:14" s="35" customFormat="1" hidden="1" x14ac:dyDescent="0.25">
      <c r="A100" s="168" t="s">
        <v>157</v>
      </c>
      <c r="B100" s="168"/>
      <c r="C100" s="176"/>
      <c r="D100" s="176"/>
      <c r="E100" s="177"/>
      <c r="F100" s="177"/>
      <c r="G100" s="172"/>
      <c r="H100" s="172"/>
    </row>
    <row r="101" spans="1:14" s="35" customFormat="1" x14ac:dyDescent="0.25">
      <c r="A101" s="168" t="s">
        <v>70</v>
      </c>
      <c r="B101" s="168"/>
      <c r="C101" s="168"/>
      <c r="D101" s="168"/>
      <c r="E101" s="168"/>
      <c r="F101" s="168"/>
      <c r="G101" s="168"/>
      <c r="H101" s="168"/>
    </row>
    <row r="102" spans="1:14" s="35" customFormat="1" ht="15.75" customHeight="1" x14ac:dyDescent="0.25">
      <c r="A102" s="172" t="s">
        <v>53</v>
      </c>
      <c r="B102" s="172"/>
      <c r="C102" s="176" t="s">
        <v>78</v>
      </c>
      <c r="D102" s="176"/>
      <c r="E102" s="177" t="s">
        <v>54</v>
      </c>
      <c r="F102" s="177"/>
      <c r="G102" s="172" t="s">
        <v>55</v>
      </c>
      <c r="H102" s="172"/>
    </row>
    <row r="103" spans="1:14" s="35" customFormat="1" ht="16.5" thickBot="1" x14ac:dyDescent="0.3">
      <c r="A103" s="169" t="s">
        <v>240</v>
      </c>
      <c r="B103" s="169"/>
      <c r="C103" s="109">
        <f>COUNT(D120:D121,D126:D127)+COUNT(D129:D130,D135:D136)+COUNT(D138:D139,D144:D145)+COUNT(D147:D154)*16+COUNT(D156:D160,D163)*2+COUNT(D165:D172)</f>
        <v>160</v>
      </c>
      <c r="D103" s="109"/>
      <c r="E103" s="109">
        <f>SUM(D120:D121,D126:D127)+SUM(D129:D130,D135:D136)+SUM(D138:D139,D144:D145)+SUM(D147:D154)*16+SUM(D156:D160,D163)*2+SUM(D165:D172)</f>
        <v>72712.111680000002</v>
      </c>
      <c r="F103" s="109"/>
      <c r="G103" s="109">
        <f>SUM(F120:F121,F126:F127)+SUM(F129:F130,F135:F136)+SUM(F138:F139,F144:F145)+SUM(F147:F154)*16+SUM(F156:F160,F163)*2+SUM(F165:F172)</f>
        <v>109068.16752</v>
      </c>
      <c r="H103" s="109"/>
    </row>
    <row r="104" spans="1:14" s="35" customFormat="1" ht="16.5" thickBot="1" x14ac:dyDescent="0.3">
      <c r="A104" s="79" t="s">
        <v>157</v>
      </c>
      <c r="B104" s="80"/>
      <c r="C104" s="189">
        <f>SUM(C103)</f>
        <v>160</v>
      </c>
      <c r="D104" s="190"/>
      <c r="E104" s="81">
        <f>SUM(E103)</f>
        <v>72712.111680000002</v>
      </c>
      <c r="F104" s="82"/>
      <c r="G104" s="116">
        <f>SUM(G103)</f>
        <v>109068.16752</v>
      </c>
      <c r="H104" s="117"/>
    </row>
    <row r="105" spans="1:14" s="34" customFormat="1" x14ac:dyDescent="0.25">
      <c r="A105" s="173" t="s">
        <v>56</v>
      </c>
      <c r="B105" s="173"/>
      <c r="C105" s="173"/>
      <c r="D105" s="173"/>
      <c r="E105" s="173"/>
      <c r="F105" s="173"/>
      <c r="G105" s="173"/>
      <c r="H105" s="173"/>
    </row>
    <row r="106" spans="1:14" x14ac:dyDescent="0.25">
      <c r="A106" s="150" t="s">
        <v>280</v>
      </c>
      <c r="B106" s="150"/>
      <c r="C106" s="150"/>
      <c r="D106" s="150"/>
      <c r="E106" s="150"/>
      <c r="F106" s="150"/>
      <c r="G106" s="150"/>
      <c r="H106" s="150"/>
    </row>
    <row r="107" spans="1:14" ht="47.25" hidden="1" customHeight="1" x14ac:dyDescent="0.25">
      <c r="A107" s="92" t="s">
        <v>122</v>
      </c>
      <c r="B107" s="92" t="s">
        <v>182</v>
      </c>
      <c r="C107" s="92" t="s">
        <v>57</v>
      </c>
      <c r="D107" s="92" t="s">
        <v>58</v>
      </c>
      <c r="E107" s="110" t="s">
        <v>163</v>
      </c>
      <c r="F107" s="43" t="s">
        <v>155</v>
      </c>
      <c r="G107" s="112" t="s">
        <v>60</v>
      </c>
      <c r="H107" s="113"/>
    </row>
    <row r="108" spans="1:14" s="37" customFormat="1" hidden="1" x14ac:dyDescent="0.25">
      <c r="A108" s="93"/>
      <c r="B108" s="93"/>
      <c r="C108" s="93"/>
      <c r="D108" s="93"/>
      <c r="E108" s="111"/>
      <c r="F108" s="13">
        <v>0.45</v>
      </c>
      <c r="G108" s="114"/>
      <c r="H108" s="115"/>
    </row>
    <row r="109" spans="1:14" s="37" customFormat="1" hidden="1" x14ac:dyDescent="0.25">
      <c r="A109" s="101" t="s">
        <v>120</v>
      </c>
      <c r="B109" s="102"/>
      <c r="C109" s="102"/>
      <c r="D109" s="102"/>
      <c r="E109" s="102"/>
      <c r="F109" s="102"/>
      <c r="G109" s="102"/>
      <c r="H109" s="103"/>
      <c r="J109" s="36"/>
    </row>
    <row r="110" spans="1:14" s="37" customFormat="1" hidden="1" x14ac:dyDescent="0.25">
      <c r="A110" s="104">
        <v>1</v>
      </c>
      <c r="B110" s="105"/>
      <c r="C110" s="42"/>
      <c r="D110" s="42"/>
      <c r="E110" s="42">
        <v>0</v>
      </c>
      <c r="F110" s="42">
        <f>(D110+E110)*(($F$108)+1)</f>
        <v>0</v>
      </c>
      <c r="G110" s="104" t="str">
        <f>A109</f>
        <v>Ground Floor</v>
      </c>
      <c r="H110" s="105"/>
      <c r="I110" s="36"/>
      <c r="L110" s="106"/>
      <c r="M110" s="106"/>
      <c r="N110" s="36"/>
    </row>
    <row r="111" spans="1:14" s="37" customFormat="1" hidden="1" x14ac:dyDescent="0.25">
      <c r="A111" s="104">
        <f t="shared" ref="A111:A113" si="0">A110+1</f>
        <v>2</v>
      </c>
      <c r="B111" s="105"/>
      <c r="C111" s="42"/>
      <c r="D111" s="42"/>
      <c r="E111" s="42">
        <v>0</v>
      </c>
      <c r="F111" s="42">
        <f t="shared" ref="F111:F113" si="1">(D111+E111)*(($F$108)+1)</f>
        <v>0</v>
      </c>
      <c r="G111" s="104" t="str">
        <f t="shared" ref="G111:G113" si="2">G110</f>
        <v>Ground Floor</v>
      </c>
      <c r="H111" s="105"/>
      <c r="I111" s="36"/>
      <c r="L111" s="106"/>
      <c r="M111" s="106"/>
      <c r="N111" s="36"/>
    </row>
    <row r="112" spans="1:14" s="37" customFormat="1" hidden="1" x14ac:dyDescent="0.25">
      <c r="A112" s="104">
        <f t="shared" si="0"/>
        <v>3</v>
      </c>
      <c r="B112" s="105"/>
      <c r="C112" s="42"/>
      <c r="D112" s="42"/>
      <c r="E112" s="42">
        <v>0</v>
      </c>
      <c r="F112" s="42">
        <f t="shared" si="1"/>
        <v>0</v>
      </c>
      <c r="G112" s="104" t="str">
        <f t="shared" si="2"/>
        <v>Ground Floor</v>
      </c>
      <c r="H112" s="105"/>
      <c r="I112" s="36"/>
      <c r="L112" s="106"/>
      <c r="M112" s="106"/>
      <c r="N112" s="36"/>
    </row>
    <row r="113" spans="1:14" s="37" customFormat="1" hidden="1" x14ac:dyDescent="0.25">
      <c r="A113" s="104">
        <f t="shared" si="0"/>
        <v>4</v>
      </c>
      <c r="B113" s="105"/>
      <c r="C113" s="42"/>
      <c r="D113" s="42"/>
      <c r="E113" s="42">
        <v>0</v>
      </c>
      <c r="F113" s="42">
        <f t="shared" si="1"/>
        <v>0</v>
      </c>
      <c r="G113" s="104" t="str">
        <f t="shared" si="2"/>
        <v>Ground Floor</v>
      </c>
      <c r="H113" s="105"/>
      <c r="I113" s="36"/>
      <c r="L113" s="106"/>
      <c r="M113" s="106"/>
      <c r="N113" s="36"/>
    </row>
    <row r="114" spans="1:14" s="37" customFormat="1" hidden="1" x14ac:dyDescent="0.25">
      <c r="A114" s="104"/>
      <c r="B114" s="174"/>
      <c r="C114" s="174"/>
      <c r="D114" s="174"/>
      <c r="E114" s="174"/>
      <c r="F114" s="174"/>
      <c r="G114" s="174"/>
      <c r="H114" s="105"/>
      <c r="I114" s="36"/>
      <c r="N114" s="36"/>
    </row>
    <row r="115" spans="1:14" ht="47.25" customHeight="1" x14ac:dyDescent="0.25">
      <c r="A115" s="112" t="s">
        <v>123</v>
      </c>
      <c r="B115" s="92" t="s">
        <v>183</v>
      </c>
      <c r="C115" s="92" t="s">
        <v>57</v>
      </c>
      <c r="D115" s="92" t="s">
        <v>58</v>
      </c>
      <c r="E115" s="110" t="s">
        <v>59</v>
      </c>
      <c r="F115" s="53" t="s">
        <v>155</v>
      </c>
      <c r="G115" s="112" t="s">
        <v>60</v>
      </c>
      <c r="H115" s="113"/>
      <c r="I115" s="36"/>
    </row>
    <row r="116" spans="1:14" s="37" customFormat="1" x14ac:dyDescent="0.25">
      <c r="A116" s="114"/>
      <c r="B116" s="93"/>
      <c r="C116" s="93"/>
      <c r="D116" s="93"/>
      <c r="E116" s="111"/>
      <c r="F116" s="13">
        <v>0.5</v>
      </c>
      <c r="G116" s="114"/>
      <c r="H116" s="115"/>
      <c r="I116" s="36"/>
    </row>
    <row r="117" spans="1:14" s="58" customFormat="1" x14ac:dyDescent="0.25">
      <c r="A117" s="98" t="s">
        <v>240</v>
      </c>
      <c r="B117" s="99"/>
      <c r="C117" s="99"/>
      <c r="D117" s="99"/>
      <c r="E117" s="99"/>
      <c r="F117" s="99"/>
      <c r="G117" s="99"/>
      <c r="H117" s="100"/>
      <c r="J117" s="60">
        <v>10.763999999999999</v>
      </c>
    </row>
    <row r="118" spans="1:14" s="58" customFormat="1" x14ac:dyDescent="0.25">
      <c r="A118" s="101" t="s">
        <v>249</v>
      </c>
      <c r="B118" s="102"/>
      <c r="C118" s="102"/>
      <c r="D118" s="102"/>
      <c r="E118" s="102"/>
      <c r="F118" s="102"/>
      <c r="G118" s="102"/>
      <c r="H118" s="103"/>
      <c r="J118" s="36"/>
    </row>
    <row r="119" spans="1:14" s="58" customFormat="1" x14ac:dyDescent="0.25">
      <c r="A119" s="101" t="s">
        <v>281</v>
      </c>
      <c r="B119" s="102"/>
      <c r="C119" s="102"/>
      <c r="D119" s="102"/>
      <c r="E119" s="102"/>
      <c r="F119" s="102"/>
      <c r="G119" s="102"/>
      <c r="H119" s="103"/>
      <c r="J119" s="36"/>
    </row>
    <row r="120" spans="1:14" s="58" customFormat="1" ht="15.75" customHeight="1" x14ac:dyDescent="0.25">
      <c r="A120" s="104">
        <v>1</v>
      </c>
      <c r="B120" s="105"/>
      <c r="C120" s="57" t="s">
        <v>251</v>
      </c>
      <c r="D120" s="60">
        <f>(37.97)*10.764</f>
        <v>408.70907999999997</v>
      </c>
      <c r="E120" s="57">
        <v>0</v>
      </c>
      <c r="F120" s="57">
        <f>D120*(($F$116)+1)+(IF(E120&lt;101,E120,IF(E120&lt;201,E120/2,IF(E120&lt;=301,E120/3,E120/4))))</f>
        <v>613.0636199999999</v>
      </c>
      <c r="G120" s="183" t="str">
        <f>A119</f>
        <v>1st Floor for Residential &amp; Parking</v>
      </c>
      <c r="H120" s="185"/>
      <c r="I120" s="36">
        <f>3.05*4.33+2.05*0.9+2.35*2.1+3.2*3.05+0.9*1+2.1*1.22+1.22*2.1</f>
        <v>35.770499999999991</v>
      </c>
      <c r="J120" s="36">
        <f>8840000/F120</f>
        <v>14419.384402551894</v>
      </c>
      <c r="L120" s="106"/>
      <c r="M120" s="106"/>
      <c r="N120" s="36"/>
    </row>
    <row r="121" spans="1:14" s="58" customFormat="1" ht="15.75" customHeight="1" x14ac:dyDescent="0.25">
      <c r="A121" s="104">
        <f t="shared" ref="A121:A127" si="3">A120+1</f>
        <v>2</v>
      </c>
      <c r="B121" s="105"/>
      <c r="C121" s="57" t="s">
        <v>252</v>
      </c>
      <c r="D121" s="60">
        <f>(55.31)*10.764</f>
        <v>595.35684000000003</v>
      </c>
      <c r="E121" s="57">
        <v>0</v>
      </c>
      <c r="F121" s="57">
        <f>D121*(($F$116)+1)+(IF(E121&lt;101,E121,IF(E121&lt;201,E121/2,IF(E121&lt;=301,E121/3,E121/4))))</f>
        <v>893.03526000000011</v>
      </c>
      <c r="G121" s="191"/>
      <c r="H121" s="192"/>
      <c r="I121" s="36"/>
      <c r="L121" s="106"/>
      <c r="M121" s="106"/>
      <c r="N121" s="36"/>
    </row>
    <row r="122" spans="1:14" s="58" customFormat="1" ht="15.75" customHeight="1" x14ac:dyDescent="0.25">
      <c r="A122" s="104">
        <f t="shared" si="3"/>
        <v>3</v>
      </c>
      <c r="B122" s="105"/>
      <c r="C122" s="183" t="s">
        <v>250</v>
      </c>
      <c r="D122" s="184"/>
      <c r="E122" s="184"/>
      <c r="F122" s="185"/>
      <c r="G122" s="191"/>
      <c r="H122" s="192"/>
      <c r="I122" s="36"/>
      <c r="L122" s="106"/>
      <c r="M122" s="106"/>
      <c r="N122" s="36"/>
    </row>
    <row r="123" spans="1:14" s="58" customFormat="1" ht="15.75" customHeight="1" x14ac:dyDescent="0.25">
      <c r="A123" s="104">
        <f t="shared" si="3"/>
        <v>4</v>
      </c>
      <c r="B123" s="105"/>
      <c r="C123" s="191"/>
      <c r="D123" s="206"/>
      <c r="E123" s="206"/>
      <c r="F123" s="192"/>
      <c r="G123" s="191"/>
      <c r="H123" s="192"/>
      <c r="I123" s="36"/>
      <c r="L123" s="106"/>
      <c r="M123" s="106"/>
      <c r="N123" s="36"/>
    </row>
    <row r="124" spans="1:14" s="58" customFormat="1" ht="15.75" customHeight="1" x14ac:dyDescent="0.25">
      <c r="A124" s="104">
        <f t="shared" si="3"/>
        <v>5</v>
      </c>
      <c r="B124" s="105"/>
      <c r="C124" s="191"/>
      <c r="D124" s="206"/>
      <c r="E124" s="206"/>
      <c r="F124" s="192"/>
      <c r="G124" s="191"/>
      <c r="H124" s="192"/>
      <c r="I124" s="36"/>
      <c r="L124" s="106"/>
      <c r="M124" s="106"/>
      <c r="N124" s="36"/>
    </row>
    <row r="125" spans="1:14" s="58" customFormat="1" ht="15.75" customHeight="1" x14ac:dyDescent="0.25">
      <c r="A125" s="104">
        <f t="shared" si="3"/>
        <v>6</v>
      </c>
      <c r="B125" s="105"/>
      <c r="C125" s="186"/>
      <c r="D125" s="187"/>
      <c r="E125" s="187"/>
      <c r="F125" s="188"/>
      <c r="G125" s="191"/>
      <c r="H125" s="192"/>
      <c r="I125" s="36"/>
      <c r="L125" s="106"/>
      <c r="M125" s="106"/>
      <c r="N125" s="36"/>
    </row>
    <row r="126" spans="1:14" s="58" customFormat="1" ht="15.75" customHeight="1" x14ac:dyDescent="0.25">
      <c r="A126" s="104">
        <f t="shared" si="3"/>
        <v>7</v>
      </c>
      <c r="B126" s="105"/>
      <c r="C126" s="57" t="s">
        <v>252</v>
      </c>
      <c r="D126" s="60">
        <f>(55.31)*10.764</f>
        <v>595.35684000000003</v>
      </c>
      <c r="E126" s="57">
        <v>0</v>
      </c>
      <c r="F126" s="57">
        <f>D126*(($F$116)+1)+(IF(E126&lt;101,E126,IF(E126&lt;201,E126/2,IF(E126&lt;=301,E126/3,E126/4))))</f>
        <v>893.03526000000011</v>
      </c>
      <c r="G126" s="191"/>
      <c r="H126" s="192"/>
      <c r="I126" s="36"/>
      <c r="L126" s="106"/>
      <c r="M126" s="106"/>
      <c r="N126" s="36"/>
    </row>
    <row r="127" spans="1:14" s="58" customFormat="1" ht="15.75" customHeight="1" x14ac:dyDescent="0.25">
      <c r="A127" s="104">
        <f t="shared" si="3"/>
        <v>8</v>
      </c>
      <c r="B127" s="105"/>
      <c r="C127" s="57" t="s">
        <v>251</v>
      </c>
      <c r="D127" s="60">
        <f>(37.97)*10.764</f>
        <v>408.70907999999997</v>
      </c>
      <c r="E127" s="57">
        <v>0</v>
      </c>
      <c r="F127" s="57">
        <f>D127*(($F$116)+1)+(IF(E127&lt;101,E127,IF(E127&lt;201,E127/2,IF(E127&lt;=301,E127/3,E127/4))))</f>
        <v>613.0636199999999</v>
      </c>
      <c r="G127" s="186"/>
      <c r="H127" s="188"/>
      <c r="I127" s="36"/>
      <c r="J127" s="58">
        <f>8900000/F127</f>
        <v>14517.253527456092</v>
      </c>
      <c r="L127" s="106"/>
      <c r="M127" s="106"/>
      <c r="N127" s="36"/>
    </row>
    <row r="128" spans="1:14" s="58" customFormat="1" x14ac:dyDescent="0.25">
      <c r="A128" s="95" t="s">
        <v>282</v>
      </c>
      <c r="B128" s="95"/>
      <c r="C128" s="95"/>
      <c r="D128" s="95"/>
      <c r="E128" s="95"/>
      <c r="F128" s="95"/>
      <c r="G128" s="95"/>
      <c r="H128" s="95"/>
      <c r="J128" s="36"/>
    </row>
    <row r="129" spans="1:14" s="58" customFormat="1" ht="15.75" customHeight="1" x14ac:dyDescent="0.25">
      <c r="A129" s="91">
        <v>1</v>
      </c>
      <c r="B129" s="91"/>
      <c r="C129" s="70" t="s">
        <v>251</v>
      </c>
      <c r="D129" s="60">
        <f>(37.97)*10.764</f>
        <v>408.70907999999997</v>
      </c>
      <c r="E129" s="70">
        <v>0</v>
      </c>
      <c r="F129" s="70">
        <f>D129*(($F$116)+1)+(IF(E129&lt;101,E129,IF(E129&lt;201,E129/2,IF(E129&lt;=301,E129/3,E129/4))))</f>
        <v>613.0636199999999</v>
      </c>
      <c r="G129" s="91" t="str">
        <f>A128</f>
        <v>2nd Floor For Part Residential</v>
      </c>
      <c r="H129" s="91"/>
      <c r="I129" s="36"/>
      <c r="L129" s="106"/>
      <c r="M129" s="106"/>
      <c r="N129" s="36"/>
    </row>
    <row r="130" spans="1:14" s="58" customFormat="1" ht="15.75" customHeight="1" x14ac:dyDescent="0.25">
      <c r="A130" s="91">
        <f t="shared" ref="A130:A136" si="4">A129+1</f>
        <v>2</v>
      </c>
      <c r="B130" s="91"/>
      <c r="C130" s="70" t="s">
        <v>252</v>
      </c>
      <c r="D130" s="60">
        <f>(55.31)*10.764</f>
        <v>595.35684000000003</v>
      </c>
      <c r="E130" s="70">
        <v>0</v>
      </c>
      <c r="F130" s="70">
        <f>D130*(($F$116)+1)+(IF(E130&lt;101,E130,IF(E130&lt;201,E130/2,IF(E130&lt;=301,E130/3,E130/4))))</f>
        <v>893.03526000000011</v>
      </c>
      <c r="G130" s="91"/>
      <c r="H130" s="91"/>
      <c r="I130" s="36"/>
      <c r="L130" s="106"/>
      <c r="M130" s="106"/>
      <c r="N130" s="36"/>
    </row>
    <row r="131" spans="1:14" s="58" customFormat="1" ht="15.75" customHeight="1" x14ac:dyDescent="0.25">
      <c r="A131" s="91">
        <f t="shared" si="4"/>
        <v>3</v>
      </c>
      <c r="B131" s="91"/>
      <c r="C131" s="91" t="s">
        <v>250</v>
      </c>
      <c r="D131" s="91"/>
      <c r="E131" s="91"/>
      <c r="F131" s="91"/>
      <c r="G131" s="91"/>
      <c r="H131" s="91"/>
      <c r="I131" s="36"/>
      <c r="L131" s="106"/>
      <c r="M131" s="106"/>
      <c r="N131" s="36"/>
    </row>
    <row r="132" spans="1:14" s="58" customFormat="1" ht="15.75" customHeight="1" x14ac:dyDescent="0.25">
      <c r="A132" s="91">
        <f t="shared" si="4"/>
        <v>4</v>
      </c>
      <c r="B132" s="91"/>
      <c r="C132" s="91"/>
      <c r="D132" s="91"/>
      <c r="E132" s="91"/>
      <c r="F132" s="91"/>
      <c r="G132" s="91"/>
      <c r="H132" s="91"/>
      <c r="I132" s="36"/>
      <c r="L132" s="106"/>
      <c r="M132" s="106"/>
      <c r="N132" s="36"/>
    </row>
    <row r="133" spans="1:14" s="58" customFormat="1" ht="15.75" customHeight="1" x14ac:dyDescent="0.25">
      <c r="A133" s="91">
        <f t="shared" si="4"/>
        <v>5</v>
      </c>
      <c r="B133" s="91"/>
      <c r="C133" s="91"/>
      <c r="D133" s="91"/>
      <c r="E133" s="91"/>
      <c r="F133" s="91"/>
      <c r="G133" s="91"/>
      <c r="H133" s="91"/>
      <c r="I133" s="36"/>
      <c r="L133" s="106"/>
      <c r="M133" s="106"/>
      <c r="N133" s="36"/>
    </row>
    <row r="134" spans="1:14" s="58" customFormat="1" ht="15.75" customHeight="1" x14ac:dyDescent="0.25">
      <c r="A134" s="91">
        <f t="shared" si="4"/>
        <v>6</v>
      </c>
      <c r="B134" s="91"/>
      <c r="C134" s="91"/>
      <c r="D134" s="91"/>
      <c r="E134" s="91"/>
      <c r="F134" s="91"/>
      <c r="G134" s="91"/>
      <c r="H134" s="91"/>
      <c r="I134" s="36"/>
      <c r="L134" s="106"/>
      <c r="M134" s="106"/>
      <c r="N134" s="36"/>
    </row>
    <row r="135" spans="1:14" s="58" customFormat="1" ht="15.75" customHeight="1" x14ac:dyDescent="0.25">
      <c r="A135" s="91">
        <f t="shared" si="4"/>
        <v>7</v>
      </c>
      <c r="B135" s="91"/>
      <c r="C135" s="70" t="s">
        <v>252</v>
      </c>
      <c r="D135" s="60">
        <f>(55.31)*10.764</f>
        <v>595.35684000000003</v>
      </c>
      <c r="E135" s="70">
        <v>0</v>
      </c>
      <c r="F135" s="70">
        <f>D135*(($F$116)+1)+(IF(E135&lt;101,E135,IF(E135&lt;201,E135/2,IF(E135&lt;=301,E135/3,E135/4))))</f>
        <v>893.03526000000011</v>
      </c>
      <c r="G135" s="91"/>
      <c r="H135" s="91"/>
      <c r="I135" s="36"/>
      <c r="L135" s="106"/>
      <c r="M135" s="106"/>
      <c r="N135" s="36"/>
    </row>
    <row r="136" spans="1:14" s="58" customFormat="1" ht="15.75" customHeight="1" x14ac:dyDescent="0.25">
      <c r="A136" s="91">
        <f t="shared" si="4"/>
        <v>8</v>
      </c>
      <c r="B136" s="91"/>
      <c r="C136" s="70" t="s">
        <v>251</v>
      </c>
      <c r="D136" s="60">
        <f>(37.97)*10.764</f>
        <v>408.70907999999997</v>
      </c>
      <c r="E136" s="70">
        <v>0</v>
      </c>
      <c r="F136" s="70">
        <f>D136*(($F$116)+1)+(IF(E136&lt;101,E136,IF(E136&lt;201,E136/2,IF(E136&lt;=301,E136/3,E136/4))))</f>
        <v>613.0636199999999</v>
      </c>
      <c r="G136" s="91"/>
      <c r="H136" s="91"/>
      <c r="I136" s="36"/>
      <c r="L136" s="106"/>
      <c r="M136" s="106"/>
      <c r="N136" s="36"/>
    </row>
    <row r="137" spans="1:14" s="58" customFormat="1" x14ac:dyDescent="0.25">
      <c r="A137" s="101" t="s">
        <v>283</v>
      </c>
      <c r="B137" s="102"/>
      <c r="C137" s="102"/>
      <c r="D137" s="102"/>
      <c r="E137" s="102"/>
      <c r="F137" s="102"/>
      <c r="G137" s="102"/>
      <c r="H137" s="103"/>
      <c r="J137" s="36"/>
    </row>
    <row r="138" spans="1:14" s="58" customFormat="1" ht="15.75" customHeight="1" x14ac:dyDescent="0.25">
      <c r="A138" s="104">
        <v>1</v>
      </c>
      <c r="B138" s="105"/>
      <c r="C138" s="57" t="s">
        <v>251</v>
      </c>
      <c r="D138" s="60">
        <f>(37.97)*10.764</f>
        <v>408.70907999999997</v>
      </c>
      <c r="E138" s="57">
        <v>0</v>
      </c>
      <c r="F138" s="57">
        <f>D138*(($F$116)+1)+(IF(E138&lt;101,E138,IF(E138&lt;201,E138/2,IF(E138&lt;=301,E138/3,E138/4))))</f>
        <v>613.0636199999999</v>
      </c>
      <c r="G138" s="183" t="str">
        <f>A137</f>
        <v>3rd Floor For Part Residential &amp; Amenities</v>
      </c>
      <c r="H138" s="185"/>
      <c r="I138" s="36"/>
      <c r="L138" s="106"/>
      <c r="M138" s="106"/>
      <c r="N138" s="36"/>
    </row>
    <row r="139" spans="1:14" s="58" customFormat="1" ht="15.75" customHeight="1" x14ac:dyDescent="0.25">
      <c r="A139" s="104">
        <f t="shared" ref="A139:A145" si="5">A138+1</f>
        <v>2</v>
      </c>
      <c r="B139" s="105"/>
      <c r="C139" s="57" t="s">
        <v>252</v>
      </c>
      <c r="D139" s="60">
        <f>(55.31)*10.764</f>
        <v>595.35684000000003</v>
      </c>
      <c r="E139" s="57">
        <v>0</v>
      </c>
      <c r="F139" s="57">
        <f>D139*(($F$116)+1)+(IF(E139&lt;101,E139,IF(E139&lt;201,E139/2,IF(E139&lt;=301,E139/3,E139/4))))</f>
        <v>893.03526000000011</v>
      </c>
      <c r="G139" s="191"/>
      <c r="H139" s="192"/>
      <c r="I139" s="36"/>
      <c r="L139" s="106"/>
      <c r="M139" s="106"/>
      <c r="N139" s="36"/>
    </row>
    <row r="140" spans="1:14" s="58" customFormat="1" ht="15.75" customHeight="1" x14ac:dyDescent="0.25">
      <c r="A140" s="104">
        <f t="shared" si="5"/>
        <v>3</v>
      </c>
      <c r="B140" s="105"/>
      <c r="C140" s="183" t="s">
        <v>253</v>
      </c>
      <c r="D140" s="184"/>
      <c r="E140" s="184"/>
      <c r="F140" s="185"/>
      <c r="G140" s="191"/>
      <c r="H140" s="192"/>
      <c r="I140" s="36"/>
      <c r="L140" s="106"/>
      <c r="M140" s="106"/>
      <c r="N140" s="36"/>
    </row>
    <row r="141" spans="1:14" s="58" customFormat="1" ht="15.75" customHeight="1" x14ac:dyDescent="0.25">
      <c r="A141" s="104">
        <f t="shared" si="5"/>
        <v>4</v>
      </c>
      <c r="B141" s="105"/>
      <c r="C141" s="186"/>
      <c r="D141" s="187"/>
      <c r="E141" s="187"/>
      <c r="F141" s="188"/>
      <c r="G141" s="191"/>
      <c r="H141" s="192"/>
      <c r="I141" s="36"/>
      <c r="L141" s="106"/>
      <c r="M141" s="106"/>
      <c r="N141" s="36"/>
    </row>
    <row r="142" spans="1:14" s="58" customFormat="1" ht="15.75" customHeight="1" x14ac:dyDescent="0.25">
      <c r="A142" s="104">
        <f t="shared" si="5"/>
        <v>5</v>
      </c>
      <c r="B142" s="105"/>
      <c r="C142" s="183" t="s">
        <v>254</v>
      </c>
      <c r="D142" s="184"/>
      <c r="E142" s="184"/>
      <c r="F142" s="185"/>
      <c r="G142" s="191"/>
      <c r="H142" s="192"/>
      <c r="I142" s="36"/>
      <c r="L142" s="106"/>
      <c r="M142" s="106"/>
      <c r="N142" s="36"/>
    </row>
    <row r="143" spans="1:14" s="58" customFormat="1" ht="15.75" customHeight="1" x14ac:dyDescent="0.25">
      <c r="A143" s="104">
        <f t="shared" si="5"/>
        <v>6</v>
      </c>
      <c r="B143" s="105"/>
      <c r="C143" s="186"/>
      <c r="D143" s="187"/>
      <c r="E143" s="187"/>
      <c r="F143" s="188"/>
      <c r="G143" s="191"/>
      <c r="H143" s="192"/>
      <c r="I143" s="36"/>
      <c r="L143" s="106"/>
      <c r="M143" s="106"/>
      <c r="N143" s="36"/>
    </row>
    <row r="144" spans="1:14" s="58" customFormat="1" ht="15.75" customHeight="1" x14ac:dyDescent="0.25">
      <c r="A144" s="104">
        <f t="shared" si="5"/>
        <v>7</v>
      </c>
      <c r="B144" s="105"/>
      <c r="C144" s="57" t="s">
        <v>252</v>
      </c>
      <c r="D144" s="60">
        <f>(55.31)*10.764</f>
        <v>595.35684000000003</v>
      </c>
      <c r="E144" s="57">
        <v>0</v>
      </c>
      <c r="F144" s="57">
        <f>D144*(($F$116)+1)+(IF(E144&lt;101,E144,IF(E144&lt;201,E144/2,IF(E144&lt;=301,E144/3,E144/4))))</f>
        <v>893.03526000000011</v>
      </c>
      <c r="G144" s="191"/>
      <c r="H144" s="192"/>
      <c r="I144" s="36"/>
      <c r="L144" s="106"/>
      <c r="M144" s="106"/>
      <c r="N144" s="36"/>
    </row>
    <row r="145" spans="1:14" s="58" customFormat="1" ht="15.75" customHeight="1" x14ac:dyDescent="0.25">
      <c r="A145" s="104">
        <f t="shared" si="5"/>
        <v>8</v>
      </c>
      <c r="B145" s="105"/>
      <c r="C145" s="57" t="s">
        <v>251</v>
      </c>
      <c r="D145" s="60">
        <f>(37.97)*10.764</f>
        <v>408.70907999999997</v>
      </c>
      <c r="E145" s="57">
        <v>0</v>
      </c>
      <c r="F145" s="57">
        <f>D145*(($F$116)+1)+(IF(E145&lt;101,E145,IF(E145&lt;201,E145/2,IF(E145&lt;=301,E145/3,E145/4))))</f>
        <v>613.0636199999999</v>
      </c>
      <c r="G145" s="186"/>
      <c r="H145" s="188"/>
      <c r="I145" s="36"/>
      <c r="L145" s="106"/>
      <c r="M145" s="106"/>
      <c r="N145" s="36"/>
    </row>
    <row r="146" spans="1:14" s="58" customFormat="1" x14ac:dyDescent="0.25">
      <c r="A146" s="101" t="s">
        <v>255</v>
      </c>
      <c r="B146" s="102"/>
      <c r="C146" s="102"/>
      <c r="D146" s="102"/>
      <c r="E146" s="102"/>
      <c r="F146" s="102"/>
      <c r="G146" s="102"/>
      <c r="H146" s="103"/>
      <c r="J146" s="36"/>
    </row>
    <row r="147" spans="1:14" s="58" customFormat="1" ht="15.75" customHeight="1" x14ac:dyDescent="0.25">
      <c r="A147" s="104">
        <v>1</v>
      </c>
      <c r="B147" s="105"/>
      <c r="C147" s="57" t="s">
        <v>251</v>
      </c>
      <c r="D147" s="60">
        <f>(37.97)*10.764</f>
        <v>408.70907999999997</v>
      </c>
      <c r="E147" s="57">
        <v>0</v>
      </c>
      <c r="F147" s="57">
        <f t="shared" ref="F147:F154" si="6">D147*(($F$116)+1)+(IF(E147&lt;101,E147,IF(E147&lt;201,E147/2,IF(E147&lt;=301,E147/3,E147/4))))</f>
        <v>613.0636199999999</v>
      </c>
      <c r="G147" s="183" t="str">
        <f>A146</f>
        <v>4th to 6th, 8th to 13th, 15th to 20th &amp; 22nd Floor</v>
      </c>
      <c r="H147" s="185"/>
      <c r="I147" s="36"/>
      <c r="J147" s="58">
        <f>15000*F147</f>
        <v>9195954.2999999989</v>
      </c>
      <c r="L147" s="106"/>
      <c r="M147" s="106"/>
      <c r="N147" s="36"/>
    </row>
    <row r="148" spans="1:14" s="58" customFormat="1" ht="15.75" customHeight="1" x14ac:dyDescent="0.25">
      <c r="A148" s="104">
        <f t="shared" ref="A148:A154" si="7">A147+1</f>
        <v>2</v>
      </c>
      <c r="B148" s="105"/>
      <c r="C148" s="57" t="s">
        <v>252</v>
      </c>
      <c r="D148" s="60">
        <f>(55.31)*10.764</f>
        <v>595.35684000000003</v>
      </c>
      <c r="E148" s="57">
        <v>0</v>
      </c>
      <c r="F148" s="57">
        <f t="shared" si="6"/>
        <v>893.03526000000011</v>
      </c>
      <c r="G148" s="191"/>
      <c r="H148" s="192"/>
      <c r="I148" s="36"/>
      <c r="J148" s="68">
        <f t="shared" ref="J148:J154" si="8">15000*F148</f>
        <v>13395528.900000002</v>
      </c>
      <c r="L148" s="106"/>
      <c r="M148" s="106"/>
      <c r="N148" s="36"/>
    </row>
    <row r="149" spans="1:14" s="58" customFormat="1" ht="15.75" customHeight="1" x14ac:dyDescent="0.25">
      <c r="A149" s="104">
        <f t="shared" si="7"/>
        <v>3</v>
      </c>
      <c r="B149" s="105"/>
      <c r="C149" s="57" t="s">
        <v>251</v>
      </c>
      <c r="D149" s="60">
        <f>(37.84)*10.764</f>
        <v>407.30976000000004</v>
      </c>
      <c r="E149" s="57">
        <v>0</v>
      </c>
      <c r="F149" s="57">
        <f t="shared" si="6"/>
        <v>610.96464000000003</v>
      </c>
      <c r="G149" s="191"/>
      <c r="H149" s="192"/>
      <c r="I149" s="36"/>
      <c r="J149" s="68">
        <f t="shared" si="8"/>
        <v>9164469.5999999996</v>
      </c>
      <c r="L149" s="106"/>
      <c r="M149" s="106"/>
      <c r="N149" s="36"/>
    </row>
    <row r="150" spans="1:14" s="58" customFormat="1" ht="15.75" customHeight="1" x14ac:dyDescent="0.25">
      <c r="A150" s="104">
        <f t="shared" si="7"/>
        <v>4</v>
      </c>
      <c r="B150" s="105"/>
      <c r="C150" s="57" t="s">
        <v>251</v>
      </c>
      <c r="D150" s="60">
        <f>(37.59)*10.764</f>
        <v>404.61876000000001</v>
      </c>
      <c r="E150" s="57">
        <v>0</v>
      </c>
      <c r="F150" s="57">
        <f t="shared" si="6"/>
        <v>606.92813999999998</v>
      </c>
      <c r="G150" s="191"/>
      <c r="H150" s="192"/>
      <c r="I150" s="36"/>
      <c r="J150" s="68">
        <f t="shared" si="8"/>
        <v>9103922.0999999996</v>
      </c>
      <c r="L150" s="106"/>
      <c r="M150" s="106"/>
      <c r="N150" s="36"/>
    </row>
    <row r="151" spans="1:14" s="58" customFormat="1" ht="15.75" customHeight="1" x14ac:dyDescent="0.25">
      <c r="A151" s="104">
        <f t="shared" si="7"/>
        <v>5</v>
      </c>
      <c r="B151" s="105"/>
      <c r="C151" s="57" t="s">
        <v>251</v>
      </c>
      <c r="D151" s="60">
        <f>(37.59)*10.764</f>
        <v>404.61876000000001</v>
      </c>
      <c r="E151" s="57">
        <v>0</v>
      </c>
      <c r="F151" s="57">
        <f t="shared" si="6"/>
        <v>606.92813999999998</v>
      </c>
      <c r="G151" s="191"/>
      <c r="H151" s="192"/>
      <c r="I151" s="36"/>
      <c r="J151" s="68">
        <f t="shared" si="8"/>
        <v>9103922.0999999996</v>
      </c>
      <c r="L151" s="106"/>
      <c r="M151" s="106"/>
      <c r="N151" s="36"/>
    </row>
    <row r="152" spans="1:14" s="58" customFormat="1" ht="15.75" customHeight="1" x14ac:dyDescent="0.25">
      <c r="A152" s="104">
        <f t="shared" si="7"/>
        <v>6</v>
      </c>
      <c r="B152" s="105"/>
      <c r="C152" s="57" t="s">
        <v>251</v>
      </c>
      <c r="D152" s="60">
        <f>(37.84)*10.764</f>
        <v>407.30976000000004</v>
      </c>
      <c r="E152" s="57">
        <v>0</v>
      </c>
      <c r="F152" s="57">
        <f t="shared" si="6"/>
        <v>610.96464000000003</v>
      </c>
      <c r="G152" s="191"/>
      <c r="H152" s="192"/>
      <c r="I152" s="36"/>
      <c r="J152" s="68">
        <f t="shared" si="8"/>
        <v>9164469.5999999996</v>
      </c>
      <c r="L152" s="106"/>
      <c r="M152" s="106"/>
      <c r="N152" s="36"/>
    </row>
    <row r="153" spans="1:14" s="58" customFormat="1" ht="15.75" customHeight="1" x14ac:dyDescent="0.25">
      <c r="A153" s="104">
        <f t="shared" si="7"/>
        <v>7</v>
      </c>
      <c r="B153" s="105"/>
      <c r="C153" s="57" t="s">
        <v>252</v>
      </c>
      <c r="D153" s="60">
        <f>(55.31)*10.764</f>
        <v>595.35684000000003</v>
      </c>
      <c r="E153" s="57">
        <v>0</v>
      </c>
      <c r="F153" s="57">
        <f t="shared" si="6"/>
        <v>893.03526000000011</v>
      </c>
      <c r="G153" s="191"/>
      <c r="H153" s="192"/>
      <c r="I153" s="36"/>
      <c r="J153" s="68">
        <f t="shared" si="8"/>
        <v>13395528.900000002</v>
      </c>
      <c r="L153" s="106"/>
      <c r="M153" s="106"/>
      <c r="N153" s="36"/>
    </row>
    <row r="154" spans="1:14" s="58" customFormat="1" ht="15.75" customHeight="1" x14ac:dyDescent="0.25">
      <c r="A154" s="104">
        <f t="shared" si="7"/>
        <v>8</v>
      </c>
      <c r="B154" s="105"/>
      <c r="C154" s="57" t="s">
        <v>251</v>
      </c>
      <c r="D154" s="60">
        <f>(37.97)*10.764</f>
        <v>408.70907999999997</v>
      </c>
      <c r="E154" s="57">
        <v>0</v>
      </c>
      <c r="F154" s="57">
        <f t="shared" si="6"/>
        <v>613.0636199999999</v>
      </c>
      <c r="G154" s="186"/>
      <c r="H154" s="188"/>
      <c r="I154" s="36"/>
      <c r="J154" s="68">
        <f t="shared" si="8"/>
        <v>9195954.2999999989</v>
      </c>
      <c r="L154" s="106"/>
      <c r="M154" s="106"/>
      <c r="N154" s="36"/>
    </row>
    <row r="155" spans="1:14" s="58" customFormat="1" x14ac:dyDescent="0.25">
      <c r="A155" s="101" t="s">
        <v>256</v>
      </c>
      <c r="B155" s="102"/>
      <c r="C155" s="102"/>
      <c r="D155" s="102"/>
      <c r="E155" s="102"/>
      <c r="F155" s="102"/>
      <c r="G155" s="102"/>
      <c r="H155" s="103"/>
      <c r="J155" s="36"/>
    </row>
    <row r="156" spans="1:14" s="58" customFormat="1" ht="15.75" customHeight="1" x14ac:dyDescent="0.25">
      <c r="A156" s="104">
        <v>1</v>
      </c>
      <c r="B156" s="105"/>
      <c r="C156" s="57" t="s">
        <v>251</v>
      </c>
      <c r="D156" s="60">
        <f>(37.97)*10.764</f>
        <v>408.70907999999997</v>
      </c>
      <c r="E156" s="57">
        <v>0</v>
      </c>
      <c r="F156" s="57">
        <f>D156*(($F$116)+1)+(IF(E156&lt;101,E156,IF(E156&lt;201,E156/2,IF(E156&lt;=301,E156/3,E156/4))))</f>
        <v>613.0636199999999</v>
      </c>
      <c r="G156" s="183" t="str">
        <f>A155</f>
        <v>7th &amp; 14th Floor (Part Refuge Area)</v>
      </c>
      <c r="H156" s="185"/>
      <c r="I156" s="36"/>
      <c r="L156" s="106"/>
      <c r="M156" s="106"/>
      <c r="N156" s="36"/>
    </row>
    <row r="157" spans="1:14" s="58" customFormat="1" ht="15.75" customHeight="1" x14ac:dyDescent="0.25">
      <c r="A157" s="104">
        <f t="shared" ref="A157:A163" si="9">A156+1</f>
        <v>2</v>
      </c>
      <c r="B157" s="105"/>
      <c r="C157" s="57" t="s">
        <v>252</v>
      </c>
      <c r="D157" s="60">
        <f>(55.31)*10.764</f>
        <v>595.35684000000003</v>
      </c>
      <c r="E157" s="57">
        <v>0</v>
      </c>
      <c r="F157" s="57">
        <f>D157*(($F$116)+1)+(IF(E157&lt;101,E157,IF(E157&lt;201,E157/2,IF(E157&lt;=301,E157/3,E157/4))))</f>
        <v>893.03526000000011</v>
      </c>
      <c r="G157" s="191"/>
      <c r="H157" s="192"/>
      <c r="I157" s="36"/>
      <c r="L157" s="106"/>
      <c r="M157" s="106"/>
      <c r="N157" s="36"/>
    </row>
    <row r="158" spans="1:14" s="58" customFormat="1" ht="15.75" customHeight="1" x14ac:dyDescent="0.25">
      <c r="A158" s="104">
        <f t="shared" si="9"/>
        <v>3</v>
      </c>
      <c r="B158" s="105"/>
      <c r="C158" s="57" t="s">
        <v>251</v>
      </c>
      <c r="D158" s="60">
        <f>(37.84)*10.764</f>
        <v>407.30976000000004</v>
      </c>
      <c r="E158" s="57">
        <v>0</v>
      </c>
      <c r="F158" s="57">
        <f>D158*(($F$116)+1)+(IF(E158&lt;101,E158,IF(E158&lt;201,E158/2,IF(E158&lt;=301,E158/3,E158/4))))</f>
        <v>610.96464000000003</v>
      </c>
      <c r="G158" s="191"/>
      <c r="H158" s="192"/>
      <c r="I158" s="36"/>
      <c r="L158" s="106"/>
      <c r="M158" s="106"/>
      <c r="N158" s="36"/>
    </row>
    <row r="159" spans="1:14" s="58" customFormat="1" ht="15.75" customHeight="1" x14ac:dyDescent="0.25">
      <c r="A159" s="104">
        <f t="shared" si="9"/>
        <v>4</v>
      </c>
      <c r="B159" s="105"/>
      <c r="C159" s="57" t="s">
        <v>251</v>
      </c>
      <c r="D159" s="60">
        <f>(37.59)*10.764</f>
        <v>404.61876000000001</v>
      </c>
      <c r="E159" s="57">
        <v>0</v>
      </c>
      <c r="F159" s="57">
        <f>D159*(($F$116)+1)+(IF(E159&lt;101,E159,IF(E159&lt;201,E159/2,IF(E159&lt;=301,E159/3,E159/4))))</f>
        <v>606.92813999999998</v>
      </c>
      <c r="G159" s="191"/>
      <c r="H159" s="192"/>
      <c r="I159" s="36"/>
      <c r="L159" s="106"/>
      <c r="M159" s="106"/>
      <c r="N159" s="36"/>
    </row>
    <row r="160" spans="1:14" s="58" customFormat="1" ht="15.75" customHeight="1" x14ac:dyDescent="0.25">
      <c r="A160" s="104">
        <f t="shared" si="9"/>
        <v>5</v>
      </c>
      <c r="B160" s="105"/>
      <c r="C160" s="57" t="s">
        <v>251</v>
      </c>
      <c r="D160" s="60">
        <f>(37.59)*10.764</f>
        <v>404.61876000000001</v>
      </c>
      <c r="E160" s="57">
        <v>0</v>
      </c>
      <c r="F160" s="57">
        <f>D160*(($F$116)+1)+(IF(E160&lt;101,E160,IF(E160&lt;201,E160/2,IF(E160&lt;=301,E160/3,E160/4))))</f>
        <v>606.92813999999998</v>
      </c>
      <c r="G160" s="191"/>
      <c r="H160" s="192"/>
      <c r="I160" s="36"/>
      <c r="L160" s="106"/>
      <c r="M160" s="106"/>
      <c r="N160" s="36"/>
    </row>
    <row r="161" spans="1:14" s="58" customFormat="1" ht="15.75" customHeight="1" x14ac:dyDescent="0.25">
      <c r="A161" s="104">
        <f t="shared" si="9"/>
        <v>6</v>
      </c>
      <c r="B161" s="105"/>
      <c r="C161" s="183" t="s">
        <v>257</v>
      </c>
      <c r="D161" s="184"/>
      <c r="E161" s="184"/>
      <c r="F161" s="185"/>
      <c r="G161" s="191"/>
      <c r="H161" s="192"/>
      <c r="I161" s="36"/>
      <c r="L161" s="106"/>
      <c r="M161" s="106"/>
      <c r="N161" s="36"/>
    </row>
    <row r="162" spans="1:14" s="58" customFormat="1" ht="15.75" customHeight="1" x14ac:dyDescent="0.25">
      <c r="A162" s="104">
        <f t="shared" si="9"/>
        <v>7</v>
      </c>
      <c r="B162" s="105"/>
      <c r="C162" s="186"/>
      <c r="D162" s="187"/>
      <c r="E162" s="187"/>
      <c r="F162" s="188"/>
      <c r="G162" s="191"/>
      <c r="H162" s="192"/>
      <c r="I162" s="36"/>
      <c r="L162" s="106"/>
      <c r="M162" s="106"/>
      <c r="N162" s="36"/>
    </row>
    <row r="163" spans="1:14" s="58" customFormat="1" ht="15.75" customHeight="1" x14ac:dyDescent="0.25">
      <c r="A163" s="104">
        <f t="shared" si="9"/>
        <v>8</v>
      </c>
      <c r="B163" s="105"/>
      <c r="C163" s="57" t="s">
        <v>251</v>
      </c>
      <c r="D163" s="60">
        <f>(37.97)*10.764</f>
        <v>408.70907999999997</v>
      </c>
      <c r="E163" s="57">
        <v>0</v>
      </c>
      <c r="F163" s="57">
        <f>D163*(($F$116)+1)+(IF(E163&lt;101,E163,IF(E163&lt;201,E163/2,IF(E163&lt;=301,E163/3,E163/4))))</f>
        <v>613.0636199999999</v>
      </c>
      <c r="G163" s="186"/>
      <c r="H163" s="188"/>
      <c r="I163" s="36"/>
      <c r="L163" s="106"/>
      <c r="M163" s="106"/>
      <c r="N163" s="36"/>
    </row>
    <row r="164" spans="1:14" s="58" customFormat="1" x14ac:dyDescent="0.25">
      <c r="A164" s="95" t="s">
        <v>258</v>
      </c>
      <c r="B164" s="95"/>
      <c r="C164" s="95"/>
      <c r="D164" s="95"/>
      <c r="E164" s="95"/>
      <c r="F164" s="95"/>
      <c r="G164" s="95"/>
      <c r="H164" s="95"/>
      <c r="J164" s="36"/>
    </row>
    <row r="165" spans="1:14" s="58" customFormat="1" ht="15.75" customHeight="1" x14ac:dyDescent="0.25">
      <c r="A165" s="91">
        <v>1</v>
      </c>
      <c r="B165" s="91"/>
      <c r="C165" s="70" t="s">
        <v>251</v>
      </c>
      <c r="D165" s="60">
        <f>(37.97)*10.764</f>
        <v>408.70907999999997</v>
      </c>
      <c r="E165" s="70">
        <v>0</v>
      </c>
      <c r="F165" s="70">
        <f t="shared" ref="F165:F172" si="10">D165*(($F$116)+1)+(IF(E165&lt;101,E165,IF(E165&lt;201,E165/2,IF(E165&lt;=301,E165/3,E165/4))))</f>
        <v>613.0636199999999</v>
      </c>
      <c r="G165" s="91" t="str">
        <f>A164</f>
        <v>21st Floor (Part Refuge Area)</v>
      </c>
      <c r="H165" s="91"/>
      <c r="I165" s="36"/>
      <c r="L165" s="106"/>
      <c r="M165" s="106"/>
      <c r="N165" s="36"/>
    </row>
    <row r="166" spans="1:14" s="58" customFormat="1" ht="15.75" customHeight="1" x14ac:dyDescent="0.25">
      <c r="A166" s="91">
        <f t="shared" ref="A166:A172" si="11">A165+1</f>
        <v>2</v>
      </c>
      <c r="B166" s="91"/>
      <c r="C166" s="70" t="s">
        <v>252</v>
      </c>
      <c r="D166" s="60">
        <f>(55.31)*10.764</f>
        <v>595.35684000000003</v>
      </c>
      <c r="E166" s="70">
        <v>0</v>
      </c>
      <c r="F166" s="70">
        <f t="shared" si="10"/>
        <v>893.03526000000011</v>
      </c>
      <c r="G166" s="91"/>
      <c r="H166" s="91"/>
      <c r="I166" s="36"/>
      <c r="L166" s="106"/>
      <c r="M166" s="106"/>
      <c r="N166" s="36"/>
    </row>
    <row r="167" spans="1:14" s="58" customFormat="1" ht="15.75" customHeight="1" x14ac:dyDescent="0.25">
      <c r="A167" s="91">
        <f t="shared" si="11"/>
        <v>3</v>
      </c>
      <c r="B167" s="91"/>
      <c r="C167" s="70" t="s">
        <v>251</v>
      </c>
      <c r="D167" s="60">
        <f>(37.84)*10.764</f>
        <v>407.30976000000004</v>
      </c>
      <c r="E167" s="70">
        <v>0</v>
      </c>
      <c r="F167" s="70">
        <f t="shared" si="10"/>
        <v>610.96464000000003</v>
      </c>
      <c r="G167" s="91"/>
      <c r="H167" s="91"/>
      <c r="I167" s="36"/>
      <c r="L167" s="106"/>
      <c r="M167" s="106"/>
      <c r="N167" s="36"/>
    </row>
    <row r="168" spans="1:14" s="58" customFormat="1" ht="15.75" customHeight="1" x14ac:dyDescent="0.25">
      <c r="A168" s="91">
        <f t="shared" si="11"/>
        <v>4</v>
      </c>
      <c r="B168" s="91"/>
      <c r="C168" s="70" t="s">
        <v>251</v>
      </c>
      <c r="D168" s="60">
        <f>(37.59)*10.764</f>
        <v>404.61876000000001</v>
      </c>
      <c r="E168" s="70">
        <v>0</v>
      </c>
      <c r="F168" s="70">
        <f t="shared" si="10"/>
        <v>606.92813999999998</v>
      </c>
      <c r="G168" s="91"/>
      <c r="H168" s="91"/>
      <c r="I168" s="36"/>
      <c r="L168" s="106"/>
      <c r="M168" s="106"/>
      <c r="N168" s="36"/>
    </row>
    <row r="169" spans="1:14" s="58" customFormat="1" ht="15.75" customHeight="1" x14ac:dyDescent="0.25">
      <c r="A169" s="91">
        <f t="shared" si="11"/>
        <v>5</v>
      </c>
      <c r="B169" s="91"/>
      <c r="C169" s="70" t="s">
        <v>251</v>
      </c>
      <c r="D169" s="60">
        <f>(37.59)*10.764</f>
        <v>404.61876000000001</v>
      </c>
      <c r="E169" s="70">
        <v>0</v>
      </c>
      <c r="F169" s="70">
        <f t="shared" si="10"/>
        <v>606.92813999999998</v>
      </c>
      <c r="G169" s="91"/>
      <c r="H169" s="91"/>
      <c r="I169" s="36"/>
      <c r="L169" s="106"/>
      <c r="M169" s="106"/>
      <c r="N169" s="36"/>
    </row>
    <row r="170" spans="1:14" s="58" customFormat="1" ht="15.75" customHeight="1" x14ac:dyDescent="0.25">
      <c r="A170" s="91">
        <f t="shared" si="11"/>
        <v>6</v>
      </c>
      <c r="B170" s="91"/>
      <c r="C170" s="70" t="s">
        <v>251</v>
      </c>
      <c r="D170" s="60">
        <f>(37.84)*10.764</f>
        <v>407.30976000000004</v>
      </c>
      <c r="E170" s="70">
        <v>0</v>
      </c>
      <c r="F170" s="70">
        <f t="shared" si="10"/>
        <v>610.96464000000003</v>
      </c>
      <c r="G170" s="91"/>
      <c r="H170" s="91"/>
      <c r="I170" s="36"/>
      <c r="L170" s="106"/>
      <c r="M170" s="106"/>
      <c r="N170" s="36"/>
    </row>
    <row r="171" spans="1:14" s="58" customFormat="1" ht="15.75" customHeight="1" x14ac:dyDescent="0.25">
      <c r="A171" s="91">
        <f t="shared" si="11"/>
        <v>7</v>
      </c>
      <c r="B171" s="91"/>
      <c r="C171" s="70" t="s">
        <v>259</v>
      </c>
      <c r="D171" s="60">
        <f>(26.07)*10.764</f>
        <v>280.61748</v>
      </c>
      <c r="E171" s="70">
        <v>0</v>
      </c>
      <c r="F171" s="70">
        <f t="shared" si="10"/>
        <v>420.92622</v>
      </c>
      <c r="G171" s="91"/>
      <c r="H171" s="91"/>
      <c r="I171" s="36"/>
      <c r="J171" s="36">
        <f>6500000/F171</f>
        <v>15442.136153932155</v>
      </c>
      <c r="L171" s="106"/>
      <c r="M171" s="106"/>
      <c r="N171" s="36"/>
    </row>
    <row r="172" spans="1:14" s="58" customFormat="1" ht="15.75" customHeight="1" x14ac:dyDescent="0.25">
      <c r="A172" s="91">
        <f t="shared" si="11"/>
        <v>8</v>
      </c>
      <c r="B172" s="91"/>
      <c r="C172" s="70" t="s">
        <v>251</v>
      </c>
      <c r="D172" s="60">
        <f>(37.97)*10.764</f>
        <v>408.70907999999997</v>
      </c>
      <c r="E172" s="70">
        <v>0</v>
      </c>
      <c r="F172" s="70">
        <f t="shared" si="10"/>
        <v>613.0636199999999</v>
      </c>
      <c r="G172" s="91"/>
      <c r="H172" s="91"/>
      <c r="I172" s="36"/>
      <c r="L172" s="106"/>
      <c r="M172" s="106"/>
      <c r="N172" s="36"/>
    </row>
    <row r="173" spans="1:14" s="37" customFormat="1" hidden="1" x14ac:dyDescent="0.25">
      <c r="A173" s="95" t="s">
        <v>120</v>
      </c>
      <c r="B173" s="95"/>
      <c r="C173" s="95"/>
      <c r="D173" s="95"/>
      <c r="E173" s="95"/>
      <c r="F173" s="95"/>
      <c r="G173" s="95"/>
      <c r="H173" s="95"/>
      <c r="J173" s="36"/>
    </row>
    <row r="174" spans="1:14" s="37" customFormat="1" hidden="1" x14ac:dyDescent="0.25">
      <c r="A174" s="91">
        <v>1</v>
      </c>
      <c r="B174" s="91"/>
      <c r="C174" s="70"/>
      <c r="D174" s="70"/>
      <c r="E174" s="70">
        <v>0</v>
      </c>
      <c r="F174" s="70">
        <f>D174*(($F$116)+1)+(IF(E174&lt;101,E174,IF(E174&lt;201,E174/2,IF(E174&lt;=301,E174/3,E174/4))))</f>
        <v>0</v>
      </c>
      <c r="G174" s="91" t="str">
        <f>A173</f>
        <v>Ground Floor</v>
      </c>
      <c r="H174" s="91"/>
      <c r="I174" s="36"/>
      <c r="L174" s="106"/>
      <c r="M174" s="106"/>
      <c r="N174" s="36"/>
    </row>
    <row r="175" spans="1:14" s="37" customFormat="1" hidden="1" x14ac:dyDescent="0.25">
      <c r="A175" s="91">
        <f t="shared" ref="A175:A177" si="12">A174+1</f>
        <v>2</v>
      </c>
      <c r="B175" s="91"/>
      <c r="C175" s="70"/>
      <c r="D175" s="70"/>
      <c r="E175" s="70">
        <v>0</v>
      </c>
      <c r="F175" s="70">
        <f>D175*(($F$116)+1)+(IF(E175&lt;101,E175,IF(E175&lt;201,E175/2,IF(E175&lt;=301,E175/3,E175/4))))</f>
        <v>0</v>
      </c>
      <c r="G175" s="91" t="str">
        <f t="shared" ref="G175:G177" si="13">G174</f>
        <v>Ground Floor</v>
      </c>
      <c r="H175" s="91"/>
      <c r="I175" s="36"/>
      <c r="L175" s="106"/>
      <c r="M175" s="106"/>
      <c r="N175" s="36"/>
    </row>
    <row r="176" spans="1:14" s="37" customFormat="1" hidden="1" x14ac:dyDescent="0.25">
      <c r="A176" s="91">
        <f t="shared" si="12"/>
        <v>3</v>
      </c>
      <c r="B176" s="91"/>
      <c r="C176" s="70"/>
      <c r="D176" s="70"/>
      <c r="E176" s="70">
        <v>0</v>
      </c>
      <c r="F176" s="70">
        <f>D176*(($F$116)+1)+(IF(E176&lt;101,E176,IF(E176&lt;201,E176/2,IF(E176&lt;=301,E176/3,E176/4))))</f>
        <v>0</v>
      </c>
      <c r="G176" s="91" t="str">
        <f t="shared" si="13"/>
        <v>Ground Floor</v>
      </c>
      <c r="H176" s="91"/>
      <c r="I176" s="36"/>
      <c r="L176" s="106"/>
      <c r="M176" s="106"/>
      <c r="N176" s="36"/>
    </row>
    <row r="177" spans="1:14" s="37" customFormat="1" hidden="1" x14ac:dyDescent="0.25">
      <c r="A177" s="91">
        <f t="shared" si="12"/>
        <v>4</v>
      </c>
      <c r="B177" s="91"/>
      <c r="C177" s="70"/>
      <c r="D177" s="70"/>
      <c r="E177" s="70">
        <v>0</v>
      </c>
      <c r="F177" s="70">
        <f>D177*(($F$116)+1)+(IF(E177&lt;101,E177,IF(E177&lt;201,E177/2,IF(E177&lt;=301,E177/3,E177/4))))</f>
        <v>0</v>
      </c>
      <c r="G177" s="91" t="str">
        <f t="shared" si="13"/>
        <v>Ground Floor</v>
      </c>
      <c r="H177" s="91"/>
      <c r="I177" s="36"/>
      <c r="L177" s="106"/>
      <c r="M177" s="106"/>
      <c r="N177" s="36"/>
    </row>
    <row r="178" spans="1:14" s="37" customFormat="1" hidden="1" x14ac:dyDescent="0.25">
      <c r="A178" s="95" t="s">
        <v>121</v>
      </c>
      <c r="B178" s="95"/>
      <c r="C178" s="95"/>
      <c r="D178" s="95"/>
      <c r="E178" s="95"/>
      <c r="F178" s="95"/>
      <c r="G178" s="95"/>
      <c r="H178" s="95"/>
      <c r="I178" s="36"/>
      <c r="L178" s="106"/>
      <c r="M178" s="106"/>
    </row>
    <row r="179" spans="1:14" s="37" customFormat="1" hidden="1" x14ac:dyDescent="0.25">
      <c r="A179" s="91">
        <f>LEFT(A178,SUM(LEN(A178)-LEN(SUBSTITUTE(A178,{"0","1","2","3","4","5","6","7","8","9"},""))))*100+1</f>
        <v>201</v>
      </c>
      <c r="B179" s="91"/>
      <c r="C179" s="70"/>
      <c r="D179" s="70"/>
      <c r="E179" s="70">
        <v>0</v>
      </c>
      <c r="F179" s="70">
        <f t="shared" ref="F179:F180" si="14">D179*(($F$116)+1)+(IF(E179&lt;101,E179,IF(E179&lt;201,E179/2,IF(E179&lt;=301,E179/3,E179/4))))</f>
        <v>0</v>
      </c>
      <c r="G179" s="91" t="str">
        <f>A178</f>
        <v>2nd Floor</v>
      </c>
      <c r="H179" s="91"/>
      <c r="I179" s="36"/>
      <c r="N179" s="36"/>
    </row>
    <row r="180" spans="1:14" s="37" customFormat="1" hidden="1" x14ac:dyDescent="0.25">
      <c r="A180" s="91">
        <f>A179+1</f>
        <v>202</v>
      </c>
      <c r="B180" s="91"/>
      <c r="C180" s="70"/>
      <c r="D180" s="70"/>
      <c r="E180" s="70">
        <v>0</v>
      </c>
      <c r="F180" s="70">
        <f t="shared" si="14"/>
        <v>0</v>
      </c>
      <c r="G180" s="91" t="str">
        <f>G179</f>
        <v>2nd Floor</v>
      </c>
      <c r="H180" s="91"/>
      <c r="I180" s="36"/>
      <c r="N180" s="36"/>
    </row>
    <row r="181" spans="1:14" s="37" customFormat="1" hidden="1" x14ac:dyDescent="0.25">
      <c r="A181" s="91">
        <f>A180+1</f>
        <v>203</v>
      </c>
      <c r="B181" s="91"/>
      <c r="C181" s="70"/>
      <c r="D181" s="70"/>
      <c r="E181" s="70">
        <v>0</v>
      </c>
      <c r="F181" s="70">
        <f>D181*(($F$116)+1)+(IF(E181&lt;101,E181,IF(E181&lt;201,E181/2,IF(E181&lt;=301,E181/3,E181/4))))</f>
        <v>0</v>
      </c>
      <c r="G181" s="91" t="str">
        <f>G180</f>
        <v>2nd Floor</v>
      </c>
      <c r="H181" s="91"/>
      <c r="I181" s="36"/>
      <c r="N181" s="36"/>
    </row>
    <row r="182" spans="1:14" s="37" customFormat="1" hidden="1" x14ac:dyDescent="0.25">
      <c r="A182" s="91">
        <f>A181+1</f>
        <v>204</v>
      </c>
      <c r="B182" s="91"/>
      <c r="C182" s="70"/>
      <c r="D182" s="70"/>
      <c r="E182" s="70">
        <v>0</v>
      </c>
      <c r="F182" s="70">
        <f>D182*(($F$116)+1)+(IF(E182&lt;101,E182,IF(E182&lt;201,E182/2,IF(E182&lt;=301,E182/3,E182/4))))</f>
        <v>0</v>
      </c>
      <c r="G182" s="91" t="str">
        <f>G181</f>
        <v>2nd Floor</v>
      </c>
      <c r="H182" s="91"/>
      <c r="I182" s="36"/>
      <c r="N182" s="36"/>
    </row>
    <row r="183" spans="1:14" s="37" customFormat="1" hidden="1" x14ac:dyDescent="0.25">
      <c r="A183" s="91">
        <f>A182+1</f>
        <v>205</v>
      </c>
      <c r="B183" s="91"/>
      <c r="C183" s="70"/>
      <c r="D183" s="70"/>
      <c r="E183" s="70">
        <v>0</v>
      </c>
      <c r="F183" s="70">
        <f>D183*(($F$116)+1)+(IF(E183&lt;101,E183,IF(E183&lt;201,E183/2,IF(E183&lt;=301,E183/3,E183/4))))</f>
        <v>0</v>
      </c>
      <c r="G183" s="91" t="str">
        <f>G182</f>
        <v>2nd Floor</v>
      </c>
      <c r="H183" s="91"/>
      <c r="I183" s="36"/>
      <c r="N183" s="36"/>
    </row>
    <row r="184" spans="1:14" s="37" customFormat="1" ht="15.75" hidden="1" customHeight="1" x14ac:dyDescent="0.25">
      <c r="A184" s="95" t="s">
        <v>156</v>
      </c>
      <c r="B184" s="95"/>
      <c r="C184" s="95"/>
      <c r="D184" s="95"/>
      <c r="E184" s="95"/>
      <c r="F184" s="95"/>
      <c r="G184" s="95"/>
      <c r="H184" s="95"/>
      <c r="I184" s="36"/>
    </row>
    <row r="185" spans="1:14" s="37" customFormat="1" hidden="1" x14ac:dyDescent="0.25">
      <c r="A185" s="91" t="str">
        <f ca="1">(SUMPRODUCT(MID(0&amp;(LEFT(A184,SUM(LEN(A184)-LEN(SUBSTITUTE(A184,{"0","1","2"},""))))), LARGE(INDEX(ISNUMBER(--MID((LEFT(A184,SUM(LEN(A184)-LEN(SUBSTITUTE(A184,{"0","1","2"},""))))), ROW(INDIRECT("1:"&amp;LEN((LEFT(A184,SUM(LEN(A184)-LEN(SUBSTITUTE(A184,{"0","1","2"},"")))))))), 1)) * ROW(INDIRECT("1:"&amp;LEN((LEFT(A184,SUM(LEN(A184)-LEN(SUBSTITUTE(A184,{"0","1","2"},"")))))))), 0), ROW(INDIRECT("1:"&amp;LEN((LEFT(A184,SUM(LEN(A184)-LEN(SUBSTITUTE(A184,{"0","1","2"},"")))))))))+1, 1) * 10^ROW(INDIRECT("1:"&amp;LEN((LEFT(A184,SUM(LEN(A184)-LEN(SUBSTITUTE(A184,{"0","1","2"},""))))))))/10))*100+1&amp;""&amp;" ,.., "&amp;""&amp;(SUMPRODUCT(MID(0&amp;(--TRIM(RIGHT(SUBSTITUTE(LEFT(A184,_xlfn.AGGREGATE(16,6,FIND({0,1,2,3,4,5,6,7,8,9},A184,ROW(INDIRECT("1:"&amp;LEN(A184)))),1))," ",REPT(" ",LEN(A184))),LEN(A184)))), LARGE(INDEX(ISNUMBER(--MID((--TRIM(RIGHT(SUBSTITUTE(LEFT(A184,_xlfn.AGGREGATE(16,6,FIND({0,1,2,3,4,5,6,7,8,9},A184,ROW(INDIRECT("1:"&amp;LEN(A184)))),1))," ",REPT(" ",LEN(A184))),LEN(A184)))), ROW(INDIRECT("1:"&amp;LEN((--TRIM(RIGHT(SUBSTITUTE(LEFT(A184,_xlfn.AGGREGATE(16,6,FIND({0,1,2,3,4,5,6,7,8,9},A184,ROW(INDIRECT("1:"&amp;LEN(A184)))),1))," ",REPT(" ",LEN(A184))),LEN(A184))))))), 1)) * ROW(INDIRECT("1:"&amp;LEN((--TRIM(RIGHT(SUBSTITUTE(LEFT(A184,_xlfn.AGGREGATE(16,6,FIND({0,1,2,3,4,5,6,7,8,9},A184,ROW(INDIRECT("1:"&amp;LEN(A184)))),1))," ",REPT(" ",LEN(A184))),LEN(A184))))))), 0), ROW(INDIRECT("1:"&amp;LEN((--TRIM(RIGHT(SUBSTITUTE(LEFT(A184,_xlfn.AGGREGATE(16,6,FIND({0,1,2,3,4,5,6,7,8,9},A184,ROW(INDIRECT("1:"&amp;LEN(A184)))),1))," ",REPT(" ",LEN(A184))),LEN(A184))))))))+1, 1) * 10^ROW(INDIRECT("1:"&amp;LEN((--TRIM(RIGHT(SUBSTITUTE(LEFT(A184,_xlfn.AGGREGATE(16,6,FIND({0,1,2,3,4,5,6,7,8,9},A184,ROW(INDIRECT("1:"&amp;LEN(A184)))),1))," ",REPT(" ",LEN(A184))),LEN(A184)))))))/10))*100+1</f>
        <v>301 ,.., 1501</v>
      </c>
      <c r="B185" s="91"/>
      <c r="C185" s="70"/>
      <c r="D185" s="70"/>
      <c r="E185" s="70">
        <v>0</v>
      </c>
      <c r="F185" s="70">
        <f>D185*(($F$116)+1)+(IF(E185&lt;101,E185,IF(E185&lt;201,E185/2,IF(E185&lt;=301,E185/3,E185/4))))</f>
        <v>0</v>
      </c>
      <c r="G185" s="91" t="str">
        <f>A184</f>
        <v>3rd, 5th, 7th, 9th, 11th, 13th, 15th Floor</v>
      </c>
      <c r="H185" s="91"/>
      <c r="I185" s="36"/>
    </row>
    <row r="186" spans="1:14" s="37" customFormat="1" hidden="1" x14ac:dyDescent="0.25">
      <c r="A186" s="91" t="str">
        <f ca="1">(SUMPRODUCT(MID(0&amp;(LEFT(A185,SUM(LEN(A185)-LEN(SUBSTITUTE(A185,{"0","1","2"},""))))), LARGE(INDEX(ISNUMBER(--MID((LEFT(A185,SUM(LEN(A185)-LEN(SUBSTITUTE(A185,{"0","1","2"},""))))), ROW(INDIRECT("1:"&amp;LEN((LEFT(A185,SUM(LEN(A185)-LEN(SUBSTITUTE(A185,{"0","1","2"},"")))))))), 1)) * ROW(INDIRECT("1:"&amp;LEN((LEFT(A185,SUM(LEN(A185)-LEN(SUBSTITUTE(A185,{"0","1","2"},"")))))))), 0), ROW(INDIRECT("1:"&amp;LEN((LEFT(A185,SUM(LEN(A185)-LEN(SUBSTITUTE(A185,{"0","1","2"},"")))))))))+1, 1) * 10^ROW(INDIRECT("1:"&amp;LEN((LEFT(A185,SUM(LEN(A185)-LEN(SUBSTITUTE(A185,{"0","1","2"},""))))))))/10))*1+1&amp;""&amp;" ,.., "&amp;""&amp;(SUMPRODUCT(MID(0&amp;(--TRIM(RIGHT(SUBSTITUTE(LEFT(A185,_xlfn.AGGREGATE(16,6,FIND({0,1,2,3,4,5,6,7,8,9},A185,ROW(INDIRECT("1:"&amp;LEN(A185)))),1))," ",REPT(" ",LEN(A185))),LEN(A185)))), LARGE(INDEX(ISNUMBER(--MID((--TRIM(RIGHT(SUBSTITUTE(LEFT(A185,_xlfn.AGGREGATE(16,6,FIND({0,1,2,3,4,5,6,7,8,9},A185,ROW(INDIRECT("1:"&amp;LEN(A185)))),1))," ",REPT(" ",LEN(A185))),LEN(A185)))), ROW(INDIRECT("1:"&amp;LEN((--TRIM(RIGHT(SUBSTITUTE(LEFT(A185,_xlfn.AGGREGATE(16,6,FIND({0,1,2,3,4,5,6,7,8,9},A185,ROW(INDIRECT("1:"&amp;LEN(A185)))),1))," ",REPT(" ",LEN(A185))),LEN(A185))))))), 1)) * ROW(INDIRECT("1:"&amp;LEN((--TRIM(RIGHT(SUBSTITUTE(LEFT(A185,_xlfn.AGGREGATE(16,6,FIND({0,1,2,3,4,5,6,7,8,9},A185,ROW(INDIRECT("1:"&amp;LEN(A185)))),1))," ",REPT(" ",LEN(A185))),LEN(A185))))))), 0), ROW(INDIRECT("1:"&amp;LEN((--TRIM(RIGHT(SUBSTITUTE(LEFT(A185,_xlfn.AGGREGATE(16,6,FIND({0,1,2,3,4,5,6,7,8,9},A185,ROW(INDIRECT("1:"&amp;LEN(A185)))),1))," ",REPT(" ",LEN(A185))),LEN(A185))))))))+1, 1) * 10^ROW(INDIRECT("1:"&amp;LEN((--TRIM(RIGHT(SUBSTITUTE(LEFT(A185,_xlfn.AGGREGATE(16,6,FIND({0,1,2,3,4,5,6,7,8,9},A185,ROW(INDIRECT("1:"&amp;LEN(A185)))),1))," ",REPT(" ",LEN(A185))),LEN(A185)))))))/10))*1+1</f>
        <v>302 ,.., 1502</v>
      </c>
      <c r="B186" s="91"/>
      <c r="C186" s="70"/>
      <c r="D186" s="70"/>
      <c r="E186" s="70">
        <v>0</v>
      </c>
      <c r="F186" s="70">
        <f>D186*(($F$116)+1)+(IF(E186&lt;101,E186,IF(E186&lt;201,E186/2,IF(E186&lt;=301,E186/3,E186/4))))</f>
        <v>0</v>
      </c>
      <c r="G186" s="91" t="str">
        <f>G185</f>
        <v>3rd, 5th, 7th, 9th, 11th, 13th, 15th Floor</v>
      </c>
      <c r="H186" s="91"/>
      <c r="I186" s="36"/>
    </row>
    <row r="187" spans="1:14" s="37" customFormat="1" ht="15.75" hidden="1" customHeight="1" x14ac:dyDescent="0.25">
      <c r="A187" s="91" t="str">
        <f ca="1">(SUMPRODUCT(MID(0&amp;(LEFT(A186,SUM(LEN(A186)-LEN(SUBSTITUTE(A186,{"0","1","2"},""))))), LARGE(INDEX(ISNUMBER(--MID((LEFT(A186,SUM(LEN(A186)-LEN(SUBSTITUTE(A186,{"0","1","2"},""))))), ROW(INDIRECT("1:"&amp;LEN((LEFT(A186,SUM(LEN(A186)-LEN(SUBSTITUTE(A186,{"0","1","2"},"")))))))), 1)) * ROW(INDIRECT("1:"&amp;LEN((LEFT(A186,SUM(LEN(A186)-LEN(SUBSTITUTE(A186,{"0","1","2"},"")))))))), 0), ROW(INDIRECT("1:"&amp;LEN((LEFT(A186,SUM(LEN(A186)-LEN(SUBSTITUTE(A186,{"0","1","2"},"")))))))))+1, 1) * 10^ROW(INDIRECT("1:"&amp;LEN((LEFT(A186,SUM(LEN(A186)-LEN(SUBSTITUTE(A186,{"0","1","2"},""))))))))/10))*1+1&amp;""&amp;" ,.., "&amp;""&amp;(SUMPRODUCT(MID(0&amp;(--TRIM(RIGHT(SUBSTITUTE(LEFT(A186,_xlfn.AGGREGATE(16,6,FIND({0,1,2,3,4,5,6,7,8,9},A186,ROW(INDIRECT("1:"&amp;LEN(A186)))),1))," ",REPT(" ",LEN(A186))),LEN(A186)))), LARGE(INDEX(ISNUMBER(--MID((--TRIM(RIGHT(SUBSTITUTE(LEFT(A186,_xlfn.AGGREGATE(16,6,FIND({0,1,2,3,4,5,6,7,8,9},A186,ROW(INDIRECT("1:"&amp;LEN(A186)))),1))," ",REPT(" ",LEN(A186))),LEN(A186)))), ROW(INDIRECT("1:"&amp;LEN((--TRIM(RIGHT(SUBSTITUTE(LEFT(A186,_xlfn.AGGREGATE(16,6,FIND({0,1,2,3,4,5,6,7,8,9},A186,ROW(INDIRECT("1:"&amp;LEN(A186)))),1))," ",REPT(" ",LEN(A186))),LEN(A186))))))), 1)) * ROW(INDIRECT("1:"&amp;LEN((--TRIM(RIGHT(SUBSTITUTE(LEFT(A186,_xlfn.AGGREGATE(16,6,FIND({0,1,2,3,4,5,6,7,8,9},A186,ROW(INDIRECT("1:"&amp;LEN(A186)))),1))," ",REPT(" ",LEN(A186))),LEN(A186))))))), 0), ROW(INDIRECT("1:"&amp;LEN((--TRIM(RIGHT(SUBSTITUTE(LEFT(A186,_xlfn.AGGREGATE(16,6,FIND({0,1,2,3,4,5,6,7,8,9},A186,ROW(INDIRECT("1:"&amp;LEN(A186)))),1))," ",REPT(" ",LEN(A186))),LEN(A186))))))))+1, 1) * 10^ROW(INDIRECT("1:"&amp;LEN((--TRIM(RIGHT(SUBSTITUTE(LEFT(A186,_xlfn.AGGREGATE(16,6,FIND({0,1,2,3,4,5,6,7,8,9},A186,ROW(INDIRECT("1:"&amp;LEN(A186)))),1))," ",REPT(" ",LEN(A186))),LEN(A186)))))))/10))*1+1</f>
        <v>303 ,.., 1503</v>
      </c>
      <c r="B187" s="91"/>
      <c r="C187" s="70"/>
      <c r="D187" s="70"/>
      <c r="E187" s="70">
        <v>0</v>
      </c>
      <c r="F187" s="70">
        <f>D187*(($F$116)+1)+(IF(E187&lt;101,E187,IF(E187&lt;201,E187/2,IF(E187&lt;=301,E187/3,E187/4))))</f>
        <v>0</v>
      </c>
      <c r="G187" s="91" t="str">
        <f>G186</f>
        <v>3rd, 5th, 7th, 9th, 11th, 13th, 15th Floor</v>
      </c>
      <c r="H187" s="91"/>
      <c r="I187" s="36"/>
    </row>
    <row r="188" spans="1:14" s="37" customFormat="1" ht="15.75" hidden="1" customHeight="1" x14ac:dyDescent="0.25">
      <c r="A188" s="91" t="str">
        <f ca="1">(SUMPRODUCT(MID(0&amp;(LEFT(A187,SUM(LEN(A187)-LEN(SUBSTITUTE(A187,{"0","1","2"},""))))), LARGE(INDEX(ISNUMBER(--MID((LEFT(A187,SUM(LEN(A187)-LEN(SUBSTITUTE(A187,{"0","1","2"},""))))), ROW(INDIRECT("1:"&amp;LEN((LEFT(A187,SUM(LEN(A187)-LEN(SUBSTITUTE(A187,{"0","1","2"},"")))))))), 1)) * ROW(INDIRECT("1:"&amp;LEN((LEFT(A187,SUM(LEN(A187)-LEN(SUBSTITUTE(A187,{"0","1","2"},"")))))))), 0), ROW(INDIRECT("1:"&amp;LEN((LEFT(A187,SUM(LEN(A187)-LEN(SUBSTITUTE(A187,{"0","1","2"},"")))))))))+1, 1) * 10^ROW(INDIRECT("1:"&amp;LEN((LEFT(A187,SUM(LEN(A187)-LEN(SUBSTITUTE(A187,{"0","1","2"},""))))))))/10))*1+1&amp;""&amp;" ,.., "&amp;""&amp;(SUMPRODUCT(MID(0&amp;(--TRIM(RIGHT(SUBSTITUTE(LEFT(A187,_xlfn.AGGREGATE(16,6,FIND({0,1,2,3,4,5,6,7,8,9},A187,ROW(INDIRECT("1:"&amp;LEN(A187)))),1))," ",REPT(" ",LEN(A187))),LEN(A187)))), LARGE(INDEX(ISNUMBER(--MID((--TRIM(RIGHT(SUBSTITUTE(LEFT(A187,_xlfn.AGGREGATE(16,6,FIND({0,1,2,3,4,5,6,7,8,9},A187,ROW(INDIRECT("1:"&amp;LEN(A187)))),1))," ",REPT(" ",LEN(A187))),LEN(A187)))), ROW(INDIRECT("1:"&amp;LEN((--TRIM(RIGHT(SUBSTITUTE(LEFT(A187,_xlfn.AGGREGATE(16,6,FIND({0,1,2,3,4,5,6,7,8,9},A187,ROW(INDIRECT("1:"&amp;LEN(A187)))),1))," ",REPT(" ",LEN(A187))),LEN(A187))))))), 1)) * ROW(INDIRECT("1:"&amp;LEN((--TRIM(RIGHT(SUBSTITUTE(LEFT(A187,_xlfn.AGGREGATE(16,6,FIND({0,1,2,3,4,5,6,7,8,9},A187,ROW(INDIRECT("1:"&amp;LEN(A187)))),1))," ",REPT(" ",LEN(A187))),LEN(A187))))))), 0), ROW(INDIRECT("1:"&amp;LEN((--TRIM(RIGHT(SUBSTITUTE(LEFT(A187,_xlfn.AGGREGATE(16,6,FIND({0,1,2,3,4,5,6,7,8,9},A187,ROW(INDIRECT("1:"&amp;LEN(A187)))),1))," ",REPT(" ",LEN(A187))),LEN(A187))))))))+1, 1) * 10^ROW(INDIRECT("1:"&amp;LEN((--TRIM(RIGHT(SUBSTITUTE(LEFT(A187,_xlfn.AGGREGATE(16,6,FIND({0,1,2,3,4,5,6,7,8,9},A187,ROW(INDIRECT("1:"&amp;LEN(A187)))),1))," ",REPT(" ",LEN(A187))),LEN(A187)))))))/10))*1+1</f>
        <v>304 ,.., 1504</v>
      </c>
      <c r="B188" s="91"/>
      <c r="C188" s="70"/>
      <c r="D188" s="70"/>
      <c r="E188" s="70">
        <v>0</v>
      </c>
      <c r="F188" s="70">
        <f>D188*(($F$116)+1)+(IF(E188&lt;101,E188,IF(E188&lt;201,E188/2,IF(E188&lt;=301,E188/3,E188/4))))</f>
        <v>0</v>
      </c>
      <c r="G188" s="91" t="str">
        <f>G187</f>
        <v>3rd, 5th, 7th, 9th, 11th, 13th, 15th Floor</v>
      </c>
      <c r="H188" s="91"/>
      <c r="I188" s="36"/>
    </row>
    <row r="189" spans="1:14" s="37" customFormat="1" ht="15.75" hidden="1" customHeight="1" x14ac:dyDescent="0.25">
      <c r="A189" s="91" t="str">
        <f ca="1">(SUMPRODUCT(MID(0&amp;(LEFT(A188,SUM(LEN(A188)-LEN(SUBSTITUTE(A188,{"0","1","2"},""))))), LARGE(INDEX(ISNUMBER(--MID((LEFT(A188,SUM(LEN(A188)-LEN(SUBSTITUTE(A188,{"0","1","2"},""))))), ROW(INDIRECT("1:"&amp;LEN((LEFT(A188,SUM(LEN(A188)-LEN(SUBSTITUTE(A188,{"0","1","2"},"")))))))), 1)) * ROW(INDIRECT("1:"&amp;LEN((LEFT(A188,SUM(LEN(A188)-LEN(SUBSTITUTE(A188,{"0","1","2"},"")))))))), 0), ROW(INDIRECT("1:"&amp;LEN((LEFT(A188,SUM(LEN(A188)-LEN(SUBSTITUTE(A188,{"0","1","2"},"")))))))))+1, 1) * 10^ROW(INDIRECT("1:"&amp;LEN((LEFT(A188,SUM(LEN(A188)-LEN(SUBSTITUTE(A188,{"0","1","2"},""))))))))/10))*1+1&amp;""&amp;" ,.., "&amp;""&amp;(SUMPRODUCT(MID(0&amp;(--TRIM(RIGHT(SUBSTITUTE(LEFT(A188,_xlfn.AGGREGATE(16,6,FIND({0,1,2,3,4,5,6,7,8,9},A188,ROW(INDIRECT("1:"&amp;LEN(A188)))),1))," ",REPT(" ",LEN(A188))),LEN(A188)))), LARGE(INDEX(ISNUMBER(--MID((--TRIM(RIGHT(SUBSTITUTE(LEFT(A188,_xlfn.AGGREGATE(16,6,FIND({0,1,2,3,4,5,6,7,8,9},A188,ROW(INDIRECT("1:"&amp;LEN(A188)))),1))," ",REPT(" ",LEN(A188))),LEN(A188)))), ROW(INDIRECT("1:"&amp;LEN((--TRIM(RIGHT(SUBSTITUTE(LEFT(A188,_xlfn.AGGREGATE(16,6,FIND({0,1,2,3,4,5,6,7,8,9},A188,ROW(INDIRECT("1:"&amp;LEN(A188)))),1))," ",REPT(" ",LEN(A188))),LEN(A188))))))), 1)) * ROW(INDIRECT("1:"&amp;LEN((--TRIM(RIGHT(SUBSTITUTE(LEFT(A188,_xlfn.AGGREGATE(16,6,FIND({0,1,2,3,4,5,6,7,8,9},A188,ROW(INDIRECT("1:"&amp;LEN(A188)))),1))," ",REPT(" ",LEN(A188))),LEN(A188))))))), 0), ROW(INDIRECT("1:"&amp;LEN((--TRIM(RIGHT(SUBSTITUTE(LEFT(A188,_xlfn.AGGREGATE(16,6,FIND({0,1,2,3,4,5,6,7,8,9},A188,ROW(INDIRECT("1:"&amp;LEN(A188)))),1))," ",REPT(" ",LEN(A188))),LEN(A188))))))))+1, 1) * 10^ROW(INDIRECT("1:"&amp;LEN((--TRIM(RIGHT(SUBSTITUTE(LEFT(A188,_xlfn.AGGREGATE(16,6,FIND({0,1,2,3,4,5,6,7,8,9},A188,ROW(INDIRECT("1:"&amp;LEN(A188)))),1))," ",REPT(" ",LEN(A188))),LEN(A188)))))))/10))*1+1</f>
        <v>305 ,.., 1505</v>
      </c>
      <c r="B189" s="91"/>
      <c r="C189" s="70"/>
      <c r="D189" s="70"/>
      <c r="E189" s="70">
        <v>0</v>
      </c>
      <c r="F189" s="70">
        <f>D189*(($F$116)+1)+(IF(E189&lt;101,E189,IF(E189&lt;201,E189/2,IF(E189&lt;=301,E189/3,E189/4))))</f>
        <v>0</v>
      </c>
      <c r="G189" s="91" t="str">
        <f>G188</f>
        <v>3rd, 5th, 7th, 9th, 11th, 13th, 15th Floor</v>
      </c>
      <c r="H189" s="91"/>
      <c r="I189" s="36"/>
    </row>
    <row r="190" spans="1:14" s="37" customFormat="1" hidden="1" x14ac:dyDescent="0.25">
      <c r="A190" s="95" t="s">
        <v>150</v>
      </c>
      <c r="B190" s="95"/>
      <c r="C190" s="95"/>
      <c r="D190" s="95"/>
      <c r="E190" s="95"/>
      <c r="F190" s="95"/>
      <c r="G190" s="95"/>
      <c r="H190" s="95"/>
      <c r="I190" s="36"/>
    </row>
    <row r="191" spans="1:14" s="37" customFormat="1" hidden="1" x14ac:dyDescent="0.25">
      <c r="A191" s="91" t="str">
        <f ca="1">(SUMPRODUCT(MID(0&amp;(LEFT(A190,SUM(LEN(A190)-LEN(SUBSTITUTE(A190,{"0","1","2"},""))))), LARGE(INDEX(ISNUMBER(--MID((LEFT(A190,SUM(LEN(A190)-LEN(SUBSTITUTE(A190,{"0","1","2"},""))))), ROW(INDIRECT("1:"&amp;LEN((LEFT(A190,SUM(LEN(A190)-LEN(SUBSTITUTE(A190,{"0","1","2"},"")))))))), 1)) * ROW(INDIRECT("1:"&amp;LEN((LEFT(A190,SUM(LEN(A190)-LEN(SUBSTITUTE(A190,{"0","1","2"},"")))))))), 0), ROW(INDIRECT("1:"&amp;LEN((LEFT(A190,SUM(LEN(A190)-LEN(SUBSTITUTE(A190,{"0","1","2"},"")))))))))+1, 1) * 10^ROW(INDIRECT("1:"&amp;LEN((LEFT(A190,SUM(LEN(A190)-LEN(SUBSTITUTE(A190,{"0","1","2"},""))))))))/10))*100+1&amp;""&amp;" to "&amp;""&amp;(SUMPRODUCT(MID(0&amp;(--TRIM(RIGHT(SUBSTITUTE(LEFT(A190,_xlfn.AGGREGATE(16,6,FIND({0,1,2,3,4,5,6,7,8,9},A190,ROW(INDIRECT("1:"&amp;LEN(A190)))),1))," ",REPT(" ",LEN(A190))),LEN(A190)))), LARGE(INDEX(ISNUMBER(--MID((--TRIM(RIGHT(SUBSTITUTE(LEFT(A190,_xlfn.AGGREGATE(16,6,FIND({0,1,2,3,4,5,6,7,8,9},A190,ROW(INDIRECT("1:"&amp;LEN(A190)))),1))," ",REPT(" ",LEN(A190))),LEN(A190)))), ROW(INDIRECT("1:"&amp;LEN((--TRIM(RIGHT(SUBSTITUTE(LEFT(A190,_xlfn.AGGREGATE(16,6,FIND({0,1,2,3,4,5,6,7,8,9},A190,ROW(INDIRECT("1:"&amp;LEN(A190)))),1))," ",REPT(" ",LEN(A190))),LEN(A190))))))), 1)) * ROW(INDIRECT("1:"&amp;LEN((--TRIM(RIGHT(SUBSTITUTE(LEFT(A190,_xlfn.AGGREGATE(16,6,FIND({0,1,2,3,4,5,6,7,8,9},A190,ROW(INDIRECT("1:"&amp;LEN(A190)))),1))," ",REPT(" ",LEN(A190))),LEN(A190))))))), 0), ROW(INDIRECT("1:"&amp;LEN((--TRIM(RIGHT(SUBSTITUTE(LEFT(A190,_xlfn.AGGREGATE(16,6,FIND({0,1,2,3,4,5,6,7,8,9},A190,ROW(INDIRECT("1:"&amp;LEN(A190)))),1))," ",REPT(" ",LEN(A190))),LEN(A190))))))))+1, 1) * 10^ROW(INDIRECT("1:"&amp;LEN((--TRIM(RIGHT(SUBSTITUTE(LEFT(A190,_xlfn.AGGREGATE(16,6,FIND({0,1,2,3,4,5,6,7,8,9},A190,ROW(INDIRECT("1:"&amp;LEN(A190)))),1))," ",REPT(" ",LEN(A190))),LEN(A190)))))))/10))*100+1</f>
        <v>201 to 501</v>
      </c>
      <c r="B191" s="91"/>
      <c r="C191" s="70"/>
      <c r="D191" s="70"/>
      <c r="E191" s="70">
        <v>0</v>
      </c>
      <c r="F191" s="70">
        <f>D191*(($F$116)+1)+(IF(E191&lt;101,E191,IF(E191&lt;201,E191/2,IF(E191&lt;=301,E191/3,E191/4))))</f>
        <v>0</v>
      </c>
      <c r="G191" s="91" t="str">
        <f>A190</f>
        <v>2nd to 5th Floor</v>
      </c>
      <c r="H191" s="91"/>
      <c r="I191" s="36"/>
    </row>
    <row r="192" spans="1:14" s="37" customFormat="1" hidden="1" x14ac:dyDescent="0.25">
      <c r="A192" s="91" t="str">
        <f ca="1">(SUMPRODUCT(MID(0&amp;(LEFT(A191,SUM(LEN(A191)-LEN(SUBSTITUTE(A191,{"0","1","2"},""))))), LARGE(INDEX(ISNUMBER(--MID((LEFT(A191,SUM(LEN(A191)-LEN(SUBSTITUTE(A191,{"0","1","2"},""))))), ROW(INDIRECT("1:"&amp;LEN((LEFT(A191,SUM(LEN(A191)-LEN(SUBSTITUTE(A191,{"0","1","2"},"")))))))), 1)) * ROW(INDIRECT("1:"&amp;LEN((LEFT(A191,SUM(LEN(A191)-LEN(SUBSTITUTE(A191,{"0","1","2"},"")))))))), 0), ROW(INDIRECT("1:"&amp;LEN((LEFT(A191,SUM(LEN(A191)-LEN(SUBSTITUTE(A191,{"0","1","2"},"")))))))))+1, 1) * 10^ROW(INDIRECT("1:"&amp;LEN((LEFT(A191,SUM(LEN(A191)-LEN(SUBSTITUTE(A191,{"0","1","2"},""))))))))/10))*1+1&amp;""&amp;" to "&amp;""&amp;(SUMPRODUCT(MID(0&amp;(--TRIM(RIGHT(SUBSTITUTE(LEFT(A191,_xlfn.AGGREGATE(16,6,FIND({0,1,2,3,4,5,6,7,8,9},A191,ROW(INDIRECT("1:"&amp;LEN(A191)))),1))," ",REPT(" ",LEN(A191))),LEN(A191)))), LARGE(INDEX(ISNUMBER(--MID((--TRIM(RIGHT(SUBSTITUTE(LEFT(A191,_xlfn.AGGREGATE(16,6,FIND({0,1,2,3,4,5,6,7,8,9},A191,ROW(INDIRECT("1:"&amp;LEN(A191)))),1))," ",REPT(" ",LEN(A191))),LEN(A191)))), ROW(INDIRECT("1:"&amp;LEN((--TRIM(RIGHT(SUBSTITUTE(LEFT(A191,_xlfn.AGGREGATE(16,6,FIND({0,1,2,3,4,5,6,7,8,9},A191,ROW(INDIRECT("1:"&amp;LEN(A191)))),1))," ",REPT(" ",LEN(A191))),LEN(A191))))))), 1)) * ROW(INDIRECT("1:"&amp;LEN((--TRIM(RIGHT(SUBSTITUTE(LEFT(A191,_xlfn.AGGREGATE(16,6,FIND({0,1,2,3,4,5,6,7,8,9},A191,ROW(INDIRECT("1:"&amp;LEN(A191)))),1))," ",REPT(" ",LEN(A191))),LEN(A191))))))), 0), ROW(INDIRECT("1:"&amp;LEN((--TRIM(RIGHT(SUBSTITUTE(LEFT(A191,_xlfn.AGGREGATE(16,6,FIND({0,1,2,3,4,5,6,7,8,9},A191,ROW(INDIRECT("1:"&amp;LEN(A191)))),1))," ",REPT(" ",LEN(A191))),LEN(A191))))))))+1, 1) * 10^ROW(INDIRECT("1:"&amp;LEN((--TRIM(RIGHT(SUBSTITUTE(LEFT(A191,_xlfn.AGGREGATE(16,6,FIND({0,1,2,3,4,5,6,7,8,9},A191,ROW(INDIRECT("1:"&amp;LEN(A191)))),1))," ",REPT(" ",LEN(A191))),LEN(A191)))))))/10))*1+1</f>
        <v>202 to 502</v>
      </c>
      <c r="B192" s="91"/>
      <c r="C192" s="70"/>
      <c r="D192" s="70"/>
      <c r="E192" s="70">
        <v>0</v>
      </c>
      <c r="F192" s="70">
        <f>D192*(($F$116)+1)+(IF(E192&lt;101,E192,IF(E192&lt;201,E192/2,IF(E192&lt;=301,E192/3,E192/4))))</f>
        <v>0</v>
      </c>
      <c r="G192" s="91" t="str">
        <f>G191</f>
        <v>2nd to 5th Floor</v>
      </c>
      <c r="H192" s="91"/>
      <c r="I192" s="36"/>
    </row>
    <row r="193" spans="1:9" s="37" customFormat="1" hidden="1" x14ac:dyDescent="0.25">
      <c r="A193" s="91" t="str">
        <f ca="1">(SUMPRODUCT(MID(0&amp;(LEFT(A192,SUM(LEN(A192)-LEN(SUBSTITUTE(A192,{"0","1","2"},""))))), LARGE(INDEX(ISNUMBER(--MID((LEFT(A192,SUM(LEN(A192)-LEN(SUBSTITUTE(A192,{"0","1","2"},""))))), ROW(INDIRECT("1:"&amp;LEN((LEFT(A192,SUM(LEN(A192)-LEN(SUBSTITUTE(A192,{"0","1","2"},"")))))))), 1)) * ROW(INDIRECT("1:"&amp;LEN((LEFT(A192,SUM(LEN(A192)-LEN(SUBSTITUTE(A192,{"0","1","2"},"")))))))), 0), ROW(INDIRECT("1:"&amp;LEN((LEFT(A192,SUM(LEN(A192)-LEN(SUBSTITUTE(A192,{"0","1","2"},"")))))))))+1, 1) * 10^ROW(INDIRECT("1:"&amp;LEN((LEFT(A192,SUM(LEN(A192)-LEN(SUBSTITUTE(A192,{"0","1","2"},""))))))))/10))*1+1&amp;""&amp;" to "&amp;""&amp;(SUMPRODUCT(MID(0&amp;(--TRIM(RIGHT(SUBSTITUTE(LEFT(A192,_xlfn.AGGREGATE(16,6,FIND({0,1,2,3,4,5,6,7,8,9},A192,ROW(INDIRECT("1:"&amp;LEN(A192)))),1))," ",REPT(" ",LEN(A192))),LEN(A192)))), LARGE(INDEX(ISNUMBER(--MID((--TRIM(RIGHT(SUBSTITUTE(LEFT(A192,_xlfn.AGGREGATE(16,6,FIND({0,1,2,3,4,5,6,7,8,9},A192,ROW(INDIRECT("1:"&amp;LEN(A192)))),1))," ",REPT(" ",LEN(A192))),LEN(A192)))), ROW(INDIRECT("1:"&amp;LEN((--TRIM(RIGHT(SUBSTITUTE(LEFT(A192,_xlfn.AGGREGATE(16,6,FIND({0,1,2,3,4,5,6,7,8,9},A192,ROW(INDIRECT("1:"&amp;LEN(A192)))),1))," ",REPT(" ",LEN(A192))),LEN(A192))))))), 1)) * ROW(INDIRECT("1:"&amp;LEN((--TRIM(RIGHT(SUBSTITUTE(LEFT(A192,_xlfn.AGGREGATE(16,6,FIND({0,1,2,3,4,5,6,7,8,9},A192,ROW(INDIRECT("1:"&amp;LEN(A192)))),1))," ",REPT(" ",LEN(A192))),LEN(A192))))))), 0), ROW(INDIRECT("1:"&amp;LEN((--TRIM(RIGHT(SUBSTITUTE(LEFT(A192,_xlfn.AGGREGATE(16,6,FIND({0,1,2,3,4,5,6,7,8,9},A192,ROW(INDIRECT("1:"&amp;LEN(A192)))),1))," ",REPT(" ",LEN(A192))),LEN(A192))))))))+1, 1) * 10^ROW(INDIRECT("1:"&amp;LEN((--TRIM(RIGHT(SUBSTITUTE(LEFT(A192,_xlfn.AGGREGATE(16,6,FIND({0,1,2,3,4,5,6,7,8,9},A192,ROW(INDIRECT("1:"&amp;LEN(A192)))),1))," ",REPT(" ",LEN(A192))),LEN(A192)))))))/10))*1+1</f>
        <v>203 to 503</v>
      </c>
      <c r="B193" s="91"/>
      <c r="C193" s="70"/>
      <c r="D193" s="70"/>
      <c r="E193" s="70">
        <v>0</v>
      </c>
      <c r="F193" s="70">
        <f>D193*(($F$116)+1)+(IF(E193&lt;101,E193,IF(E193&lt;201,E193/2,IF(E193&lt;=301,E193/3,E193/4))))</f>
        <v>0</v>
      </c>
      <c r="G193" s="91" t="str">
        <f>G192</f>
        <v>2nd to 5th Floor</v>
      </c>
      <c r="H193" s="91"/>
      <c r="I193" s="36"/>
    </row>
    <row r="194" spans="1:9" s="37" customFormat="1" hidden="1" x14ac:dyDescent="0.25">
      <c r="A194" s="91" t="str">
        <f ca="1">(SUMPRODUCT(MID(0&amp;(LEFT(A193,SUM(LEN(A193)-LEN(SUBSTITUTE(A193,{"0","1","2"},""))))), LARGE(INDEX(ISNUMBER(--MID((LEFT(A193,SUM(LEN(A193)-LEN(SUBSTITUTE(A193,{"0","1","2"},""))))), ROW(INDIRECT("1:"&amp;LEN((LEFT(A193,SUM(LEN(A193)-LEN(SUBSTITUTE(A193,{"0","1","2"},"")))))))), 1)) * ROW(INDIRECT("1:"&amp;LEN((LEFT(A193,SUM(LEN(A193)-LEN(SUBSTITUTE(A193,{"0","1","2"},"")))))))), 0), ROW(INDIRECT("1:"&amp;LEN((LEFT(A193,SUM(LEN(A193)-LEN(SUBSTITUTE(A193,{"0","1","2"},"")))))))))+1, 1) * 10^ROW(INDIRECT("1:"&amp;LEN((LEFT(A193,SUM(LEN(A193)-LEN(SUBSTITUTE(A193,{"0","1","2"},""))))))))/10))*1+1&amp;""&amp;" to "&amp;""&amp;(SUMPRODUCT(MID(0&amp;(--TRIM(RIGHT(SUBSTITUTE(LEFT(A193,_xlfn.AGGREGATE(16,6,FIND({0,1,2,3,4,5,6,7,8,9},A193,ROW(INDIRECT("1:"&amp;LEN(A193)))),1))," ",REPT(" ",LEN(A193))),LEN(A193)))), LARGE(INDEX(ISNUMBER(--MID((--TRIM(RIGHT(SUBSTITUTE(LEFT(A193,_xlfn.AGGREGATE(16,6,FIND({0,1,2,3,4,5,6,7,8,9},A193,ROW(INDIRECT("1:"&amp;LEN(A193)))),1))," ",REPT(" ",LEN(A193))),LEN(A193)))), ROW(INDIRECT("1:"&amp;LEN((--TRIM(RIGHT(SUBSTITUTE(LEFT(A193,_xlfn.AGGREGATE(16,6,FIND({0,1,2,3,4,5,6,7,8,9},A193,ROW(INDIRECT("1:"&amp;LEN(A193)))),1))," ",REPT(" ",LEN(A193))),LEN(A193))))))), 1)) * ROW(INDIRECT("1:"&amp;LEN((--TRIM(RIGHT(SUBSTITUTE(LEFT(A193,_xlfn.AGGREGATE(16,6,FIND({0,1,2,3,4,5,6,7,8,9},A193,ROW(INDIRECT("1:"&amp;LEN(A193)))),1))," ",REPT(" ",LEN(A193))),LEN(A193))))))), 0), ROW(INDIRECT("1:"&amp;LEN((--TRIM(RIGHT(SUBSTITUTE(LEFT(A193,_xlfn.AGGREGATE(16,6,FIND({0,1,2,3,4,5,6,7,8,9},A193,ROW(INDIRECT("1:"&amp;LEN(A193)))),1))," ",REPT(" ",LEN(A193))),LEN(A193))))))))+1, 1) * 10^ROW(INDIRECT("1:"&amp;LEN((--TRIM(RIGHT(SUBSTITUTE(LEFT(A193,_xlfn.AGGREGATE(16,6,FIND({0,1,2,3,4,5,6,7,8,9},A193,ROW(INDIRECT("1:"&amp;LEN(A193)))),1))," ",REPT(" ",LEN(A193))),LEN(A193)))))))/10))*1+1</f>
        <v>204 to 504</v>
      </c>
      <c r="B194" s="91"/>
      <c r="C194" s="70"/>
      <c r="D194" s="70"/>
      <c r="E194" s="70">
        <v>0</v>
      </c>
      <c r="F194" s="70">
        <f>D194*(($F$116)+1)+(IF(E194&lt;101,E194,IF(E194&lt;201,E194/2,IF(E194&lt;=301,E194/3,E194/4))))</f>
        <v>0</v>
      </c>
      <c r="G194" s="91" t="str">
        <f>G193</f>
        <v>2nd to 5th Floor</v>
      </c>
      <c r="H194" s="91"/>
      <c r="I194" s="36"/>
    </row>
    <row r="195" spans="1:9" s="37" customFormat="1" hidden="1" x14ac:dyDescent="0.25">
      <c r="A195" s="91" t="str">
        <f ca="1">(SUMPRODUCT(MID(0&amp;(LEFT(A194,SUM(LEN(A194)-LEN(SUBSTITUTE(A194,{"0","1","2"},""))))), LARGE(INDEX(ISNUMBER(--MID((LEFT(A194,SUM(LEN(A194)-LEN(SUBSTITUTE(A194,{"0","1","2"},""))))), ROW(INDIRECT("1:"&amp;LEN((LEFT(A194,SUM(LEN(A194)-LEN(SUBSTITUTE(A194,{"0","1","2"},"")))))))), 1)) * ROW(INDIRECT("1:"&amp;LEN((LEFT(A194,SUM(LEN(A194)-LEN(SUBSTITUTE(A194,{"0","1","2"},"")))))))), 0), ROW(INDIRECT("1:"&amp;LEN((LEFT(A194,SUM(LEN(A194)-LEN(SUBSTITUTE(A194,{"0","1","2"},"")))))))))+1, 1) * 10^ROW(INDIRECT("1:"&amp;LEN((LEFT(A194,SUM(LEN(A194)-LEN(SUBSTITUTE(A194,{"0","1","2"},""))))))))/10))*1+1&amp;""&amp;" to "&amp;""&amp;(SUMPRODUCT(MID(0&amp;(--TRIM(RIGHT(SUBSTITUTE(LEFT(A194,_xlfn.AGGREGATE(16,6,FIND({0,1,2,3,4,5,6,7,8,9},A194,ROW(INDIRECT("1:"&amp;LEN(A194)))),1))," ",REPT(" ",LEN(A194))),LEN(A194)))), LARGE(INDEX(ISNUMBER(--MID((--TRIM(RIGHT(SUBSTITUTE(LEFT(A194,_xlfn.AGGREGATE(16,6,FIND({0,1,2,3,4,5,6,7,8,9},A194,ROW(INDIRECT("1:"&amp;LEN(A194)))),1))," ",REPT(" ",LEN(A194))),LEN(A194)))), ROW(INDIRECT("1:"&amp;LEN((--TRIM(RIGHT(SUBSTITUTE(LEFT(A194,_xlfn.AGGREGATE(16,6,FIND({0,1,2,3,4,5,6,7,8,9},A194,ROW(INDIRECT("1:"&amp;LEN(A194)))),1))," ",REPT(" ",LEN(A194))),LEN(A194))))))), 1)) * ROW(INDIRECT("1:"&amp;LEN((--TRIM(RIGHT(SUBSTITUTE(LEFT(A194,_xlfn.AGGREGATE(16,6,FIND({0,1,2,3,4,5,6,7,8,9},A194,ROW(INDIRECT("1:"&amp;LEN(A194)))),1))," ",REPT(" ",LEN(A194))),LEN(A194))))))), 0), ROW(INDIRECT("1:"&amp;LEN((--TRIM(RIGHT(SUBSTITUTE(LEFT(A194,_xlfn.AGGREGATE(16,6,FIND({0,1,2,3,4,5,6,7,8,9},A194,ROW(INDIRECT("1:"&amp;LEN(A194)))),1))," ",REPT(" ",LEN(A194))),LEN(A194))))))))+1, 1) * 10^ROW(INDIRECT("1:"&amp;LEN((--TRIM(RIGHT(SUBSTITUTE(LEFT(A194,_xlfn.AGGREGATE(16,6,FIND({0,1,2,3,4,5,6,7,8,9},A194,ROW(INDIRECT("1:"&amp;LEN(A194)))),1))," ",REPT(" ",LEN(A194))),LEN(A194)))))))/10))*1+1</f>
        <v>205 to 505</v>
      </c>
      <c r="B195" s="91"/>
      <c r="C195" s="70"/>
      <c r="D195" s="70"/>
      <c r="E195" s="70">
        <v>0</v>
      </c>
      <c r="F195" s="70">
        <f>D195*(($F$116)+1)+(IF(E195&lt;101,E195,IF(E195&lt;201,E195/2,IF(E195&lt;=301,E195/3,E195/4))))</f>
        <v>0</v>
      </c>
      <c r="G195" s="91" t="str">
        <f>G194</f>
        <v>2nd to 5th Floor</v>
      </c>
      <c r="H195" s="91"/>
      <c r="I195" s="36"/>
    </row>
    <row r="196" spans="1:9" s="37" customFormat="1" hidden="1" x14ac:dyDescent="0.25">
      <c r="A196" s="95" t="s">
        <v>151</v>
      </c>
      <c r="B196" s="95"/>
      <c r="C196" s="95"/>
      <c r="D196" s="95"/>
      <c r="E196" s="95"/>
      <c r="F196" s="95"/>
      <c r="G196" s="95"/>
      <c r="H196" s="95"/>
      <c r="I196" s="36"/>
    </row>
    <row r="197" spans="1:9" s="37" customFormat="1" hidden="1" x14ac:dyDescent="0.25">
      <c r="A197" s="91" t="str">
        <f ca="1">(SUMPRODUCT(MID(0&amp;(LEFT(A196,SUM(LEN(A196)-LEN(SUBSTITUTE(A196,{"0","1","2"},""))))), LARGE(INDEX(ISNUMBER(--MID((LEFT(A196,SUM(LEN(A196)-LEN(SUBSTITUTE(A196,{"0","1","2"},""))))), ROW(INDIRECT("1:"&amp;LEN((LEFT(A196,SUM(LEN(A196)-LEN(SUBSTITUTE(A196,{"0","1","2"},"")))))))), 1)) * ROW(INDIRECT("1:"&amp;LEN((LEFT(A196,SUM(LEN(A196)-LEN(SUBSTITUTE(A196,{"0","1","2"},"")))))))), 0), ROW(INDIRECT("1:"&amp;LEN((LEFT(A196,SUM(LEN(A196)-LEN(SUBSTITUTE(A196,{"0","1","2"},"")))))))))+1, 1) * 10^ROW(INDIRECT("1:"&amp;LEN((LEFT(A196,SUM(LEN(A196)-LEN(SUBSTITUTE(A196,{"0","1","2"},""))))))))/10))*100+1&amp;""&amp;" &amp; "&amp;""&amp;(SUMPRODUCT(MID(0&amp;(--TRIM(RIGHT(SUBSTITUTE(LEFT(A196,_xlfn.AGGREGATE(16,6,FIND({0,1,2,3,4,5,6,7,8,9},A196,ROW(INDIRECT("1:"&amp;LEN(A196)))),1))," ",REPT(" ",LEN(A196))),LEN(A196)))), LARGE(INDEX(ISNUMBER(--MID((--TRIM(RIGHT(SUBSTITUTE(LEFT(A196,_xlfn.AGGREGATE(16,6,FIND({0,1,2,3,4,5,6,7,8,9},A196,ROW(INDIRECT("1:"&amp;LEN(A196)))),1))," ",REPT(" ",LEN(A196))),LEN(A196)))), ROW(INDIRECT("1:"&amp;LEN((--TRIM(RIGHT(SUBSTITUTE(LEFT(A196,_xlfn.AGGREGATE(16,6,FIND({0,1,2,3,4,5,6,7,8,9},A196,ROW(INDIRECT("1:"&amp;LEN(A196)))),1))," ",REPT(" ",LEN(A196))),LEN(A196))))))), 1)) * ROW(INDIRECT("1:"&amp;LEN((--TRIM(RIGHT(SUBSTITUTE(LEFT(A196,_xlfn.AGGREGATE(16,6,FIND({0,1,2,3,4,5,6,7,8,9},A196,ROW(INDIRECT("1:"&amp;LEN(A196)))),1))," ",REPT(" ",LEN(A196))),LEN(A196))))))), 0), ROW(INDIRECT("1:"&amp;LEN((--TRIM(RIGHT(SUBSTITUTE(LEFT(A196,_xlfn.AGGREGATE(16,6,FIND({0,1,2,3,4,5,6,7,8,9},A196,ROW(INDIRECT("1:"&amp;LEN(A196)))),1))," ",REPT(" ",LEN(A196))),LEN(A196))))))))+1, 1) * 10^ROW(INDIRECT("1:"&amp;LEN((--TRIM(RIGHT(SUBSTITUTE(LEFT(A196,_xlfn.AGGREGATE(16,6,FIND({0,1,2,3,4,5,6,7,8,9},A196,ROW(INDIRECT("1:"&amp;LEN(A196)))),1))," ",REPT(" ",LEN(A196))),LEN(A196)))))))/10))*100+1</f>
        <v>201 &amp; 501</v>
      </c>
      <c r="B197" s="91"/>
      <c r="C197" s="70"/>
      <c r="D197" s="70"/>
      <c r="E197" s="70">
        <v>0</v>
      </c>
      <c r="F197" s="70">
        <f>D197*(($F$116)+1)+(IF(E197&lt;101,E197,IF(E197&lt;201,E197/2,IF(E197&lt;=301,E197/3,E197/4))))</f>
        <v>0</v>
      </c>
      <c r="G197" s="91" t="str">
        <f>A196</f>
        <v>2nd &amp; 5th Floor</v>
      </c>
      <c r="H197" s="91"/>
      <c r="I197" s="36"/>
    </row>
    <row r="198" spans="1:9" s="37" customFormat="1" hidden="1" x14ac:dyDescent="0.25">
      <c r="A198" s="91" t="str">
        <f ca="1">(SUMPRODUCT(MID(0&amp;(LEFT(A197,SUM(LEN(A197)-LEN(SUBSTITUTE(A197,{"0","1","2"},""))))), LARGE(INDEX(ISNUMBER(--MID((LEFT(A197,SUM(LEN(A197)-LEN(SUBSTITUTE(A197,{"0","1","2"},""))))), ROW(INDIRECT("1:"&amp;LEN((LEFT(A197,SUM(LEN(A197)-LEN(SUBSTITUTE(A197,{"0","1","2"},"")))))))), 1)) * ROW(INDIRECT("1:"&amp;LEN((LEFT(A197,SUM(LEN(A197)-LEN(SUBSTITUTE(A197,{"0","1","2"},"")))))))), 0), ROW(INDIRECT("1:"&amp;LEN((LEFT(A197,SUM(LEN(A197)-LEN(SUBSTITUTE(A197,{"0","1","2"},"")))))))))+1, 1) * 10^ROW(INDIRECT("1:"&amp;LEN((LEFT(A197,SUM(LEN(A197)-LEN(SUBSTITUTE(A197,{"0","1","2"},""))))))))/10))*1+1&amp;""&amp;" &amp; "&amp;""&amp;(SUMPRODUCT(MID(0&amp;(--TRIM(RIGHT(SUBSTITUTE(LEFT(A197,_xlfn.AGGREGATE(16,6,FIND({0,1,2,3,4,5,6,7,8,9},A197,ROW(INDIRECT("1:"&amp;LEN(A197)))),1))," ",REPT(" ",LEN(A197))),LEN(A197)))), LARGE(INDEX(ISNUMBER(--MID((--TRIM(RIGHT(SUBSTITUTE(LEFT(A197,_xlfn.AGGREGATE(16,6,FIND({0,1,2,3,4,5,6,7,8,9},A197,ROW(INDIRECT("1:"&amp;LEN(A197)))),1))," ",REPT(" ",LEN(A197))),LEN(A197)))), ROW(INDIRECT("1:"&amp;LEN((--TRIM(RIGHT(SUBSTITUTE(LEFT(A197,_xlfn.AGGREGATE(16,6,FIND({0,1,2,3,4,5,6,7,8,9},A197,ROW(INDIRECT("1:"&amp;LEN(A197)))),1))," ",REPT(" ",LEN(A197))),LEN(A197))))))), 1)) * ROW(INDIRECT("1:"&amp;LEN((--TRIM(RIGHT(SUBSTITUTE(LEFT(A197,_xlfn.AGGREGATE(16,6,FIND({0,1,2,3,4,5,6,7,8,9},A197,ROW(INDIRECT("1:"&amp;LEN(A197)))),1))," ",REPT(" ",LEN(A197))),LEN(A197))))))), 0), ROW(INDIRECT("1:"&amp;LEN((--TRIM(RIGHT(SUBSTITUTE(LEFT(A197,_xlfn.AGGREGATE(16,6,FIND({0,1,2,3,4,5,6,7,8,9},A197,ROW(INDIRECT("1:"&amp;LEN(A197)))),1))," ",REPT(" ",LEN(A197))),LEN(A197))))))))+1, 1) * 10^ROW(INDIRECT("1:"&amp;LEN((--TRIM(RIGHT(SUBSTITUTE(LEFT(A197,_xlfn.AGGREGATE(16,6,FIND({0,1,2,3,4,5,6,7,8,9},A197,ROW(INDIRECT("1:"&amp;LEN(A197)))),1))," ",REPT(" ",LEN(A197))),LEN(A197)))))))/10))*1+1</f>
        <v>202 &amp; 502</v>
      </c>
      <c r="B198" s="91"/>
      <c r="C198" s="70"/>
      <c r="D198" s="70"/>
      <c r="E198" s="70">
        <v>0</v>
      </c>
      <c r="F198" s="70">
        <f>D198*(($F$116)+1)+(IF(E198&lt;101,E198,IF(E198&lt;201,E198/2,IF(E198&lt;=301,E198/3,E198/4))))</f>
        <v>0</v>
      </c>
      <c r="G198" s="91" t="str">
        <f t="shared" ref="G198:G201" si="15">G197</f>
        <v>2nd &amp; 5th Floor</v>
      </c>
      <c r="H198" s="91"/>
      <c r="I198" s="36"/>
    </row>
    <row r="199" spans="1:9" s="37" customFormat="1" hidden="1" x14ac:dyDescent="0.25">
      <c r="A199" s="91" t="str">
        <f ca="1">(SUMPRODUCT(MID(0&amp;(LEFT(A198,SUM(LEN(A198)-LEN(SUBSTITUTE(A198,{"0","1","2"},""))))), LARGE(INDEX(ISNUMBER(--MID((LEFT(A198,SUM(LEN(A198)-LEN(SUBSTITUTE(A198,{"0","1","2"},""))))), ROW(INDIRECT("1:"&amp;LEN((LEFT(A198,SUM(LEN(A198)-LEN(SUBSTITUTE(A198,{"0","1","2"},"")))))))), 1)) * ROW(INDIRECT("1:"&amp;LEN((LEFT(A198,SUM(LEN(A198)-LEN(SUBSTITUTE(A198,{"0","1","2"},"")))))))), 0), ROW(INDIRECT("1:"&amp;LEN((LEFT(A198,SUM(LEN(A198)-LEN(SUBSTITUTE(A198,{"0","1","2"},"")))))))))+1, 1) * 10^ROW(INDIRECT("1:"&amp;LEN((LEFT(A198,SUM(LEN(A198)-LEN(SUBSTITUTE(A198,{"0","1","2"},""))))))))/10))*1+1&amp;""&amp;" &amp; "&amp;""&amp;(SUMPRODUCT(MID(0&amp;(--TRIM(RIGHT(SUBSTITUTE(LEFT(A198,_xlfn.AGGREGATE(16,6,FIND({0,1,2,3,4,5,6,7,8,9},A198,ROW(INDIRECT("1:"&amp;LEN(A198)))),1))," ",REPT(" ",LEN(A198))),LEN(A198)))), LARGE(INDEX(ISNUMBER(--MID((--TRIM(RIGHT(SUBSTITUTE(LEFT(A198,_xlfn.AGGREGATE(16,6,FIND({0,1,2,3,4,5,6,7,8,9},A198,ROW(INDIRECT("1:"&amp;LEN(A198)))),1))," ",REPT(" ",LEN(A198))),LEN(A198)))), ROW(INDIRECT("1:"&amp;LEN((--TRIM(RIGHT(SUBSTITUTE(LEFT(A198,_xlfn.AGGREGATE(16,6,FIND({0,1,2,3,4,5,6,7,8,9},A198,ROW(INDIRECT("1:"&amp;LEN(A198)))),1))," ",REPT(" ",LEN(A198))),LEN(A198))))))), 1)) * ROW(INDIRECT("1:"&amp;LEN((--TRIM(RIGHT(SUBSTITUTE(LEFT(A198,_xlfn.AGGREGATE(16,6,FIND({0,1,2,3,4,5,6,7,8,9},A198,ROW(INDIRECT("1:"&amp;LEN(A198)))),1))," ",REPT(" ",LEN(A198))),LEN(A198))))))), 0), ROW(INDIRECT("1:"&amp;LEN((--TRIM(RIGHT(SUBSTITUTE(LEFT(A198,_xlfn.AGGREGATE(16,6,FIND({0,1,2,3,4,5,6,7,8,9},A198,ROW(INDIRECT("1:"&amp;LEN(A198)))),1))," ",REPT(" ",LEN(A198))),LEN(A198))))))))+1, 1) * 10^ROW(INDIRECT("1:"&amp;LEN((--TRIM(RIGHT(SUBSTITUTE(LEFT(A198,_xlfn.AGGREGATE(16,6,FIND({0,1,2,3,4,5,6,7,8,9},A198,ROW(INDIRECT("1:"&amp;LEN(A198)))),1))," ",REPT(" ",LEN(A198))),LEN(A198)))))))/10))*1+1</f>
        <v>203 &amp; 503</v>
      </c>
      <c r="B199" s="91"/>
      <c r="C199" s="70"/>
      <c r="D199" s="70"/>
      <c r="E199" s="70">
        <v>0</v>
      </c>
      <c r="F199" s="70">
        <f>D199*(($F$116)+1)+(IF(E199&lt;101,E199,IF(E199&lt;201,E199/2,IF(E199&lt;=301,E199/3,E199/4))))</f>
        <v>0</v>
      </c>
      <c r="G199" s="91" t="str">
        <f t="shared" si="15"/>
        <v>2nd &amp; 5th Floor</v>
      </c>
      <c r="H199" s="91"/>
      <c r="I199" s="36"/>
    </row>
    <row r="200" spans="1:9" s="37" customFormat="1" hidden="1" x14ac:dyDescent="0.25">
      <c r="A200" s="91" t="str">
        <f ca="1">(SUMPRODUCT(MID(0&amp;(LEFT(A199,SUM(LEN(A199)-LEN(SUBSTITUTE(A199,{"0","1","2"},""))))), LARGE(INDEX(ISNUMBER(--MID((LEFT(A199,SUM(LEN(A199)-LEN(SUBSTITUTE(A199,{"0","1","2"},""))))), ROW(INDIRECT("1:"&amp;LEN((LEFT(A199,SUM(LEN(A199)-LEN(SUBSTITUTE(A199,{"0","1","2"},"")))))))), 1)) * ROW(INDIRECT("1:"&amp;LEN((LEFT(A199,SUM(LEN(A199)-LEN(SUBSTITUTE(A199,{"0","1","2"},"")))))))), 0), ROW(INDIRECT("1:"&amp;LEN((LEFT(A199,SUM(LEN(A199)-LEN(SUBSTITUTE(A199,{"0","1","2"},"")))))))))+1, 1) * 10^ROW(INDIRECT("1:"&amp;LEN((LEFT(A199,SUM(LEN(A199)-LEN(SUBSTITUTE(A199,{"0","1","2"},""))))))))/10))*1+1&amp;""&amp;" &amp; "&amp;""&amp;(SUMPRODUCT(MID(0&amp;(--TRIM(RIGHT(SUBSTITUTE(LEFT(A199,_xlfn.AGGREGATE(16,6,FIND({0,1,2,3,4,5,6,7,8,9},A199,ROW(INDIRECT("1:"&amp;LEN(A199)))),1))," ",REPT(" ",LEN(A199))),LEN(A199)))), LARGE(INDEX(ISNUMBER(--MID((--TRIM(RIGHT(SUBSTITUTE(LEFT(A199,_xlfn.AGGREGATE(16,6,FIND({0,1,2,3,4,5,6,7,8,9},A199,ROW(INDIRECT("1:"&amp;LEN(A199)))),1))," ",REPT(" ",LEN(A199))),LEN(A199)))), ROW(INDIRECT("1:"&amp;LEN((--TRIM(RIGHT(SUBSTITUTE(LEFT(A199,_xlfn.AGGREGATE(16,6,FIND({0,1,2,3,4,5,6,7,8,9},A199,ROW(INDIRECT("1:"&amp;LEN(A199)))),1))," ",REPT(" ",LEN(A199))),LEN(A199))))))), 1)) * ROW(INDIRECT("1:"&amp;LEN((--TRIM(RIGHT(SUBSTITUTE(LEFT(A199,_xlfn.AGGREGATE(16,6,FIND({0,1,2,3,4,5,6,7,8,9},A199,ROW(INDIRECT("1:"&amp;LEN(A199)))),1))," ",REPT(" ",LEN(A199))),LEN(A199))))))), 0), ROW(INDIRECT("1:"&amp;LEN((--TRIM(RIGHT(SUBSTITUTE(LEFT(A199,_xlfn.AGGREGATE(16,6,FIND({0,1,2,3,4,5,6,7,8,9},A199,ROW(INDIRECT("1:"&amp;LEN(A199)))),1))," ",REPT(" ",LEN(A199))),LEN(A199))))))))+1, 1) * 10^ROW(INDIRECT("1:"&amp;LEN((--TRIM(RIGHT(SUBSTITUTE(LEFT(A199,_xlfn.AGGREGATE(16,6,FIND({0,1,2,3,4,5,6,7,8,9},A199,ROW(INDIRECT("1:"&amp;LEN(A199)))),1))," ",REPT(" ",LEN(A199))),LEN(A199)))))))/10))*1+1</f>
        <v>204 &amp; 504</v>
      </c>
      <c r="B200" s="91"/>
      <c r="C200" s="70"/>
      <c r="D200" s="70"/>
      <c r="E200" s="70">
        <v>0</v>
      </c>
      <c r="F200" s="70">
        <f>D200*(($F$116)+1)+(IF(E200&lt;101,E200,IF(E200&lt;201,E200/2,IF(E200&lt;=301,E200/3,E200/4))))</f>
        <v>0</v>
      </c>
      <c r="G200" s="91" t="str">
        <f t="shared" si="15"/>
        <v>2nd &amp; 5th Floor</v>
      </c>
      <c r="H200" s="91"/>
      <c r="I200" s="36"/>
    </row>
    <row r="201" spans="1:9" s="37" customFormat="1" hidden="1" x14ac:dyDescent="0.25">
      <c r="A201" s="91" t="str">
        <f ca="1">(SUMPRODUCT(MID(0&amp;(LEFT(A200,SUM(LEN(A200)-LEN(SUBSTITUTE(A200,{"0","1","2"},""))))), LARGE(INDEX(ISNUMBER(--MID((LEFT(A200,SUM(LEN(A200)-LEN(SUBSTITUTE(A200,{"0","1","2"},""))))), ROW(INDIRECT("1:"&amp;LEN((LEFT(A200,SUM(LEN(A200)-LEN(SUBSTITUTE(A200,{"0","1","2"},"")))))))), 1)) * ROW(INDIRECT("1:"&amp;LEN((LEFT(A200,SUM(LEN(A200)-LEN(SUBSTITUTE(A200,{"0","1","2"},"")))))))), 0), ROW(INDIRECT("1:"&amp;LEN((LEFT(A200,SUM(LEN(A200)-LEN(SUBSTITUTE(A200,{"0","1","2"},"")))))))))+1, 1) * 10^ROW(INDIRECT("1:"&amp;LEN((LEFT(A200,SUM(LEN(A200)-LEN(SUBSTITUTE(A200,{"0","1","2"},""))))))))/10))*1+1&amp;""&amp;" &amp; "&amp;""&amp;(SUMPRODUCT(MID(0&amp;(--TRIM(RIGHT(SUBSTITUTE(LEFT(A200,_xlfn.AGGREGATE(16,6,FIND({0,1,2,3,4,5,6,7,8,9},A200,ROW(INDIRECT("1:"&amp;LEN(A200)))),1))," ",REPT(" ",LEN(A200))),LEN(A200)))), LARGE(INDEX(ISNUMBER(--MID((--TRIM(RIGHT(SUBSTITUTE(LEFT(A200,_xlfn.AGGREGATE(16,6,FIND({0,1,2,3,4,5,6,7,8,9},A200,ROW(INDIRECT("1:"&amp;LEN(A200)))),1))," ",REPT(" ",LEN(A200))),LEN(A200)))), ROW(INDIRECT("1:"&amp;LEN((--TRIM(RIGHT(SUBSTITUTE(LEFT(A200,_xlfn.AGGREGATE(16,6,FIND({0,1,2,3,4,5,6,7,8,9},A200,ROW(INDIRECT("1:"&amp;LEN(A200)))),1))," ",REPT(" ",LEN(A200))),LEN(A200))))))), 1)) * ROW(INDIRECT("1:"&amp;LEN((--TRIM(RIGHT(SUBSTITUTE(LEFT(A200,_xlfn.AGGREGATE(16,6,FIND({0,1,2,3,4,5,6,7,8,9},A200,ROW(INDIRECT("1:"&amp;LEN(A200)))),1))," ",REPT(" ",LEN(A200))),LEN(A200))))))), 0), ROW(INDIRECT("1:"&amp;LEN((--TRIM(RIGHT(SUBSTITUTE(LEFT(A200,_xlfn.AGGREGATE(16,6,FIND({0,1,2,3,4,5,6,7,8,9},A200,ROW(INDIRECT("1:"&amp;LEN(A200)))),1))," ",REPT(" ",LEN(A200))),LEN(A200))))))))+1, 1) * 10^ROW(INDIRECT("1:"&amp;LEN((--TRIM(RIGHT(SUBSTITUTE(LEFT(A200,_xlfn.AGGREGATE(16,6,FIND({0,1,2,3,4,5,6,7,8,9},A200,ROW(INDIRECT("1:"&amp;LEN(A200)))),1))," ",REPT(" ",LEN(A200))),LEN(A200)))))))/10))*1+1</f>
        <v>205 &amp; 505</v>
      </c>
      <c r="B201" s="91"/>
      <c r="C201" s="70"/>
      <c r="D201" s="70"/>
      <c r="E201" s="70">
        <v>0</v>
      </c>
      <c r="F201" s="70">
        <f>D201*(($F$116)+1)+(IF(E201&lt;101,E201,IF(E201&lt;201,E201/2,IF(E201&lt;=301,E201/3,E201/4))))</f>
        <v>0</v>
      </c>
      <c r="G201" s="91" t="str">
        <f t="shared" si="15"/>
        <v>2nd &amp; 5th Floor</v>
      </c>
      <c r="H201" s="91"/>
      <c r="I201" s="36"/>
    </row>
    <row r="202" spans="1:9" s="35" customFormat="1" x14ac:dyDescent="0.25">
      <c r="A202" s="94" t="s">
        <v>68</v>
      </c>
      <c r="B202" s="94"/>
      <c r="C202" s="94"/>
      <c r="D202" s="94"/>
      <c r="E202" s="94"/>
      <c r="F202" s="94"/>
      <c r="G202" s="94"/>
      <c r="H202" s="94"/>
    </row>
    <row r="203" spans="1:9" s="35" customFormat="1" x14ac:dyDescent="0.25">
      <c r="A203" s="71" t="s">
        <v>160</v>
      </c>
      <c r="B203" s="182" t="s">
        <v>292</v>
      </c>
      <c r="C203" s="182"/>
      <c r="D203" s="182"/>
      <c r="E203" s="182"/>
      <c r="F203" s="182"/>
      <c r="G203" s="182"/>
      <c r="H203" s="182"/>
    </row>
    <row r="204" spans="1:9" s="35" customFormat="1" x14ac:dyDescent="0.25">
      <c r="A204" s="71" t="s">
        <v>160</v>
      </c>
      <c r="B204" s="182" t="str">
        <f>(IF(F115="Saleable area Loading :","We have considered Saleable area of Flats as per our Calculation.","We considered Saleable area of Flat as per Builder area Sheet."))</f>
        <v>We have considered Saleable area of Flats as per our Calculation.</v>
      </c>
      <c r="C204" s="182"/>
      <c r="D204" s="182"/>
      <c r="E204" s="182"/>
      <c r="F204" s="182"/>
      <c r="G204" s="182"/>
      <c r="H204" s="182"/>
    </row>
    <row r="205" spans="1:9" s="35" customFormat="1" hidden="1" x14ac:dyDescent="0.25">
      <c r="A205" s="47" t="s">
        <v>160</v>
      </c>
      <c r="B205" s="179" t="str">
        <f>(IF(F107="Saleable area Loading :","We have considered Saleable area of Commercial as per our Calculation.","We considered Saleable area of Commercial as per Builder area Sheet."))</f>
        <v>We have considered Saleable area of Commercial as per our Calculation.</v>
      </c>
      <c r="C205" s="180"/>
      <c r="D205" s="180"/>
      <c r="E205" s="180"/>
      <c r="F205" s="180"/>
      <c r="G205" s="180"/>
      <c r="H205" s="181"/>
    </row>
    <row r="206" spans="1:9" s="35" customFormat="1" x14ac:dyDescent="0.25">
      <c r="A206" s="47" t="s">
        <v>160</v>
      </c>
      <c r="B206" s="73" t="s">
        <v>127</v>
      </c>
      <c r="C206" s="74"/>
      <c r="D206" s="74"/>
      <c r="E206" s="74"/>
      <c r="F206" s="74"/>
      <c r="G206" s="74"/>
      <c r="H206" s="75"/>
    </row>
    <row r="207" spans="1:9" s="35" customFormat="1" x14ac:dyDescent="0.25">
      <c r="A207" s="47" t="s">
        <v>160</v>
      </c>
      <c r="B207" s="73" t="s">
        <v>261</v>
      </c>
      <c r="C207" s="74"/>
      <c r="D207" s="74"/>
      <c r="E207" s="74"/>
      <c r="F207" s="74"/>
      <c r="G207" s="74"/>
      <c r="H207" s="75"/>
    </row>
    <row r="208" spans="1:9" s="35" customFormat="1" x14ac:dyDescent="0.25">
      <c r="A208" s="47" t="s">
        <v>160</v>
      </c>
      <c r="B208" s="73" t="s">
        <v>159</v>
      </c>
      <c r="C208" s="74"/>
      <c r="D208" s="74"/>
      <c r="E208" s="74"/>
      <c r="F208" s="74"/>
      <c r="G208" s="74"/>
      <c r="H208" s="75"/>
    </row>
    <row r="209" spans="1:8" s="35" customFormat="1" x14ac:dyDescent="0.25">
      <c r="A209" s="47" t="s">
        <v>160</v>
      </c>
      <c r="B209" s="73" t="s">
        <v>128</v>
      </c>
      <c r="C209" s="74"/>
      <c r="D209" s="74"/>
      <c r="E209" s="74"/>
      <c r="F209" s="74"/>
      <c r="G209" s="74"/>
      <c r="H209" s="75"/>
    </row>
    <row r="210" spans="1:8" s="35" customFormat="1" ht="34.5" customHeight="1" x14ac:dyDescent="0.25">
      <c r="A210" s="47" t="s">
        <v>160</v>
      </c>
      <c r="B210" s="73" t="s">
        <v>161</v>
      </c>
      <c r="C210" s="74"/>
      <c r="D210" s="74"/>
      <c r="E210" s="74"/>
      <c r="F210" s="74"/>
      <c r="G210" s="74"/>
      <c r="H210" s="75"/>
    </row>
    <row r="211" spans="1:8" s="35" customFormat="1" x14ac:dyDescent="0.25">
      <c r="A211" s="47" t="s">
        <v>160</v>
      </c>
      <c r="B211" s="73" t="s">
        <v>129</v>
      </c>
      <c r="C211" s="74"/>
      <c r="D211" s="74"/>
      <c r="E211" s="74"/>
      <c r="F211" s="74"/>
      <c r="G211" s="74"/>
      <c r="H211" s="75"/>
    </row>
    <row r="212" spans="1:8" s="35" customFormat="1" ht="32.25" customHeight="1" x14ac:dyDescent="0.25">
      <c r="A212" s="54" t="s">
        <v>160</v>
      </c>
      <c r="B212" s="179" t="s">
        <v>262</v>
      </c>
      <c r="C212" s="180"/>
      <c r="D212" s="180"/>
      <c r="E212" s="180"/>
      <c r="F212" s="180"/>
      <c r="G212" s="180"/>
      <c r="H212" s="181"/>
    </row>
    <row r="213" spans="1:8" s="35" customFormat="1" ht="32.25" customHeight="1" x14ac:dyDescent="0.25">
      <c r="A213" s="61" t="s">
        <v>160</v>
      </c>
      <c r="B213" s="179" t="s">
        <v>284</v>
      </c>
      <c r="C213" s="180"/>
      <c r="D213" s="180"/>
      <c r="E213" s="180"/>
      <c r="F213" s="180"/>
      <c r="G213" s="180"/>
      <c r="H213" s="181"/>
    </row>
    <row r="214" spans="1:8" s="35" customFormat="1" x14ac:dyDescent="0.25">
      <c r="A214" s="59" t="s">
        <v>160</v>
      </c>
      <c r="B214" s="73" t="s">
        <v>288</v>
      </c>
      <c r="C214" s="74"/>
      <c r="D214" s="74"/>
      <c r="E214" s="74"/>
      <c r="F214" s="74"/>
      <c r="G214" s="74"/>
      <c r="H214" s="75"/>
    </row>
    <row r="215" spans="1:8" s="35" customFormat="1" x14ac:dyDescent="0.25">
      <c r="A215" s="69" t="s">
        <v>160</v>
      </c>
      <c r="B215" s="73" t="s">
        <v>289</v>
      </c>
      <c r="C215" s="74"/>
      <c r="D215" s="74"/>
      <c r="E215" s="74"/>
      <c r="F215" s="74"/>
      <c r="G215" s="74"/>
      <c r="H215" s="75"/>
    </row>
    <row r="216" spans="1:8" x14ac:dyDescent="0.25">
      <c r="A216" s="171" t="s">
        <v>61</v>
      </c>
      <c r="B216" s="171"/>
      <c r="C216" s="171"/>
      <c r="D216" s="171"/>
      <c r="E216" s="171"/>
      <c r="F216" s="171"/>
      <c r="G216" s="171"/>
      <c r="H216" s="171"/>
    </row>
    <row r="217" spans="1:8" x14ac:dyDescent="0.25">
      <c r="A217" s="76" t="s">
        <v>62</v>
      </c>
      <c r="B217" s="76"/>
      <c r="C217" s="76"/>
      <c r="D217" s="76"/>
      <c r="E217" s="76"/>
      <c r="F217" s="76"/>
      <c r="G217" s="76"/>
      <c r="H217" s="76"/>
    </row>
    <row r="218" spans="1:8" ht="15.75" customHeight="1" x14ac:dyDescent="0.25">
      <c r="A218" s="178" t="s">
        <v>63</v>
      </c>
      <c r="B218" s="178"/>
      <c r="C218" s="178"/>
      <c r="D218" s="178"/>
      <c r="E218" s="178"/>
      <c r="F218" s="178"/>
      <c r="G218" s="178"/>
      <c r="H218" s="178"/>
    </row>
    <row r="219" spans="1:8" x14ac:dyDescent="0.25">
      <c r="A219" s="76" t="s">
        <v>64</v>
      </c>
      <c r="B219" s="76"/>
      <c r="C219" s="76"/>
      <c r="D219" s="76"/>
      <c r="E219" s="76"/>
      <c r="F219" s="76"/>
      <c r="G219" s="76"/>
      <c r="H219" s="76"/>
    </row>
    <row r="220" spans="1:8" x14ac:dyDescent="0.25">
      <c r="A220" s="76" t="s">
        <v>65</v>
      </c>
      <c r="B220" s="76"/>
      <c r="C220" s="76"/>
      <c r="D220" s="76"/>
      <c r="E220" s="76"/>
      <c r="F220" s="76"/>
      <c r="G220" s="76"/>
      <c r="H220" s="76"/>
    </row>
    <row r="221" spans="1:8" x14ac:dyDescent="0.25">
      <c r="A221" s="76" t="s">
        <v>130</v>
      </c>
      <c r="B221" s="76"/>
      <c r="C221" s="76"/>
      <c r="D221" s="76"/>
      <c r="E221" s="76"/>
      <c r="F221" s="76"/>
      <c r="G221" s="76"/>
      <c r="H221" s="76"/>
    </row>
    <row r="222" spans="1:8" ht="33.950000000000003" customHeight="1" x14ac:dyDescent="0.25">
      <c r="A222" s="147" t="s">
        <v>131</v>
      </c>
      <c r="B222" s="147"/>
      <c r="C222" s="147"/>
      <c r="D222" s="147"/>
      <c r="E222" s="147"/>
      <c r="F222" s="147"/>
      <c r="G222" s="147"/>
      <c r="H222" s="147"/>
    </row>
    <row r="223" spans="1:8" x14ac:dyDescent="0.25">
      <c r="A223" s="167" t="s">
        <v>77</v>
      </c>
      <c r="B223" s="167"/>
      <c r="C223" s="167" t="s">
        <v>291</v>
      </c>
      <c r="D223" s="167"/>
      <c r="E223" s="167" t="s">
        <v>107</v>
      </c>
      <c r="F223" s="167"/>
      <c r="G223" s="167" t="s">
        <v>290</v>
      </c>
      <c r="H223" s="167"/>
    </row>
    <row r="224" spans="1:8" x14ac:dyDescent="0.25">
      <c r="A224" s="166" t="s">
        <v>79</v>
      </c>
      <c r="B224" s="166"/>
      <c r="C224" s="166"/>
      <c r="D224" s="166"/>
      <c r="E224" s="166"/>
      <c r="F224" s="166"/>
      <c r="G224" s="166"/>
      <c r="H224" s="166"/>
    </row>
    <row r="225" spans="1:8" x14ac:dyDescent="0.25">
      <c r="A225" s="166"/>
      <c r="B225" s="166"/>
      <c r="C225" s="166"/>
      <c r="D225" s="166"/>
      <c r="E225" s="166"/>
      <c r="F225" s="166"/>
      <c r="G225" s="166"/>
      <c r="H225" s="166"/>
    </row>
    <row r="226" spans="1:8" x14ac:dyDescent="0.25">
      <c r="A226" s="166"/>
      <c r="B226" s="166"/>
      <c r="C226" s="166"/>
      <c r="D226" s="166"/>
      <c r="E226" s="166"/>
      <c r="F226" s="166"/>
      <c r="G226" s="166"/>
      <c r="H226" s="166"/>
    </row>
    <row r="227" spans="1:8" x14ac:dyDescent="0.25">
      <c r="A227" s="166"/>
      <c r="B227" s="166"/>
      <c r="C227" s="166"/>
      <c r="D227" s="166"/>
      <c r="E227" s="166"/>
      <c r="F227" s="166"/>
      <c r="G227" s="166"/>
      <c r="H227" s="166"/>
    </row>
    <row r="228" spans="1:8" x14ac:dyDescent="0.25">
      <c r="A228" s="38" t="s">
        <v>66</v>
      </c>
      <c r="B228" s="39"/>
      <c r="C228" s="39"/>
      <c r="D228" s="38" t="str">
        <f>E8</f>
        <v>Khandelwal Reserve Wing B</v>
      </c>
      <c r="F228" s="39"/>
      <c r="G228" s="39"/>
      <c r="H228" s="39"/>
    </row>
    <row r="229" spans="1:8" x14ac:dyDescent="0.25">
      <c r="A229" s="39"/>
      <c r="B229" s="39"/>
      <c r="C229" s="39"/>
      <c r="D229" s="39"/>
      <c r="E229" s="39"/>
      <c r="F229" s="39"/>
      <c r="G229" s="39"/>
      <c r="H229" s="39"/>
    </row>
    <row r="230" spans="1:8" x14ac:dyDescent="0.25">
      <c r="A230" s="39"/>
      <c r="B230" s="39"/>
      <c r="C230" s="39"/>
      <c r="D230" s="39"/>
      <c r="E230" s="39"/>
      <c r="F230" s="39"/>
      <c r="G230" s="39"/>
      <c r="H230" s="39"/>
    </row>
    <row r="231" spans="1:8" ht="15" customHeight="1" x14ac:dyDescent="0.25"/>
    <row r="235" spans="1:8" x14ac:dyDescent="0.25">
      <c r="B235"/>
    </row>
    <row r="270" spans="1:1" x14ac:dyDescent="0.25">
      <c r="A270" s="41" t="s">
        <v>172</v>
      </c>
    </row>
    <row r="312" spans="1:1" x14ac:dyDescent="0.25">
      <c r="A312" s="41" t="s">
        <v>67</v>
      </c>
    </row>
  </sheetData>
  <mergeCells count="450">
    <mergeCell ref="B215:H215"/>
    <mergeCell ref="A53:B54"/>
    <mergeCell ref="C53:E53"/>
    <mergeCell ref="G53:H53"/>
    <mergeCell ref="C54:E54"/>
    <mergeCell ref="G54:H54"/>
    <mergeCell ref="B213:H213"/>
    <mergeCell ref="L161:M161"/>
    <mergeCell ref="A162:B162"/>
    <mergeCell ref="L162:M162"/>
    <mergeCell ref="A163:B163"/>
    <mergeCell ref="L163:M163"/>
    <mergeCell ref="C161:F162"/>
    <mergeCell ref="A164:H164"/>
    <mergeCell ref="A165:B165"/>
    <mergeCell ref="G165:H172"/>
    <mergeCell ref="L165:M165"/>
    <mergeCell ref="A166:B166"/>
    <mergeCell ref="L166:M166"/>
    <mergeCell ref="A167:B167"/>
    <mergeCell ref="L167:M167"/>
    <mergeCell ref="A168:B168"/>
    <mergeCell ref="L168:M168"/>
    <mergeCell ref="L169:M169"/>
    <mergeCell ref="A171:B171"/>
    <mergeCell ref="L171:M171"/>
    <mergeCell ref="A172:B172"/>
    <mergeCell ref="L172:M172"/>
    <mergeCell ref="L138:M138"/>
    <mergeCell ref="A139:B139"/>
    <mergeCell ref="L139:M139"/>
    <mergeCell ref="A140:B140"/>
    <mergeCell ref="L140:M140"/>
    <mergeCell ref="A141:B141"/>
    <mergeCell ref="L141:M141"/>
    <mergeCell ref="A142:B142"/>
    <mergeCell ref="L142:M142"/>
    <mergeCell ref="A138:B138"/>
    <mergeCell ref="L152:M152"/>
    <mergeCell ref="A153:B153"/>
    <mergeCell ref="L153:M153"/>
    <mergeCell ref="A154:B154"/>
    <mergeCell ref="L149:M149"/>
    <mergeCell ref="A150:B150"/>
    <mergeCell ref="L150:M150"/>
    <mergeCell ref="L154:M154"/>
    <mergeCell ref="L147:M147"/>
    <mergeCell ref="A148:B148"/>
    <mergeCell ref="L148:M148"/>
    <mergeCell ref="A149:B149"/>
    <mergeCell ref="A151:B151"/>
    <mergeCell ref="L151:M151"/>
    <mergeCell ref="L143:M143"/>
    <mergeCell ref="A170:B170"/>
    <mergeCell ref="L170:M170"/>
    <mergeCell ref="L132:M132"/>
    <mergeCell ref="A133:B133"/>
    <mergeCell ref="L133:M133"/>
    <mergeCell ref="A134:B134"/>
    <mergeCell ref="L134:M134"/>
    <mergeCell ref="L135:M135"/>
    <mergeCell ref="A136:B136"/>
    <mergeCell ref="L136:M136"/>
    <mergeCell ref="A137:H137"/>
    <mergeCell ref="A144:B144"/>
    <mergeCell ref="L144:M144"/>
    <mergeCell ref="A145:B145"/>
    <mergeCell ref="L145:M145"/>
    <mergeCell ref="C140:F141"/>
    <mergeCell ref="L120:M120"/>
    <mergeCell ref="A121:B121"/>
    <mergeCell ref="L121:M121"/>
    <mergeCell ref="A122:B122"/>
    <mergeCell ref="L122:M122"/>
    <mergeCell ref="C122:F125"/>
    <mergeCell ref="L126:M126"/>
    <mergeCell ref="A127:B127"/>
    <mergeCell ref="L127:M127"/>
    <mergeCell ref="G120:H127"/>
    <mergeCell ref="A123:B123"/>
    <mergeCell ref="L123:M123"/>
    <mergeCell ref="L129:M129"/>
    <mergeCell ref="A130:B130"/>
    <mergeCell ref="L130:M130"/>
    <mergeCell ref="A131:B131"/>
    <mergeCell ref="C131:F134"/>
    <mergeCell ref="L131:M131"/>
    <mergeCell ref="A132:B132"/>
    <mergeCell ref="I14:P14"/>
    <mergeCell ref="G192:H192"/>
    <mergeCell ref="F93:H93"/>
    <mergeCell ref="F91:H91"/>
    <mergeCell ref="A186:B186"/>
    <mergeCell ref="A106:H106"/>
    <mergeCell ref="G97:H97"/>
    <mergeCell ref="A92:E92"/>
    <mergeCell ref="A111:B111"/>
    <mergeCell ref="A55:B55"/>
    <mergeCell ref="C55:E55"/>
    <mergeCell ref="D57:H57"/>
    <mergeCell ref="F92:H92"/>
    <mergeCell ref="E97:F97"/>
    <mergeCell ref="A97:B97"/>
    <mergeCell ref="A99:B99"/>
    <mergeCell ref="C102:D102"/>
    <mergeCell ref="D65:H65"/>
    <mergeCell ref="A66:C66"/>
    <mergeCell ref="D66:H66"/>
    <mergeCell ref="A124:B124"/>
    <mergeCell ref="L124:M124"/>
    <mergeCell ref="A125:B125"/>
    <mergeCell ref="L125:M125"/>
    <mergeCell ref="E42:H42"/>
    <mergeCell ref="A42:D42"/>
    <mergeCell ref="A77:B77"/>
    <mergeCell ref="A49:B49"/>
    <mergeCell ref="C49:E49"/>
    <mergeCell ref="C52:E52"/>
    <mergeCell ref="G52:H52"/>
    <mergeCell ref="G49:H49"/>
    <mergeCell ref="G51:H51"/>
    <mergeCell ref="A50:B50"/>
    <mergeCell ref="A56:H56"/>
    <mergeCell ref="A57:C57"/>
    <mergeCell ref="A58:C58"/>
    <mergeCell ref="D58:H58"/>
    <mergeCell ref="G55:H55"/>
    <mergeCell ref="A60:C60"/>
    <mergeCell ref="D60:H60"/>
    <mergeCell ref="C50:E50"/>
    <mergeCell ref="C68:H68"/>
    <mergeCell ref="A76:B76"/>
    <mergeCell ref="A63:C63"/>
    <mergeCell ref="D63:H63"/>
    <mergeCell ref="C70:H70"/>
    <mergeCell ref="A73:B73"/>
    <mergeCell ref="F83:H83"/>
    <mergeCell ref="G98:H98"/>
    <mergeCell ref="F90:H90"/>
    <mergeCell ref="C97:D97"/>
    <mergeCell ref="C104:D104"/>
    <mergeCell ref="A173:H173"/>
    <mergeCell ref="A188:B188"/>
    <mergeCell ref="A185:B185"/>
    <mergeCell ref="G177:H177"/>
    <mergeCell ref="G181:H181"/>
    <mergeCell ref="A110:B110"/>
    <mergeCell ref="E102:F102"/>
    <mergeCell ref="G112:H112"/>
    <mergeCell ref="G110:H110"/>
    <mergeCell ref="G111:H111"/>
    <mergeCell ref="G113:H113"/>
    <mergeCell ref="A115:A116"/>
    <mergeCell ref="A119:H119"/>
    <mergeCell ref="A120:B120"/>
    <mergeCell ref="A146:H146"/>
    <mergeCell ref="A147:B147"/>
    <mergeCell ref="G147:H154"/>
    <mergeCell ref="A152:B152"/>
    <mergeCell ref="G138:H145"/>
    <mergeCell ref="A221:H221"/>
    <mergeCell ref="A218:H218"/>
    <mergeCell ref="G194:H194"/>
    <mergeCell ref="A179:B179"/>
    <mergeCell ref="A102:B102"/>
    <mergeCell ref="D115:D116"/>
    <mergeCell ref="E115:E116"/>
    <mergeCell ref="G115:H116"/>
    <mergeCell ref="A217:H217"/>
    <mergeCell ref="B211:H211"/>
    <mergeCell ref="B212:H212"/>
    <mergeCell ref="B209:H209"/>
    <mergeCell ref="B203:H203"/>
    <mergeCell ref="B204:H204"/>
    <mergeCell ref="A191:B191"/>
    <mergeCell ref="A143:B143"/>
    <mergeCell ref="A169:B169"/>
    <mergeCell ref="B205:H205"/>
    <mergeCell ref="A199:B199"/>
    <mergeCell ref="G199:H199"/>
    <mergeCell ref="G198:H198"/>
    <mergeCell ref="A196:H196"/>
    <mergeCell ref="C142:F143"/>
    <mergeCell ref="A157:B157"/>
    <mergeCell ref="A183:B183"/>
    <mergeCell ref="A180:B180"/>
    <mergeCell ref="A181:B181"/>
    <mergeCell ref="A184:H184"/>
    <mergeCell ref="G187:H187"/>
    <mergeCell ref="G185:H185"/>
    <mergeCell ref="A182:B182"/>
    <mergeCell ref="G183:H183"/>
    <mergeCell ref="G189:H189"/>
    <mergeCell ref="G188:H188"/>
    <mergeCell ref="F82:H82"/>
    <mergeCell ref="F87:H87"/>
    <mergeCell ref="A174:B174"/>
    <mergeCell ref="A113:B113"/>
    <mergeCell ref="A112:B112"/>
    <mergeCell ref="A88:E88"/>
    <mergeCell ref="F88:H88"/>
    <mergeCell ref="A89:E89"/>
    <mergeCell ref="A91:E91"/>
    <mergeCell ref="F85:H85"/>
    <mergeCell ref="A90:E90"/>
    <mergeCell ref="A114:H114"/>
    <mergeCell ref="E99:F99"/>
    <mergeCell ref="G99:H99"/>
    <mergeCell ref="A100:B100"/>
    <mergeCell ref="C100:D100"/>
    <mergeCell ref="E100:F100"/>
    <mergeCell ref="G100:H100"/>
    <mergeCell ref="A105:H105"/>
    <mergeCell ref="A126:B126"/>
    <mergeCell ref="A128:H128"/>
    <mergeCell ref="A129:B129"/>
    <mergeCell ref="G129:H136"/>
    <mergeCell ref="A135:B135"/>
    <mergeCell ref="A224:H227"/>
    <mergeCell ref="A223:B223"/>
    <mergeCell ref="E223:F223"/>
    <mergeCell ref="C223:D223"/>
    <mergeCell ref="G223:H223"/>
    <mergeCell ref="A96:H96"/>
    <mergeCell ref="A94:E94"/>
    <mergeCell ref="F94:H94"/>
    <mergeCell ref="A95:E95"/>
    <mergeCell ref="F95:H95"/>
    <mergeCell ref="A178:H178"/>
    <mergeCell ref="A103:B103"/>
    <mergeCell ref="A187:B187"/>
    <mergeCell ref="A98:B98"/>
    <mergeCell ref="A219:H219"/>
    <mergeCell ref="A101:H101"/>
    <mergeCell ref="A222:H222"/>
    <mergeCell ref="A220:H220"/>
    <mergeCell ref="A216:H216"/>
    <mergeCell ref="G102:H102"/>
    <mergeCell ref="G191:H191"/>
    <mergeCell ref="A189:B189"/>
    <mergeCell ref="C107:C108"/>
    <mergeCell ref="B115:B116"/>
    <mergeCell ref="A75:B75"/>
    <mergeCell ref="E71:F71"/>
    <mergeCell ref="A64:C64"/>
    <mergeCell ref="D64:H64"/>
    <mergeCell ref="A67:C67"/>
    <mergeCell ref="D67:H67"/>
    <mergeCell ref="A65:C65"/>
    <mergeCell ref="A72:B72"/>
    <mergeCell ref="G71:H71"/>
    <mergeCell ref="E72:F81"/>
    <mergeCell ref="G72:H81"/>
    <mergeCell ref="A80:B80"/>
    <mergeCell ref="A81:B81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5:D5"/>
    <mergeCell ref="E5:H5"/>
    <mergeCell ref="A6:D6"/>
    <mergeCell ref="E6:H6"/>
    <mergeCell ref="A7:D7"/>
    <mergeCell ref="E7:H7"/>
    <mergeCell ref="E13:H13"/>
    <mergeCell ref="A14:D14"/>
    <mergeCell ref="A10:D10"/>
    <mergeCell ref="E10:H10"/>
    <mergeCell ref="A22:D23"/>
    <mergeCell ref="E22:H23"/>
    <mergeCell ref="E14:H14"/>
    <mergeCell ref="A15:B15"/>
    <mergeCell ref="C15:H15"/>
    <mergeCell ref="C16:H16"/>
    <mergeCell ref="A17:B17"/>
    <mergeCell ref="C17:H17"/>
    <mergeCell ref="A12:D12"/>
    <mergeCell ref="E12:H12"/>
    <mergeCell ref="A11:D11"/>
    <mergeCell ref="E11:H11"/>
    <mergeCell ref="A16:B16"/>
    <mergeCell ref="A13:D13"/>
    <mergeCell ref="A18:B18"/>
    <mergeCell ref="C18:D18"/>
    <mergeCell ref="E18:F18"/>
    <mergeCell ref="G18:H18"/>
    <mergeCell ref="A19:B19"/>
    <mergeCell ref="C19:D19"/>
    <mergeCell ref="E19:F19"/>
    <mergeCell ref="G19:H19"/>
    <mergeCell ref="A20:B20"/>
    <mergeCell ref="C20:D20"/>
    <mergeCell ref="E20:F20"/>
    <mergeCell ref="G20:H20"/>
    <mergeCell ref="A21:B21"/>
    <mergeCell ref="C21:D21"/>
    <mergeCell ref="E21:F21"/>
    <mergeCell ref="G21:H21"/>
    <mergeCell ref="E26:H26"/>
    <mergeCell ref="A28:D28"/>
    <mergeCell ref="E28:H28"/>
    <mergeCell ref="A25:D25"/>
    <mergeCell ref="E25:H25"/>
    <mergeCell ref="A24:D24"/>
    <mergeCell ref="E24:H24"/>
    <mergeCell ref="A29:D29"/>
    <mergeCell ref="E29:H29"/>
    <mergeCell ref="A26:D26"/>
    <mergeCell ref="A35:B35"/>
    <mergeCell ref="C35:E35"/>
    <mergeCell ref="A30:D30"/>
    <mergeCell ref="E30:H30"/>
    <mergeCell ref="A31:D31"/>
    <mergeCell ref="E31:H31"/>
    <mergeCell ref="A27:D27"/>
    <mergeCell ref="E27:H27"/>
    <mergeCell ref="C32:E32"/>
    <mergeCell ref="F35:H35"/>
    <mergeCell ref="F32:H32"/>
    <mergeCell ref="A33:B33"/>
    <mergeCell ref="A32:B32"/>
    <mergeCell ref="C33:E33"/>
    <mergeCell ref="A34:B34"/>
    <mergeCell ref="C34:E34"/>
    <mergeCell ref="F33:H33"/>
    <mergeCell ref="F34:H34"/>
    <mergeCell ref="A37:H37"/>
    <mergeCell ref="A36:B36"/>
    <mergeCell ref="C36:E36"/>
    <mergeCell ref="A41:D41"/>
    <mergeCell ref="E41:H41"/>
    <mergeCell ref="A40:H40"/>
    <mergeCell ref="A61:C61"/>
    <mergeCell ref="A62:C62"/>
    <mergeCell ref="D61:H61"/>
    <mergeCell ref="D62:H62"/>
    <mergeCell ref="A43:D43"/>
    <mergeCell ref="E43:H43"/>
    <mergeCell ref="E44:H44"/>
    <mergeCell ref="E45:H45"/>
    <mergeCell ref="E46:H46"/>
    <mergeCell ref="A44:D44"/>
    <mergeCell ref="F36:H36"/>
    <mergeCell ref="A46:D46"/>
    <mergeCell ref="A47:H47"/>
    <mergeCell ref="D59:H59"/>
    <mergeCell ref="A59:C59"/>
    <mergeCell ref="G50:H50"/>
    <mergeCell ref="A51:B52"/>
    <mergeCell ref="C51:E51"/>
    <mergeCell ref="A38:B38"/>
    <mergeCell ref="C38:H38"/>
    <mergeCell ref="A45:D45"/>
    <mergeCell ref="L113:M113"/>
    <mergeCell ref="L112:M112"/>
    <mergeCell ref="L111:M111"/>
    <mergeCell ref="L110:M110"/>
    <mergeCell ref="A79:B79"/>
    <mergeCell ref="C103:D103"/>
    <mergeCell ref="E103:F103"/>
    <mergeCell ref="G103:H103"/>
    <mergeCell ref="F89:H89"/>
    <mergeCell ref="A83:E83"/>
    <mergeCell ref="A109:H109"/>
    <mergeCell ref="E107:E108"/>
    <mergeCell ref="G107:H108"/>
    <mergeCell ref="A93:E93"/>
    <mergeCell ref="G104:H104"/>
    <mergeCell ref="C99:D99"/>
    <mergeCell ref="A78:B78"/>
    <mergeCell ref="A71:B71"/>
    <mergeCell ref="A74:B74"/>
    <mergeCell ref="A70:B70"/>
    <mergeCell ref="A68:B68"/>
    <mergeCell ref="L175:M175"/>
    <mergeCell ref="A176:B176"/>
    <mergeCell ref="G176:H176"/>
    <mergeCell ref="L176:M176"/>
    <mergeCell ref="A177:B177"/>
    <mergeCell ref="L178:M178"/>
    <mergeCell ref="L177:M177"/>
    <mergeCell ref="G174:H174"/>
    <mergeCell ref="L174:M174"/>
    <mergeCell ref="A175:B175"/>
    <mergeCell ref="G175:H175"/>
    <mergeCell ref="A161:B161"/>
    <mergeCell ref="L156:M156"/>
    <mergeCell ref="L157:M157"/>
    <mergeCell ref="A158:B158"/>
    <mergeCell ref="L158:M158"/>
    <mergeCell ref="A159:B159"/>
    <mergeCell ref="L159:M159"/>
    <mergeCell ref="A160:B160"/>
    <mergeCell ref="L160:M160"/>
    <mergeCell ref="G156:H163"/>
    <mergeCell ref="G195:H195"/>
    <mergeCell ref="A202:H202"/>
    <mergeCell ref="A194:B194"/>
    <mergeCell ref="A195:B195"/>
    <mergeCell ref="G193:H193"/>
    <mergeCell ref="A190:H190"/>
    <mergeCell ref="A192:B192"/>
    <mergeCell ref="A193:B193"/>
    <mergeCell ref="C98:D98"/>
    <mergeCell ref="E98:F98"/>
    <mergeCell ref="G180:H180"/>
    <mergeCell ref="B107:B108"/>
    <mergeCell ref="A107:A108"/>
    <mergeCell ref="C115:C116"/>
    <mergeCell ref="A117:H117"/>
    <mergeCell ref="A118:H118"/>
    <mergeCell ref="A197:B197"/>
    <mergeCell ref="A198:B198"/>
    <mergeCell ref="A201:B201"/>
    <mergeCell ref="G201:H201"/>
    <mergeCell ref="A200:B200"/>
    <mergeCell ref="G200:H200"/>
    <mergeCell ref="A155:H155"/>
    <mergeCell ref="A156:B156"/>
    <mergeCell ref="I10:L10"/>
    <mergeCell ref="B214:H214"/>
    <mergeCell ref="A85:E85"/>
    <mergeCell ref="A82:E82"/>
    <mergeCell ref="F86:H86"/>
    <mergeCell ref="A87:E87"/>
    <mergeCell ref="A104:B104"/>
    <mergeCell ref="E104:F104"/>
    <mergeCell ref="A39:B39"/>
    <mergeCell ref="C39:H39"/>
    <mergeCell ref="B210:H210"/>
    <mergeCell ref="A48:B48"/>
    <mergeCell ref="C48:H48"/>
    <mergeCell ref="B208:H208"/>
    <mergeCell ref="F84:H84"/>
    <mergeCell ref="A84:E84"/>
    <mergeCell ref="G186:H186"/>
    <mergeCell ref="G182:H182"/>
    <mergeCell ref="G179:H179"/>
    <mergeCell ref="D107:D108"/>
    <mergeCell ref="A86:E86"/>
    <mergeCell ref="B206:H206"/>
    <mergeCell ref="B207:H207"/>
    <mergeCell ref="G197:H197"/>
  </mergeCells>
  <dataValidations count="13">
    <dataValidation type="list" allowBlank="1" showInputMessage="1" showErrorMessage="1" sqref="E4:H4">
      <formula1>"Axis Goregaon,Axis Thane,Axis Badlapur,Axis Sanpada, PNB Thane"</formula1>
    </dataValidation>
    <dataValidation type="list" allowBlank="1" showInputMessage="1" showErrorMessage="1" sqref="A16:B16">
      <formula1>"CTS No,Survey No,Plot No,Gut No,FP No,"</formula1>
    </dataValidation>
    <dataValidation type="list" allowBlank="1" showInputMessage="1" showErrorMessage="1" sqref="G19:H19">
      <formula1>$S$12:$W$12</formula1>
    </dataValidation>
    <dataValidation type="list" allowBlank="1" showInputMessage="1" showErrorMessage="1" sqref="E107:E108">
      <formula1>"Attached Loft area,Attached Terrace area,Attached Mezzanine area"</formula1>
    </dataValidation>
    <dataValidation type="list" allowBlank="1" showInputMessage="1" showErrorMessage="1" sqref="F108 F116">
      <formula1>"45%,50%,55%,60%"</formula1>
    </dataValidation>
    <dataValidation type="list" allowBlank="1" showInputMessage="1" showErrorMessage="1" sqref="G223:H223">
      <formula1>"Shruti Tathare,Kunal Kadam,Pranita Mhatre,Shruti Fule,Pooja Kawale,Mansee Mohite,Anjali Kamble, Hitakshi Mhatre, Sachin Sawant"</formula1>
    </dataValidation>
    <dataValidation type="list" allowBlank="1" showInputMessage="1" showErrorMessage="1" sqref="F82:H82">
      <formula1>"On Saleable Area,On Builtup Area,On Carpet Area,On Plot Area"</formula1>
    </dataValidation>
    <dataValidation type="list" allowBlank="1" showInputMessage="1" showErrorMessage="1" sqref="F94:H94">
      <formula1>"100000,150000,200000,250000,300000,350000,400000,500000,600000,700000,800000,900000,1000000,1200000,1400000,1500000"</formula1>
    </dataValidation>
    <dataValidation type="list" allowBlank="1" showInputMessage="1" showErrorMessage="1" sqref="F107 F115">
      <formula1>"Saleable area Loading :,Builder Saleable area"</formula1>
    </dataValidation>
    <dataValidation type="list" allowBlank="1" showInputMessage="1" showErrorMessage="1" sqref="B107:B108">
      <formula1>"Shop No. (Sale Plan),Sale / Rehab,Sale / Mhada"</formula1>
    </dataValidation>
    <dataValidation type="list" allowBlank="1" showInputMessage="1" showErrorMessage="1" sqref="B115:B116">
      <formula1>"Flat No. (Sale Plan),Sale / Rehab,Sale / Mhada"</formula1>
    </dataValidation>
    <dataValidation type="list" allowBlank="1" showInputMessage="1" showErrorMessage="1" sqref="C20:D20">
      <formula1>OFFSET($S$12,1,MATCH($G19,$S$12:$W$12,0)-1,15,1)</formula1>
    </dataValidation>
    <dataValidation type="list" allowBlank="1" showInputMessage="1" showErrorMessage="1" sqref="Y12">
      <formula1>$D$4:$H$4</formula1>
    </dataValidation>
  </dataValidations>
  <hyperlinks>
    <hyperlink ref="C39" r:id="rId1"/>
  </hyperlinks>
  <printOptions horizontalCentered="1"/>
  <pageMargins left="0.39370078740157483" right="0.39370078740157483" top="0.82677165354330717" bottom="0.78740157480314965" header="0.15748031496062992" footer="0.19685039370078741"/>
  <pageSetup paperSize="2" fitToHeight="0" orientation="portrait" r:id="rId2"/>
  <headerFooter>
    <oddHeader>&amp;C&amp;G</oddHeader>
    <oddFooter>&amp;L&amp;"Times New Roman,Bold"&amp;12Ref No: &amp;F&amp;C&amp;G&amp;R&amp;"Times New Roman,Bold"&amp;12&amp;P</oddFooter>
  </headerFooter>
  <rowBreaks count="5" manualBreakCount="5">
    <brk id="39" max="7" man="1"/>
    <brk id="67" max="7" man="1"/>
    <brk id="227" max="16383" man="1"/>
    <brk id="269" max="16383" man="1"/>
    <brk id="311" max="16383" man="1"/>
  </rowBreaks>
  <drawing r:id="rId3"/>
  <legacyDrawing r:id="rId4"/>
  <legacyDrawingHF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6"/>
  <sheetViews>
    <sheetView topLeftCell="A10" zoomScale="85" zoomScaleNormal="85" workbookViewId="0">
      <selection activeCell="A30" sqref="A30"/>
    </sheetView>
  </sheetViews>
  <sheetFormatPr defaultColWidth="8.5703125" defaultRowHeight="15" x14ac:dyDescent="0.25"/>
  <cols>
    <col min="1" max="1" width="8.5703125" style="1"/>
    <col min="2" max="2" width="22.140625" style="1" customWidth="1"/>
    <col min="3" max="3" width="37" style="1" customWidth="1"/>
    <col min="4" max="5" width="11.42578125" style="1" customWidth="1"/>
    <col min="6" max="6" width="14" style="1" customWidth="1"/>
    <col min="7" max="7" width="20" style="1" customWidth="1"/>
    <col min="8" max="8" width="16.42578125" style="1" customWidth="1"/>
    <col min="9" max="16384" width="8.5703125" style="1"/>
  </cols>
  <sheetData>
    <row r="1" spans="1:9" ht="15" customHeight="1" x14ac:dyDescent="0.25"/>
    <row r="2" spans="1:9" ht="15" customHeight="1" x14ac:dyDescent="0.25">
      <c r="A2" s="2"/>
      <c r="B2" s="2"/>
      <c r="C2" s="2"/>
      <c r="D2" s="2"/>
      <c r="E2" s="2"/>
      <c r="F2" s="2"/>
      <c r="G2" s="2"/>
      <c r="H2" s="2"/>
    </row>
    <row r="3" spans="1:9" ht="15.75" customHeight="1" x14ac:dyDescent="0.25">
      <c r="A3" s="2"/>
      <c r="B3" s="207" t="s">
        <v>108</v>
      </c>
      <c r="C3" s="207"/>
      <c r="D3" s="207"/>
      <c r="E3" s="207"/>
      <c r="F3" s="207"/>
      <c r="G3" s="207"/>
      <c r="H3" s="207"/>
    </row>
    <row r="4" spans="1:9" x14ac:dyDescent="0.25">
      <c r="A4" s="2"/>
      <c r="B4" s="3" t="s">
        <v>109</v>
      </c>
      <c r="C4" s="3" t="s">
        <v>110</v>
      </c>
      <c r="D4" s="3" t="s">
        <v>69</v>
      </c>
      <c r="E4" s="3" t="s">
        <v>111</v>
      </c>
      <c r="F4" s="3" t="s">
        <v>117</v>
      </c>
      <c r="G4" s="3" t="s">
        <v>118</v>
      </c>
      <c r="H4" s="3" t="s">
        <v>112</v>
      </c>
    </row>
    <row r="5" spans="1:9" ht="15" customHeight="1" x14ac:dyDescent="0.25">
      <c r="A5" s="2"/>
      <c r="B5" s="5" t="s">
        <v>113</v>
      </c>
      <c r="C5" s="6"/>
      <c r="D5" s="5"/>
      <c r="E5" s="5"/>
      <c r="F5" s="7">
        <f>E5*1.6</f>
        <v>0</v>
      </c>
      <c r="G5" s="7" t="e">
        <f>H5/F5</f>
        <v>#DIV/0!</v>
      </c>
      <c r="H5" s="8"/>
    </row>
    <row r="6" spans="1:9" x14ac:dyDescent="0.25">
      <c r="A6" s="2"/>
      <c r="B6" s="5" t="s">
        <v>113</v>
      </c>
      <c r="C6" s="9"/>
      <c r="D6" s="5"/>
      <c r="E6" s="5"/>
      <c r="F6" s="7">
        <f t="shared" ref="F6:F11" si="0">E6*1.6</f>
        <v>0</v>
      </c>
      <c r="G6" s="7" t="e">
        <f t="shared" ref="G6:G11" si="1">H6/F6</f>
        <v>#DIV/0!</v>
      </c>
      <c r="H6" s="8"/>
    </row>
    <row r="7" spans="1:9" ht="15" customHeight="1" x14ac:dyDescent="0.25">
      <c r="A7" s="2"/>
      <c r="B7" s="5" t="s">
        <v>113</v>
      </c>
      <c r="C7" s="6"/>
      <c r="D7" s="5"/>
      <c r="E7" s="5"/>
      <c r="F7" s="7">
        <f t="shared" si="0"/>
        <v>0</v>
      </c>
      <c r="G7" s="7" t="e">
        <f t="shared" si="1"/>
        <v>#DIV/0!</v>
      </c>
      <c r="H7" s="8"/>
    </row>
    <row r="8" spans="1:9" x14ac:dyDescent="0.25">
      <c r="A8" s="2"/>
      <c r="B8" s="5" t="s">
        <v>113</v>
      </c>
      <c r="C8" s="9"/>
      <c r="D8" s="5"/>
      <c r="E8" s="5"/>
      <c r="F8" s="7">
        <f t="shared" si="0"/>
        <v>0</v>
      </c>
      <c r="G8" s="7" t="e">
        <f t="shared" si="1"/>
        <v>#DIV/0!</v>
      </c>
      <c r="H8" s="8"/>
    </row>
    <row r="9" spans="1:9" ht="15" customHeight="1" x14ac:dyDescent="0.25">
      <c r="A9" s="2"/>
      <c r="B9" s="5" t="s">
        <v>113</v>
      </c>
      <c r="C9" s="9"/>
      <c r="D9" s="5"/>
      <c r="E9" s="5"/>
      <c r="F9" s="7">
        <f t="shared" si="0"/>
        <v>0</v>
      </c>
      <c r="G9" s="7" t="e">
        <f t="shared" si="1"/>
        <v>#DIV/0!</v>
      </c>
      <c r="H9" s="8"/>
    </row>
    <row r="10" spans="1:9" ht="15" customHeight="1" x14ac:dyDescent="0.25">
      <c r="A10" s="2"/>
      <c r="B10" s="5" t="s">
        <v>114</v>
      </c>
      <c r="C10" s="6"/>
      <c r="D10" s="5"/>
      <c r="E10" s="5"/>
      <c r="F10" s="7">
        <f t="shared" si="0"/>
        <v>0</v>
      </c>
      <c r="G10" s="7" t="e">
        <f t="shared" si="1"/>
        <v>#DIV/0!</v>
      </c>
      <c r="H10" s="8"/>
    </row>
    <row r="11" spans="1:9" ht="15" customHeight="1" x14ac:dyDescent="0.25">
      <c r="A11" s="2"/>
      <c r="B11" s="5" t="s">
        <v>114</v>
      </c>
      <c r="C11" s="6"/>
      <c r="D11" s="5"/>
      <c r="E11" s="5"/>
      <c r="F11" s="7">
        <f t="shared" si="0"/>
        <v>0</v>
      </c>
      <c r="G11" s="7" t="e">
        <f t="shared" si="1"/>
        <v>#DIV/0!</v>
      </c>
      <c r="H11" s="8"/>
    </row>
    <row r="12" spans="1:9" ht="15" customHeight="1" x14ac:dyDescent="0.25">
      <c r="A12" s="2"/>
      <c r="B12" s="10" t="s">
        <v>115</v>
      </c>
      <c r="C12" s="5"/>
      <c r="D12" s="5"/>
      <c r="E12" s="5"/>
      <c r="F12" s="5"/>
      <c r="G12" s="11" t="e">
        <f>AVERAGE(G5:G11)</f>
        <v>#DIV/0!</v>
      </c>
      <c r="H12" s="5"/>
    </row>
    <row r="13" spans="1:9" ht="15" customHeight="1" x14ac:dyDescent="0.25">
      <c r="B13" s="10" t="s">
        <v>116</v>
      </c>
      <c r="C13" s="5"/>
      <c r="D13" s="5"/>
      <c r="E13" s="5"/>
      <c r="F13" s="12"/>
      <c r="G13" s="10"/>
      <c r="H13" s="10"/>
      <c r="I13" s="4"/>
    </row>
    <row r="14" spans="1:9" ht="15" customHeight="1" x14ac:dyDescent="0.25"/>
    <row r="15" spans="1:9" ht="15" customHeight="1" x14ac:dyDescent="0.25"/>
    <row r="16" spans="1:9" ht="15" customHeight="1" x14ac:dyDescent="0.25"/>
  </sheetData>
  <mergeCells count="1">
    <mergeCell ref="B3:H3"/>
  </mergeCells>
  <pageMargins left="0.7" right="0.7" top="0.75" bottom="0.75" header="0.3" footer="0.3"/>
  <pageSetup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B3:K30"/>
  <sheetViews>
    <sheetView topLeftCell="A16" zoomScale="130" zoomScaleNormal="130" workbookViewId="0">
      <selection activeCell="C30" sqref="C30"/>
    </sheetView>
  </sheetViews>
  <sheetFormatPr defaultRowHeight="15" x14ac:dyDescent="0.25"/>
  <cols>
    <col min="4" max="4" width="11" bestFit="1" customWidth="1"/>
    <col min="5" max="5" width="10.42578125" bestFit="1" customWidth="1"/>
    <col min="8" max="8" width="10.5703125" bestFit="1" customWidth="1"/>
  </cols>
  <sheetData>
    <row r="3" spans="2:11" x14ac:dyDescent="0.25">
      <c r="J3">
        <v>1</v>
      </c>
      <c r="K3">
        <v>2</v>
      </c>
    </row>
    <row r="4" spans="2:11" x14ac:dyDescent="0.25">
      <c r="B4" s="55"/>
      <c r="C4" s="55" t="s">
        <v>12</v>
      </c>
      <c r="D4" s="56" t="s">
        <v>184</v>
      </c>
      <c r="E4" s="56" t="s">
        <v>194</v>
      </c>
      <c r="F4" s="56" t="s">
        <v>179</v>
      </c>
      <c r="G4" s="56" t="s">
        <v>199</v>
      </c>
      <c r="H4" s="56" t="s">
        <v>217</v>
      </c>
      <c r="J4" t="s">
        <v>199</v>
      </c>
      <c r="K4" t="s">
        <v>215</v>
      </c>
    </row>
    <row r="5" spans="2:11" x14ac:dyDescent="0.25">
      <c r="B5" s="55"/>
      <c r="C5" s="55"/>
      <c r="D5" s="56" t="s">
        <v>185</v>
      </c>
      <c r="E5" s="56" t="s">
        <v>192</v>
      </c>
      <c r="F5" s="56" t="s">
        <v>214</v>
      </c>
      <c r="G5" s="56" t="s">
        <v>200</v>
      </c>
      <c r="H5" s="56" t="s">
        <v>218</v>
      </c>
    </row>
    <row r="6" spans="2:11" x14ac:dyDescent="0.25">
      <c r="B6" s="55"/>
      <c r="C6" s="55"/>
      <c r="D6" s="56" t="s">
        <v>186</v>
      </c>
      <c r="E6" s="56" t="s">
        <v>193</v>
      </c>
      <c r="F6" s="56" t="s">
        <v>215</v>
      </c>
      <c r="G6" s="56" t="s">
        <v>201</v>
      </c>
      <c r="H6" s="56" t="s">
        <v>231</v>
      </c>
    </row>
    <row r="7" spans="2:11" x14ac:dyDescent="0.25">
      <c r="B7" s="55"/>
      <c r="C7" s="55"/>
      <c r="D7" s="56" t="s">
        <v>187</v>
      </c>
      <c r="E7" s="56" t="s">
        <v>195</v>
      </c>
      <c r="F7" s="56" t="s">
        <v>216</v>
      </c>
      <c r="G7" s="56" t="s">
        <v>202</v>
      </c>
      <c r="H7" s="56" t="s">
        <v>219</v>
      </c>
    </row>
    <row r="8" spans="2:11" x14ac:dyDescent="0.25">
      <c r="B8" s="55"/>
      <c r="C8" s="55"/>
      <c r="D8" s="56" t="s">
        <v>188</v>
      </c>
      <c r="E8" s="56" t="s">
        <v>196</v>
      </c>
      <c r="F8" s="56"/>
      <c r="G8" s="56" t="s">
        <v>203</v>
      </c>
      <c r="H8" s="56" t="s">
        <v>220</v>
      </c>
    </row>
    <row r="9" spans="2:11" x14ac:dyDescent="0.25">
      <c r="B9" s="55"/>
      <c r="C9" s="55"/>
      <c r="D9" s="56" t="s">
        <v>189</v>
      </c>
      <c r="E9" s="56" t="s">
        <v>194</v>
      </c>
      <c r="F9" s="56"/>
      <c r="G9" s="56" t="s">
        <v>204</v>
      </c>
      <c r="H9" s="56" t="s">
        <v>221</v>
      </c>
    </row>
    <row r="10" spans="2:11" x14ac:dyDescent="0.25">
      <c r="B10" s="55"/>
      <c r="C10" s="55"/>
      <c r="D10" s="56" t="s">
        <v>190</v>
      </c>
      <c r="E10" s="56" t="s">
        <v>197</v>
      </c>
      <c r="F10" s="56"/>
      <c r="G10" s="56" t="s">
        <v>205</v>
      </c>
      <c r="H10" s="56" t="s">
        <v>222</v>
      </c>
    </row>
    <row r="11" spans="2:11" x14ac:dyDescent="0.25">
      <c r="B11" s="55"/>
      <c r="C11" s="55"/>
      <c r="D11" s="56" t="s">
        <v>191</v>
      </c>
      <c r="E11" s="56" t="s">
        <v>198</v>
      </c>
      <c r="F11" s="56"/>
      <c r="G11" s="56" t="s">
        <v>206</v>
      </c>
      <c r="H11" s="56" t="s">
        <v>223</v>
      </c>
    </row>
    <row r="12" spans="2:11" x14ac:dyDescent="0.25">
      <c r="B12" s="55"/>
      <c r="C12" s="55"/>
      <c r="D12" s="56"/>
      <c r="E12" s="56"/>
      <c r="F12" s="56"/>
      <c r="G12" s="56" t="s">
        <v>207</v>
      </c>
      <c r="H12" s="56" t="s">
        <v>224</v>
      </c>
    </row>
    <row r="13" spans="2:11" x14ac:dyDescent="0.25">
      <c r="B13" s="55"/>
      <c r="C13" s="55"/>
      <c r="D13" s="56"/>
      <c r="E13" s="56"/>
      <c r="F13" s="56"/>
      <c r="G13" s="56" t="s">
        <v>208</v>
      </c>
      <c r="H13" s="56" t="s">
        <v>225</v>
      </c>
    </row>
    <row r="14" spans="2:11" x14ac:dyDescent="0.25">
      <c r="B14" s="55"/>
      <c r="C14" s="55"/>
      <c r="D14" s="56"/>
      <c r="E14" s="56"/>
      <c r="F14" s="56"/>
      <c r="G14" s="56" t="s">
        <v>209</v>
      </c>
      <c r="H14" s="56" t="s">
        <v>226</v>
      </c>
    </row>
    <row r="15" spans="2:11" x14ac:dyDescent="0.25">
      <c r="B15" s="55"/>
      <c r="C15" s="55"/>
      <c r="D15" s="56"/>
      <c r="E15" s="56"/>
      <c r="F15" s="56"/>
      <c r="G15" s="56" t="s">
        <v>210</v>
      </c>
      <c r="H15" s="56" t="s">
        <v>227</v>
      </c>
    </row>
    <row r="16" spans="2:11" x14ac:dyDescent="0.25">
      <c r="B16" s="55"/>
      <c r="C16" s="55"/>
      <c r="D16" s="56"/>
      <c r="E16" s="56"/>
      <c r="F16" s="56"/>
      <c r="G16" s="56" t="s">
        <v>211</v>
      </c>
      <c r="H16" s="56" t="s">
        <v>228</v>
      </c>
    </row>
    <row r="17" spans="2:8" x14ac:dyDescent="0.25">
      <c r="B17" s="55"/>
      <c r="C17" s="55"/>
      <c r="D17" s="56"/>
      <c r="E17" s="56"/>
      <c r="F17" s="56"/>
      <c r="G17" s="56" t="s">
        <v>212</v>
      </c>
      <c r="H17" s="56" t="s">
        <v>229</v>
      </c>
    </row>
    <row r="18" spans="2:8" x14ac:dyDescent="0.25">
      <c r="B18" s="55"/>
      <c r="C18" s="55"/>
      <c r="D18" s="56"/>
      <c r="E18" s="56"/>
      <c r="F18" s="56"/>
      <c r="G18" s="56" t="s">
        <v>213</v>
      </c>
      <c r="H18" s="56" t="s">
        <v>230</v>
      </c>
    </row>
    <row r="24" spans="2:8" x14ac:dyDescent="0.25">
      <c r="C24" t="s">
        <v>176</v>
      </c>
    </row>
    <row r="25" spans="2:8" x14ac:dyDescent="0.25">
      <c r="C25" t="s">
        <v>232</v>
      </c>
    </row>
    <row r="26" spans="2:8" x14ac:dyDescent="0.25">
      <c r="C26" t="s">
        <v>233</v>
      </c>
    </row>
    <row r="27" spans="2:8" x14ac:dyDescent="0.25">
      <c r="C27" t="s">
        <v>234</v>
      </c>
    </row>
    <row r="28" spans="2:8" x14ac:dyDescent="0.25">
      <c r="C28" t="s">
        <v>235</v>
      </c>
    </row>
    <row r="29" spans="2:8" x14ac:dyDescent="0.25">
      <c r="C29" t="s">
        <v>236</v>
      </c>
    </row>
    <row r="30" spans="2:8" x14ac:dyDescent="0.25">
      <c r="C30" t="s">
        <v>176</v>
      </c>
    </row>
  </sheetData>
  <dataValidations count="2">
    <dataValidation type="list" allowBlank="1" showInputMessage="1" showErrorMessage="1" sqref="J4">
      <formula1>$D$4:$H$4</formula1>
    </dataValidation>
    <dataValidation type="list" allowBlank="1" showInputMessage="1" showErrorMessage="1" sqref="K4">
      <formula1>OFFSET($D$4,1,MATCH($J4,$D$4:$H$4,0)-1,15,1)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Research</vt:lpstr>
      <vt:lpstr>Report!Print_Area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VSJC</cp:lastModifiedBy>
  <cp:lastPrinted>2025-03-19T12:51:57Z</cp:lastPrinted>
  <dcterms:created xsi:type="dcterms:W3CDTF">2019-07-16T09:29:46Z</dcterms:created>
  <dcterms:modified xsi:type="dcterms:W3CDTF">2025-09-16T11:46:41Z</dcterms:modified>
</cp:coreProperties>
</file>