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Shruti\Sept 25\Dump\"/>
    </mc:Choice>
  </mc:AlternateContent>
  <bookViews>
    <workbookView xWindow="0" yWindow="0" windowWidth="20490" windowHeight="7755" tabRatio="725"/>
  </bookViews>
  <sheets>
    <sheet name="Report" sheetId="1" r:id="rId1"/>
    <sheet name="valuation" sheetId="5" r:id="rId2"/>
    <sheet name="Sheet1" sheetId="7" r:id="rId3"/>
    <sheet name="Research" sheetId="4" r:id="rId4"/>
    <sheet name="Remarks" sheetId="6" r:id="rId5"/>
  </sheets>
  <definedNames>
    <definedName name="_xlnm.Print_Area" localSheetId="0">Report!$A$1:$H$427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9" i="1" l="1"/>
  <c r="J126" i="1" s="1"/>
  <c r="H119" i="1"/>
  <c r="J122" i="1" l="1"/>
  <c r="D130" i="1"/>
  <c r="D126" i="1"/>
  <c r="G122" i="1"/>
  <c r="E122" i="1"/>
  <c r="D129" i="1"/>
  <c r="D125" i="1"/>
  <c r="D122" i="1"/>
  <c r="J121" i="1"/>
  <c r="J118" i="1"/>
  <c r="J120" i="1" s="1"/>
  <c r="D128" i="1"/>
  <c r="D124" i="1"/>
  <c r="J123" i="1"/>
  <c r="D131" i="1"/>
  <c r="D127" i="1"/>
  <c r="D123" i="1"/>
  <c r="J127" i="1"/>
  <c r="J124" i="1"/>
  <c r="J125" i="1" s="1"/>
  <c r="J130" i="1" s="1"/>
  <c r="J131" i="1" s="1"/>
  <c r="J128" i="1"/>
  <c r="J129" i="1"/>
  <c r="B105" i="1"/>
  <c r="H105" i="1"/>
  <c r="I119" i="1" l="1"/>
  <c r="I120" i="1" s="1"/>
  <c r="J119" i="1"/>
  <c r="D117" i="1"/>
  <c r="D113" i="1"/>
  <c r="D109" i="1"/>
  <c r="D114" i="1"/>
  <c r="D110" i="1"/>
  <c r="J109" i="1"/>
  <c r="J108" i="1"/>
  <c r="D116" i="1"/>
  <c r="D112" i="1"/>
  <c r="G108" i="1"/>
  <c r="G132" i="1" s="1"/>
  <c r="J107" i="1"/>
  <c r="J104" i="1"/>
  <c r="J106" i="1" s="1"/>
  <c r="E108" i="1"/>
  <c r="C132" i="1" s="1"/>
  <c r="D115" i="1"/>
  <c r="D111" i="1"/>
  <c r="D108" i="1"/>
  <c r="J110" i="1"/>
  <c r="J111" i="1" s="1"/>
  <c r="J116" i="1" s="1"/>
  <c r="J117" i="1" s="1"/>
  <c r="J115" i="1"/>
  <c r="J113" i="1"/>
  <c r="J114" i="1"/>
  <c r="J112" i="1"/>
  <c r="I242" i="1"/>
  <c r="I241" i="1"/>
  <c r="I243" i="1"/>
  <c r="L111" i="1" l="1"/>
  <c r="I118" i="1"/>
  <c r="C120" i="1" s="1"/>
  <c r="J105" i="1"/>
  <c r="I105" i="1"/>
  <c r="I106" i="1" s="1"/>
  <c r="D204" i="1"/>
  <c r="J204" i="1"/>
  <c r="I204" i="1"/>
  <c r="A192" i="1"/>
  <c r="I104" i="1" l="1"/>
  <c r="C106" i="1" s="1"/>
  <c r="D193" i="1"/>
  <c r="E192" i="1"/>
  <c r="E193" i="1"/>
  <c r="D192" i="1"/>
  <c r="K193" i="1"/>
  <c r="E226" i="1"/>
  <c r="D226" i="1"/>
  <c r="E225" i="1"/>
  <c r="D225" i="1"/>
  <c r="E224" i="1"/>
  <c r="D224" i="1"/>
  <c r="E223" i="1"/>
  <c r="D223" i="1"/>
  <c r="E222" i="1"/>
  <c r="D222" i="1"/>
  <c r="E221" i="1"/>
  <c r="D221" i="1"/>
  <c r="E217" i="1"/>
  <c r="D217" i="1"/>
  <c r="E216" i="1"/>
  <c r="D216" i="1"/>
  <c r="E215" i="1"/>
  <c r="D215" i="1"/>
  <c r="E214" i="1"/>
  <c r="D214" i="1"/>
  <c r="E213" i="1"/>
  <c r="D213" i="1"/>
  <c r="E212" i="1"/>
  <c r="D212" i="1"/>
  <c r="E211" i="1"/>
  <c r="D211" i="1"/>
  <c r="E210" i="1"/>
  <c r="D210" i="1"/>
  <c r="E209" i="1"/>
  <c r="D209" i="1"/>
  <c r="E208" i="1"/>
  <c r="D208" i="1"/>
  <c r="J212" i="1"/>
  <c r="I212" i="1"/>
  <c r="E204" i="1"/>
  <c r="F204" i="1" s="1"/>
  <c r="H204" i="1" s="1"/>
  <c r="E203" i="1"/>
  <c r="D203" i="1"/>
  <c r="E202" i="1"/>
  <c r="D202" i="1"/>
  <c r="E201" i="1"/>
  <c r="D201" i="1"/>
  <c r="E200" i="1"/>
  <c r="D200" i="1"/>
  <c r="E199" i="1"/>
  <c r="D199" i="1"/>
  <c r="E198" i="1"/>
  <c r="D198" i="1"/>
  <c r="J200" i="1"/>
  <c r="I200" i="1"/>
  <c r="A221" i="1"/>
  <c r="A208" i="1"/>
  <c r="A193" i="1"/>
  <c r="F225" i="1" l="1"/>
  <c r="H225" i="1" s="1"/>
  <c r="F211" i="1"/>
  <c r="H211" i="1" s="1"/>
  <c r="K211" i="1" s="1"/>
  <c r="L211" i="1" s="1"/>
  <c r="F222" i="1"/>
  <c r="H222" i="1" s="1"/>
  <c r="F209" i="1"/>
  <c r="H209" i="1" s="1"/>
  <c r="K209" i="1" s="1"/>
  <c r="L209" i="1" s="1"/>
  <c r="F217" i="1"/>
  <c r="H217" i="1" s="1"/>
  <c r="K217" i="1" s="1"/>
  <c r="L217" i="1" s="1"/>
  <c r="F224" i="1"/>
  <c r="H224" i="1" s="1"/>
  <c r="C169" i="1"/>
  <c r="C168" i="1"/>
  <c r="C171" i="1"/>
  <c r="F208" i="1"/>
  <c r="F212" i="1"/>
  <c r="H212" i="1" s="1"/>
  <c r="K212" i="1" s="1"/>
  <c r="L212" i="1" s="1"/>
  <c r="C170" i="1"/>
  <c r="F223" i="1"/>
  <c r="H223" i="1" s="1"/>
  <c r="F210" i="1"/>
  <c r="H210" i="1" s="1"/>
  <c r="K210" i="1" s="1"/>
  <c r="L210" i="1" s="1"/>
  <c r="F214" i="1"/>
  <c r="H214" i="1" s="1"/>
  <c r="K214" i="1" s="1"/>
  <c r="L214" i="1" s="1"/>
  <c r="F213" i="1"/>
  <c r="H213" i="1" s="1"/>
  <c r="K213" i="1" s="1"/>
  <c r="L213" i="1" s="1"/>
  <c r="F203" i="1"/>
  <c r="H203" i="1" s="1"/>
  <c r="F226" i="1"/>
  <c r="H226" i="1" s="1"/>
  <c r="F221" i="1"/>
  <c r="F216" i="1"/>
  <c r="H216" i="1" s="1"/>
  <c r="K216" i="1" s="1"/>
  <c r="L216" i="1" s="1"/>
  <c r="F215" i="1"/>
  <c r="H215" i="1" s="1"/>
  <c r="K215" i="1" s="1"/>
  <c r="L215" i="1" s="1"/>
  <c r="I193" i="1"/>
  <c r="J193" i="1"/>
  <c r="J192" i="1"/>
  <c r="D185" i="1"/>
  <c r="D184" i="1"/>
  <c r="D183" i="1"/>
  <c r="D182" i="1"/>
  <c r="D181" i="1"/>
  <c r="A222" i="1"/>
  <c r="A209" i="1"/>
  <c r="C163" i="1" l="1"/>
  <c r="C165" i="1" s="1"/>
  <c r="C172" i="1"/>
  <c r="H221" i="1"/>
  <c r="G171" i="1" s="1"/>
  <c r="E171" i="1"/>
  <c r="H208" i="1"/>
  <c r="E170" i="1"/>
  <c r="F185" i="1"/>
  <c r="H185" i="1" s="1"/>
  <c r="E43" i="1"/>
  <c r="A210" i="1"/>
  <c r="A223" i="1"/>
  <c r="K208" i="1" l="1"/>
  <c r="L208" i="1" s="1"/>
  <c r="G170" i="1"/>
  <c r="B230" i="1"/>
  <c r="A224" i="1"/>
  <c r="A211" i="1"/>
  <c r="F182" i="1" l="1"/>
  <c r="F183" i="1"/>
  <c r="H183" i="1" s="1"/>
  <c r="F184" i="1"/>
  <c r="H184" i="1" s="1"/>
  <c r="F181" i="1"/>
  <c r="H181" i="1" s="1"/>
  <c r="A225" i="1"/>
  <c r="A212" i="1"/>
  <c r="H182" i="1" l="1"/>
  <c r="G163" i="1" s="1"/>
  <c r="G165" i="1" s="1"/>
  <c r="E163" i="1"/>
  <c r="E165" i="1" s="1"/>
  <c r="G58" i="1"/>
  <c r="C58" i="1"/>
  <c r="G56" i="1"/>
  <c r="C56" i="1"/>
  <c r="C54" i="1"/>
  <c r="A213" i="1"/>
  <c r="A226" i="1"/>
  <c r="S33" i="1" l="1"/>
  <c r="A214" i="1"/>
  <c r="F11" i="5" l="1"/>
  <c r="G11" i="5" s="1"/>
  <c r="F10" i="5"/>
  <c r="G10" i="5" s="1"/>
  <c r="F9" i="5"/>
  <c r="G9" i="5" s="1"/>
  <c r="F8" i="5"/>
  <c r="G8" i="5" s="1"/>
  <c r="F7" i="5"/>
  <c r="G7" i="5" s="1"/>
  <c r="F6" i="5"/>
  <c r="G6" i="5" s="1"/>
  <c r="F5" i="5"/>
  <c r="G5" i="5" s="1"/>
  <c r="G12" i="5" s="1"/>
  <c r="D256" i="1"/>
  <c r="B231" i="1"/>
  <c r="F202" i="1"/>
  <c r="H202" i="1" s="1"/>
  <c r="F201" i="1"/>
  <c r="H201" i="1" s="1"/>
  <c r="F200" i="1"/>
  <c r="H200" i="1" s="1"/>
  <c r="F199" i="1"/>
  <c r="H199" i="1" s="1"/>
  <c r="F198" i="1"/>
  <c r="F193" i="1"/>
  <c r="H193" i="1" s="1"/>
  <c r="F192" i="1"/>
  <c r="A182" i="1"/>
  <c r="A183" i="1" s="1"/>
  <c r="A184" i="1" s="1"/>
  <c r="A185" i="1" s="1"/>
  <c r="C173" i="1"/>
  <c r="F160" i="1"/>
  <c r="D69" i="1"/>
  <c r="D62" i="1"/>
  <c r="G51" i="1"/>
  <c r="G52" i="1" s="1"/>
  <c r="C51" i="1"/>
  <c r="E44" i="1"/>
  <c r="E45" i="1" s="1"/>
  <c r="E31" i="1"/>
  <c r="E28" i="1"/>
  <c r="E26" i="1"/>
  <c r="C16" i="1"/>
  <c r="I15" i="1"/>
  <c r="Z13" i="1"/>
  <c r="E8" i="1"/>
  <c r="E3" i="1"/>
  <c r="A215" i="1"/>
  <c r="H135" i="1"/>
  <c r="H76" i="1"/>
  <c r="H91" i="1"/>
  <c r="A198" i="1"/>
  <c r="H192" i="1" l="1"/>
  <c r="G168" i="1" s="1"/>
  <c r="E168" i="1"/>
  <c r="H198" i="1"/>
  <c r="G169" i="1" s="1"/>
  <c r="E169" i="1"/>
  <c r="J75" i="1"/>
  <c r="J77" i="1" s="1"/>
  <c r="J79" i="1"/>
  <c r="J80" i="1"/>
  <c r="J81" i="1"/>
  <c r="C80" i="1" s="1"/>
  <c r="J95" i="1"/>
  <c r="D99" i="1"/>
  <c r="D101" i="1"/>
  <c r="J94" i="1"/>
  <c r="D100" i="1"/>
  <c r="J90" i="1"/>
  <c r="J92" i="1" s="1"/>
  <c r="D98" i="1"/>
  <c r="J93" i="1"/>
  <c r="D97" i="1"/>
  <c r="D103" i="1"/>
  <c r="D102" i="1"/>
  <c r="D96" i="1"/>
  <c r="D84" i="1"/>
  <c r="D86" i="1"/>
  <c r="D85" i="1"/>
  <c r="D89" i="1"/>
  <c r="D83" i="1"/>
  <c r="D88" i="1"/>
  <c r="D82" i="1"/>
  <c r="D87" i="1"/>
  <c r="J134" i="1"/>
  <c r="J136" i="1" s="1"/>
  <c r="D143" i="1"/>
  <c r="D145" i="1"/>
  <c r="J139" i="1"/>
  <c r="D138" i="1" s="1"/>
  <c r="D144" i="1"/>
  <c r="J138" i="1"/>
  <c r="D142" i="1"/>
  <c r="J137" i="1"/>
  <c r="D141" i="1"/>
  <c r="D147" i="1"/>
  <c r="D146" i="1"/>
  <c r="B135" i="1"/>
  <c r="B91" i="1"/>
  <c r="B76" i="1"/>
  <c r="J82" i="1" s="1"/>
  <c r="A199" i="1"/>
  <c r="A216" i="1"/>
  <c r="E172" i="1" l="1"/>
  <c r="E173" i="1" s="1"/>
  <c r="G172" i="1"/>
  <c r="G173" i="1" s="1"/>
  <c r="C94" i="1"/>
  <c r="D94" i="1" s="1"/>
  <c r="D80" i="1"/>
  <c r="D140" i="1"/>
  <c r="J145" i="1"/>
  <c r="J142" i="1"/>
  <c r="J144" i="1"/>
  <c r="J143" i="1"/>
  <c r="J140" i="1"/>
  <c r="J141" i="1" s="1"/>
  <c r="J146" i="1" s="1"/>
  <c r="J147" i="1" s="1"/>
  <c r="E138" i="1" s="1"/>
  <c r="J101" i="1"/>
  <c r="J98" i="1"/>
  <c r="J100" i="1"/>
  <c r="J99" i="1"/>
  <c r="J96" i="1"/>
  <c r="J97" i="1" s="1"/>
  <c r="J86" i="1"/>
  <c r="J84" i="1"/>
  <c r="J85" i="1"/>
  <c r="J83" i="1"/>
  <c r="J88" i="1" s="1"/>
  <c r="J89" i="1" s="1"/>
  <c r="C81" i="1" s="1"/>
  <c r="J87" i="1"/>
  <c r="A200" i="1"/>
  <c r="A217" i="1"/>
  <c r="D95" i="1" l="1"/>
  <c r="I91" i="1" s="1"/>
  <c r="I92" i="1" s="1"/>
  <c r="E94" i="1"/>
  <c r="G94" i="1"/>
  <c r="D73" i="1" s="1"/>
  <c r="J76" i="1"/>
  <c r="J102" i="1"/>
  <c r="J103" i="1" s="1"/>
  <c r="J91" i="1" s="1"/>
  <c r="D139" i="1"/>
  <c r="I135" i="1" s="1"/>
  <c r="J135" i="1"/>
  <c r="G138" i="1"/>
  <c r="E80" i="1"/>
  <c r="C78" i="1" s="1"/>
  <c r="D81" i="1"/>
  <c r="I76" i="1" s="1"/>
  <c r="G80" i="1"/>
  <c r="G78" i="1" s="1"/>
  <c r="A201" i="1"/>
  <c r="I90" i="1" l="1"/>
  <c r="C92" i="1" s="1"/>
  <c r="F74" i="1"/>
  <c r="D74" i="1"/>
  <c r="I136" i="1"/>
  <c r="I134" i="1" s="1"/>
  <c r="C136" i="1" s="1"/>
  <c r="I77" i="1"/>
  <c r="A202" i="1"/>
  <c r="I75" i="1" l="1"/>
  <c r="C77" i="1" s="1"/>
  <c r="A203" i="1"/>
  <c r="A204" i="1" l="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53"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88"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<sst xmlns="http://schemas.openxmlformats.org/spreadsheetml/2006/main" count="728" uniqueCount="376">
  <si>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</si>
  <si>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</si>
  <si>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</si>
  <si>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</si>
  <si>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</si>
  <si>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</si>
  <si>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</si>
  <si>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</si>
  <si>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</si>
  <si>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</si>
  <si>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</si>
  <si>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</si>
  <si>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</si>
  <si>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</si>
  <si>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</si>
  <si>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</si>
  <si>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</si>
  <si>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</si>
  <si>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</si>
  <si>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</si>
  <si>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</si>
  <si>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</si>
  <si>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</si>
  <si>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</si>
  <si>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</si>
  <si>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</si>
  <si>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</si>
  <si>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</si>
  <si>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</si>
  <si>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</si>
  <si>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</si>
  <si>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</si>
  <si>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</si>
  <si>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</si>
  <si>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</si>
  <si>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</si>
  <si>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</si>
  <si>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</si>
  <si>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</si>
  <si>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</si>
  <si>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</si>
  <si>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</si>
  <si>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</si>
  <si>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</si>
  <si>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</si>
  <si>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</si>
  <si>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</si>
  <si>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</si>
  <si>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</si>
  <si>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</si>
  <si>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</si>
  <si>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</si>
  <si>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</si>
  <si>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</si>
  <si>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</si>
  <si>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</si>
  <si>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</si>
  <si>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</si>
  <si>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</si>
  <si>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</si>
  <si>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</si>
  <si>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</si>
  <si>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</si>
  <si>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</si>
  <si>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</si>
  <si>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</si>
  <si>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</si>
  <si>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</si>
  <si>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</si>
  <si>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</si>
  <si>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</si>
  <si>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</si>
  <si>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</si>
  <si>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</si>
  <si>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</si>
  <si>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</si>
  <si>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</si>
  <si>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</si>
  <si>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</si>
  <si>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</si>
  <si>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</si>
  <si>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</si>
  <si>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</si>
  <si>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</si>
  <si>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</si>
  <si>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</si>
  <si>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</si>
  <si>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</si>
  <si>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</si>
  <si>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</si>
  <si>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</si>
  <si>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</si>
  <si>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</si>
  <si>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</si>
  <si>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</si>
  <si>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</si>
  <si>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</si>
  <si>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</si>
  <si>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</si>
  <si>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</si>
  <si>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</si>
  <si>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</si>
  <si>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</si>
  <si>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</si>
  <si>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</si>
  <si>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</si>
  <si>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</si>
  <si>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</si>
  <si>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</si>
  <si>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</si>
  <si>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</si>
  <si>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</si>
  <si>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</si>
  <si>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</si>
  <si>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</si>
  <si>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</si>
  <si>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</si>
  <si>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</si>
  <si>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</si>
  <si>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</si>
  <si>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</si>
  <si>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</si>
  <si>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</si>
  <si>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</si>
  <si>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</si>
  <si>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</si>
  <si>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</si>
  <si>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</si>
  <si>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</si>
  <si>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</si>
  <si>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</si>
  <si>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</si>
  <si>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</si>
  <si>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</si>
  <si>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</si>
  <si>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</si>
  <si>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</si>
  <si>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</si>
  <si>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</si>
  <si>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</si>
  <si>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</si>
  <si>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</si>
  <si>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</si>
  <si>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</si>
  <si>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</si>
  <si>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</si>
  <si>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</si>
  <si>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</si>
  <si>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</si>
  <si>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</si>
  <si>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</si>
  <si>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</si>
  <si>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</si>
  <si>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</si>
  <si>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</si>
  <si>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</si>
  <si>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</si>
  <si>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</si>
  <si>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</si>
  <si>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</si>
  <si>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</si>
  <si>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</si>
  <si>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</si>
  <si>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</si>
  <si>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</si>
  <si>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</si>
  <si>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</si>
  <si>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</si>
  <si>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</si>
  <si>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</si>
  <si>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</si>
  <si>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</si>
  <si>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</si>
  <si>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</si>
  <si>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</si>
  <si>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</si>
  <si>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</si>
  <si>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</si>
  <si>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</si>
  <si>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</si>
  <si>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</si>
  <si>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</si>
  <si>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</si>
  <si>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</si>
  <si>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</si>
  <si>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</si>
  <si>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</si>
  <si>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</si>
  <si>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</si>
  <si>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</si>
  <si>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</si>
  <si>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</si>
  <si>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</si>
  <si>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</si>
  <si>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</si>
  <si>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</si>
  <si>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</si>
  <si>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</si>
  <si>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</si>
  <si>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</si>
  <si>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</si>
  <si>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</si>
  <si>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</si>
  <si>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</si>
  <si>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</si>
  <si>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</si>
  <si>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</si>
  <si>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</si>
  <si>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</si>
  <si>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</si>
  <si>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</si>
  <si>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</si>
  <si>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</si>
  <si>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</si>
  <si>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</si>
  <si>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</si>
  <si>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</si>
  <si>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</si>
  <si>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</si>
  <si>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</si>
  <si>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</si>
  <si>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</si>
  <si>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</si>
  <si>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</si>
  <si>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</si>
  <si>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</si>
  <si>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</si>
  <si>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</si>
  <si>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</si>
  <si>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</si>
  <si>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</si>
  <si>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</si>
  <si>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</si>
  <si>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</si>
  <si>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</si>
  <si>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</si>
  <si>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</si>
  <si>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</si>
  <si>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</si>
  <si>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</si>
  <si>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</si>
  <si>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</si>
  <si>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</si>
  <si>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</si>
  <si>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</si>
  <si>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</si>
  <si>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</si>
  <si>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</si>
  <si>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</si>
  <si>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</si>
  <si>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</si>
  <si>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</si>
  <si>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</si>
  <si>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</si>
  <si>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</si>
  <si>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</si>
  <si>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</si>
  <si>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</si>
  <si>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</si>
  <si>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</si>
  <si>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</si>
  <si>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</si>
  <si>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</si>
  <si>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</si>
  <si>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</si>
  <si>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</si>
  <si>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</si>
  <si>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</si>
  <si>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</si>
  <si>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</si>
  <si>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</si>
  <si>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</si>
  <si>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</si>
  <si>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</si>
  <si>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</si>
  <si>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</si>
  <si>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</si>
  <si>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</si>
  <si>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</si>
  <si>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</si>
  <si>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</si>
  <si>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</si>
  <si>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</si>
  <si>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</si>
  <si>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</si>
  <si>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</si>
  <si>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</si>
  <si>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</si>
  <si>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</si>
  <si>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</si>
  <si>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</si>
  <si>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</si>
  <si>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</si>
  <si>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</si>
  <si>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</si>
  <si>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</si>
  <si>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</si>
  <si>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</si>
  <si>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</si>
  <si>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Thane Municipal Corporation (TMC)</t>
  </si>
  <si>
    <t>Kulgaon Badlapur Municipal Council</t>
  </si>
  <si>
    <t>Naynesh Sunil Lovanshi</t>
  </si>
  <si>
    <t>Bramha Constructions</t>
  </si>
  <si>
    <t>Kailash Complex Phase 1 = Wing A
Kailash Complex Phase 2 = Wing C, D &amp; E</t>
  </si>
  <si>
    <t>Kailash Complex Phase 1 = P52000054450
Kailash Complex Phase 2 = P52000055271</t>
  </si>
  <si>
    <t>Survey No</t>
  </si>
  <si>
    <t>78/6, 9/B,11 &amp; 169/8</t>
  </si>
  <si>
    <t>Mamdapur</t>
  </si>
  <si>
    <t>Neral</t>
  </si>
  <si>
    <t>1.4KM from Neral Railway Station</t>
  </si>
  <si>
    <t>Internal Rd</t>
  </si>
  <si>
    <t>Shireen Park</t>
  </si>
  <si>
    <t>Sunflower Bldg</t>
  </si>
  <si>
    <t>Vardhaman Nest Homes</t>
  </si>
  <si>
    <t>Internal Rd/Green Field</t>
  </si>
  <si>
    <t>Adjn. S. No. 78/8</t>
  </si>
  <si>
    <t>Adjn. S. No. 78/9A</t>
  </si>
  <si>
    <t>Adjn. S. No. 79</t>
  </si>
  <si>
    <t>7.5M Existing Rd</t>
  </si>
  <si>
    <t>19.035171, 73.309920</t>
  </si>
  <si>
    <t>https://maps.app.goo.gl/Rk4Fq82ZyLVS86zu5</t>
  </si>
  <si>
    <t>Raigad Zilha Parishad, Alibag</t>
  </si>
  <si>
    <t>RJP/BDKM/NSVP/18/2022</t>
  </si>
  <si>
    <t>Total Proposed Built-up Area = 8485.26 Sq.M</t>
  </si>
  <si>
    <t>RJP/BD/NSVP/18/2022</t>
  </si>
  <si>
    <r>
      <t>As per RERA - 
Phase 1 = Wing A = 31/03/2026
Phase 2 = Wing C, D &amp; E = 31/03/2027</t>
    </r>
    <r>
      <rPr>
        <b/>
        <sz val="12"/>
        <color indexed="8"/>
        <rFont val="Times New Roman"/>
        <family val="1"/>
      </rPr>
      <t xml:space="preserve">
</t>
    </r>
  </si>
  <si>
    <r>
      <t xml:space="preserve">Shop No.
</t>
    </r>
    <r>
      <rPr>
        <b/>
        <sz val="11"/>
        <color theme="1"/>
        <rFont val="Times New Roman"/>
        <family val="1"/>
      </rPr>
      <t>(Approved Plan)</t>
    </r>
  </si>
  <si>
    <t>Shop</t>
  </si>
  <si>
    <t>2BHK</t>
  </si>
  <si>
    <t>1BHK</t>
  </si>
  <si>
    <t>Wing A</t>
  </si>
  <si>
    <r>
      <t xml:space="preserve">Flat No.
</t>
    </r>
    <r>
      <rPr>
        <b/>
        <sz val="11"/>
        <color theme="1"/>
        <rFont val="Times New Roman"/>
        <family val="1"/>
      </rPr>
      <t>(Approved Plan)</t>
    </r>
  </si>
  <si>
    <t>Ground Floor For Commercial &amp; Meter Room</t>
  </si>
  <si>
    <t>1st to 7th Floor For Residential</t>
  </si>
  <si>
    <t>Wing C</t>
  </si>
  <si>
    <t>Ground Floor For Entrance Lobby, Driver Room, Meter Room &amp; Parking</t>
  </si>
  <si>
    <t>Wing D</t>
  </si>
  <si>
    <t>Ground Floor For Entrance Lobby, Fitness Center, Driver Room, Society Office &amp; Parking</t>
  </si>
  <si>
    <t>Wing E</t>
  </si>
  <si>
    <t>Ground Floor For Entrance Lobby &amp; Parking</t>
  </si>
  <si>
    <t>1RK</t>
  </si>
  <si>
    <t>We considered Gross carpet area = Net carpet + Balcony + C.B Area.</t>
  </si>
  <si>
    <t>A, C, D &amp; E Wing = Gr + 1st to 7th Floor</t>
  </si>
  <si>
    <t>A Wing = Gr + 1st to 7th Floor</t>
  </si>
  <si>
    <t>04 Buildings</t>
  </si>
  <si>
    <r>
      <t xml:space="preserve">Proposed Amenities :                                                                                                                                                                                                                         </t>
    </r>
    <r>
      <rPr>
        <b/>
        <sz val="12"/>
        <rFont val="Times New Roman"/>
        <family val="1"/>
      </rPr>
      <t xml:space="preserve">                                               </t>
    </r>
  </si>
  <si>
    <t>Fitness Center, Gym, Swimmingpool, Garden, Indoor Games, CCTV</t>
  </si>
  <si>
    <t>Water, MSEB &amp; Development Charges</t>
  </si>
  <si>
    <t>Society Formation Charges + Infrastruture + Maintenance Charges</t>
  </si>
  <si>
    <t>Approved Plans, Sale Plans, Cost Sheet</t>
  </si>
  <si>
    <t>Phase 1</t>
  </si>
  <si>
    <t>Phase 2</t>
  </si>
  <si>
    <t>We have refer CC from RERA site on 16/05/2024.</t>
  </si>
  <si>
    <t>As per approved floor plan Wing A flat no. 101 does not consist the terrace area.
As per Index II Wing A flat no. 101 have terrace area 142 sqft. therefore total sale area should be consider as 888 sqft.</t>
  </si>
  <si>
    <t>3700 to 3800 &amp; sale area correction of Wing A flat no. 101 from index II on 08/07/2024. by smith</t>
  </si>
  <si>
    <t>Recommended Rates/Other Charges of the Property have been revised on 08/07/2024.</t>
  </si>
  <si>
    <t>The sale plan and index II are provided by bank officials on WhatsApp, which is attached below.</t>
  </si>
  <si>
    <t>Remark No. 12 :</t>
  </si>
  <si>
    <t>C Wing = Gr + 1st to 7th Floor</t>
  </si>
  <si>
    <t>Kailash Complex Phase 1 &amp; 2</t>
  </si>
  <si>
    <t>E Wing = Gr + 1st to 7th Floor</t>
  </si>
  <si>
    <t>Wing D (Part 1 &amp; 2) Progress %</t>
  </si>
  <si>
    <t>Wing D (Part 1 &amp; 2) Disbursement %</t>
  </si>
  <si>
    <t>As per site visit dtd. 02/01/2025, We have observed that Wing D building is constructed in Two part i.e(Part 1 included Flat No. 1 to 4(40%) &amp; Part 2 included Flat No. 5 to 10(60%))</t>
  </si>
  <si>
    <t>D Wing (Part 1 - Flat No. 1 to 4) = Gr + 1st to 7th Floor</t>
  </si>
  <si>
    <t>D Wing (Part 2 - Flat No. 5 to 10)= Gr + 1st to 7th Floor</t>
  </si>
  <si>
    <t>As per site visit dtd. 02/01/2025, We have observed that Wing D building is constructed in Two part i.e(Part 1 included Flat No. 1 to 4&amp; Part 2 included Flat No. 5 to 10)</t>
  </si>
  <si>
    <t>*</t>
  </si>
  <si>
    <t>For Wing D layout on 02/01/2025</t>
  </si>
  <si>
    <t xml:space="preserve">As per site visit dtd. 02/01/2025, We have observed that Wing D building is constructed in Two part i.e(Part 1 included Flat No. 1 to 4 &amp; Part 2 included Flat No. 5 to 10)
</t>
  </si>
  <si>
    <t>wing E not yet started.</t>
  </si>
  <si>
    <t xml:space="preserve">Wing A = All work completed. Please provide OC.
Wing C &amp; D (Part 1 &amp; 2) = Construction work is in process at the time of Visit.
Wing E = Work is same as last visit (26/10/2024).
</t>
  </si>
  <si>
    <t>Miss. Laveena 7887743379/
Mr. Kumar 7303554555</t>
  </si>
  <si>
    <t>Flats - 175, Shops - 05</t>
  </si>
  <si>
    <t>Shruti Tathare</t>
  </si>
  <si>
    <t>Mr. Suraj Jadhav 9766624041</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</si>
</sst>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theme="1"/>
      <name val="Times New Roman"/>
      <family val="1"/>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51">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3" fillId="2" borderId="26" xfId="0" applyFont="1" applyFill="1" applyBorder="1"/>
    <xf numFmtId="0" fontId="24" fillId="0" borderId="27" xfId="0" applyFont="1" applyBorder="1"/>
    <xf numFmtId="0" fontId="24" fillId="0" borderId="1" xfId="0" applyFont="1" applyBorder="1"/>
    <xf numFmtId="0" fontId="24" fillId="0" borderId="5" xfId="0" applyFont="1" applyBorder="1"/>
    <xf numFmtId="0" fontId="11"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5" fillId="0" borderId="1" xfId="1" applyNumberFormat="1" applyFont="1" applyBorder="1" applyAlignment="1" applyProtection="1">
      <alignment horizontal="center" vertical="center" wrapText="1"/>
      <protection locked="0"/>
    </xf>
    <xf numFmtId="1" fontId="5" fillId="0" borderId="1" xfId="1" applyNumberFormat="1" applyFont="1" applyFill="1" applyBorder="1" applyAlignment="1" applyProtection="1">
      <alignment horizontal="center" vertical="center" wrapText="1"/>
      <protection locked="0"/>
    </xf>
    <xf numFmtId="0" fontId="0" fillId="0" borderId="21" xfId="0" applyFill="1" applyBorder="1"/>
    <xf numFmtId="0" fontId="0" fillId="0" borderId="8" xfId="0" applyBorder="1"/>
    <xf numFmtId="0" fontId="0" fillId="0" borderId="1" xfId="0" applyBorder="1" applyAlignment="1">
      <alignment vertical="top" wrapText="1"/>
    </xf>
    <xf numFmtId="0" fontId="0" fillId="0" borderId="1" xfId="0" applyFill="1" applyBorder="1"/>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9" fillId="0" borderId="3" xfId="1" applyNumberFormat="1" applyFont="1" applyBorder="1" applyAlignment="1" applyProtection="1">
      <alignment horizontal="center" vertical="top" wrapText="1"/>
      <protection locked="0"/>
    </xf>
    <xf numFmtId="9" fontId="9" fillId="0" borderId="14" xfId="8" applyFont="1" applyFill="1" applyBorder="1" applyAlignment="1" applyProtection="1">
      <alignment horizontal="center" vertical="top" wrapText="1"/>
      <protection locked="0"/>
    </xf>
    <xf numFmtId="1" fontId="5" fillId="0" borderId="1" xfId="0" applyNumberFormat="1" applyFont="1" applyFill="1" applyBorder="1" applyAlignment="1">
      <alignment horizontal="center" vertical="center" wrapText="1"/>
    </xf>
    <xf numFmtId="1" fontId="6" fillId="0" borderId="1" xfId="0" applyNumberFormat="1" applyFont="1" applyFill="1" applyBorder="1" applyAlignment="1">
      <alignment horizontal="center" vertical="center"/>
    </xf>
    <xf numFmtId="2" fontId="6" fillId="0" borderId="0" xfId="1" applyNumberFormat="1" applyFont="1" applyAlignment="1">
      <alignment horizontal="center" vertical="center"/>
    </xf>
    <xf numFmtId="1" fontId="6" fillId="0" borderId="1" xfId="1" applyNumberFormat="1" applyFont="1" applyBorder="1" applyAlignment="1">
      <alignment horizontal="center" vertical="center"/>
    </xf>
    <xf numFmtId="168" fontId="6" fillId="0" borderId="0" xfId="1" applyNumberFormat="1" applyFont="1" applyAlignment="1">
      <alignment horizontal="center" vertical="center"/>
    </xf>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9" fontId="11" fillId="0" borderId="7"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top" wrapText="1"/>
      <protection locked="0"/>
    </xf>
    <xf numFmtId="0" fontId="11" fillId="0" borderId="1" xfId="1" applyFont="1" applyBorder="1" applyAlignment="1" applyProtection="1">
      <alignment vertical="top" wrapText="1"/>
      <protection locked="0"/>
    </xf>
    <xf numFmtId="0" fontId="11" fillId="0" borderId="1"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17" fillId="0" borderId="0" xfId="0" applyFont="1" applyBorder="1" applyProtection="1">
      <protection hidden="1"/>
    </xf>
    <xf numFmtId="0" fontId="11" fillId="0" borderId="3" xfId="1" applyFont="1" applyBorder="1" applyAlignment="1" applyProtection="1">
      <alignment horizontal="center" vertical="top" wrapText="1"/>
      <protection locked="0"/>
    </xf>
    <xf numFmtId="9" fontId="11" fillId="0" borderId="3" xfId="8" applyFont="1" applyFill="1" applyBorder="1" applyAlignment="1" applyProtection="1">
      <alignment horizontal="center" vertical="top" wrapText="1"/>
      <protection locked="0"/>
    </xf>
    <xf numFmtId="1" fontId="14" fillId="0" borderId="0" xfId="1" applyNumberFormat="1" applyFont="1" applyAlignment="1">
      <alignment horizontal="center" vertical="center"/>
    </xf>
    <xf numFmtId="0" fontId="11" fillId="0" borderId="1"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0" fontId="11" fillId="0" borderId="1" xfId="1" applyFont="1" applyBorder="1" applyAlignment="1" applyProtection="1">
      <alignment horizontal="center" vertical="top"/>
      <protection locked="0"/>
    </xf>
    <xf numFmtId="0" fontId="23" fillId="2" borderId="13" xfId="0" applyFont="1" applyFill="1" applyBorder="1"/>
    <xf numFmtId="0" fontId="24" fillId="0" borderId="9" xfId="0" applyFont="1" applyBorder="1"/>
    <xf numFmtId="0" fontId="12" fillId="0" borderId="1" xfId="1" applyFont="1" applyBorder="1" applyAlignment="1" applyProtection="1">
      <alignment horizontal="center" vertical="center"/>
      <protection locked="0"/>
    </xf>
    <xf numFmtId="9" fontId="12" fillId="0" borderId="1"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center" wrapText="1"/>
      <protection locked="0"/>
    </xf>
    <xf numFmtId="0" fontId="12" fillId="3" borderId="34" xfId="1" applyFont="1" applyFill="1" applyBorder="1" applyAlignment="1" applyProtection="1">
      <alignment horizontal="center" vertical="center" wrapText="1"/>
      <protection locked="0"/>
    </xf>
    <xf numFmtId="0" fontId="12" fillId="3" borderId="26" xfId="1" applyFont="1" applyFill="1" applyBorder="1" applyAlignment="1" applyProtection="1">
      <alignment horizontal="center" vertical="center" wrapText="1"/>
      <protection locked="0"/>
    </xf>
    <xf numFmtId="0" fontId="12" fillId="3" borderId="6" xfId="1" applyFont="1" applyFill="1" applyBorder="1" applyAlignment="1" applyProtection="1">
      <alignment horizontal="center" vertical="center" wrapText="1"/>
      <protection locked="0"/>
    </xf>
    <xf numFmtId="0" fontId="12" fillId="3" borderId="7" xfId="1" applyFont="1" applyFill="1" applyBorder="1" applyAlignment="1" applyProtection="1">
      <alignment horizontal="center" vertical="center" wrapText="1"/>
      <protection locked="0"/>
    </xf>
    <xf numFmtId="9" fontId="12" fillId="3" borderId="26" xfId="1" applyNumberFormat="1" applyFont="1" applyFill="1" applyBorder="1" applyAlignment="1" applyProtection="1">
      <alignment horizontal="center" vertical="center" wrapText="1"/>
      <protection locked="0"/>
    </xf>
    <xf numFmtId="9" fontId="12" fillId="3" borderId="7" xfId="1" applyNumberFormat="1" applyFont="1" applyFill="1" applyBorder="1" applyAlignment="1" applyProtection="1">
      <alignment horizontal="center" vertical="center" wrapText="1"/>
      <protection locked="0"/>
    </xf>
    <xf numFmtId="9" fontId="12" fillId="3" borderId="26" xfId="8" applyFont="1" applyFill="1" applyBorder="1" applyAlignment="1" applyProtection="1">
      <alignment horizontal="center" vertical="center" wrapText="1"/>
      <protection locked="0"/>
    </xf>
    <xf numFmtId="9" fontId="12" fillId="3" borderId="7" xfId="8" applyFont="1" applyFill="1" applyBorder="1" applyAlignment="1" applyProtection="1">
      <alignment horizontal="center" vertical="center" wrapText="1"/>
      <protection locked="0"/>
    </xf>
    <xf numFmtId="1" fontId="12" fillId="0" borderId="8" xfId="0" applyNumberFormat="1" applyFont="1" applyBorder="1" applyAlignment="1" applyProtection="1">
      <alignment vertical="top" wrapText="1"/>
      <protection locked="0"/>
    </xf>
    <xf numFmtId="1" fontId="12" fillId="0" borderId="19"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0" fontId="12" fillId="0" borderId="31"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32" xfId="1" applyFont="1" applyBorder="1" applyAlignment="1" applyProtection="1">
      <alignment horizontal="left" vertical="top" wrapText="1"/>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11" fillId="0" borderId="4"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11" fillId="0" borderId="5" xfId="1" applyFont="1" applyBorder="1" applyAlignment="1" applyProtection="1">
      <alignment horizontal="center" vertical="top" wrapText="1"/>
      <protection locked="0"/>
    </xf>
    <xf numFmtId="9" fontId="11" fillId="0" borderId="15" xfId="8" applyFont="1" applyFill="1" applyBorder="1" applyAlignment="1" applyProtection="1">
      <alignment horizontal="center" vertical="center" wrapText="1"/>
      <protection locked="0"/>
    </xf>
    <xf numFmtId="9" fontId="11" fillId="0" borderId="16" xfId="8" applyFont="1" applyFill="1" applyBorder="1" applyAlignment="1" applyProtection="1">
      <alignment horizontal="center" vertical="center" wrapText="1"/>
      <protection locked="0"/>
    </xf>
    <xf numFmtId="9" fontId="11" fillId="0" borderId="21" xfId="8" applyFont="1" applyFill="1" applyBorder="1" applyAlignment="1" applyProtection="1">
      <alignment horizontal="center" vertical="center" wrapText="1"/>
      <protection locked="0"/>
    </xf>
    <xf numFmtId="9" fontId="11" fillId="0" borderId="22" xfId="8" applyFont="1" applyFill="1" applyBorder="1" applyAlignment="1" applyProtection="1">
      <alignment horizontal="center" vertical="center" wrapText="1"/>
      <protection locked="0"/>
    </xf>
    <xf numFmtId="9" fontId="11" fillId="0" borderId="23" xfId="8" applyFont="1" applyFill="1" applyBorder="1" applyAlignment="1" applyProtection="1">
      <alignment horizontal="center" vertical="center" wrapText="1"/>
      <protection locked="0"/>
    </xf>
    <xf numFmtId="9" fontId="11" fillId="0" borderId="10" xfId="8" applyFont="1" applyFill="1" applyBorder="1" applyAlignment="1" applyProtection="1">
      <alignment horizontal="center" vertical="center" wrapText="1"/>
      <protection locked="0"/>
    </xf>
    <xf numFmtId="0" fontId="11" fillId="0" borderId="33" xfId="1" applyFont="1" applyBorder="1" applyAlignment="1" applyProtection="1">
      <alignment horizontal="center" vertical="top" wrapText="1"/>
      <protection locked="0"/>
    </xf>
    <xf numFmtId="0" fontId="11" fillId="0" borderId="3" xfId="1" applyFont="1" applyBorder="1" applyAlignment="1" applyProtection="1">
      <alignment horizontal="center" vertical="top" wrapText="1"/>
      <protection locked="0"/>
    </xf>
    <xf numFmtId="1" fontId="9" fillId="0" borderId="8" xfId="1" applyNumberFormat="1" applyFont="1" applyBorder="1" applyAlignment="1" applyProtection="1">
      <alignment horizontal="center" vertical="center" wrapText="1"/>
      <protection locked="0"/>
    </xf>
    <xf numFmtId="1" fontId="9" fillId="0" borderId="19" xfId="1" applyNumberFormat="1" applyFont="1" applyBorder="1" applyAlignment="1" applyProtection="1">
      <alignment horizontal="center" vertical="center" wrapText="1"/>
      <protection locked="0"/>
    </xf>
    <xf numFmtId="1" fontId="9" fillId="0" borderId="9" xfId="1" applyNumberFormat="1" applyFont="1" applyBorder="1" applyAlignment="1" applyProtection="1">
      <alignment horizontal="center" vertical="center" wrapText="1"/>
      <protection locked="0"/>
    </xf>
    <xf numFmtId="1" fontId="7" fillId="0" borderId="8" xfId="0" applyNumberFormat="1" applyFont="1" applyBorder="1" applyAlignment="1" applyProtection="1">
      <alignment vertical="top" wrapText="1"/>
      <protection locked="0"/>
    </xf>
    <xf numFmtId="1" fontId="7" fillId="0" borderId="19"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7" fillId="0" borderId="8" xfId="1" applyNumberFormat="1" applyFont="1" applyBorder="1" applyAlignment="1" applyProtection="1">
      <alignment horizontal="center" vertical="center" wrapText="1"/>
      <protection locked="0"/>
    </xf>
    <xf numFmtId="1" fontId="7" fillId="0" borderId="19"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9" fillId="0" borderId="3" xfId="1" applyNumberFormat="1" applyFont="1" applyBorder="1" applyAlignment="1" applyProtection="1">
      <alignment horizontal="center" vertical="top" wrapText="1"/>
      <protection locked="0"/>
    </xf>
    <xf numFmtId="1" fontId="9" fillId="0" borderId="14" xfId="1" applyNumberFormat="1" applyFont="1" applyBorder="1" applyAlignment="1" applyProtection="1">
      <alignment horizontal="center" vertical="top" wrapText="1"/>
      <protection locked="0"/>
    </xf>
    <xf numFmtId="1" fontId="29" fillId="0" borderId="3" xfId="1" applyNumberFormat="1" applyFont="1" applyBorder="1" applyAlignment="1" applyProtection="1">
      <alignment horizontal="center" vertical="top" wrapText="1"/>
      <protection locked="0"/>
    </xf>
    <xf numFmtId="1" fontId="29" fillId="0" borderId="14" xfId="1" applyNumberFormat="1" applyFont="1" applyBorder="1" applyAlignment="1" applyProtection="1">
      <alignment horizontal="center" vertical="top" wrapText="1"/>
      <protection locked="0"/>
    </xf>
    <xf numFmtId="1" fontId="5" fillId="0" borderId="19" xfId="1" applyNumberFormat="1" applyFont="1" applyBorder="1" applyAlignment="1" applyProtection="1">
      <alignment horizontal="center" vertical="center" wrapText="1"/>
      <protection locked="0"/>
    </xf>
    <xf numFmtId="1" fontId="9" fillId="0" borderId="15" xfId="1" applyNumberFormat="1" applyFont="1" applyBorder="1" applyAlignment="1" applyProtection="1">
      <alignment horizontal="center" vertical="top" wrapText="1"/>
      <protection locked="0"/>
    </xf>
    <xf numFmtId="1" fontId="9" fillId="0" borderId="17"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vertical="top" wrapText="1"/>
      <protection locked="0"/>
    </xf>
    <xf numFmtId="0" fontId="5" fillId="0" borderId="1" xfId="1" applyFont="1" applyBorder="1" applyAlignment="1" applyProtection="1">
      <alignment horizontal="left" vertical="top"/>
      <protection locked="0"/>
    </xf>
    <xf numFmtId="0" fontId="7" fillId="0" borderId="14" xfId="1" applyFont="1" applyBorder="1" applyAlignment="1" applyProtection="1">
      <alignment horizontal="left" vertical="top"/>
      <protection locked="0"/>
    </xf>
    <xf numFmtId="167" fontId="11" fillId="0" borderId="1" xfId="9" applyNumberFormat="1" applyFont="1" applyFill="1" applyBorder="1" applyAlignment="1" applyProtection="1">
      <alignment horizontal="left" vertical="top"/>
      <protection locked="0"/>
    </xf>
    <xf numFmtId="1" fontId="6" fillId="0" borderId="1" xfId="0" applyNumberFormat="1" applyFont="1" applyBorder="1" applyAlignment="1" applyProtection="1">
      <alignment horizontal="center" vertical="center"/>
      <protection locked="0"/>
    </xf>
    <xf numFmtId="1" fontId="5" fillId="0" borderId="1" xfId="0" applyNumberFormat="1" applyFont="1" applyBorder="1" applyAlignment="1" applyProtection="1">
      <alignment horizontal="center" vertical="center" wrapText="1"/>
      <protection locked="0"/>
    </xf>
    <xf numFmtId="1" fontId="16" fillId="0" borderId="8" xfId="0" applyNumberFormat="1" applyFont="1" applyBorder="1" applyAlignment="1" applyProtection="1">
      <alignment vertical="top" wrapText="1"/>
      <protection locked="0"/>
    </xf>
    <xf numFmtId="1" fontId="16" fillId="0" borderId="19"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1" fontId="7" fillId="0" borderId="3" xfId="0" applyNumberFormat="1" applyFont="1" applyBorder="1" applyAlignment="1" applyProtection="1">
      <alignment horizontal="center" vertical="center" wrapText="1"/>
      <protection locked="0"/>
    </xf>
    <xf numFmtId="1" fontId="9" fillId="0" borderId="3" xfId="0" applyNumberFormat="1" applyFont="1" applyBorder="1" applyAlignment="1" applyProtection="1">
      <alignment horizontal="center" vertical="top" wrapText="1"/>
      <protection locked="0"/>
    </xf>
    <xf numFmtId="0" fontId="9" fillId="0" borderId="3" xfId="0" applyFont="1" applyBorder="1" applyAlignment="1" applyProtection="1">
      <alignment horizontal="center" vertical="top" wrapText="1"/>
      <protection locked="0"/>
    </xf>
    <xf numFmtId="1" fontId="7" fillId="0" borderId="3" xfId="0" applyNumberFormat="1" applyFont="1" applyBorder="1" applyAlignment="1" applyProtection="1">
      <alignment horizontal="center" vertical="top"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1" fontId="9" fillId="0" borderId="1" xfId="0" applyNumberFormat="1"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0" fontId="25" fillId="0" borderId="1" xfId="10" applyFill="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9" fontId="11" fillId="0" borderId="1" xfId="8" applyFont="1" applyFill="1" applyBorder="1" applyAlignment="1" applyProtection="1">
      <alignment horizontal="center" vertical="center" wrapText="1"/>
      <protection locked="0"/>
    </xf>
    <xf numFmtId="9" fontId="11" fillId="0" borderId="24"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0" fontId="7" fillId="0" borderId="14" xfId="1" applyFont="1" applyBorder="1" applyAlignment="1" applyProtection="1">
      <alignment horizontal="center" vertical="top"/>
      <protection locked="0"/>
    </xf>
    <xf numFmtId="0" fontId="5" fillId="0" borderId="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14" fillId="0" borderId="1" xfId="1" applyFont="1" applyBorder="1" applyAlignment="1" applyProtection="1">
      <alignment horizontal="left" vertical="top"/>
      <protection locked="0"/>
    </xf>
    <xf numFmtId="0" fontId="11" fillId="0" borderId="8" xfId="1" applyFont="1" applyBorder="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9" xfId="1" applyFont="1" applyBorder="1" applyAlignment="1" applyProtection="1">
      <alignment horizontal="left" vertical="top" wrapText="1"/>
      <protection locked="0"/>
    </xf>
    <xf numFmtId="0" fontId="11" fillId="0" borderId="15" xfId="1" applyFont="1" applyBorder="1" applyAlignment="1" applyProtection="1">
      <alignment horizontal="left" vertical="top" wrapText="1"/>
      <protection locked="0"/>
    </xf>
    <xf numFmtId="0" fontId="11" fillId="0" borderId="20" xfId="1" applyFont="1" applyBorder="1" applyAlignment="1" applyProtection="1">
      <alignment horizontal="left" vertical="top" wrapText="1"/>
      <protection locked="0"/>
    </xf>
    <xf numFmtId="0" fontId="11" fillId="0" borderId="21" xfId="1" applyFont="1" applyBorder="1" applyAlignment="1" applyProtection="1">
      <alignment horizontal="left" vertical="top" wrapText="1"/>
      <protection locked="0"/>
    </xf>
    <xf numFmtId="0" fontId="11" fillId="0" borderId="0" xfId="1" applyFont="1" applyAlignment="1" applyProtection="1">
      <alignment horizontal="left" vertical="top" wrapText="1"/>
      <protection locked="0"/>
    </xf>
    <xf numFmtId="0" fontId="11" fillId="0" borderId="17" xfId="1" applyFont="1" applyBorder="1" applyAlignment="1" applyProtection="1">
      <alignment horizontal="left" vertical="top" wrapText="1"/>
      <protection locked="0"/>
    </xf>
    <xf numFmtId="0" fontId="11" fillId="0" borderId="2" xfId="1" applyFont="1" applyBorder="1" applyAlignment="1" applyProtection="1">
      <alignment horizontal="left" vertical="top" wrapText="1"/>
      <protection locked="0"/>
    </xf>
    <xf numFmtId="0" fontId="6" fillId="0" borderId="0" xfId="1" applyFont="1" applyAlignment="1">
      <alignment horizontal="center" vertical="center"/>
    </xf>
    <xf numFmtId="1" fontId="7" fillId="0" borderId="29" xfId="0" applyNumberFormat="1" applyFont="1" applyBorder="1" applyAlignment="1" applyProtection="1">
      <alignment horizontal="center" vertical="top" wrapText="1"/>
      <protection locked="0"/>
    </xf>
    <xf numFmtId="1" fontId="7" fillId="0" borderId="30" xfId="0" applyNumberFormat="1" applyFont="1" applyBorder="1" applyAlignment="1" applyProtection="1">
      <alignment horizontal="center" vertical="top" wrapText="1"/>
      <protection locked="0"/>
    </xf>
    <xf numFmtId="0" fontId="5" fillId="0" borderId="8" xfId="1" applyFont="1" applyBorder="1" applyAlignment="1" applyProtection="1">
      <alignment vertical="top" wrapText="1"/>
      <protection locked="0"/>
    </xf>
    <xf numFmtId="0" fontId="5" fillId="0" borderId="19"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12" fillId="0" borderId="8" xfId="1" applyFont="1" applyBorder="1" applyAlignment="1" applyProtection="1">
      <alignment horizontal="left" vertical="top"/>
      <protection locked="0"/>
    </xf>
    <xf numFmtId="0" fontId="12" fillId="0" borderId="19"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11" fillId="0" borderId="1" xfId="1" applyFont="1" applyBorder="1" applyAlignment="1" applyProtection="1">
      <alignment horizontal="left" vertical="top"/>
      <protection locked="0"/>
    </xf>
    <xf numFmtId="0" fontId="11"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protection locked="0"/>
    </xf>
    <xf numFmtId="0" fontId="11" fillId="0" borderId="16" xfId="1" applyFont="1" applyBorder="1" applyAlignment="1" applyProtection="1">
      <alignment horizontal="left" vertical="top" wrapText="1"/>
      <protection locked="0"/>
    </xf>
    <xf numFmtId="0" fontId="11" fillId="0" borderId="1" xfId="1" applyFont="1" applyBorder="1" applyAlignment="1" applyProtection="1">
      <alignment horizontal="center"/>
      <protection locked="0"/>
    </xf>
    <xf numFmtId="0" fontId="11" fillId="0" borderId="1" xfId="1" applyFont="1" applyBorder="1" applyAlignment="1" applyProtection="1">
      <alignment horizontal="center" vertical="top"/>
      <protection locked="0"/>
    </xf>
    <xf numFmtId="9" fontId="11" fillId="0" borderId="12" xfId="8" applyFont="1" applyFill="1" applyBorder="1" applyAlignment="1" applyProtection="1">
      <alignment horizontal="center" vertical="center" wrapText="1"/>
      <protection locked="0"/>
    </xf>
    <xf numFmtId="2" fontId="5" fillId="0" borderId="1" xfId="1" applyNumberFormat="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6" fillId="0" borderId="1" xfId="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0" fontId="6" fillId="0" borderId="1" xfId="1" applyFont="1" applyBorder="1" applyAlignment="1" applyProtection="1">
      <alignment horizontal="left"/>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7" fillId="0" borderId="28" xfId="0" applyNumberFormat="1" applyFont="1" applyBorder="1" applyAlignment="1" applyProtection="1">
      <alignment horizontal="center" vertical="center" wrapText="1"/>
      <protection locked="0"/>
    </xf>
    <xf numFmtId="1" fontId="7" fillId="0" borderId="29" xfId="0" applyNumberFormat="1" applyFont="1" applyBorder="1" applyAlignment="1" applyProtection="1">
      <alignment horizontal="center" vertical="center" wrapText="1"/>
      <protection locked="0"/>
    </xf>
    <xf numFmtId="0" fontId="9" fillId="0" borderId="29" xfId="0" applyFont="1" applyBorder="1" applyAlignment="1" applyProtection="1">
      <alignment horizontal="center" vertical="center"/>
      <protection locked="0"/>
    </xf>
    <xf numFmtId="1" fontId="9" fillId="0" borderId="29"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left" vertical="top" wrapText="1"/>
      <protection locked="0"/>
    </xf>
    <xf numFmtId="0" fontId="5" fillId="0" borderId="1" xfId="1" applyFont="1" applyBorder="1" applyAlignment="1" applyProtection="1">
      <alignment vertical="top"/>
      <protection locked="0"/>
    </xf>
    <xf numFmtId="0" fontId="11" fillId="0" borderId="6"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1" fontId="9" fillId="0" borderId="3"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7" fillId="0" borderId="8" xfId="1" applyFont="1" applyBorder="1" applyAlignment="1" applyProtection="1">
      <alignment horizontal="left" vertical="top"/>
      <protection locked="0"/>
    </xf>
    <xf numFmtId="0" fontId="7" fillId="0" borderId="9" xfId="1" applyFont="1" applyBorder="1" applyAlignment="1" applyProtection="1">
      <alignment horizontal="left" vertical="top"/>
      <protection locked="0"/>
    </xf>
    <xf numFmtId="0" fontId="14" fillId="0" borderId="15" xfId="1" applyFont="1" applyBorder="1" applyAlignment="1" applyProtection="1">
      <alignment horizontal="left" vertical="top" wrapText="1"/>
      <protection locked="0"/>
    </xf>
    <xf numFmtId="0" fontId="14" fillId="0" borderId="16" xfId="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14" fontId="11" fillId="0" borderId="8" xfId="1" applyNumberFormat="1" applyFont="1" applyBorder="1" applyAlignment="1" applyProtection="1">
      <alignment horizontal="left" vertical="top" wrapText="1"/>
      <protection locked="0"/>
    </xf>
    <xf numFmtId="14" fontId="11" fillId="0" borderId="9" xfId="1" applyNumberFormat="1" applyFont="1" applyBorder="1" applyAlignment="1" applyProtection="1">
      <alignment horizontal="left" vertical="top" wrapText="1"/>
      <protection locked="0"/>
    </xf>
    <xf numFmtId="0" fontId="5" fillId="0" borderId="15" xfId="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6" fillId="0" borderId="21" xfId="1" applyFont="1" applyBorder="1" applyAlignment="1">
      <alignment horizontal="center"/>
    </xf>
    <xf numFmtId="0" fontId="6" fillId="0" borderId="0" xfId="1" applyFont="1" applyAlignment="1">
      <alignment horizontal="center"/>
    </xf>
    <xf numFmtId="0" fontId="9" fillId="0" borderId="1" xfId="1" applyFont="1" applyBorder="1" applyAlignment="1" applyProtection="1">
      <alignment horizontal="center" vertical="top"/>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9" fontId="11" fillId="0" borderId="7" xfId="8" applyFont="1" applyFill="1" applyBorder="1" applyAlignment="1" applyProtection="1">
      <alignment horizontal="center" vertical="center" wrapText="1"/>
      <protection locked="0"/>
    </xf>
    <xf numFmtId="0" fontId="8"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colors>
    <mruColors>
      <color rgb="FF0043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0.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xdr:from>
      <xdr:col>2</xdr:col>
      <xdr:colOff>285750</xdr:colOff>
      <xdr:row>354</xdr:row>
      <xdr:rowOff>49733</xdr:rowOff>
    </xdr:from>
    <xdr:to>
      <xdr:col>5</xdr:col>
      <xdr:colOff>541183</xdr:colOff>
      <xdr:row>381</xdr:row>
      <xdr:rowOff>51154</xdr:rowOff>
    </xdr:to>
    <xdr:grpSp>
      <xdr:nvGrpSpPr>
        <xdr:cNvPr id="3" name="Group 2"/>
        <xdr:cNvGrpSpPr/>
      </xdr:nvGrpSpPr>
      <xdr:grpSpPr>
        <a:xfrm>
          <a:off x="1843368" y="71229498"/>
          <a:ext cx="2810374" cy="5447480"/>
          <a:chOff x="2012377" y="3001659"/>
          <a:chExt cx="2833245" cy="5402096"/>
        </a:xfrm>
      </xdr:grpSpPr>
      <xdr:pic>
        <xdr:nvPicPr>
          <xdr:cNvPr id="7" name="Picture 6"/>
          <xdr:cNvPicPr>
            <a:picLocks noChangeAspect="1"/>
          </xdr:cNvPicPr>
        </xdr:nvPicPr>
        <xdr:blipFill>
          <a:blip xmlns:r="http://schemas.openxmlformats.org/officeDocument/2006/relationships" r:embed="rId1"/>
          <a:stretch>
            <a:fillRect/>
          </a:stretch>
        </xdr:blipFill>
        <xdr:spPr>
          <a:xfrm rot="16200000">
            <a:off x="727952" y="4286084"/>
            <a:ext cx="5402096" cy="2833245"/>
          </a:xfrm>
          <a:prstGeom prst="rect">
            <a:avLst/>
          </a:prstGeom>
          <a:ln w="3175">
            <a:solidFill>
              <a:sysClr val="windowText" lastClr="000000"/>
            </a:solidFill>
          </a:ln>
        </xdr:spPr>
      </xdr:pic>
      <xdr:sp macro="" textlink="">
        <xdr:nvSpPr>
          <xdr:cNvPr id="8" name="Rectangle 7"/>
          <xdr:cNvSpPr/>
        </xdr:nvSpPr>
        <xdr:spPr>
          <a:xfrm rot="486692">
            <a:off x="3314701" y="7286625"/>
            <a:ext cx="352425" cy="738188"/>
          </a:xfrm>
          <a:prstGeom prst="rect">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9" name="TextBox 21"/>
          <xdr:cNvSpPr txBox="1"/>
        </xdr:nvSpPr>
        <xdr:spPr>
          <a:xfrm rot="645361">
            <a:off x="3209656" y="6992344"/>
            <a:ext cx="964716" cy="26930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0000FF"/>
                </a:solidFill>
                <a:latin typeface="Times New Roman" panose="02020603050405020304" pitchFamily="18" charset="0"/>
                <a:cs typeface="Times New Roman" panose="02020603050405020304" pitchFamily="18" charset="0"/>
              </a:rPr>
              <a:t>Wing A</a:t>
            </a:r>
            <a:endParaRPr lang="en-IN" sz="1200" b="1">
              <a:solidFill>
                <a:srgbClr val="0000FF"/>
              </a:solidFill>
              <a:latin typeface="Times New Roman" panose="02020603050405020304" pitchFamily="18" charset="0"/>
              <a:cs typeface="Times New Roman" panose="02020603050405020304" pitchFamily="18" charset="0"/>
            </a:endParaRPr>
          </a:p>
        </xdr:txBody>
      </xdr:sp>
    </xdr:grpSp>
    <xdr:clientData/>
  </xdr:twoCellAnchor>
  <xdr:twoCellAnchor>
    <xdr:from>
      <xdr:col>4</xdr:col>
      <xdr:colOff>363338</xdr:colOff>
      <xdr:row>371</xdr:row>
      <xdr:rowOff>129182</xdr:rowOff>
    </xdr:from>
    <xdr:to>
      <xdr:col>4</xdr:col>
      <xdr:colOff>697944</xdr:colOff>
      <xdr:row>374</xdr:row>
      <xdr:rowOff>89292</xdr:rowOff>
    </xdr:to>
    <xdr:grpSp>
      <xdr:nvGrpSpPr>
        <xdr:cNvPr id="4" name="Group 3"/>
        <xdr:cNvGrpSpPr/>
      </xdr:nvGrpSpPr>
      <xdr:grpSpPr>
        <a:xfrm>
          <a:off x="3691485" y="74737947"/>
          <a:ext cx="334606" cy="565227"/>
          <a:chOff x="14723" y="43961"/>
          <a:chExt cx="336177" cy="560185"/>
        </a:xfrm>
      </xdr:grpSpPr>
      <xdr:sp macro="" textlink="">
        <xdr:nvSpPr>
          <xdr:cNvPr id="5" name="TextBox 7"/>
          <xdr:cNvSpPr txBox="1"/>
        </xdr:nvSpPr>
        <xdr:spPr>
          <a:xfrm>
            <a:off x="14723" y="43961"/>
            <a:ext cx="336177" cy="347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200" b="1"/>
              <a:t>N</a:t>
            </a:r>
          </a:p>
        </xdr:txBody>
      </xdr:sp>
      <xdr:cxnSp macro="">
        <xdr:nvCxnSpPr>
          <xdr:cNvPr id="6" name="Straight Arrow Connector 5"/>
          <xdr:cNvCxnSpPr/>
        </xdr:nvCxnSpPr>
        <xdr:spPr>
          <a:xfrm flipV="1">
            <a:off x="156883" y="280146"/>
            <a:ext cx="0" cy="32400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581875</xdr:colOff>
      <xdr:row>343</xdr:row>
      <xdr:rowOff>19050</xdr:rowOff>
    </xdr:from>
    <xdr:to>
      <xdr:col>5</xdr:col>
      <xdr:colOff>254526</xdr:colOff>
      <xdr:row>353</xdr:row>
      <xdr:rowOff>129141</xdr:rowOff>
    </xdr:to>
    <xdr:grpSp>
      <xdr:nvGrpSpPr>
        <xdr:cNvPr id="10" name="Group 9"/>
        <xdr:cNvGrpSpPr/>
      </xdr:nvGrpSpPr>
      <xdr:grpSpPr>
        <a:xfrm>
          <a:off x="2139493" y="68980050"/>
          <a:ext cx="2227592" cy="2127150"/>
          <a:chOff x="1891592" y="55599053"/>
          <a:chExt cx="2215826" cy="2110341"/>
        </a:xfrm>
      </xdr:grpSpPr>
      <xdr:pic>
        <xdr:nvPicPr>
          <xdr:cNvPr id="11" name="Picture 10"/>
          <xdr:cNvPicPr>
            <a:picLocks noChangeAspect="1"/>
          </xdr:cNvPicPr>
        </xdr:nvPicPr>
        <xdr:blipFill>
          <a:blip xmlns:r="http://schemas.openxmlformats.org/officeDocument/2006/relationships" r:embed="rId2"/>
          <a:stretch>
            <a:fillRect/>
          </a:stretch>
        </xdr:blipFill>
        <xdr:spPr>
          <a:xfrm>
            <a:off x="1891592" y="55599053"/>
            <a:ext cx="2215826" cy="2110341"/>
          </a:xfrm>
          <a:prstGeom prst="rect">
            <a:avLst/>
          </a:prstGeom>
          <a:ln w="3175">
            <a:solidFill>
              <a:sysClr val="windowText" lastClr="000000"/>
            </a:solidFill>
          </a:ln>
        </xdr:spPr>
      </xdr:pic>
      <xdr:grpSp>
        <xdr:nvGrpSpPr>
          <xdr:cNvPr id="12" name="Group 11"/>
          <xdr:cNvGrpSpPr/>
        </xdr:nvGrpSpPr>
        <xdr:grpSpPr>
          <a:xfrm>
            <a:off x="3267808" y="57179308"/>
            <a:ext cx="293077" cy="454270"/>
            <a:chOff x="3238500" y="57128019"/>
            <a:chExt cx="334606" cy="604146"/>
          </a:xfrm>
        </xdr:grpSpPr>
        <xdr:sp macro="" textlink="">
          <xdr:nvSpPr>
            <xdr:cNvPr id="13" name="TextBox 7"/>
            <xdr:cNvSpPr txBox="1"/>
          </xdr:nvSpPr>
          <xdr:spPr>
            <a:xfrm>
              <a:off x="3238500" y="57128019"/>
              <a:ext cx="334606" cy="347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100" b="1"/>
                <a:t>N</a:t>
              </a:r>
            </a:p>
          </xdr:txBody>
        </xdr:sp>
        <xdr:cxnSp macro="">
          <xdr:nvCxnSpPr>
            <xdr:cNvPr id="14" name="Straight Arrow Connector 13"/>
            <xdr:cNvCxnSpPr/>
          </xdr:nvCxnSpPr>
          <xdr:spPr>
            <a:xfrm flipV="1">
              <a:off x="3394650" y="57408165"/>
              <a:ext cx="0" cy="32400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4</xdr:col>
      <xdr:colOff>484761</xdr:colOff>
      <xdr:row>364</xdr:row>
      <xdr:rowOff>27674</xdr:rowOff>
    </xdr:from>
    <xdr:to>
      <xdr:col>5</xdr:col>
      <xdr:colOff>142875</xdr:colOff>
      <xdr:row>370</xdr:row>
      <xdr:rowOff>57150</xdr:rowOff>
    </xdr:to>
    <xdr:sp macro="" textlink="">
      <xdr:nvSpPr>
        <xdr:cNvPr id="37" name="Rectangle 36"/>
        <xdr:cNvSpPr/>
      </xdr:nvSpPr>
      <xdr:spPr>
        <a:xfrm>
          <a:off x="3808986" y="57768224"/>
          <a:ext cx="439164" cy="1229626"/>
        </a:xfrm>
        <a:prstGeom prst="rect">
          <a:avLst/>
        </a:prstGeom>
        <a:noFill/>
        <a:ln w="190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4</xdr:col>
      <xdr:colOff>438149</xdr:colOff>
      <xdr:row>362</xdr:row>
      <xdr:rowOff>192610</xdr:rowOff>
    </xdr:from>
    <xdr:to>
      <xdr:col>5</xdr:col>
      <xdr:colOff>610021</xdr:colOff>
      <xdr:row>364</xdr:row>
      <xdr:rowOff>38781</xdr:rowOff>
    </xdr:to>
    <xdr:sp macro="" textlink="">
      <xdr:nvSpPr>
        <xdr:cNvPr id="38" name="TextBox 21"/>
        <xdr:cNvSpPr txBox="1"/>
      </xdr:nvSpPr>
      <xdr:spPr>
        <a:xfrm rot="21449485">
          <a:off x="3762374" y="57533110"/>
          <a:ext cx="952922" cy="24622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0000FF"/>
              </a:solidFill>
              <a:latin typeface="Times New Roman" panose="02020603050405020304" pitchFamily="18" charset="0"/>
              <a:cs typeface="Times New Roman" panose="02020603050405020304" pitchFamily="18" charset="0"/>
            </a:rPr>
            <a:t>Wing C</a:t>
          </a:r>
          <a:endParaRPr lang="en-IN" sz="1200" b="1">
            <a:solidFill>
              <a:srgbClr val="0000FF"/>
            </a:solidFill>
            <a:latin typeface="Times New Roman" panose="02020603050405020304" pitchFamily="18" charset="0"/>
            <a:cs typeface="Times New Roman" panose="02020603050405020304" pitchFamily="18" charset="0"/>
          </a:endParaRPr>
        </a:p>
      </xdr:txBody>
    </xdr:sp>
    <xdr:clientData/>
  </xdr:twoCellAnchor>
  <xdr:twoCellAnchor>
    <xdr:from>
      <xdr:col>3</xdr:col>
      <xdr:colOff>856236</xdr:colOff>
      <xdr:row>365</xdr:row>
      <xdr:rowOff>56249</xdr:rowOff>
    </xdr:from>
    <xdr:to>
      <xdr:col>4</xdr:col>
      <xdr:colOff>438150</xdr:colOff>
      <xdr:row>370</xdr:row>
      <xdr:rowOff>104775</xdr:rowOff>
    </xdr:to>
    <xdr:sp macro="" textlink="">
      <xdr:nvSpPr>
        <xdr:cNvPr id="39" name="Rectangle 38"/>
        <xdr:cNvSpPr/>
      </xdr:nvSpPr>
      <xdr:spPr>
        <a:xfrm>
          <a:off x="3266061" y="57996824"/>
          <a:ext cx="496314" cy="1048651"/>
        </a:xfrm>
        <a:prstGeom prst="rect">
          <a:avLst/>
        </a:prstGeom>
        <a:noFill/>
        <a:ln w="190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3</xdr:col>
      <xdr:colOff>771524</xdr:colOff>
      <xdr:row>370</xdr:row>
      <xdr:rowOff>116410</xdr:rowOff>
    </xdr:from>
    <xdr:to>
      <xdr:col>5</xdr:col>
      <xdr:colOff>28996</xdr:colOff>
      <xdr:row>371</xdr:row>
      <xdr:rowOff>162606</xdr:rowOff>
    </xdr:to>
    <xdr:sp macro="" textlink="">
      <xdr:nvSpPr>
        <xdr:cNvPr id="40" name="TextBox 21"/>
        <xdr:cNvSpPr txBox="1"/>
      </xdr:nvSpPr>
      <xdr:spPr>
        <a:xfrm rot="21449485">
          <a:off x="3181349" y="59057110"/>
          <a:ext cx="952922" cy="24622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0000FF"/>
              </a:solidFill>
              <a:latin typeface="Times New Roman" panose="02020603050405020304" pitchFamily="18" charset="0"/>
              <a:cs typeface="Times New Roman" panose="02020603050405020304" pitchFamily="18" charset="0"/>
            </a:rPr>
            <a:t>Wing D</a:t>
          </a:r>
          <a:endParaRPr lang="en-IN" sz="1200" b="1">
            <a:solidFill>
              <a:srgbClr val="0000FF"/>
            </a:solidFill>
            <a:latin typeface="Times New Roman" panose="02020603050405020304" pitchFamily="18" charset="0"/>
            <a:cs typeface="Times New Roman" panose="02020603050405020304" pitchFamily="18" charset="0"/>
          </a:endParaRPr>
        </a:p>
      </xdr:txBody>
    </xdr:sp>
    <xdr:clientData/>
  </xdr:twoCellAnchor>
  <xdr:twoCellAnchor>
    <xdr:from>
      <xdr:col>3</xdr:col>
      <xdr:colOff>847725</xdr:colOff>
      <xdr:row>360</xdr:row>
      <xdr:rowOff>47625</xdr:rowOff>
    </xdr:from>
    <xdr:to>
      <xdr:col>4</xdr:col>
      <xdr:colOff>685800</xdr:colOff>
      <xdr:row>365</xdr:row>
      <xdr:rowOff>9525</xdr:rowOff>
    </xdr:to>
    <xdr:sp macro="" textlink="">
      <xdr:nvSpPr>
        <xdr:cNvPr id="41" name="Freeform 40"/>
        <xdr:cNvSpPr/>
      </xdr:nvSpPr>
      <xdr:spPr>
        <a:xfrm>
          <a:off x="3257550" y="56988075"/>
          <a:ext cx="752475" cy="962025"/>
        </a:xfrm>
        <a:custGeom>
          <a:avLst/>
          <a:gdLst>
            <a:gd name="connsiteX0" fmla="*/ 19050 w 752475"/>
            <a:gd name="connsiteY0" fmla="*/ 952500 h 962025"/>
            <a:gd name="connsiteX1" fmla="*/ 495300 w 752475"/>
            <a:gd name="connsiteY1" fmla="*/ 962025 h 962025"/>
            <a:gd name="connsiteX2" fmla="*/ 495300 w 752475"/>
            <a:gd name="connsiteY2" fmla="*/ 590550 h 962025"/>
            <a:gd name="connsiteX3" fmla="*/ 752475 w 752475"/>
            <a:gd name="connsiteY3" fmla="*/ 419100 h 962025"/>
            <a:gd name="connsiteX4" fmla="*/ 495300 w 752475"/>
            <a:gd name="connsiteY4" fmla="*/ 0 h 962025"/>
            <a:gd name="connsiteX5" fmla="*/ 0 w 752475"/>
            <a:gd name="connsiteY5" fmla="*/ 304800 h 962025"/>
            <a:gd name="connsiteX6" fmla="*/ 19050 w 752475"/>
            <a:gd name="connsiteY6" fmla="*/ 95250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752475" h="962025">
              <a:moveTo>
                <a:pt x="19050" y="952500"/>
              </a:moveTo>
              <a:lnTo>
                <a:pt x="495300" y="962025"/>
              </a:lnTo>
              <a:lnTo>
                <a:pt x="495300" y="590550"/>
              </a:lnTo>
              <a:lnTo>
                <a:pt x="752475" y="419100"/>
              </a:lnTo>
              <a:lnTo>
                <a:pt x="495300" y="0"/>
              </a:lnTo>
              <a:lnTo>
                <a:pt x="0" y="304800"/>
              </a:lnTo>
              <a:lnTo>
                <a:pt x="19050" y="952500"/>
              </a:lnTo>
              <a:close/>
            </a:path>
          </a:pathLst>
        </a:custGeom>
        <a:noFill/>
        <a:ln w="19050">
          <a:solidFill>
            <a:srgbClr val="0043C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3</xdr:col>
      <xdr:colOff>866775</xdr:colOff>
      <xdr:row>361</xdr:row>
      <xdr:rowOff>142875</xdr:rowOff>
    </xdr:from>
    <xdr:to>
      <xdr:col>5</xdr:col>
      <xdr:colOff>124247</xdr:colOff>
      <xdr:row>362</xdr:row>
      <xdr:rowOff>189071</xdr:rowOff>
    </xdr:to>
    <xdr:sp macro="" textlink="">
      <xdr:nvSpPr>
        <xdr:cNvPr id="42" name="TextBox 21"/>
        <xdr:cNvSpPr txBox="1"/>
      </xdr:nvSpPr>
      <xdr:spPr>
        <a:xfrm rot="21449485">
          <a:off x="3276600" y="57283350"/>
          <a:ext cx="952922" cy="24622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0000FF"/>
              </a:solidFill>
              <a:latin typeface="Times New Roman" panose="02020603050405020304" pitchFamily="18" charset="0"/>
              <a:cs typeface="Times New Roman" panose="02020603050405020304" pitchFamily="18" charset="0"/>
            </a:rPr>
            <a:t>Wing E</a:t>
          </a:r>
          <a:endParaRPr lang="en-IN" sz="1200" b="1">
            <a:solidFill>
              <a:srgbClr val="0000FF"/>
            </a:solidFill>
            <a:latin typeface="Times New Roman" panose="02020603050405020304" pitchFamily="18" charset="0"/>
            <a:cs typeface="Times New Roman" panose="02020603050405020304" pitchFamily="18" charset="0"/>
          </a:endParaRPr>
        </a:p>
      </xdr:txBody>
    </xdr:sp>
    <xdr:clientData/>
  </xdr:twoCellAnchor>
  <xdr:twoCellAnchor editAs="oneCell">
    <xdr:from>
      <xdr:col>1</xdr:col>
      <xdr:colOff>339553</xdr:colOff>
      <xdr:row>408</xdr:row>
      <xdr:rowOff>138741</xdr:rowOff>
    </xdr:from>
    <xdr:to>
      <xdr:col>7</xdr:col>
      <xdr:colOff>26411</xdr:colOff>
      <xdr:row>423</xdr:row>
      <xdr:rowOff>18365</xdr:rowOff>
    </xdr:to>
    <xdr:pic>
      <xdr:nvPicPr>
        <xdr:cNvPr id="43" name="Picture 42"/>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1101553" y="67470966"/>
          <a:ext cx="4477933" cy="2880000"/>
        </a:xfrm>
        <a:prstGeom prst="rect">
          <a:avLst/>
        </a:prstGeom>
        <a:ln>
          <a:solidFill>
            <a:schemeClr val="tx1"/>
          </a:solidFill>
        </a:ln>
      </xdr:spPr>
    </xdr:pic>
    <xdr:clientData/>
  </xdr:twoCellAnchor>
  <xdr:twoCellAnchor editAs="oneCell">
    <xdr:from>
      <xdr:col>0</xdr:col>
      <xdr:colOff>561975</xdr:colOff>
      <xdr:row>386</xdr:row>
      <xdr:rowOff>19050</xdr:rowOff>
    </xdr:from>
    <xdr:to>
      <xdr:col>7</xdr:col>
      <xdr:colOff>565991</xdr:colOff>
      <xdr:row>407</xdr:row>
      <xdr:rowOff>138525</xdr:rowOff>
    </xdr:to>
    <xdr:pic>
      <xdr:nvPicPr>
        <xdr:cNvPr id="44" name="Picture 43"/>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561975" y="62950725"/>
          <a:ext cx="5557091" cy="4320000"/>
        </a:xfrm>
        <a:prstGeom prst="rect">
          <a:avLst/>
        </a:prstGeom>
        <a:ln>
          <a:solidFill>
            <a:schemeClr val="tx1"/>
          </a:solidFill>
        </a:ln>
      </xdr:spPr>
    </xdr:pic>
    <xdr:clientData/>
  </xdr:twoCellAnchor>
  <xdr:twoCellAnchor>
    <xdr:from>
      <xdr:col>10</xdr:col>
      <xdr:colOff>468113</xdr:colOff>
      <xdr:row>327</xdr:row>
      <xdr:rowOff>129182</xdr:rowOff>
    </xdr:from>
    <xdr:to>
      <xdr:col>11</xdr:col>
      <xdr:colOff>97869</xdr:colOff>
      <xdr:row>330</xdr:row>
      <xdr:rowOff>89292</xdr:rowOff>
    </xdr:to>
    <xdr:grpSp>
      <xdr:nvGrpSpPr>
        <xdr:cNvPr id="49" name="Group 48"/>
        <xdr:cNvGrpSpPr/>
      </xdr:nvGrpSpPr>
      <xdr:grpSpPr>
        <a:xfrm>
          <a:off x="8872525" y="65862888"/>
          <a:ext cx="335726" cy="565228"/>
          <a:chOff x="14723" y="43961"/>
          <a:chExt cx="336177" cy="560185"/>
        </a:xfrm>
      </xdr:grpSpPr>
      <xdr:sp macro="" textlink="">
        <xdr:nvSpPr>
          <xdr:cNvPr id="50" name="TextBox 7"/>
          <xdr:cNvSpPr txBox="1"/>
        </xdr:nvSpPr>
        <xdr:spPr>
          <a:xfrm>
            <a:off x="14723" y="43961"/>
            <a:ext cx="336177" cy="347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200" b="1"/>
              <a:t>N</a:t>
            </a:r>
          </a:p>
        </xdr:txBody>
      </xdr:sp>
      <xdr:cxnSp macro="">
        <xdr:nvCxnSpPr>
          <xdr:cNvPr id="51" name="Straight Arrow Connector 50"/>
          <xdr:cNvCxnSpPr/>
        </xdr:nvCxnSpPr>
        <xdr:spPr>
          <a:xfrm flipV="1">
            <a:off x="156883" y="280146"/>
            <a:ext cx="0" cy="32400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514350</xdr:colOff>
      <xdr:row>300</xdr:row>
      <xdr:rowOff>0</xdr:rowOff>
    </xdr:from>
    <xdr:to>
      <xdr:col>7</xdr:col>
      <xdr:colOff>169344</xdr:colOff>
      <xdr:row>318</xdr:row>
      <xdr:rowOff>2725</xdr:rowOff>
    </xdr:to>
    <xdr:pic>
      <xdr:nvPicPr>
        <xdr:cNvPr id="63" name="Picture 62"/>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514350" y="54921150"/>
          <a:ext cx="5208069" cy="3600000"/>
        </a:xfrm>
        <a:prstGeom prst="rect">
          <a:avLst/>
        </a:prstGeom>
        <a:ln>
          <a:solidFill>
            <a:schemeClr val="tx1"/>
          </a:solidFill>
        </a:ln>
      </xdr:spPr>
    </xdr:pic>
    <xdr:clientData/>
  </xdr:twoCellAnchor>
  <xdr:twoCellAnchor editAs="oneCell">
    <xdr:from>
      <xdr:col>0</xdr:col>
      <xdr:colOff>706384</xdr:colOff>
      <xdr:row>318</xdr:row>
      <xdr:rowOff>177919</xdr:rowOff>
    </xdr:from>
    <xdr:to>
      <xdr:col>6</xdr:col>
      <xdr:colOff>682158</xdr:colOff>
      <xdr:row>336</xdr:row>
      <xdr:rowOff>177468</xdr:rowOff>
    </xdr:to>
    <xdr:pic>
      <xdr:nvPicPr>
        <xdr:cNvPr id="64" name="Picture 63"/>
        <xdr:cNvPicPr>
          <a:picLocks noChangeAspect="1"/>
        </xdr:cNvPicPr>
      </xdr:nvPicPr>
      <xdr:blipFill rotWithShape="1">
        <a:blip xmlns:r="http://schemas.openxmlformats.org/officeDocument/2006/relationships" r:embed="rId6" cstate="screen">
          <a:extLst>
            <a:ext uri="{28A0092B-C50C-407E-A947-70E740481C1C}">
              <a14:useLocalDpi xmlns:a14="http://schemas.microsoft.com/office/drawing/2010/main"/>
            </a:ext>
          </a:extLst>
        </a:blip>
        <a:srcRect/>
        <a:stretch/>
      </xdr:blipFill>
      <xdr:spPr>
        <a:xfrm>
          <a:off x="706384" y="58699519"/>
          <a:ext cx="4823999" cy="3600000"/>
        </a:xfrm>
        <a:prstGeom prst="rect">
          <a:avLst/>
        </a:prstGeom>
        <a:ln>
          <a:solidFill>
            <a:schemeClr val="tx1"/>
          </a:solidFill>
        </a:ln>
      </xdr:spPr>
    </xdr:pic>
    <xdr:clientData/>
  </xdr:twoCellAnchor>
  <xdr:twoCellAnchor editAs="oneCell">
    <xdr:from>
      <xdr:col>8</xdr:col>
      <xdr:colOff>187326</xdr:colOff>
      <xdr:row>224</xdr:row>
      <xdr:rowOff>76200</xdr:rowOff>
    </xdr:from>
    <xdr:to>
      <xdr:col>15</xdr:col>
      <xdr:colOff>599226</xdr:colOff>
      <xdr:row>240</xdr:row>
      <xdr:rowOff>469451</xdr:rowOff>
    </xdr:to>
    <xdr:pic>
      <xdr:nvPicPr>
        <xdr:cNvPr id="2" name="Picture 1"/>
        <xdr:cNvPicPr>
          <a:picLocks noChangeAspect="1"/>
        </xdr:cNvPicPr>
      </xdr:nvPicPr>
      <xdr:blipFill>
        <a:blip xmlns:r="http://schemas.openxmlformats.org/officeDocument/2006/relationships" r:embed="rId7"/>
        <a:stretch>
          <a:fillRect/>
        </a:stretch>
      </xdr:blipFill>
      <xdr:spPr>
        <a:xfrm>
          <a:off x="6969126" y="44894500"/>
          <a:ext cx="6685700" cy="3555550"/>
        </a:xfrm>
        <a:prstGeom prst="rect">
          <a:avLst/>
        </a:prstGeom>
      </xdr:spPr>
    </xdr:pic>
    <xdr:clientData/>
  </xdr:twoCellAnchor>
  <xdr:twoCellAnchor>
    <xdr:from>
      <xdr:col>0</xdr:col>
      <xdr:colOff>104775</xdr:colOff>
      <xdr:row>256</xdr:row>
      <xdr:rowOff>168630</xdr:rowOff>
    </xdr:from>
    <xdr:to>
      <xdr:col>7</xdr:col>
      <xdr:colOff>843224</xdr:colOff>
      <xdr:row>294</xdr:row>
      <xdr:rowOff>123824</xdr:rowOff>
    </xdr:to>
    <xdr:grpSp>
      <xdr:nvGrpSpPr>
        <xdr:cNvPr id="18" name="Group 17"/>
        <xdr:cNvGrpSpPr/>
      </xdr:nvGrpSpPr>
      <xdr:grpSpPr>
        <a:xfrm>
          <a:off x="104775" y="51592424"/>
          <a:ext cx="6296567" cy="7608812"/>
          <a:chOff x="104775" y="51592424"/>
          <a:chExt cx="6296567" cy="7608812"/>
        </a:xfrm>
      </xdr:grpSpPr>
      <xdr:grpSp>
        <xdr:nvGrpSpPr>
          <xdr:cNvPr id="17" name="Group 16"/>
          <xdr:cNvGrpSpPr/>
        </xdr:nvGrpSpPr>
        <xdr:grpSpPr>
          <a:xfrm>
            <a:off x="104775" y="51592424"/>
            <a:ext cx="6296567" cy="7608812"/>
            <a:chOff x="104775" y="50984505"/>
            <a:chExt cx="6291524" cy="7546619"/>
          </a:xfrm>
        </xdr:grpSpPr>
        <xdr:grpSp>
          <xdr:nvGrpSpPr>
            <xdr:cNvPr id="15" name="Group 14"/>
            <xdr:cNvGrpSpPr/>
          </xdr:nvGrpSpPr>
          <xdr:grpSpPr>
            <a:xfrm>
              <a:off x="104775" y="50984505"/>
              <a:ext cx="6291524" cy="7546619"/>
              <a:chOff x="104775" y="50908305"/>
              <a:chExt cx="6291524" cy="7546619"/>
            </a:xfrm>
          </xdr:grpSpPr>
          <xdr:pic>
            <xdr:nvPicPr>
              <xdr:cNvPr id="58" name="Picture 57" descr="https://vsjcllp.vsjadon.com/upload/insp-246599-1525.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4838701" y="56502299"/>
                <a:ext cx="1462944" cy="19526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0" name="Picture 59" descr="https://vsjcllp.vsjadon.com/upload/insp-246599-849.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161925" y="56501979"/>
                <a:ext cx="1461773" cy="195106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1" name="Picture 60" descr="https://vsjcllp.vsjadon.com/upload/insp-246599-861.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114300" y="50908305"/>
                <a:ext cx="2028825" cy="270792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2" name="Picture 61" descr="https://vsjcllp.vsjadon.com/upload/insp-246599-862.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2247900" y="50908305"/>
                <a:ext cx="2028825" cy="270792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5" name="Picture 64" descr="https://vsjcllp.vsjadon.com/upload/insp-246599-860.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104775" y="53701949"/>
                <a:ext cx="2033849" cy="27146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9" name="Picture 68" descr="https://vsjcllp.vsjadon.com/upload/insp-246599-871.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4362450" y="50908305"/>
                <a:ext cx="2028825" cy="270792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0" name="Picture 69" descr="https://vsjcllp.vsjadon.com/upload/insp-246599-877.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2238375" y="53701949"/>
                <a:ext cx="2033849" cy="27146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9" name="Picture 88" descr="https://vsjcllp.vsjadon.com/upload/insp-246599-940.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4362450" y="53701949"/>
                <a:ext cx="2033849" cy="27146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0" name="Picture 89" descr="https://vsjcllp.vsjadon.com/upload/insp-246599-928.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a:ext>
                </a:extLst>
              </a:blip>
              <a:srcRect/>
              <a:stretch>
                <a:fillRect/>
              </a:stretch>
            </xdr:blipFill>
            <xdr:spPr bwMode="auto">
              <a:xfrm>
                <a:off x="1714501" y="56502299"/>
                <a:ext cx="1462944" cy="19526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1" name="Picture 90" descr="https://vsjcllp.vsjadon.com/upload/insp-246599-1512.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a:ext>
                </a:extLst>
              </a:blip>
              <a:srcRect/>
              <a:stretch>
                <a:fillRect/>
              </a:stretch>
            </xdr:blipFill>
            <xdr:spPr bwMode="auto">
              <a:xfrm>
                <a:off x="3276601" y="56502299"/>
                <a:ext cx="1462944" cy="19526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93" name="Rectangle 92"/>
            <xdr:cNvSpPr/>
          </xdr:nvSpPr>
          <xdr:spPr>
            <a:xfrm>
              <a:off x="524534" y="53821376"/>
              <a:ext cx="863967" cy="319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en-IN" sz="1100" b="1" baseline="0">
                  <a:solidFill>
                    <a:sysClr val="windowText" lastClr="000000"/>
                  </a:solidFill>
                  <a:effectLst>
                    <a:outerShdw blurRad="38100" dist="25400" dir="5400000" algn="ctr" rotWithShape="0">
                      <a:srgbClr val="6E747A">
                        <a:alpha val="43000"/>
                      </a:srgbClr>
                    </a:outerShdw>
                  </a:effectLst>
                  <a:latin typeface="+mn-lt"/>
                  <a:ea typeface="+mn-ea"/>
                  <a:cs typeface="+mn-cs"/>
                </a:rPr>
                <a:t>  </a:t>
              </a:r>
              <a:r>
                <a:rPr lang="en-IN" sz="1600" b="1" baseline="0">
                  <a:solidFill>
                    <a:sysClr val="windowText" lastClr="000000"/>
                  </a:solidFill>
                  <a:effectLst>
                    <a:outerShdw blurRad="38100" dist="25400" dir="5400000" algn="ctr" rotWithShape="0">
                      <a:srgbClr val="6E747A">
                        <a:alpha val="43000"/>
                      </a:srgbClr>
                    </a:outerShdw>
                  </a:effectLst>
                  <a:latin typeface="+mn-lt"/>
                  <a:ea typeface="+mn-ea"/>
                  <a:cs typeface="+mn-cs"/>
                </a:rPr>
                <a:t>Part 2</a:t>
              </a:r>
              <a:endParaRPr lang="en-IN" sz="2000" b="1">
                <a:solidFill>
                  <a:sysClr val="windowText" lastClr="000000"/>
                </a:solidFill>
                <a:effectLst/>
              </a:endParaRPr>
            </a:p>
            <a:p>
              <a:pPr algn="l"/>
              <a:r>
                <a:rPr lang="en-IN" sz="1400" b="1" cap="none" spc="0">
                  <a:ln w="0"/>
                  <a:solidFill>
                    <a:srgbClr val="FFFF00"/>
                  </a:solidFill>
                  <a:effectLst>
                    <a:outerShdw blurRad="38100" dist="25400" dir="5400000" algn="ctr" rotWithShape="0">
                      <a:srgbClr val="6E747A">
                        <a:alpha val="43000"/>
                      </a:srgbClr>
                    </a:outerShdw>
                  </a:effectLst>
                </a:rPr>
                <a:t> </a:t>
              </a:r>
            </a:p>
          </xdr:txBody>
        </xdr:sp>
        <xdr:sp macro="" textlink="">
          <xdr:nvSpPr>
            <xdr:cNvPr id="94" name="Rectangle 93"/>
            <xdr:cNvSpPr/>
          </xdr:nvSpPr>
          <xdr:spPr>
            <a:xfrm>
              <a:off x="238125" y="51022605"/>
              <a:ext cx="758825" cy="3301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400" b="1" cap="none" spc="0">
                  <a:ln w="0"/>
                  <a:solidFill>
                    <a:sysClr val="windowText" lastClr="000000"/>
                  </a:solidFill>
                  <a:effectLst>
                    <a:outerShdw blurRad="38100" dist="25400" dir="5400000" algn="ctr" rotWithShape="0">
                      <a:srgbClr val="6E747A">
                        <a:alpha val="43000"/>
                      </a:srgbClr>
                    </a:outerShdw>
                  </a:effectLst>
                </a:rPr>
                <a:t>Wing A</a:t>
              </a:r>
            </a:p>
          </xdr:txBody>
        </xdr:sp>
        <xdr:sp macro="" textlink="">
          <xdr:nvSpPr>
            <xdr:cNvPr id="98" name="Rectangle 97"/>
            <xdr:cNvSpPr/>
          </xdr:nvSpPr>
          <xdr:spPr>
            <a:xfrm>
              <a:off x="4410074" y="51032128"/>
              <a:ext cx="1031706" cy="640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400" b="1" cap="none" spc="0">
                  <a:ln w="0"/>
                  <a:solidFill>
                    <a:sysClr val="windowText" lastClr="000000"/>
                  </a:solidFill>
                  <a:effectLst>
                    <a:outerShdw blurRad="38100" dist="25400" dir="5400000" algn="ctr" rotWithShape="0">
                      <a:srgbClr val="6E747A">
                        <a:alpha val="43000"/>
                      </a:srgbClr>
                    </a:outerShdw>
                  </a:effectLst>
                </a:rPr>
                <a:t>Wing D</a:t>
              </a:r>
            </a:p>
            <a:p>
              <a:pPr marL="0" marR="0" indent="0" algn="l" defTabSz="914400" eaLnBrk="1" fontAlgn="auto" latinLnBrk="0" hangingPunct="1">
                <a:lnSpc>
                  <a:spcPct val="100000"/>
                </a:lnSpc>
                <a:spcBef>
                  <a:spcPts val="0"/>
                </a:spcBef>
                <a:spcAft>
                  <a:spcPts val="0"/>
                </a:spcAft>
                <a:buClrTx/>
                <a:buSzTx/>
                <a:buFontTx/>
                <a:buNone/>
                <a:tabLst/>
                <a:defRPr/>
              </a:pPr>
              <a:r>
                <a:rPr lang="en-IN" sz="1600" b="1" baseline="0">
                  <a:solidFill>
                    <a:sysClr val="windowText" lastClr="000000"/>
                  </a:solidFill>
                  <a:effectLst>
                    <a:outerShdw blurRad="38100" dist="25400" dir="5400000" algn="ctr" rotWithShape="0">
                      <a:srgbClr val="6E747A">
                        <a:alpha val="43000"/>
                      </a:srgbClr>
                    </a:outerShdw>
                  </a:effectLst>
                  <a:latin typeface="+mn-lt"/>
                  <a:ea typeface="+mn-ea"/>
                  <a:cs typeface="+mn-cs"/>
                </a:rPr>
                <a:t>Part 1</a:t>
              </a:r>
              <a:endParaRPr lang="en-IN" sz="2000" b="1">
                <a:solidFill>
                  <a:sysClr val="windowText" lastClr="000000"/>
                </a:solidFill>
                <a:effectLst/>
              </a:endParaRPr>
            </a:p>
            <a:p>
              <a:pPr algn="l"/>
              <a:endParaRPr lang="en-IN" sz="1400" b="1" cap="none" spc="0">
                <a:ln w="0"/>
                <a:solidFill>
                  <a:sysClr val="windowText" lastClr="000000"/>
                </a:solidFill>
                <a:effectLst>
                  <a:outerShdw blurRad="38100" dist="25400" dir="5400000" algn="ctr" rotWithShape="0">
                    <a:srgbClr val="6E747A">
                      <a:alpha val="43000"/>
                    </a:srgbClr>
                  </a:outerShdw>
                </a:effectLst>
              </a:endParaRPr>
            </a:p>
          </xdr:txBody>
        </xdr:sp>
        <xdr:sp macro="" textlink="">
          <xdr:nvSpPr>
            <xdr:cNvPr id="99" name="Rectangle 98"/>
            <xdr:cNvSpPr/>
          </xdr:nvSpPr>
          <xdr:spPr>
            <a:xfrm>
              <a:off x="2286000" y="51013080"/>
              <a:ext cx="758825" cy="3301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400" b="1" cap="none" spc="0">
                  <a:ln w="0"/>
                  <a:solidFill>
                    <a:sysClr val="windowText" lastClr="000000"/>
                  </a:solidFill>
                  <a:effectLst>
                    <a:outerShdw blurRad="38100" dist="25400" dir="5400000" algn="ctr" rotWithShape="0">
                      <a:srgbClr val="6E747A">
                        <a:alpha val="43000"/>
                      </a:srgbClr>
                    </a:outerShdw>
                  </a:effectLst>
                </a:rPr>
                <a:t>Wing C</a:t>
              </a:r>
            </a:p>
          </xdr:txBody>
        </xdr:sp>
      </xdr:grpSp>
      <xdr:sp macro="" textlink="">
        <xdr:nvSpPr>
          <xdr:cNvPr id="100" name="Rectangle 99"/>
          <xdr:cNvSpPr/>
        </xdr:nvSpPr>
        <xdr:spPr>
          <a:xfrm>
            <a:off x="717177" y="55603589"/>
            <a:ext cx="1066365" cy="4482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400" b="1" cap="none" spc="0">
                <a:ln w="0"/>
                <a:solidFill>
                  <a:srgbClr val="FFFF00"/>
                </a:solidFill>
                <a:effectLst>
                  <a:outerShdw blurRad="38100" dist="25400" dir="5400000" algn="ctr" rotWithShape="0">
                    <a:srgbClr val="6E747A">
                      <a:alpha val="43000"/>
                    </a:srgbClr>
                  </a:outerShdw>
                </a:effectLst>
              </a:rPr>
              <a:t>Wing D</a:t>
            </a:r>
          </a:p>
          <a:p>
            <a:pPr algn="l"/>
            <a:r>
              <a:rPr lang="en-IN" sz="1400" b="1" cap="none" spc="0">
                <a:ln w="0"/>
                <a:solidFill>
                  <a:srgbClr val="FFFF00"/>
                </a:solidFill>
                <a:effectLst>
                  <a:outerShdw blurRad="38100" dist="25400" dir="5400000" algn="ctr" rotWithShape="0">
                    <a:srgbClr val="6E747A">
                      <a:alpha val="43000"/>
                    </a:srgbClr>
                  </a:outerShdw>
                </a:effectLst>
              </a:rPr>
              <a:t> </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240196</xdr:colOff>
      <xdr:row>0</xdr:row>
      <xdr:rowOff>149087</xdr:rowOff>
    </xdr:from>
    <xdr:to>
      <xdr:col>8</xdr:col>
      <xdr:colOff>570015</xdr:colOff>
      <xdr:row>19</xdr:row>
      <xdr:rowOff>129587</xdr:rowOff>
    </xdr:to>
    <xdr:pic>
      <xdr:nvPicPr>
        <xdr:cNvPr id="3" name="Picture 2"/>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40196" y="149087"/>
          <a:ext cx="5233123" cy="3600000"/>
        </a:xfrm>
        <a:prstGeom prst="rect">
          <a:avLst/>
        </a:prstGeom>
        <a:ln>
          <a:solidFill>
            <a:schemeClr val="tx1"/>
          </a:solidFill>
        </a:ln>
      </xdr:spPr>
    </xdr:pic>
    <xdr:clientData/>
  </xdr:twoCellAnchor>
  <xdr:twoCellAnchor editAs="oneCell">
    <xdr:from>
      <xdr:col>0</xdr:col>
      <xdr:colOff>31564</xdr:colOff>
      <xdr:row>20</xdr:row>
      <xdr:rowOff>28688</xdr:rowOff>
    </xdr:from>
    <xdr:to>
      <xdr:col>9</xdr:col>
      <xdr:colOff>199223</xdr:colOff>
      <xdr:row>39</xdr:row>
      <xdr:rowOff>9188</xdr:rowOff>
    </xdr:to>
    <xdr:pic>
      <xdr:nvPicPr>
        <xdr:cNvPr id="4" name="Picture 3"/>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31564" y="3838688"/>
          <a:ext cx="5622886"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Rk4Fq82ZyLVS86zu5"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85"/>
  <sheetViews>
    <sheetView tabSelected="1" view="pageBreakPreview" zoomScale="85" zoomScaleNormal="100" zoomScaleSheetLayoutView="85" zoomScalePageLayoutView="85" workbookViewId="0">
      <selection activeCell="J279" sqref="J279"/>
    </sheetView>
  </sheetViews>
  <sheetFormatPr defaultColWidth="9.140625" defaultRowHeight="15.75" x14ac:dyDescent="0.25"/>
  <cols>
    <col min="1" max="1" width="11.42578125" style="37" customWidth="1"/>
    <col min="2" max="2" width="12" style="37" customWidth="1"/>
    <col min="3" max="3" width="12.7109375" style="37" customWidth="1"/>
    <col min="4" max="4" width="13.7109375" style="37" customWidth="1"/>
    <col min="5" max="5" width="11.7109375" style="37" customWidth="1"/>
    <col min="6" max="6" width="11.140625" style="37" customWidth="1"/>
    <col min="7" max="7" width="10.5703125" style="37" customWidth="1"/>
    <col min="8" max="8" width="13.7109375" style="37" customWidth="1"/>
    <col min="9" max="9" width="17.42578125" style="18" customWidth="1"/>
    <col min="10" max="10" width="11.42578125" style="18" customWidth="1"/>
    <col min="11" max="11" width="10.5703125" style="18" bestFit="1" customWidth="1"/>
    <col min="12" max="12" width="13.85546875" style="18" bestFit="1" customWidth="1"/>
    <col min="13" max="13" width="11.85546875" style="18" customWidth="1"/>
    <col min="14" max="14" width="12.5703125" style="18" customWidth="1"/>
    <col min="15" max="15" width="12.140625" style="18" customWidth="1"/>
    <col min="16" max="16" width="11.7109375" style="18" customWidth="1"/>
    <col min="17" max="18" width="9.140625" style="18"/>
    <col min="19" max="19" width="10.85546875" style="18" bestFit="1" customWidth="1"/>
    <col min="20" max="20" width="10.7109375" style="18" customWidth="1"/>
    <col min="21" max="247" width="9.140625" style="18"/>
    <col min="248" max="248" width="8.7109375" style="18" customWidth="1"/>
    <col min="249" max="249" width="9.85546875" style="18" customWidth="1"/>
    <col min="250" max="250" width="14.42578125" style="18" customWidth="1"/>
    <col min="251" max="251" width="7.28515625" style="18" customWidth="1"/>
    <col min="252" max="252" width="5.5703125" style="18" customWidth="1"/>
    <col min="253" max="253" width="9" style="18" customWidth="1"/>
    <col min="254" max="255" width="9.85546875" style="18" customWidth="1"/>
    <col min="256" max="256" width="11.140625" style="18" customWidth="1"/>
    <col min="257" max="257" width="2.85546875" style="18" customWidth="1"/>
    <col min="258" max="258" width="3.5703125" style="18" customWidth="1"/>
    <col min="259" max="503" width="9.140625" style="18"/>
    <col min="504" max="504" width="8.7109375" style="18" customWidth="1"/>
    <col min="505" max="505" width="9.85546875" style="18" customWidth="1"/>
    <col min="506" max="506" width="14.42578125" style="18" customWidth="1"/>
    <col min="507" max="507" width="7.28515625" style="18" customWidth="1"/>
    <col min="508" max="508" width="5.5703125" style="18" customWidth="1"/>
    <col min="509" max="509" width="9" style="18" customWidth="1"/>
    <col min="510" max="511" width="9.85546875" style="18" customWidth="1"/>
    <col min="512" max="512" width="11.140625" style="18" customWidth="1"/>
    <col min="513" max="513" width="2.85546875" style="18" customWidth="1"/>
    <col min="514" max="514" width="3.5703125" style="18" customWidth="1"/>
    <col min="515" max="759" width="9.140625" style="18"/>
    <col min="760" max="760" width="8.7109375" style="18" customWidth="1"/>
    <col min="761" max="761" width="9.85546875" style="18" customWidth="1"/>
    <col min="762" max="762" width="14.42578125" style="18" customWidth="1"/>
    <col min="763" max="763" width="7.28515625" style="18" customWidth="1"/>
    <col min="764" max="764" width="5.5703125" style="18" customWidth="1"/>
    <col min="765" max="765" width="9" style="18" customWidth="1"/>
    <col min="766" max="767" width="9.85546875" style="18" customWidth="1"/>
    <col min="768" max="768" width="11.140625" style="18" customWidth="1"/>
    <col min="769" max="769" width="2.85546875" style="18" customWidth="1"/>
    <col min="770" max="770" width="3.5703125" style="18" customWidth="1"/>
    <col min="771" max="1015" width="9.140625" style="18"/>
    <col min="1016" max="1016" width="8.7109375" style="18" customWidth="1"/>
    <col min="1017" max="1017" width="9.85546875" style="18" customWidth="1"/>
    <col min="1018" max="1018" width="14.42578125" style="18" customWidth="1"/>
    <col min="1019" max="1019" width="7.28515625" style="18" customWidth="1"/>
    <col min="1020" max="1020" width="5.5703125" style="18" customWidth="1"/>
    <col min="1021" max="1021" width="9" style="18" customWidth="1"/>
    <col min="1022" max="1023" width="9.85546875" style="18" customWidth="1"/>
    <col min="1024" max="1024" width="11.140625" style="18" customWidth="1"/>
    <col min="1025" max="1025" width="2.85546875" style="18" customWidth="1"/>
    <col min="1026" max="1026" width="3.5703125" style="18" customWidth="1"/>
    <col min="1027" max="1271" width="9.140625" style="18"/>
    <col min="1272" max="1272" width="8.7109375" style="18" customWidth="1"/>
    <col min="1273" max="1273" width="9.85546875" style="18" customWidth="1"/>
    <col min="1274" max="1274" width="14.42578125" style="18" customWidth="1"/>
    <col min="1275" max="1275" width="7.28515625" style="18" customWidth="1"/>
    <col min="1276" max="1276" width="5.5703125" style="18" customWidth="1"/>
    <col min="1277" max="1277" width="9" style="18" customWidth="1"/>
    <col min="1278" max="1279" width="9.85546875" style="18" customWidth="1"/>
    <col min="1280" max="1280" width="11.140625" style="18" customWidth="1"/>
    <col min="1281" max="1281" width="2.85546875" style="18" customWidth="1"/>
    <col min="1282" max="1282" width="3.5703125" style="18" customWidth="1"/>
    <col min="1283" max="1527" width="9.140625" style="18"/>
    <col min="1528" max="1528" width="8.7109375" style="18" customWidth="1"/>
    <col min="1529" max="1529" width="9.85546875" style="18" customWidth="1"/>
    <col min="1530" max="1530" width="14.42578125" style="18" customWidth="1"/>
    <col min="1531" max="1531" width="7.28515625" style="18" customWidth="1"/>
    <col min="1532" max="1532" width="5.5703125" style="18" customWidth="1"/>
    <col min="1533" max="1533" width="9" style="18" customWidth="1"/>
    <col min="1534" max="1535" width="9.85546875" style="18" customWidth="1"/>
    <col min="1536" max="1536" width="11.140625" style="18" customWidth="1"/>
    <col min="1537" max="1537" width="2.85546875" style="18" customWidth="1"/>
    <col min="1538" max="1538" width="3.5703125" style="18" customWidth="1"/>
    <col min="1539" max="1783" width="9.140625" style="18"/>
    <col min="1784" max="1784" width="8.7109375" style="18" customWidth="1"/>
    <col min="1785" max="1785" width="9.85546875" style="18" customWidth="1"/>
    <col min="1786" max="1786" width="14.42578125" style="18" customWidth="1"/>
    <col min="1787" max="1787" width="7.28515625" style="18" customWidth="1"/>
    <col min="1788" max="1788" width="5.5703125" style="18" customWidth="1"/>
    <col min="1789" max="1789" width="9" style="18" customWidth="1"/>
    <col min="1790" max="1791" width="9.85546875" style="18" customWidth="1"/>
    <col min="1792" max="1792" width="11.140625" style="18" customWidth="1"/>
    <col min="1793" max="1793" width="2.85546875" style="18" customWidth="1"/>
    <col min="1794" max="1794" width="3.5703125" style="18" customWidth="1"/>
    <col min="1795" max="2039" width="9.140625" style="18"/>
    <col min="2040" max="2040" width="8.7109375" style="18" customWidth="1"/>
    <col min="2041" max="2041" width="9.85546875" style="18" customWidth="1"/>
    <col min="2042" max="2042" width="14.42578125" style="18" customWidth="1"/>
    <col min="2043" max="2043" width="7.28515625" style="18" customWidth="1"/>
    <col min="2044" max="2044" width="5.5703125" style="18" customWidth="1"/>
    <col min="2045" max="2045" width="9" style="18" customWidth="1"/>
    <col min="2046" max="2047" width="9.85546875" style="18" customWidth="1"/>
    <col min="2048" max="2048" width="11.140625" style="18" customWidth="1"/>
    <col min="2049" max="2049" width="2.85546875" style="18" customWidth="1"/>
    <col min="2050" max="2050" width="3.5703125" style="18" customWidth="1"/>
    <col min="2051" max="2295" width="9.140625" style="18"/>
    <col min="2296" max="2296" width="8.7109375" style="18" customWidth="1"/>
    <col min="2297" max="2297" width="9.85546875" style="18" customWidth="1"/>
    <col min="2298" max="2298" width="14.42578125" style="18" customWidth="1"/>
    <col min="2299" max="2299" width="7.28515625" style="18" customWidth="1"/>
    <col min="2300" max="2300" width="5.5703125" style="18" customWidth="1"/>
    <col min="2301" max="2301" width="9" style="18" customWidth="1"/>
    <col min="2302" max="2303" width="9.85546875" style="18" customWidth="1"/>
    <col min="2304" max="2304" width="11.140625" style="18" customWidth="1"/>
    <col min="2305" max="2305" width="2.85546875" style="18" customWidth="1"/>
    <col min="2306" max="2306" width="3.5703125" style="18" customWidth="1"/>
    <col min="2307" max="2551" width="9.140625" style="18"/>
    <col min="2552" max="2552" width="8.7109375" style="18" customWidth="1"/>
    <col min="2553" max="2553" width="9.85546875" style="18" customWidth="1"/>
    <col min="2554" max="2554" width="14.42578125" style="18" customWidth="1"/>
    <col min="2555" max="2555" width="7.28515625" style="18" customWidth="1"/>
    <col min="2556" max="2556" width="5.5703125" style="18" customWidth="1"/>
    <col min="2557" max="2557" width="9" style="18" customWidth="1"/>
    <col min="2558" max="2559" width="9.85546875" style="18" customWidth="1"/>
    <col min="2560" max="2560" width="11.140625" style="18" customWidth="1"/>
    <col min="2561" max="2561" width="2.85546875" style="18" customWidth="1"/>
    <col min="2562" max="2562" width="3.5703125" style="18" customWidth="1"/>
    <col min="2563" max="2807" width="9.140625" style="18"/>
    <col min="2808" max="2808" width="8.7109375" style="18" customWidth="1"/>
    <col min="2809" max="2809" width="9.85546875" style="18" customWidth="1"/>
    <col min="2810" max="2810" width="14.42578125" style="18" customWidth="1"/>
    <col min="2811" max="2811" width="7.28515625" style="18" customWidth="1"/>
    <col min="2812" max="2812" width="5.5703125" style="18" customWidth="1"/>
    <col min="2813" max="2813" width="9" style="18" customWidth="1"/>
    <col min="2814" max="2815" width="9.85546875" style="18" customWidth="1"/>
    <col min="2816" max="2816" width="11.140625" style="18" customWidth="1"/>
    <col min="2817" max="2817" width="2.85546875" style="18" customWidth="1"/>
    <col min="2818" max="2818" width="3.5703125" style="18" customWidth="1"/>
    <col min="2819" max="3063" width="9.140625" style="18"/>
    <col min="3064" max="3064" width="8.7109375" style="18" customWidth="1"/>
    <col min="3065" max="3065" width="9.85546875" style="18" customWidth="1"/>
    <col min="3066" max="3066" width="14.42578125" style="18" customWidth="1"/>
    <col min="3067" max="3067" width="7.28515625" style="18" customWidth="1"/>
    <col min="3068" max="3068" width="5.5703125" style="18" customWidth="1"/>
    <col min="3069" max="3069" width="9" style="18" customWidth="1"/>
    <col min="3070" max="3071" width="9.85546875" style="18" customWidth="1"/>
    <col min="3072" max="3072" width="11.140625" style="18" customWidth="1"/>
    <col min="3073" max="3073" width="2.85546875" style="18" customWidth="1"/>
    <col min="3074" max="3074" width="3.5703125" style="18" customWidth="1"/>
    <col min="3075" max="3319" width="9.140625" style="18"/>
    <col min="3320" max="3320" width="8.7109375" style="18" customWidth="1"/>
    <col min="3321" max="3321" width="9.85546875" style="18" customWidth="1"/>
    <col min="3322" max="3322" width="14.42578125" style="18" customWidth="1"/>
    <col min="3323" max="3323" width="7.28515625" style="18" customWidth="1"/>
    <col min="3324" max="3324" width="5.5703125" style="18" customWidth="1"/>
    <col min="3325" max="3325" width="9" style="18" customWidth="1"/>
    <col min="3326" max="3327" width="9.85546875" style="18" customWidth="1"/>
    <col min="3328" max="3328" width="11.140625" style="18" customWidth="1"/>
    <col min="3329" max="3329" width="2.85546875" style="18" customWidth="1"/>
    <col min="3330" max="3330" width="3.5703125" style="18" customWidth="1"/>
    <col min="3331" max="3575" width="9.140625" style="18"/>
    <col min="3576" max="3576" width="8.7109375" style="18" customWidth="1"/>
    <col min="3577" max="3577" width="9.85546875" style="18" customWidth="1"/>
    <col min="3578" max="3578" width="14.42578125" style="18" customWidth="1"/>
    <col min="3579" max="3579" width="7.28515625" style="18" customWidth="1"/>
    <col min="3580" max="3580" width="5.5703125" style="18" customWidth="1"/>
    <col min="3581" max="3581" width="9" style="18" customWidth="1"/>
    <col min="3582" max="3583" width="9.85546875" style="18" customWidth="1"/>
    <col min="3584" max="3584" width="11.140625" style="18" customWidth="1"/>
    <col min="3585" max="3585" width="2.85546875" style="18" customWidth="1"/>
    <col min="3586" max="3586" width="3.5703125" style="18" customWidth="1"/>
    <col min="3587" max="3831" width="9.140625" style="18"/>
    <col min="3832" max="3832" width="8.7109375" style="18" customWidth="1"/>
    <col min="3833" max="3833" width="9.85546875" style="18" customWidth="1"/>
    <col min="3834" max="3834" width="14.42578125" style="18" customWidth="1"/>
    <col min="3835" max="3835" width="7.28515625" style="18" customWidth="1"/>
    <col min="3836" max="3836" width="5.5703125" style="18" customWidth="1"/>
    <col min="3837" max="3837" width="9" style="18" customWidth="1"/>
    <col min="3838" max="3839" width="9.85546875" style="18" customWidth="1"/>
    <col min="3840" max="3840" width="11.140625" style="18" customWidth="1"/>
    <col min="3841" max="3841" width="2.85546875" style="18" customWidth="1"/>
    <col min="3842" max="3842" width="3.5703125" style="18" customWidth="1"/>
    <col min="3843" max="4087" width="9.140625" style="18"/>
    <col min="4088" max="4088" width="8.7109375" style="18" customWidth="1"/>
    <col min="4089" max="4089" width="9.85546875" style="18" customWidth="1"/>
    <col min="4090" max="4090" width="14.42578125" style="18" customWidth="1"/>
    <col min="4091" max="4091" width="7.28515625" style="18" customWidth="1"/>
    <col min="4092" max="4092" width="5.5703125" style="18" customWidth="1"/>
    <col min="4093" max="4093" width="9" style="18" customWidth="1"/>
    <col min="4094" max="4095" width="9.85546875" style="18" customWidth="1"/>
    <col min="4096" max="4096" width="11.140625" style="18" customWidth="1"/>
    <col min="4097" max="4097" width="2.85546875" style="18" customWidth="1"/>
    <col min="4098" max="4098" width="3.5703125" style="18" customWidth="1"/>
    <col min="4099" max="4343" width="9.140625" style="18"/>
    <col min="4344" max="4344" width="8.7109375" style="18" customWidth="1"/>
    <col min="4345" max="4345" width="9.85546875" style="18" customWidth="1"/>
    <col min="4346" max="4346" width="14.42578125" style="18" customWidth="1"/>
    <col min="4347" max="4347" width="7.28515625" style="18" customWidth="1"/>
    <col min="4348" max="4348" width="5.5703125" style="18" customWidth="1"/>
    <col min="4349" max="4349" width="9" style="18" customWidth="1"/>
    <col min="4350" max="4351" width="9.85546875" style="18" customWidth="1"/>
    <col min="4352" max="4352" width="11.140625" style="18" customWidth="1"/>
    <col min="4353" max="4353" width="2.85546875" style="18" customWidth="1"/>
    <col min="4354" max="4354" width="3.5703125" style="18" customWidth="1"/>
    <col min="4355" max="4599" width="9.140625" style="18"/>
    <col min="4600" max="4600" width="8.7109375" style="18" customWidth="1"/>
    <col min="4601" max="4601" width="9.85546875" style="18" customWidth="1"/>
    <col min="4602" max="4602" width="14.42578125" style="18" customWidth="1"/>
    <col min="4603" max="4603" width="7.28515625" style="18" customWidth="1"/>
    <col min="4604" max="4604" width="5.5703125" style="18" customWidth="1"/>
    <col min="4605" max="4605" width="9" style="18" customWidth="1"/>
    <col min="4606" max="4607" width="9.85546875" style="18" customWidth="1"/>
    <col min="4608" max="4608" width="11.140625" style="18" customWidth="1"/>
    <col min="4609" max="4609" width="2.85546875" style="18" customWidth="1"/>
    <col min="4610" max="4610" width="3.5703125" style="18" customWidth="1"/>
    <col min="4611" max="4855" width="9.140625" style="18"/>
    <col min="4856" max="4856" width="8.7109375" style="18" customWidth="1"/>
    <col min="4857" max="4857" width="9.85546875" style="18" customWidth="1"/>
    <col min="4858" max="4858" width="14.42578125" style="18" customWidth="1"/>
    <col min="4859" max="4859" width="7.28515625" style="18" customWidth="1"/>
    <col min="4860" max="4860" width="5.5703125" style="18" customWidth="1"/>
    <col min="4861" max="4861" width="9" style="18" customWidth="1"/>
    <col min="4862" max="4863" width="9.85546875" style="18" customWidth="1"/>
    <col min="4864" max="4864" width="11.140625" style="18" customWidth="1"/>
    <col min="4865" max="4865" width="2.85546875" style="18" customWidth="1"/>
    <col min="4866" max="4866" width="3.5703125" style="18" customWidth="1"/>
    <col min="4867" max="5111" width="9.140625" style="18"/>
    <col min="5112" max="5112" width="8.7109375" style="18" customWidth="1"/>
    <col min="5113" max="5113" width="9.85546875" style="18" customWidth="1"/>
    <col min="5114" max="5114" width="14.42578125" style="18" customWidth="1"/>
    <col min="5115" max="5115" width="7.28515625" style="18" customWidth="1"/>
    <col min="5116" max="5116" width="5.5703125" style="18" customWidth="1"/>
    <col min="5117" max="5117" width="9" style="18" customWidth="1"/>
    <col min="5118" max="5119" width="9.85546875" style="18" customWidth="1"/>
    <col min="5120" max="5120" width="11.140625" style="18" customWidth="1"/>
    <col min="5121" max="5121" width="2.85546875" style="18" customWidth="1"/>
    <col min="5122" max="5122" width="3.5703125" style="18" customWidth="1"/>
    <col min="5123" max="5367" width="9.140625" style="18"/>
    <col min="5368" max="5368" width="8.7109375" style="18" customWidth="1"/>
    <col min="5369" max="5369" width="9.85546875" style="18" customWidth="1"/>
    <col min="5370" max="5370" width="14.42578125" style="18" customWidth="1"/>
    <col min="5371" max="5371" width="7.28515625" style="18" customWidth="1"/>
    <col min="5372" max="5372" width="5.5703125" style="18" customWidth="1"/>
    <col min="5373" max="5373" width="9" style="18" customWidth="1"/>
    <col min="5374" max="5375" width="9.85546875" style="18" customWidth="1"/>
    <col min="5376" max="5376" width="11.140625" style="18" customWidth="1"/>
    <col min="5377" max="5377" width="2.85546875" style="18" customWidth="1"/>
    <col min="5378" max="5378" width="3.5703125" style="18" customWidth="1"/>
    <col min="5379" max="5623" width="9.140625" style="18"/>
    <col min="5624" max="5624" width="8.7109375" style="18" customWidth="1"/>
    <col min="5625" max="5625" width="9.85546875" style="18" customWidth="1"/>
    <col min="5626" max="5626" width="14.42578125" style="18" customWidth="1"/>
    <col min="5627" max="5627" width="7.28515625" style="18" customWidth="1"/>
    <col min="5628" max="5628" width="5.5703125" style="18" customWidth="1"/>
    <col min="5629" max="5629" width="9" style="18" customWidth="1"/>
    <col min="5630" max="5631" width="9.85546875" style="18" customWidth="1"/>
    <col min="5632" max="5632" width="11.140625" style="18" customWidth="1"/>
    <col min="5633" max="5633" width="2.85546875" style="18" customWidth="1"/>
    <col min="5634" max="5634" width="3.5703125" style="18" customWidth="1"/>
    <col min="5635" max="5879" width="9.140625" style="18"/>
    <col min="5880" max="5880" width="8.7109375" style="18" customWidth="1"/>
    <col min="5881" max="5881" width="9.85546875" style="18" customWidth="1"/>
    <col min="5882" max="5882" width="14.42578125" style="18" customWidth="1"/>
    <col min="5883" max="5883" width="7.28515625" style="18" customWidth="1"/>
    <col min="5884" max="5884" width="5.5703125" style="18" customWidth="1"/>
    <col min="5885" max="5885" width="9" style="18" customWidth="1"/>
    <col min="5886" max="5887" width="9.85546875" style="18" customWidth="1"/>
    <col min="5888" max="5888" width="11.140625" style="18" customWidth="1"/>
    <col min="5889" max="5889" width="2.85546875" style="18" customWidth="1"/>
    <col min="5890" max="5890" width="3.5703125" style="18" customWidth="1"/>
    <col min="5891" max="6135" width="9.140625" style="18"/>
    <col min="6136" max="6136" width="8.7109375" style="18" customWidth="1"/>
    <col min="6137" max="6137" width="9.85546875" style="18" customWidth="1"/>
    <col min="6138" max="6138" width="14.42578125" style="18" customWidth="1"/>
    <col min="6139" max="6139" width="7.28515625" style="18" customWidth="1"/>
    <col min="6140" max="6140" width="5.5703125" style="18" customWidth="1"/>
    <col min="6141" max="6141" width="9" style="18" customWidth="1"/>
    <col min="6142" max="6143" width="9.85546875" style="18" customWidth="1"/>
    <col min="6144" max="6144" width="11.140625" style="18" customWidth="1"/>
    <col min="6145" max="6145" width="2.85546875" style="18" customWidth="1"/>
    <col min="6146" max="6146" width="3.5703125" style="18" customWidth="1"/>
    <col min="6147" max="6391" width="9.140625" style="18"/>
    <col min="6392" max="6392" width="8.7109375" style="18" customWidth="1"/>
    <col min="6393" max="6393" width="9.85546875" style="18" customWidth="1"/>
    <col min="6394" max="6394" width="14.42578125" style="18" customWidth="1"/>
    <col min="6395" max="6395" width="7.28515625" style="18" customWidth="1"/>
    <col min="6396" max="6396" width="5.5703125" style="18" customWidth="1"/>
    <col min="6397" max="6397" width="9" style="18" customWidth="1"/>
    <col min="6398" max="6399" width="9.85546875" style="18" customWidth="1"/>
    <col min="6400" max="6400" width="11.140625" style="18" customWidth="1"/>
    <col min="6401" max="6401" width="2.85546875" style="18" customWidth="1"/>
    <col min="6402" max="6402" width="3.5703125" style="18" customWidth="1"/>
    <col min="6403" max="6647" width="9.140625" style="18"/>
    <col min="6648" max="6648" width="8.7109375" style="18" customWidth="1"/>
    <col min="6649" max="6649" width="9.85546875" style="18" customWidth="1"/>
    <col min="6650" max="6650" width="14.42578125" style="18" customWidth="1"/>
    <col min="6651" max="6651" width="7.28515625" style="18" customWidth="1"/>
    <col min="6652" max="6652" width="5.5703125" style="18" customWidth="1"/>
    <col min="6653" max="6653" width="9" style="18" customWidth="1"/>
    <col min="6654" max="6655" width="9.85546875" style="18" customWidth="1"/>
    <col min="6656" max="6656" width="11.140625" style="18" customWidth="1"/>
    <col min="6657" max="6657" width="2.85546875" style="18" customWidth="1"/>
    <col min="6658" max="6658" width="3.5703125" style="18" customWidth="1"/>
    <col min="6659" max="6903" width="9.140625" style="18"/>
    <col min="6904" max="6904" width="8.7109375" style="18" customWidth="1"/>
    <col min="6905" max="6905" width="9.85546875" style="18" customWidth="1"/>
    <col min="6906" max="6906" width="14.42578125" style="18" customWidth="1"/>
    <col min="6907" max="6907" width="7.28515625" style="18" customWidth="1"/>
    <col min="6908" max="6908" width="5.5703125" style="18" customWidth="1"/>
    <col min="6909" max="6909" width="9" style="18" customWidth="1"/>
    <col min="6910" max="6911" width="9.85546875" style="18" customWidth="1"/>
    <col min="6912" max="6912" width="11.140625" style="18" customWidth="1"/>
    <col min="6913" max="6913" width="2.85546875" style="18" customWidth="1"/>
    <col min="6914" max="6914" width="3.5703125" style="18" customWidth="1"/>
    <col min="6915" max="7159" width="9.140625" style="18"/>
    <col min="7160" max="7160" width="8.7109375" style="18" customWidth="1"/>
    <col min="7161" max="7161" width="9.85546875" style="18" customWidth="1"/>
    <col min="7162" max="7162" width="14.42578125" style="18" customWidth="1"/>
    <col min="7163" max="7163" width="7.28515625" style="18" customWidth="1"/>
    <col min="7164" max="7164" width="5.5703125" style="18" customWidth="1"/>
    <col min="7165" max="7165" width="9" style="18" customWidth="1"/>
    <col min="7166" max="7167" width="9.85546875" style="18" customWidth="1"/>
    <col min="7168" max="7168" width="11.140625" style="18" customWidth="1"/>
    <col min="7169" max="7169" width="2.85546875" style="18" customWidth="1"/>
    <col min="7170" max="7170" width="3.5703125" style="18" customWidth="1"/>
    <col min="7171" max="7415" width="9.140625" style="18"/>
    <col min="7416" max="7416" width="8.7109375" style="18" customWidth="1"/>
    <col min="7417" max="7417" width="9.85546875" style="18" customWidth="1"/>
    <col min="7418" max="7418" width="14.42578125" style="18" customWidth="1"/>
    <col min="7419" max="7419" width="7.28515625" style="18" customWidth="1"/>
    <col min="7420" max="7420" width="5.5703125" style="18" customWidth="1"/>
    <col min="7421" max="7421" width="9" style="18" customWidth="1"/>
    <col min="7422" max="7423" width="9.85546875" style="18" customWidth="1"/>
    <col min="7424" max="7424" width="11.140625" style="18" customWidth="1"/>
    <col min="7425" max="7425" width="2.85546875" style="18" customWidth="1"/>
    <col min="7426" max="7426" width="3.5703125" style="18" customWidth="1"/>
    <col min="7427" max="7671" width="9.140625" style="18"/>
    <col min="7672" max="7672" width="8.7109375" style="18" customWidth="1"/>
    <col min="7673" max="7673" width="9.85546875" style="18" customWidth="1"/>
    <col min="7674" max="7674" width="14.42578125" style="18" customWidth="1"/>
    <col min="7675" max="7675" width="7.28515625" style="18" customWidth="1"/>
    <col min="7676" max="7676" width="5.5703125" style="18" customWidth="1"/>
    <col min="7677" max="7677" width="9" style="18" customWidth="1"/>
    <col min="7678" max="7679" width="9.85546875" style="18" customWidth="1"/>
    <col min="7680" max="7680" width="11.140625" style="18" customWidth="1"/>
    <col min="7681" max="7681" width="2.85546875" style="18" customWidth="1"/>
    <col min="7682" max="7682" width="3.5703125" style="18" customWidth="1"/>
    <col min="7683" max="7927" width="9.140625" style="18"/>
    <col min="7928" max="7928" width="8.7109375" style="18" customWidth="1"/>
    <col min="7929" max="7929" width="9.85546875" style="18" customWidth="1"/>
    <col min="7930" max="7930" width="14.42578125" style="18" customWidth="1"/>
    <col min="7931" max="7931" width="7.28515625" style="18" customWidth="1"/>
    <col min="7932" max="7932" width="5.5703125" style="18" customWidth="1"/>
    <col min="7933" max="7933" width="9" style="18" customWidth="1"/>
    <col min="7934" max="7935" width="9.85546875" style="18" customWidth="1"/>
    <col min="7936" max="7936" width="11.140625" style="18" customWidth="1"/>
    <col min="7937" max="7937" width="2.85546875" style="18" customWidth="1"/>
    <col min="7938" max="7938" width="3.5703125" style="18" customWidth="1"/>
    <col min="7939" max="8183" width="9.140625" style="18"/>
    <col min="8184" max="8184" width="8.7109375" style="18" customWidth="1"/>
    <col min="8185" max="8185" width="9.85546875" style="18" customWidth="1"/>
    <col min="8186" max="8186" width="14.42578125" style="18" customWidth="1"/>
    <col min="8187" max="8187" width="7.28515625" style="18" customWidth="1"/>
    <col min="8188" max="8188" width="5.5703125" style="18" customWidth="1"/>
    <col min="8189" max="8189" width="9" style="18" customWidth="1"/>
    <col min="8190" max="8191" width="9.85546875" style="18" customWidth="1"/>
    <col min="8192" max="8192" width="11.140625" style="18" customWidth="1"/>
    <col min="8193" max="8193" width="2.85546875" style="18" customWidth="1"/>
    <col min="8194" max="8194" width="3.5703125" style="18" customWidth="1"/>
    <col min="8195" max="8439" width="9.140625" style="18"/>
    <col min="8440" max="8440" width="8.7109375" style="18" customWidth="1"/>
    <col min="8441" max="8441" width="9.85546875" style="18" customWidth="1"/>
    <col min="8442" max="8442" width="14.42578125" style="18" customWidth="1"/>
    <col min="8443" max="8443" width="7.28515625" style="18" customWidth="1"/>
    <col min="8444" max="8444" width="5.5703125" style="18" customWidth="1"/>
    <col min="8445" max="8445" width="9" style="18" customWidth="1"/>
    <col min="8446" max="8447" width="9.85546875" style="18" customWidth="1"/>
    <col min="8448" max="8448" width="11.140625" style="18" customWidth="1"/>
    <col min="8449" max="8449" width="2.85546875" style="18" customWidth="1"/>
    <col min="8450" max="8450" width="3.5703125" style="18" customWidth="1"/>
    <col min="8451" max="8695" width="9.140625" style="18"/>
    <col min="8696" max="8696" width="8.7109375" style="18" customWidth="1"/>
    <col min="8697" max="8697" width="9.85546875" style="18" customWidth="1"/>
    <col min="8698" max="8698" width="14.42578125" style="18" customWidth="1"/>
    <col min="8699" max="8699" width="7.28515625" style="18" customWidth="1"/>
    <col min="8700" max="8700" width="5.5703125" style="18" customWidth="1"/>
    <col min="8701" max="8701" width="9" style="18" customWidth="1"/>
    <col min="8702" max="8703" width="9.85546875" style="18" customWidth="1"/>
    <col min="8704" max="8704" width="11.140625" style="18" customWidth="1"/>
    <col min="8705" max="8705" width="2.85546875" style="18" customWidth="1"/>
    <col min="8706" max="8706" width="3.5703125" style="18" customWidth="1"/>
    <col min="8707" max="8951" width="9.140625" style="18"/>
    <col min="8952" max="8952" width="8.7109375" style="18" customWidth="1"/>
    <col min="8953" max="8953" width="9.85546875" style="18" customWidth="1"/>
    <col min="8954" max="8954" width="14.42578125" style="18" customWidth="1"/>
    <col min="8955" max="8955" width="7.28515625" style="18" customWidth="1"/>
    <col min="8956" max="8956" width="5.5703125" style="18" customWidth="1"/>
    <col min="8957" max="8957" width="9" style="18" customWidth="1"/>
    <col min="8958" max="8959" width="9.85546875" style="18" customWidth="1"/>
    <col min="8960" max="8960" width="11.140625" style="18" customWidth="1"/>
    <col min="8961" max="8961" width="2.85546875" style="18" customWidth="1"/>
    <col min="8962" max="8962" width="3.5703125" style="18" customWidth="1"/>
    <col min="8963" max="9207" width="9.140625" style="18"/>
    <col min="9208" max="9208" width="8.7109375" style="18" customWidth="1"/>
    <col min="9209" max="9209" width="9.85546875" style="18" customWidth="1"/>
    <col min="9210" max="9210" width="14.42578125" style="18" customWidth="1"/>
    <col min="9211" max="9211" width="7.28515625" style="18" customWidth="1"/>
    <col min="9212" max="9212" width="5.5703125" style="18" customWidth="1"/>
    <col min="9213" max="9213" width="9" style="18" customWidth="1"/>
    <col min="9214" max="9215" width="9.85546875" style="18" customWidth="1"/>
    <col min="9216" max="9216" width="11.140625" style="18" customWidth="1"/>
    <col min="9217" max="9217" width="2.85546875" style="18" customWidth="1"/>
    <col min="9218" max="9218" width="3.5703125" style="18" customWidth="1"/>
    <col min="9219" max="9463" width="9.140625" style="18"/>
    <col min="9464" max="9464" width="8.7109375" style="18" customWidth="1"/>
    <col min="9465" max="9465" width="9.85546875" style="18" customWidth="1"/>
    <col min="9466" max="9466" width="14.42578125" style="18" customWidth="1"/>
    <col min="9467" max="9467" width="7.28515625" style="18" customWidth="1"/>
    <col min="9468" max="9468" width="5.5703125" style="18" customWidth="1"/>
    <col min="9469" max="9469" width="9" style="18" customWidth="1"/>
    <col min="9470" max="9471" width="9.85546875" style="18" customWidth="1"/>
    <col min="9472" max="9472" width="11.140625" style="18" customWidth="1"/>
    <col min="9473" max="9473" width="2.85546875" style="18" customWidth="1"/>
    <col min="9474" max="9474" width="3.5703125" style="18" customWidth="1"/>
    <col min="9475" max="9719" width="9.140625" style="18"/>
    <col min="9720" max="9720" width="8.7109375" style="18" customWidth="1"/>
    <col min="9721" max="9721" width="9.85546875" style="18" customWidth="1"/>
    <col min="9722" max="9722" width="14.42578125" style="18" customWidth="1"/>
    <col min="9723" max="9723" width="7.28515625" style="18" customWidth="1"/>
    <col min="9724" max="9724" width="5.5703125" style="18" customWidth="1"/>
    <col min="9725" max="9725" width="9" style="18" customWidth="1"/>
    <col min="9726" max="9727" width="9.85546875" style="18" customWidth="1"/>
    <col min="9728" max="9728" width="11.140625" style="18" customWidth="1"/>
    <col min="9729" max="9729" width="2.85546875" style="18" customWidth="1"/>
    <col min="9730" max="9730" width="3.5703125" style="18" customWidth="1"/>
    <col min="9731" max="9975" width="9.140625" style="18"/>
    <col min="9976" max="9976" width="8.7109375" style="18" customWidth="1"/>
    <col min="9977" max="9977" width="9.85546875" style="18" customWidth="1"/>
    <col min="9978" max="9978" width="14.42578125" style="18" customWidth="1"/>
    <col min="9979" max="9979" width="7.28515625" style="18" customWidth="1"/>
    <col min="9980" max="9980" width="5.5703125" style="18" customWidth="1"/>
    <col min="9981" max="9981" width="9" style="18" customWidth="1"/>
    <col min="9982" max="9983" width="9.85546875" style="18" customWidth="1"/>
    <col min="9984" max="9984" width="11.140625" style="18" customWidth="1"/>
    <col min="9985" max="9985" width="2.85546875" style="18" customWidth="1"/>
    <col min="9986" max="9986" width="3.5703125" style="18" customWidth="1"/>
    <col min="9987" max="10231" width="9.140625" style="18"/>
    <col min="10232" max="10232" width="8.7109375" style="18" customWidth="1"/>
    <col min="10233" max="10233" width="9.85546875" style="18" customWidth="1"/>
    <col min="10234" max="10234" width="14.42578125" style="18" customWidth="1"/>
    <col min="10235" max="10235" width="7.28515625" style="18" customWidth="1"/>
    <col min="10236" max="10236" width="5.5703125" style="18" customWidth="1"/>
    <col min="10237" max="10237" width="9" style="18" customWidth="1"/>
    <col min="10238" max="10239" width="9.85546875" style="18" customWidth="1"/>
    <col min="10240" max="10240" width="11.140625" style="18" customWidth="1"/>
    <col min="10241" max="10241" width="2.85546875" style="18" customWidth="1"/>
    <col min="10242" max="10242" width="3.5703125" style="18" customWidth="1"/>
    <col min="10243" max="10487" width="9.140625" style="18"/>
    <col min="10488" max="10488" width="8.7109375" style="18" customWidth="1"/>
    <col min="10489" max="10489" width="9.85546875" style="18" customWidth="1"/>
    <col min="10490" max="10490" width="14.42578125" style="18" customWidth="1"/>
    <col min="10491" max="10491" width="7.28515625" style="18" customWidth="1"/>
    <col min="10492" max="10492" width="5.5703125" style="18" customWidth="1"/>
    <col min="10493" max="10493" width="9" style="18" customWidth="1"/>
    <col min="10494" max="10495" width="9.85546875" style="18" customWidth="1"/>
    <col min="10496" max="10496" width="11.140625" style="18" customWidth="1"/>
    <col min="10497" max="10497" width="2.85546875" style="18" customWidth="1"/>
    <col min="10498" max="10498" width="3.5703125" style="18" customWidth="1"/>
    <col min="10499" max="10743" width="9.140625" style="18"/>
    <col min="10744" max="10744" width="8.7109375" style="18" customWidth="1"/>
    <col min="10745" max="10745" width="9.85546875" style="18" customWidth="1"/>
    <col min="10746" max="10746" width="14.42578125" style="18" customWidth="1"/>
    <col min="10747" max="10747" width="7.28515625" style="18" customWidth="1"/>
    <col min="10748" max="10748" width="5.5703125" style="18" customWidth="1"/>
    <col min="10749" max="10749" width="9" style="18" customWidth="1"/>
    <col min="10750" max="10751" width="9.85546875" style="18" customWidth="1"/>
    <col min="10752" max="10752" width="11.140625" style="18" customWidth="1"/>
    <col min="10753" max="10753" width="2.85546875" style="18" customWidth="1"/>
    <col min="10754" max="10754" width="3.5703125" style="18" customWidth="1"/>
    <col min="10755" max="10999" width="9.140625" style="18"/>
    <col min="11000" max="11000" width="8.7109375" style="18" customWidth="1"/>
    <col min="11001" max="11001" width="9.85546875" style="18" customWidth="1"/>
    <col min="11002" max="11002" width="14.42578125" style="18" customWidth="1"/>
    <col min="11003" max="11003" width="7.28515625" style="18" customWidth="1"/>
    <col min="11004" max="11004" width="5.5703125" style="18" customWidth="1"/>
    <col min="11005" max="11005" width="9" style="18" customWidth="1"/>
    <col min="11006" max="11007" width="9.85546875" style="18" customWidth="1"/>
    <col min="11008" max="11008" width="11.140625" style="18" customWidth="1"/>
    <col min="11009" max="11009" width="2.85546875" style="18" customWidth="1"/>
    <col min="11010" max="11010" width="3.5703125" style="18" customWidth="1"/>
    <col min="11011" max="11255" width="9.140625" style="18"/>
    <col min="11256" max="11256" width="8.7109375" style="18" customWidth="1"/>
    <col min="11257" max="11257" width="9.85546875" style="18" customWidth="1"/>
    <col min="11258" max="11258" width="14.42578125" style="18" customWidth="1"/>
    <col min="11259" max="11259" width="7.28515625" style="18" customWidth="1"/>
    <col min="11260" max="11260" width="5.5703125" style="18" customWidth="1"/>
    <col min="11261" max="11261" width="9" style="18" customWidth="1"/>
    <col min="11262" max="11263" width="9.85546875" style="18" customWidth="1"/>
    <col min="11264" max="11264" width="11.140625" style="18" customWidth="1"/>
    <col min="11265" max="11265" width="2.85546875" style="18" customWidth="1"/>
    <col min="11266" max="11266" width="3.5703125" style="18" customWidth="1"/>
    <col min="11267" max="11511" width="9.140625" style="18"/>
    <col min="11512" max="11512" width="8.7109375" style="18" customWidth="1"/>
    <col min="11513" max="11513" width="9.85546875" style="18" customWidth="1"/>
    <col min="11514" max="11514" width="14.42578125" style="18" customWidth="1"/>
    <col min="11515" max="11515" width="7.28515625" style="18" customWidth="1"/>
    <col min="11516" max="11516" width="5.5703125" style="18" customWidth="1"/>
    <col min="11517" max="11517" width="9" style="18" customWidth="1"/>
    <col min="11518" max="11519" width="9.85546875" style="18" customWidth="1"/>
    <col min="11520" max="11520" width="11.140625" style="18" customWidth="1"/>
    <col min="11521" max="11521" width="2.85546875" style="18" customWidth="1"/>
    <col min="11522" max="11522" width="3.5703125" style="18" customWidth="1"/>
    <col min="11523" max="11767" width="9.140625" style="18"/>
    <col min="11768" max="11768" width="8.7109375" style="18" customWidth="1"/>
    <col min="11769" max="11769" width="9.85546875" style="18" customWidth="1"/>
    <col min="11770" max="11770" width="14.42578125" style="18" customWidth="1"/>
    <col min="11771" max="11771" width="7.28515625" style="18" customWidth="1"/>
    <col min="11772" max="11772" width="5.5703125" style="18" customWidth="1"/>
    <col min="11773" max="11773" width="9" style="18" customWidth="1"/>
    <col min="11774" max="11775" width="9.85546875" style="18" customWidth="1"/>
    <col min="11776" max="11776" width="11.140625" style="18" customWidth="1"/>
    <col min="11777" max="11777" width="2.85546875" style="18" customWidth="1"/>
    <col min="11778" max="11778" width="3.5703125" style="18" customWidth="1"/>
    <col min="11779" max="12023" width="9.140625" style="18"/>
    <col min="12024" max="12024" width="8.7109375" style="18" customWidth="1"/>
    <col min="12025" max="12025" width="9.85546875" style="18" customWidth="1"/>
    <col min="12026" max="12026" width="14.42578125" style="18" customWidth="1"/>
    <col min="12027" max="12027" width="7.28515625" style="18" customWidth="1"/>
    <col min="12028" max="12028" width="5.5703125" style="18" customWidth="1"/>
    <col min="12029" max="12029" width="9" style="18" customWidth="1"/>
    <col min="12030" max="12031" width="9.85546875" style="18" customWidth="1"/>
    <col min="12032" max="12032" width="11.140625" style="18" customWidth="1"/>
    <col min="12033" max="12033" width="2.85546875" style="18" customWidth="1"/>
    <col min="12034" max="12034" width="3.5703125" style="18" customWidth="1"/>
    <col min="12035" max="12279" width="9.140625" style="18"/>
    <col min="12280" max="12280" width="8.7109375" style="18" customWidth="1"/>
    <col min="12281" max="12281" width="9.85546875" style="18" customWidth="1"/>
    <col min="12282" max="12282" width="14.42578125" style="18" customWidth="1"/>
    <col min="12283" max="12283" width="7.28515625" style="18" customWidth="1"/>
    <col min="12284" max="12284" width="5.5703125" style="18" customWidth="1"/>
    <col min="12285" max="12285" width="9" style="18" customWidth="1"/>
    <col min="12286" max="12287" width="9.85546875" style="18" customWidth="1"/>
    <col min="12288" max="12288" width="11.140625" style="18" customWidth="1"/>
    <col min="12289" max="12289" width="2.85546875" style="18" customWidth="1"/>
    <col min="12290" max="12290" width="3.5703125" style="18" customWidth="1"/>
    <col min="12291" max="12535" width="9.140625" style="18"/>
    <col min="12536" max="12536" width="8.7109375" style="18" customWidth="1"/>
    <col min="12537" max="12537" width="9.85546875" style="18" customWidth="1"/>
    <col min="12538" max="12538" width="14.42578125" style="18" customWidth="1"/>
    <col min="12539" max="12539" width="7.28515625" style="18" customWidth="1"/>
    <col min="12540" max="12540" width="5.5703125" style="18" customWidth="1"/>
    <col min="12541" max="12541" width="9" style="18" customWidth="1"/>
    <col min="12542" max="12543" width="9.85546875" style="18" customWidth="1"/>
    <col min="12544" max="12544" width="11.140625" style="18" customWidth="1"/>
    <col min="12545" max="12545" width="2.85546875" style="18" customWidth="1"/>
    <col min="12546" max="12546" width="3.5703125" style="18" customWidth="1"/>
    <col min="12547" max="12791" width="9.140625" style="18"/>
    <col min="12792" max="12792" width="8.7109375" style="18" customWidth="1"/>
    <col min="12793" max="12793" width="9.85546875" style="18" customWidth="1"/>
    <col min="12794" max="12794" width="14.42578125" style="18" customWidth="1"/>
    <col min="12795" max="12795" width="7.28515625" style="18" customWidth="1"/>
    <col min="12796" max="12796" width="5.5703125" style="18" customWidth="1"/>
    <col min="12797" max="12797" width="9" style="18" customWidth="1"/>
    <col min="12798" max="12799" width="9.85546875" style="18" customWidth="1"/>
    <col min="12800" max="12800" width="11.140625" style="18" customWidth="1"/>
    <col min="12801" max="12801" width="2.85546875" style="18" customWidth="1"/>
    <col min="12802" max="12802" width="3.5703125" style="18" customWidth="1"/>
    <col min="12803" max="13047" width="9.140625" style="18"/>
    <col min="13048" max="13048" width="8.7109375" style="18" customWidth="1"/>
    <col min="13049" max="13049" width="9.85546875" style="18" customWidth="1"/>
    <col min="13050" max="13050" width="14.42578125" style="18" customWidth="1"/>
    <col min="13051" max="13051" width="7.28515625" style="18" customWidth="1"/>
    <col min="13052" max="13052" width="5.5703125" style="18" customWidth="1"/>
    <col min="13053" max="13053" width="9" style="18" customWidth="1"/>
    <col min="13054" max="13055" width="9.85546875" style="18" customWidth="1"/>
    <col min="13056" max="13056" width="11.140625" style="18" customWidth="1"/>
    <col min="13057" max="13057" width="2.85546875" style="18" customWidth="1"/>
    <col min="13058" max="13058" width="3.5703125" style="18" customWidth="1"/>
    <col min="13059" max="13303" width="9.140625" style="18"/>
    <col min="13304" max="13304" width="8.7109375" style="18" customWidth="1"/>
    <col min="13305" max="13305" width="9.85546875" style="18" customWidth="1"/>
    <col min="13306" max="13306" width="14.42578125" style="18" customWidth="1"/>
    <col min="13307" max="13307" width="7.28515625" style="18" customWidth="1"/>
    <col min="13308" max="13308" width="5.5703125" style="18" customWidth="1"/>
    <col min="13309" max="13309" width="9" style="18" customWidth="1"/>
    <col min="13310" max="13311" width="9.85546875" style="18" customWidth="1"/>
    <col min="13312" max="13312" width="11.140625" style="18" customWidth="1"/>
    <col min="13313" max="13313" width="2.85546875" style="18" customWidth="1"/>
    <col min="13314" max="13314" width="3.5703125" style="18" customWidth="1"/>
    <col min="13315" max="13559" width="9.140625" style="18"/>
    <col min="13560" max="13560" width="8.7109375" style="18" customWidth="1"/>
    <col min="13561" max="13561" width="9.85546875" style="18" customWidth="1"/>
    <col min="13562" max="13562" width="14.42578125" style="18" customWidth="1"/>
    <col min="13563" max="13563" width="7.28515625" style="18" customWidth="1"/>
    <col min="13564" max="13564" width="5.5703125" style="18" customWidth="1"/>
    <col min="13565" max="13565" width="9" style="18" customWidth="1"/>
    <col min="13566" max="13567" width="9.85546875" style="18" customWidth="1"/>
    <col min="13568" max="13568" width="11.140625" style="18" customWidth="1"/>
    <col min="13569" max="13569" width="2.85546875" style="18" customWidth="1"/>
    <col min="13570" max="13570" width="3.5703125" style="18" customWidth="1"/>
    <col min="13571" max="13815" width="9.140625" style="18"/>
    <col min="13816" max="13816" width="8.7109375" style="18" customWidth="1"/>
    <col min="13817" max="13817" width="9.85546875" style="18" customWidth="1"/>
    <col min="13818" max="13818" width="14.42578125" style="18" customWidth="1"/>
    <col min="13819" max="13819" width="7.28515625" style="18" customWidth="1"/>
    <col min="13820" max="13820" width="5.5703125" style="18" customWidth="1"/>
    <col min="13821" max="13821" width="9" style="18" customWidth="1"/>
    <col min="13822" max="13823" width="9.85546875" style="18" customWidth="1"/>
    <col min="13824" max="13824" width="11.140625" style="18" customWidth="1"/>
    <col min="13825" max="13825" width="2.85546875" style="18" customWidth="1"/>
    <col min="13826" max="13826" width="3.5703125" style="18" customWidth="1"/>
    <col min="13827" max="14071" width="9.140625" style="18"/>
    <col min="14072" max="14072" width="8.7109375" style="18" customWidth="1"/>
    <col min="14073" max="14073" width="9.85546875" style="18" customWidth="1"/>
    <col min="14074" max="14074" width="14.42578125" style="18" customWidth="1"/>
    <col min="14075" max="14075" width="7.28515625" style="18" customWidth="1"/>
    <col min="14076" max="14076" width="5.5703125" style="18" customWidth="1"/>
    <col min="14077" max="14077" width="9" style="18" customWidth="1"/>
    <col min="14078" max="14079" width="9.85546875" style="18" customWidth="1"/>
    <col min="14080" max="14080" width="11.140625" style="18" customWidth="1"/>
    <col min="14081" max="14081" width="2.85546875" style="18" customWidth="1"/>
    <col min="14082" max="14082" width="3.5703125" style="18" customWidth="1"/>
    <col min="14083" max="14327" width="9.140625" style="18"/>
    <col min="14328" max="14328" width="8.7109375" style="18" customWidth="1"/>
    <col min="14329" max="14329" width="9.85546875" style="18" customWidth="1"/>
    <col min="14330" max="14330" width="14.42578125" style="18" customWidth="1"/>
    <col min="14331" max="14331" width="7.28515625" style="18" customWidth="1"/>
    <col min="14332" max="14332" width="5.5703125" style="18" customWidth="1"/>
    <col min="14333" max="14333" width="9" style="18" customWidth="1"/>
    <col min="14334" max="14335" width="9.85546875" style="18" customWidth="1"/>
    <col min="14336" max="14336" width="11.140625" style="18" customWidth="1"/>
    <col min="14337" max="14337" width="2.85546875" style="18" customWidth="1"/>
    <col min="14338" max="14338" width="3.5703125" style="18" customWidth="1"/>
    <col min="14339" max="14583" width="9.140625" style="18"/>
    <col min="14584" max="14584" width="8.7109375" style="18" customWidth="1"/>
    <col min="14585" max="14585" width="9.85546875" style="18" customWidth="1"/>
    <col min="14586" max="14586" width="14.42578125" style="18" customWidth="1"/>
    <col min="14587" max="14587" width="7.28515625" style="18" customWidth="1"/>
    <col min="14588" max="14588" width="5.5703125" style="18" customWidth="1"/>
    <col min="14589" max="14589" width="9" style="18" customWidth="1"/>
    <col min="14590" max="14591" width="9.85546875" style="18" customWidth="1"/>
    <col min="14592" max="14592" width="11.140625" style="18" customWidth="1"/>
    <col min="14593" max="14593" width="2.85546875" style="18" customWidth="1"/>
    <col min="14594" max="14594" width="3.5703125" style="18" customWidth="1"/>
    <col min="14595" max="14839" width="9.140625" style="18"/>
    <col min="14840" max="14840" width="8.7109375" style="18" customWidth="1"/>
    <col min="14841" max="14841" width="9.85546875" style="18" customWidth="1"/>
    <col min="14842" max="14842" width="14.42578125" style="18" customWidth="1"/>
    <col min="14843" max="14843" width="7.28515625" style="18" customWidth="1"/>
    <col min="14844" max="14844" width="5.5703125" style="18" customWidth="1"/>
    <col min="14845" max="14845" width="9" style="18" customWidth="1"/>
    <col min="14846" max="14847" width="9.85546875" style="18" customWidth="1"/>
    <col min="14848" max="14848" width="11.140625" style="18" customWidth="1"/>
    <col min="14849" max="14849" width="2.85546875" style="18" customWidth="1"/>
    <col min="14850" max="14850" width="3.5703125" style="18" customWidth="1"/>
    <col min="14851" max="15095" width="9.140625" style="18"/>
    <col min="15096" max="15096" width="8.7109375" style="18" customWidth="1"/>
    <col min="15097" max="15097" width="9.85546875" style="18" customWidth="1"/>
    <col min="15098" max="15098" width="14.42578125" style="18" customWidth="1"/>
    <col min="15099" max="15099" width="7.28515625" style="18" customWidth="1"/>
    <col min="15100" max="15100" width="5.5703125" style="18" customWidth="1"/>
    <col min="15101" max="15101" width="9" style="18" customWidth="1"/>
    <col min="15102" max="15103" width="9.85546875" style="18" customWidth="1"/>
    <col min="15104" max="15104" width="11.140625" style="18" customWidth="1"/>
    <col min="15105" max="15105" width="2.85546875" style="18" customWidth="1"/>
    <col min="15106" max="15106" width="3.5703125" style="18" customWidth="1"/>
    <col min="15107" max="15351" width="9.140625" style="18"/>
    <col min="15352" max="15352" width="8.7109375" style="18" customWidth="1"/>
    <col min="15353" max="15353" width="9.85546875" style="18" customWidth="1"/>
    <col min="15354" max="15354" width="14.42578125" style="18" customWidth="1"/>
    <col min="15355" max="15355" width="7.28515625" style="18" customWidth="1"/>
    <col min="15356" max="15356" width="5.5703125" style="18" customWidth="1"/>
    <col min="15357" max="15357" width="9" style="18" customWidth="1"/>
    <col min="15358" max="15359" width="9.85546875" style="18" customWidth="1"/>
    <col min="15360" max="15360" width="11.140625" style="18" customWidth="1"/>
    <col min="15361" max="15361" width="2.85546875" style="18" customWidth="1"/>
    <col min="15362" max="15362" width="3.5703125" style="18" customWidth="1"/>
    <col min="15363" max="15607" width="9.140625" style="18"/>
    <col min="15608" max="15608" width="8.7109375" style="18" customWidth="1"/>
    <col min="15609" max="15609" width="9.85546875" style="18" customWidth="1"/>
    <col min="15610" max="15610" width="14.42578125" style="18" customWidth="1"/>
    <col min="15611" max="15611" width="7.28515625" style="18" customWidth="1"/>
    <col min="15612" max="15612" width="5.5703125" style="18" customWidth="1"/>
    <col min="15613" max="15613" width="9" style="18" customWidth="1"/>
    <col min="15614" max="15615" width="9.85546875" style="18" customWidth="1"/>
    <col min="15616" max="15616" width="11.140625" style="18" customWidth="1"/>
    <col min="15617" max="15617" width="2.85546875" style="18" customWidth="1"/>
    <col min="15618" max="15618" width="3.5703125" style="18" customWidth="1"/>
    <col min="15619" max="15863" width="9.140625" style="18"/>
    <col min="15864" max="15864" width="8.7109375" style="18" customWidth="1"/>
    <col min="15865" max="15865" width="9.85546875" style="18" customWidth="1"/>
    <col min="15866" max="15866" width="14.42578125" style="18" customWidth="1"/>
    <col min="15867" max="15867" width="7.28515625" style="18" customWidth="1"/>
    <col min="15868" max="15868" width="5.5703125" style="18" customWidth="1"/>
    <col min="15869" max="15869" width="9" style="18" customWidth="1"/>
    <col min="15870" max="15871" width="9.85546875" style="18" customWidth="1"/>
    <col min="15872" max="15872" width="11.140625" style="18" customWidth="1"/>
    <col min="15873" max="15873" width="2.85546875" style="18" customWidth="1"/>
    <col min="15874" max="15874" width="3.5703125" style="18" customWidth="1"/>
    <col min="15875" max="16119" width="9.140625" style="18"/>
    <col min="16120" max="16120" width="8.7109375" style="18" customWidth="1"/>
    <col min="16121" max="16121" width="9.85546875" style="18" customWidth="1"/>
    <col min="16122" max="16122" width="14.42578125" style="18" customWidth="1"/>
    <col min="16123" max="16123" width="7.28515625" style="18" customWidth="1"/>
    <col min="16124" max="16124" width="5.5703125" style="18" customWidth="1"/>
    <col min="16125" max="16125" width="9" style="18" customWidth="1"/>
    <col min="16126" max="16127" width="9.85546875" style="18" customWidth="1"/>
    <col min="16128" max="16128" width="11.140625" style="18" customWidth="1"/>
    <col min="16129" max="16129" width="2.85546875" style="18" customWidth="1"/>
    <col min="16130" max="16130" width="3.5703125" style="18" customWidth="1"/>
    <col min="16131" max="16384" width="9.140625" style="18"/>
  </cols>
  <sheetData>
    <row r="1" spans="1:26" ht="46.5" customHeight="1" x14ac:dyDescent="0.25">
      <c r="A1" s="214" t="s">
        <v>157</v>
      </c>
      <c r="B1" s="214"/>
      <c r="C1" s="214"/>
      <c r="D1" s="214"/>
      <c r="E1" s="214"/>
      <c r="F1" s="214"/>
      <c r="G1" s="214"/>
      <c r="H1" s="214"/>
    </row>
    <row r="2" spans="1:26" ht="16.5" customHeight="1" x14ac:dyDescent="0.25">
      <c r="A2" s="215" t="s">
        <v>0</v>
      </c>
      <c r="B2" s="215"/>
      <c r="C2" s="215"/>
      <c r="D2" s="215"/>
      <c r="E2" s="215"/>
      <c r="F2" s="215"/>
      <c r="G2" s="215"/>
      <c r="H2" s="215"/>
    </row>
    <row r="3" spans="1:26" x14ac:dyDescent="0.25">
      <c r="A3" s="197" t="s">
        <v>1</v>
      </c>
      <c r="B3" s="197"/>
      <c r="C3" s="197"/>
      <c r="D3" s="197"/>
      <c r="E3" s="197" t="str">
        <f ca="1">TEXT(TODAY(),"DD/MM/YYYY")</f>
        <v>16/09/2025</v>
      </c>
      <c r="F3" s="197"/>
      <c r="G3" s="197"/>
      <c r="H3" s="197"/>
      <c r="K3" s="50" t="s">
        <v>232</v>
      </c>
      <c r="L3" s="48" t="s">
        <v>230</v>
      </c>
      <c r="M3" s="48" t="s">
        <v>235</v>
      </c>
      <c r="N3" s="48" t="s">
        <v>233</v>
      </c>
      <c r="O3" s="48" t="s">
        <v>234</v>
      </c>
      <c r="P3" s="48" t="s">
        <v>236</v>
      </c>
    </row>
    <row r="4" spans="1:26" ht="15" customHeight="1" x14ac:dyDescent="0.25">
      <c r="A4" s="197" t="s">
        <v>229</v>
      </c>
      <c r="B4" s="197"/>
      <c r="C4" s="197"/>
      <c r="D4" s="197"/>
      <c r="E4" s="212" t="s">
        <v>230</v>
      </c>
      <c r="F4" s="212"/>
      <c r="G4" s="212"/>
      <c r="H4" s="212"/>
      <c r="K4" s="47" t="s">
        <v>231</v>
      </c>
      <c r="L4" s="48" t="s">
        <v>164</v>
      </c>
      <c r="M4" s="48" t="s">
        <v>240</v>
      </c>
      <c r="N4" s="48" t="s">
        <v>242</v>
      </c>
      <c r="O4" s="48" t="s">
        <v>244</v>
      </c>
      <c r="P4" s="48"/>
    </row>
    <row r="5" spans="1:26" ht="15" customHeight="1" x14ac:dyDescent="0.25">
      <c r="A5" s="197" t="s">
        <v>2</v>
      </c>
      <c r="B5" s="197"/>
      <c r="C5" s="197"/>
      <c r="D5" s="197"/>
      <c r="E5" s="212" t="s">
        <v>239</v>
      </c>
      <c r="F5" s="212"/>
      <c r="G5" s="212"/>
      <c r="H5" s="212"/>
      <c r="K5" s="47"/>
      <c r="L5" s="48" t="s">
        <v>237</v>
      </c>
      <c r="M5" s="48" t="s">
        <v>241</v>
      </c>
      <c r="N5" s="48" t="s">
        <v>243</v>
      </c>
      <c r="O5" s="48" t="s">
        <v>245</v>
      </c>
      <c r="P5" s="48"/>
    </row>
    <row r="6" spans="1:26" x14ac:dyDescent="0.25">
      <c r="A6" s="197" t="s">
        <v>3</v>
      </c>
      <c r="B6" s="197"/>
      <c r="C6" s="197"/>
      <c r="D6" s="197"/>
      <c r="E6" s="216">
        <v>45908</v>
      </c>
      <c r="F6" s="197"/>
      <c r="G6" s="197"/>
      <c r="H6" s="197"/>
      <c r="K6" s="47"/>
      <c r="L6" s="48" t="s">
        <v>238</v>
      </c>
      <c r="M6" s="48"/>
      <c r="N6" s="48"/>
      <c r="O6" s="48" t="s">
        <v>246</v>
      </c>
      <c r="P6" s="48"/>
    </row>
    <row r="7" spans="1:26" ht="16.5" customHeight="1" x14ac:dyDescent="0.25">
      <c r="A7" s="197" t="s">
        <v>4</v>
      </c>
      <c r="B7" s="197"/>
      <c r="C7" s="197"/>
      <c r="D7" s="197"/>
      <c r="E7" s="197" t="s">
        <v>302</v>
      </c>
      <c r="F7" s="197"/>
      <c r="G7" s="197"/>
      <c r="H7" s="197"/>
      <c r="K7" s="47"/>
      <c r="L7" s="48" t="s">
        <v>239</v>
      </c>
      <c r="M7" s="48"/>
      <c r="N7" s="48"/>
      <c r="O7" s="48" t="s">
        <v>246</v>
      </c>
      <c r="P7" s="48"/>
    </row>
    <row r="8" spans="1:26" ht="15" customHeight="1" x14ac:dyDescent="0.25">
      <c r="A8" s="197" t="s">
        <v>5</v>
      </c>
      <c r="B8" s="197"/>
      <c r="C8" s="197"/>
      <c r="D8" s="197"/>
      <c r="E8" s="197" t="str">
        <f>E7</f>
        <v>Bramha Constructions</v>
      </c>
      <c r="F8" s="197"/>
      <c r="G8" s="197"/>
      <c r="H8" s="197"/>
      <c r="K8" s="47"/>
      <c r="L8" s="48"/>
      <c r="M8" s="48"/>
      <c r="N8" s="48"/>
      <c r="O8" s="48" t="s">
        <v>247</v>
      </c>
      <c r="P8" s="48"/>
    </row>
    <row r="9" spans="1:26" x14ac:dyDescent="0.25">
      <c r="A9" s="197" t="s">
        <v>6</v>
      </c>
      <c r="B9" s="197"/>
      <c r="C9" s="197"/>
      <c r="D9" s="197"/>
      <c r="E9" s="113" t="s">
        <v>359</v>
      </c>
      <c r="F9" s="113"/>
      <c r="G9" s="113"/>
      <c r="H9" s="113"/>
      <c r="K9" s="47"/>
      <c r="L9" s="48"/>
      <c r="M9" s="48"/>
      <c r="N9" s="48"/>
      <c r="O9" s="48" t="s">
        <v>248</v>
      </c>
      <c r="P9" s="48"/>
    </row>
    <row r="10" spans="1:26" ht="31.5" customHeight="1" x14ac:dyDescent="0.25">
      <c r="A10" s="197" t="s">
        <v>160</v>
      </c>
      <c r="B10" s="197"/>
      <c r="C10" s="197"/>
      <c r="D10" s="197"/>
      <c r="E10" s="169" t="s">
        <v>372</v>
      </c>
      <c r="F10" s="197"/>
      <c r="G10" s="197"/>
      <c r="H10" s="197"/>
      <c r="K10" s="47"/>
      <c r="L10" s="48"/>
      <c r="M10" s="48"/>
      <c r="N10" s="48"/>
      <c r="O10" s="48"/>
      <c r="P10" s="48"/>
    </row>
    <row r="11" spans="1:26" x14ac:dyDescent="0.25">
      <c r="A11" s="197" t="s">
        <v>161</v>
      </c>
      <c r="B11" s="197"/>
      <c r="C11" s="197"/>
      <c r="D11" s="197"/>
      <c r="E11" s="197" t="s">
        <v>375</v>
      </c>
      <c r="F11" s="197"/>
      <c r="G11" s="197"/>
      <c r="H11" s="197"/>
    </row>
    <row r="12" spans="1:26" ht="34.5" customHeight="1" x14ac:dyDescent="0.25">
      <c r="A12" s="197" t="s">
        <v>7</v>
      </c>
      <c r="B12" s="197"/>
      <c r="C12" s="197"/>
      <c r="D12" s="197"/>
      <c r="E12" s="169" t="s">
        <v>303</v>
      </c>
      <c r="F12" s="197"/>
      <c r="G12" s="197"/>
      <c r="H12" s="197"/>
    </row>
    <row r="13" spans="1:26" x14ac:dyDescent="0.25">
      <c r="A13" s="197" t="s">
        <v>165</v>
      </c>
      <c r="B13" s="197"/>
      <c r="C13" s="197"/>
      <c r="D13" s="197"/>
      <c r="E13" s="197" t="s">
        <v>28</v>
      </c>
      <c r="F13" s="197"/>
      <c r="G13" s="197"/>
      <c r="H13" s="197"/>
      <c r="S13" s="48" t="s">
        <v>173</v>
      </c>
      <c r="T13" s="48" t="s">
        <v>183</v>
      </c>
      <c r="U13" s="48" t="s">
        <v>166</v>
      </c>
      <c r="V13" s="48" t="s">
        <v>188</v>
      </c>
      <c r="W13" s="48" t="s">
        <v>206</v>
      </c>
      <c r="X13"/>
      <c r="Y13" t="s">
        <v>188</v>
      </c>
      <c r="Z13" t="e">
        <f ca="1">OFFSET($S$13,1,MATCH($G20,$S$13:$W$13,0)-1,15,1)</f>
        <v>#VALUE!</v>
      </c>
    </row>
    <row r="14" spans="1:26" x14ac:dyDescent="0.25">
      <c r="A14" s="147" t="s">
        <v>275</v>
      </c>
      <c r="B14" s="147"/>
      <c r="C14" s="147"/>
      <c r="D14" s="147"/>
      <c r="E14" s="169" t="s">
        <v>349</v>
      </c>
      <c r="F14" s="169"/>
      <c r="G14" s="169"/>
      <c r="H14" s="169"/>
      <c r="S14" s="48" t="s">
        <v>174</v>
      </c>
      <c r="T14" s="48" t="s">
        <v>181</v>
      </c>
      <c r="U14" s="48" t="s">
        <v>203</v>
      </c>
      <c r="V14" s="48" t="s">
        <v>189</v>
      </c>
      <c r="W14" s="48" t="s">
        <v>207</v>
      </c>
      <c r="X14"/>
      <c r="Y14"/>
      <c r="Z14"/>
    </row>
    <row r="15" spans="1:26" ht="35.25" customHeight="1" x14ac:dyDescent="0.25">
      <c r="A15" s="147" t="s">
        <v>8</v>
      </c>
      <c r="B15" s="147"/>
      <c r="C15" s="147"/>
      <c r="D15" s="147"/>
      <c r="E15" s="211" t="s">
        <v>304</v>
      </c>
      <c r="F15" s="212"/>
      <c r="G15" s="212"/>
      <c r="H15" s="212"/>
      <c r="I15" s="243" t="e">
        <f ca="1">OFFSET($D$5,1,MATCH($J13,$D$5:$H$5,0)-1,15,1)</f>
        <v>#N/A</v>
      </c>
      <c r="J15" s="244"/>
      <c r="K15" s="244"/>
      <c r="L15" s="244"/>
      <c r="M15" s="244"/>
      <c r="N15" s="244"/>
      <c r="O15" s="244"/>
      <c r="P15" s="244"/>
      <c r="S15" s="48" t="s">
        <v>175</v>
      </c>
      <c r="T15" s="48" t="s">
        <v>182</v>
      </c>
      <c r="U15" s="48" t="s">
        <v>204</v>
      </c>
      <c r="V15" s="48" t="s">
        <v>190</v>
      </c>
      <c r="W15" s="48" t="s">
        <v>220</v>
      </c>
      <c r="X15"/>
      <c r="Y15"/>
      <c r="Z15"/>
    </row>
    <row r="16" spans="1:26" ht="33.75" customHeight="1" x14ac:dyDescent="0.25">
      <c r="A16" s="205" t="s">
        <v>9</v>
      </c>
      <c r="B16" s="205"/>
      <c r="C16" s="205" t="str">
        <f>CONCATENATE((IF(OR(E9="",E9="NA"),"",E9)),", ",(IF(OR(A17="",A17="NA"),"",A17)),".",(IF(OR(C17="",C17="NA"),"",C17)),", near ",(IF(OR(C22="",C22="NA"),"",C22)),", ",(IF(OR(C19="",C19="NA"),"",C19)),", ",(IF(OR(C18="",C18="NA"),"",C18)),", ",(IF(OR(G19="",G19="NA"),"",G19)),", ",(IF(OR(C20="",C20="NA"),"",C20)),", ",(IF(OR(C21="",C21="NA"),"",C21)),", ",(IF(OR(G20="",G20="NA"),"",G20))," - ",(IF(OR(G21="",G21="NA"),"",G21)),".")</f>
        <v>Kailash Complex Phase 1 &amp; 2, Survey No.78/6, 9/B,11 &amp; 169/8, near Shireen Park, Internal Rd, Mamdapur, Mamdapur, Neral, Karjat, Raigad - 410101.</v>
      </c>
      <c r="D16" s="205"/>
      <c r="E16" s="205"/>
      <c r="F16" s="205"/>
      <c r="G16" s="205"/>
      <c r="H16" s="205"/>
      <c r="S16" s="48" t="s">
        <v>176</v>
      </c>
      <c r="T16" s="48" t="s">
        <v>184</v>
      </c>
      <c r="U16" s="48" t="s">
        <v>205</v>
      </c>
      <c r="V16" s="48" t="s">
        <v>191</v>
      </c>
      <c r="W16" s="48" t="s">
        <v>208</v>
      </c>
      <c r="X16"/>
      <c r="Y16"/>
      <c r="Z16"/>
    </row>
    <row r="17" spans="1:26" x14ac:dyDescent="0.25">
      <c r="A17" s="211" t="s">
        <v>305</v>
      </c>
      <c r="B17" s="211"/>
      <c r="C17" s="211" t="s">
        <v>306</v>
      </c>
      <c r="D17" s="211"/>
      <c r="E17" s="211"/>
      <c r="F17" s="211"/>
      <c r="G17" s="211"/>
      <c r="H17" s="211"/>
      <c r="S17" s="48" t="s">
        <v>177</v>
      </c>
      <c r="T17" s="48" t="s">
        <v>185</v>
      </c>
      <c r="U17" s="48" t="s">
        <v>166</v>
      </c>
      <c r="V17" s="48" t="s">
        <v>192</v>
      </c>
      <c r="W17" s="48" t="s">
        <v>209</v>
      </c>
      <c r="X17"/>
      <c r="Y17"/>
      <c r="Z17"/>
    </row>
    <row r="18" spans="1:26" ht="15.75" customHeight="1" x14ac:dyDescent="0.25">
      <c r="A18" s="211" t="s">
        <v>155</v>
      </c>
      <c r="B18" s="211"/>
      <c r="C18" s="211" t="s">
        <v>307</v>
      </c>
      <c r="D18" s="211"/>
      <c r="E18" s="211"/>
      <c r="F18" s="211"/>
      <c r="G18" s="211"/>
      <c r="H18" s="211"/>
      <c r="S18" s="48" t="s">
        <v>178</v>
      </c>
      <c r="T18" s="48" t="s">
        <v>183</v>
      </c>
      <c r="U18" s="48"/>
      <c r="V18" s="48" t="s">
        <v>193</v>
      </c>
      <c r="W18" s="48" t="s">
        <v>210</v>
      </c>
      <c r="X18"/>
      <c r="Y18"/>
      <c r="Z18"/>
    </row>
    <row r="19" spans="1:26" ht="15.75" customHeight="1" x14ac:dyDescent="0.25">
      <c r="A19" s="211" t="s">
        <v>10</v>
      </c>
      <c r="B19" s="211"/>
      <c r="C19" s="212" t="s">
        <v>310</v>
      </c>
      <c r="D19" s="212"/>
      <c r="E19" s="211" t="s">
        <v>70</v>
      </c>
      <c r="F19" s="211"/>
      <c r="G19" s="211" t="s">
        <v>307</v>
      </c>
      <c r="H19" s="211"/>
      <c r="S19" s="48" t="s">
        <v>179</v>
      </c>
      <c r="T19" s="48" t="s">
        <v>186</v>
      </c>
      <c r="U19" s="48"/>
      <c r="V19" s="48" t="s">
        <v>194</v>
      </c>
      <c r="W19" s="48" t="s">
        <v>211</v>
      </c>
      <c r="X19"/>
      <c r="Y19"/>
      <c r="Z19"/>
    </row>
    <row r="20" spans="1:26" x14ac:dyDescent="0.25">
      <c r="A20" s="212" t="s">
        <v>12</v>
      </c>
      <c r="B20" s="212"/>
      <c r="C20" s="211" t="s">
        <v>308</v>
      </c>
      <c r="D20" s="211"/>
      <c r="E20" s="211" t="s">
        <v>11</v>
      </c>
      <c r="F20" s="211"/>
      <c r="G20" s="213" t="s">
        <v>188</v>
      </c>
      <c r="H20" s="213"/>
      <c r="S20" s="48" t="s">
        <v>180</v>
      </c>
      <c r="T20" s="48" t="s">
        <v>187</v>
      </c>
      <c r="U20" s="48"/>
      <c r="V20" s="48" t="s">
        <v>195</v>
      </c>
      <c r="W20" s="48" t="s">
        <v>212</v>
      </c>
      <c r="X20"/>
      <c r="Y20"/>
      <c r="Z20"/>
    </row>
    <row r="21" spans="1:26" x14ac:dyDescent="0.25">
      <c r="A21" s="212" t="s">
        <v>71</v>
      </c>
      <c r="B21" s="212"/>
      <c r="C21" s="211" t="s">
        <v>192</v>
      </c>
      <c r="D21" s="211"/>
      <c r="E21" s="211" t="s">
        <v>13</v>
      </c>
      <c r="F21" s="211"/>
      <c r="G21" s="211">
        <v>410101</v>
      </c>
      <c r="H21" s="211"/>
      <c r="S21" s="48"/>
      <c r="T21" s="48"/>
      <c r="U21" s="48"/>
      <c r="V21" s="48" t="s">
        <v>196</v>
      </c>
      <c r="W21" s="48" t="s">
        <v>213</v>
      </c>
      <c r="X21"/>
      <c r="Y21"/>
      <c r="Z21"/>
    </row>
    <row r="22" spans="1:26" ht="32.25" customHeight="1" x14ac:dyDescent="0.25">
      <c r="A22" s="212" t="s">
        <v>115</v>
      </c>
      <c r="B22" s="212"/>
      <c r="C22" s="211" t="s">
        <v>311</v>
      </c>
      <c r="D22" s="211"/>
      <c r="E22" s="211" t="s">
        <v>14</v>
      </c>
      <c r="F22" s="211"/>
      <c r="G22" s="211" t="s">
        <v>309</v>
      </c>
      <c r="H22" s="211"/>
      <c r="S22" s="48"/>
      <c r="T22" s="48"/>
      <c r="U22" s="48"/>
      <c r="V22" s="48" t="s">
        <v>197</v>
      </c>
      <c r="W22" s="48" t="s">
        <v>214</v>
      </c>
      <c r="X22"/>
      <c r="Y22"/>
      <c r="Z22"/>
    </row>
    <row r="23" spans="1:26" ht="15" customHeight="1" x14ac:dyDescent="0.25">
      <c r="A23" s="205" t="s">
        <v>73</v>
      </c>
      <c r="B23" s="205"/>
      <c r="C23" s="205"/>
      <c r="D23" s="205"/>
      <c r="E23" s="197" t="s">
        <v>15</v>
      </c>
      <c r="F23" s="197"/>
      <c r="G23" s="197"/>
      <c r="H23" s="197"/>
      <c r="S23" s="48"/>
      <c r="T23" s="48"/>
      <c r="U23" s="48"/>
      <c r="V23" s="48" t="s">
        <v>198</v>
      </c>
      <c r="W23" s="48" t="s">
        <v>215</v>
      </c>
      <c r="X23"/>
      <c r="Y23"/>
      <c r="Z23"/>
    </row>
    <row r="24" spans="1:26" ht="18.75" customHeight="1" x14ac:dyDescent="0.25">
      <c r="A24" s="205"/>
      <c r="B24" s="205"/>
      <c r="C24" s="205"/>
      <c r="D24" s="205"/>
      <c r="E24" s="197"/>
      <c r="F24" s="197"/>
      <c r="G24" s="197"/>
      <c r="H24" s="197"/>
      <c r="S24" s="48"/>
      <c r="T24" s="48"/>
      <c r="U24" s="48"/>
      <c r="V24" s="48" t="s">
        <v>199</v>
      </c>
      <c r="W24" s="48" t="s">
        <v>216</v>
      </c>
      <c r="X24"/>
      <c r="Y24"/>
      <c r="Z24"/>
    </row>
    <row r="25" spans="1:26" ht="15" customHeight="1" x14ac:dyDescent="0.25">
      <c r="A25" s="205" t="s">
        <v>16</v>
      </c>
      <c r="B25" s="205"/>
      <c r="C25" s="205"/>
      <c r="D25" s="205"/>
      <c r="E25" s="169" t="s">
        <v>17</v>
      </c>
      <c r="F25" s="169"/>
      <c r="G25" s="169"/>
      <c r="H25" s="169"/>
      <c r="S25" s="48"/>
      <c r="T25" s="48"/>
      <c r="U25" s="48"/>
      <c r="V25" s="48" t="s">
        <v>200</v>
      </c>
      <c r="W25" s="48" t="s">
        <v>217</v>
      </c>
      <c r="X25"/>
      <c r="Y25"/>
      <c r="Z25"/>
    </row>
    <row r="26" spans="1:26" ht="15" customHeight="1" x14ac:dyDescent="0.25">
      <c r="A26" s="147" t="s">
        <v>18</v>
      </c>
      <c r="B26" s="147"/>
      <c r="C26" s="147"/>
      <c r="D26" s="147"/>
      <c r="E26" s="169" t="str">
        <f>IF(AND(G20="Mumbai"),"Upper Class","Middle Class")</f>
        <v>Middle Class</v>
      </c>
      <c r="F26" s="169"/>
      <c r="G26" s="169"/>
      <c r="H26" s="169"/>
      <c r="S26" s="48"/>
      <c r="T26" s="48"/>
      <c r="U26" s="48"/>
      <c r="V26" s="48" t="s">
        <v>201</v>
      </c>
      <c r="W26" s="48" t="s">
        <v>218</v>
      </c>
      <c r="X26"/>
      <c r="Y26"/>
      <c r="Z26"/>
    </row>
    <row r="27" spans="1:26" x14ac:dyDescent="0.25">
      <c r="A27" s="147" t="s">
        <v>19</v>
      </c>
      <c r="B27" s="147"/>
      <c r="C27" s="147"/>
      <c r="D27" s="147"/>
      <c r="E27" s="169" t="s">
        <v>20</v>
      </c>
      <c r="F27" s="169"/>
      <c r="G27" s="169"/>
      <c r="H27" s="169"/>
      <c r="S27" s="48"/>
      <c r="T27" s="48"/>
      <c r="U27" s="48"/>
      <c r="V27" s="48" t="s">
        <v>202</v>
      </c>
      <c r="W27" s="48" t="s">
        <v>219</v>
      </c>
      <c r="X27"/>
      <c r="Y27"/>
      <c r="Z27"/>
    </row>
    <row r="28" spans="1:26" ht="15.75" customHeight="1" x14ac:dyDescent="0.25">
      <c r="A28" s="147" t="s">
        <v>21</v>
      </c>
      <c r="B28" s="147"/>
      <c r="C28" s="147"/>
      <c r="D28" s="147"/>
      <c r="E28" s="169" t="str">
        <f>IF(AND(G20="Mumbai"),"Developed","Developing")</f>
        <v>Developing</v>
      </c>
      <c r="F28" s="169"/>
      <c r="G28" s="169"/>
      <c r="H28" s="169"/>
    </row>
    <row r="29" spans="1:26" x14ac:dyDescent="0.25">
      <c r="A29" s="147" t="s">
        <v>22</v>
      </c>
      <c r="B29" s="147"/>
      <c r="C29" s="147"/>
      <c r="D29" s="147"/>
      <c r="E29" s="169" t="s">
        <v>23</v>
      </c>
      <c r="F29" s="169"/>
      <c r="G29" s="169"/>
      <c r="H29" s="169"/>
    </row>
    <row r="30" spans="1:26" ht="15.75" customHeight="1" x14ac:dyDescent="0.25">
      <c r="A30" s="147" t="s">
        <v>78</v>
      </c>
      <c r="B30" s="147"/>
      <c r="C30" s="147"/>
      <c r="D30" s="147"/>
      <c r="E30" s="169" t="s">
        <v>79</v>
      </c>
      <c r="F30" s="169"/>
      <c r="G30" s="169"/>
      <c r="H30" s="169"/>
    </row>
    <row r="31" spans="1:26" ht="15" customHeight="1" x14ac:dyDescent="0.25">
      <c r="A31" s="147" t="s">
        <v>30</v>
      </c>
      <c r="B31" s="147"/>
      <c r="C31" s="147"/>
      <c r="D31" s="147"/>
      <c r="E31" s="169"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69"/>
      <c r="G31" s="169"/>
      <c r="H31" s="169"/>
    </row>
    <row r="32" spans="1:26" ht="15.75" customHeight="1" x14ac:dyDescent="0.25">
      <c r="A32" s="147" t="s">
        <v>90</v>
      </c>
      <c r="B32" s="147"/>
      <c r="C32" s="147"/>
      <c r="D32" s="147"/>
      <c r="E32" s="169" t="s">
        <v>31</v>
      </c>
      <c r="F32" s="169"/>
      <c r="G32" s="169"/>
      <c r="H32" s="169"/>
    </row>
    <row r="33" spans="1:19" s="19" customFormat="1" x14ac:dyDescent="0.25">
      <c r="A33" s="210" t="s">
        <v>91</v>
      </c>
      <c r="B33" s="210"/>
      <c r="C33" s="209" t="s">
        <v>167</v>
      </c>
      <c r="D33" s="209"/>
      <c r="E33" s="209"/>
      <c r="F33" s="209" t="s">
        <v>29</v>
      </c>
      <c r="G33" s="209"/>
      <c r="H33" s="209"/>
      <c r="S33" s="19" t="e">
        <f ca="1">OFFSET($S$13,1,MATCH($G20,$S$13:$W$13,0)-1,15,1)</f>
        <v>#VALUE!</v>
      </c>
    </row>
    <row r="34" spans="1:19" s="19" customFormat="1" x14ac:dyDescent="0.25">
      <c r="A34" s="201" t="s">
        <v>24</v>
      </c>
      <c r="B34" s="201" t="s">
        <v>28</v>
      </c>
      <c r="C34" s="202" t="s">
        <v>315</v>
      </c>
      <c r="D34" s="202"/>
      <c r="E34" s="202"/>
      <c r="F34" s="202" t="s">
        <v>312</v>
      </c>
      <c r="G34" s="202"/>
      <c r="H34" s="202"/>
    </row>
    <row r="35" spans="1:19" x14ac:dyDescent="0.25">
      <c r="A35" s="201" t="s">
        <v>25</v>
      </c>
      <c r="B35" s="201" t="s">
        <v>28</v>
      </c>
      <c r="C35" s="202" t="s">
        <v>316</v>
      </c>
      <c r="D35" s="202"/>
      <c r="E35" s="202"/>
      <c r="F35" s="202" t="s">
        <v>311</v>
      </c>
      <c r="G35" s="202"/>
      <c r="H35" s="202"/>
    </row>
    <row r="36" spans="1:19" s="19" customFormat="1" x14ac:dyDescent="0.25">
      <c r="A36" s="201" t="s">
        <v>27</v>
      </c>
      <c r="B36" s="201" t="s">
        <v>28</v>
      </c>
      <c r="C36" s="202" t="s">
        <v>317</v>
      </c>
      <c r="D36" s="202"/>
      <c r="E36" s="202"/>
      <c r="F36" s="202" t="s">
        <v>313</v>
      </c>
      <c r="G36" s="202"/>
      <c r="H36" s="202"/>
    </row>
    <row r="37" spans="1:19" x14ac:dyDescent="0.25">
      <c r="A37" s="201" t="s">
        <v>26</v>
      </c>
      <c r="B37" s="201" t="s">
        <v>28</v>
      </c>
      <c r="C37" s="202" t="s">
        <v>318</v>
      </c>
      <c r="D37" s="202"/>
      <c r="E37" s="202"/>
      <c r="F37" s="202" t="s">
        <v>314</v>
      </c>
      <c r="G37" s="202"/>
      <c r="H37" s="202"/>
    </row>
    <row r="38" spans="1:19" x14ac:dyDescent="0.25">
      <c r="A38" s="147" t="s">
        <v>276</v>
      </c>
      <c r="B38" s="147"/>
      <c r="C38" s="147"/>
      <c r="D38" s="147"/>
      <c r="E38" s="147"/>
      <c r="F38" s="147"/>
      <c r="G38" s="147"/>
      <c r="H38" s="147"/>
    </row>
    <row r="39" spans="1:19" ht="15.75" customHeight="1" x14ac:dyDescent="0.25">
      <c r="A39" s="147" t="s">
        <v>158</v>
      </c>
      <c r="B39" s="147"/>
      <c r="C39" s="196" t="s">
        <v>319</v>
      </c>
      <c r="D39" s="196"/>
      <c r="E39" s="196"/>
      <c r="F39" s="196"/>
      <c r="G39" s="196"/>
      <c r="H39" s="196"/>
    </row>
    <row r="40" spans="1:19" x14ac:dyDescent="0.25">
      <c r="A40" s="147" t="s">
        <v>154</v>
      </c>
      <c r="B40" s="147"/>
      <c r="C40" s="168" t="s">
        <v>320</v>
      </c>
      <c r="D40" s="169"/>
      <c r="E40" s="169"/>
      <c r="F40" s="169"/>
      <c r="G40" s="169"/>
      <c r="H40" s="169"/>
    </row>
    <row r="41" spans="1:19" x14ac:dyDescent="0.25">
      <c r="A41" s="196" t="s">
        <v>32</v>
      </c>
      <c r="B41" s="196"/>
      <c r="C41" s="196"/>
      <c r="D41" s="196"/>
      <c r="E41" s="196"/>
      <c r="F41" s="196"/>
      <c r="G41" s="196"/>
      <c r="H41" s="196"/>
    </row>
    <row r="42" spans="1:19" x14ac:dyDescent="0.25">
      <c r="A42" s="147" t="s">
        <v>33</v>
      </c>
      <c r="B42" s="147"/>
      <c r="C42" s="147"/>
      <c r="D42" s="147"/>
      <c r="E42" s="204">
        <v>3787</v>
      </c>
      <c r="F42" s="204"/>
      <c r="G42" s="204"/>
      <c r="H42" s="204"/>
    </row>
    <row r="43" spans="1:19" x14ac:dyDescent="0.25">
      <c r="A43" s="147" t="s">
        <v>34</v>
      </c>
      <c r="B43" s="147"/>
      <c r="C43" s="147"/>
      <c r="D43" s="147"/>
      <c r="E43" s="207">
        <f>4165.7/E42</f>
        <v>1.0999999999999999</v>
      </c>
      <c r="F43" s="207"/>
      <c r="G43" s="207"/>
      <c r="H43" s="207"/>
    </row>
    <row r="44" spans="1:19" x14ac:dyDescent="0.25">
      <c r="A44" s="147" t="s">
        <v>35</v>
      </c>
      <c r="B44" s="147"/>
      <c r="C44" s="147"/>
      <c r="D44" s="147"/>
      <c r="E44" s="207">
        <f>E46/E42-E43</f>
        <v>1.1406284658040666</v>
      </c>
      <c r="F44" s="207"/>
      <c r="G44" s="207"/>
      <c r="H44" s="207"/>
    </row>
    <row r="45" spans="1:19" x14ac:dyDescent="0.25">
      <c r="A45" s="147" t="s">
        <v>36</v>
      </c>
      <c r="B45" s="147"/>
      <c r="C45" s="147"/>
      <c r="D45" s="147"/>
      <c r="E45" s="207">
        <f>E43+E44</f>
        <v>2.2406284658040665</v>
      </c>
      <c r="F45" s="207"/>
      <c r="G45" s="207"/>
      <c r="H45" s="207"/>
    </row>
    <row r="46" spans="1:19" x14ac:dyDescent="0.25">
      <c r="A46" s="147" t="s">
        <v>89</v>
      </c>
      <c r="B46" s="147"/>
      <c r="C46" s="147"/>
      <c r="D46" s="147"/>
      <c r="E46" s="208">
        <v>8485.26</v>
      </c>
      <c r="F46" s="208"/>
      <c r="G46" s="208"/>
      <c r="H46" s="208"/>
    </row>
    <row r="47" spans="1:19" x14ac:dyDescent="0.25">
      <c r="A47" s="197" t="s">
        <v>37</v>
      </c>
      <c r="B47" s="197"/>
      <c r="C47" s="197"/>
      <c r="D47" s="197"/>
      <c r="E47" s="197" t="s">
        <v>344</v>
      </c>
      <c r="F47" s="197"/>
      <c r="G47" s="197"/>
      <c r="H47" s="197"/>
    </row>
    <row r="48" spans="1:19" x14ac:dyDescent="0.25">
      <c r="A48" s="196" t="s">
        <v>38</v>
      </c>
      <c r="B48" s="196"/>
      <c r="C48" s="196"/>
      <c r="D48" s="196"/>
      <c r="E48" s="196"/>
      <c r="F48" s="196"/>
      <c r="G48" s="196"/>
      <c r="H48" s="196"/>
    </row>
    <row r="49" spans="1:24" ht="33.75" customHeight="1" x14ac:dyDescent="0.25">
      <c r="A49" s="174" t="s">
        <v>144</v>
      </c>
      <c r="B49" s="176"/>
      <c r="C49" s="193" t="s">
        <v>321</v>
      </c>
      <c r="D49" s="194"/>
      <c r="E49" s="194"/>
      <c r="F49" s="194"/>
      <c r="G49" s="194"/>
      <c r="H49" s="195"/>
      <c r="R49" t="s">
        <v>249</v>
      </c>
      <c r="S49" t="s">
        <v>166</v>
      </c>
      <c r="T49" t="s">
        <v>173</v>
      </c>
      <c r="U49" t="s">
        <v>188</v>
      </c>
      <c r="V49" t="s">
        <v>183</v>
      </c>
    </row>
    <row r="50" spans="1:24" ht="15.75" customHeight="1" x14ac:dyDescent="0.25">
      <c r="A50" s="174" t="s">
        <v>39</v>
      </c>
      <c r="B50" s="176"/>
      <c r="C50" s="178" t="s">
        <v>324</v>
      </c>
      <c r="D50" s="179"/>
      <c r="E50" s="180"/>
      <c r="F50" s="77" t="s">
        <v>40</v>
      </c>
      <c r="G50" s="237">
        <v>44588</v>
      </c>
      <c r="H50" s="180"/>
      <c r="R50"/>
      <c r="S50" t="s">
        <v>250</v>
      </c>
      <c r="T50" t="s">
        <v>255</v>
      </c>
      <c r="U50" t="s">
        <v>266</v>
      </c>
      <c r="V50" t="s">
        <v>271</v>
      </c>
    </row>
    <row r="51" spans="1:24" x14ac:dyDescent="0.25">
      <c r="A51" s="174" t="s">
        <v>41</v>
      </c>
      <c r="B51" s="176"/>
      <c r="C51" s="178" t="str">
        <f>C50</f>
        <v>RJP/BD/NSVP/18/2022</v>
      </c>
      <c r="D51" s="179"/>
      <c r="E51" s="180"/>
      <c r="F51" s="77" t="s">
        <v>40</v>
      </c>
      <c r="G51" s="237">
        <f>G50</f>
        <v>44588</v>
      </c>
      <c r="H51" s="238"/>
      <c r="R51"/>
      <c r="S51" t="s">
        <v>251</v>
      </c>
      <c r="T51" t="s">
        <v>299</v>
      </c>
      <c r="U51" t="s">
        <v>264</v>
      </c>
      <c r="V51" t="s">
        <v>272</v>
      </c>
    </row>
    <row r="52" spans="1:24" s="20" customFormat="1" ht="15.75" customHeight="1" x14ac:dyDescent="0.25">
      <c r="A52" s="239" t="s">
        <v>147</v>
      </c>
      <c r="B52" s="240"/>
      <c r="C52" s="178" t="s">
        <v>322</v>
      </c>
      <c r="D52" s="179"/>
      <c r="E52" s="180"/>
      <c r="F52" s="77" t="s">
        <v>40</v>
      </c>
      <c r="G52" s="237">
        <f>G51</f>
        <v>44588</v>
      </c>
      <c r="H52" s="238"/>
      <c r="R52"/>
      <c r="S52" t="s">
        <v>252</v>
      </c>
      <c r="T52" t="s">
        <v>257</v>
      </c>
      <c r="U52" t="s">
        <v>254</v>
      </c>
      <c r="V52" t="s">
        <v>273</v>
      </c>
    </row>
    <row r="53" spans="1:24" s="20" customFormat="1" x14ac:dyDescent="0.25">
      <c r="A53" s="241"/>
      <c r="B53" s="242"/>
      <c r="C53" s="174" t="s">
        <v>323</v>
      </c>
      <c r="D53" s="175"/>
      <c r="E53" s="175"/>
      <c r="F53" s="175"/>
      <c r="G53" s="175"/>
      <c r="H53" s="176"/>
      <c r="R53"/>
      <c r="S53" t="s">
        <v>253</v>
      </c>
      <c r="T53" t="s">
        <v>260</v>
      </c>
      <c r="U53" t="s">
        <v>267</v>
      </c>
    </row>
    <row r="54" spans="1:24" s="20" customFormat="1" hidden="1" x14ac:dyDescent="0.25">
      <c r="A54" s="233" t="s">
        <v>277</v>
      </c>
      <c r="B54" s="234"/>
      <c r="C54" s="174" t="str">
        <f>C53</f>
        <v>Total Proposed Built-up Area = 8485.26 Sq.M</v>
      </c>
      <c r="D54" s="175"/>
      <c r="E54" s="176"/>
      <c r="F54" s="17" t="s">
        <v>40</v>
      </c>
      <c r="G54" s="174"/>
      <c r="H54" s="176"/>
      <c r="R54"/>
      <c r="S54" t="s">
        <v>252</v>
      </c>
      <c r="T54" t="s">
        <v>257</v>
      </c>
      <c r="U54" t="s">
        <v>254</v>
      </c>
      <c r="V54" t="s">
        <v>273</v>
      </c>
    </row>
    <row r="55" spans="1:24" s="20" customFormat="1" ht="32.25" hidden="1" customHeight="1" x14ac:dyDescent="0.25">
      <c r="A55" s="235"/>
      <c r="B55" s="236"/>
      <c r="C55" s="190"/>
      <c r="D55" s="191"/>
      <c r="E55" s="191"/>
      <c r="F55" s="191"/>
      <c r="G55" s="191"/>
      <c r="H55" s="192"/>
      <c r="R55"/>
      <c r="S55" t="s">
        <v>254</v>
      </c>
      <c r="T55" t="s">
        <v>300</v>
      </c>
      <c r="U55" t="s">
        <v>268</v>
      </c>
      <c r="V55" s="18"/>
      <c r="W55" s="18"/>
      <c r="X55" s="18"/>
    </row>
    <row r="56" spans="1:24" s="20" customFormat="1" ht="34.5" hidden="1" customHeight="1" x14ac:dyDescent="0.25">
      <c r="A56" s="233" t="s">
        <v>278</v>
      </c>
      <c r="B56" s="234"/>
      <c r="C56" s="174">
        <f>C55</f>
        <v>0</v>
      </c>
      <c r="D56" s="175"/>
      <c r="E56" s="176"/>
      <c r="F56" s="17" t="s">
        <v>40</v>
      </c>
      <c r="G56" s="174">
        <f>G55</f>
        <v>0</v>
      </c>
      <c r="H56" s="176"/>
      <c r="R56"/>
      <c r="S56" s="18"/>
      <c r="T56" t="s">
        <v>259</v>
      </c>
      <c r="U56" t="s">
        <v>321</v>
      </c>
      <c r="V56" s="18"/>
      <c r="W56" s="18"/>
      <c r="X56" s="18"/>
    </row>
    <row r="57" spans="1:24" s="20" customFormat="1" ht="41.25" hidden="1" customHeight="1" x14ac:dyDescent="0.25">
      <c r="A57" s="235"/>
      <c r="B57" s="236"/>
      <c r="C57" s="174"/>
      <c r="D57" s="175"/>
      <c r="E57" s="175"/>
      <c r="F57" s="175"/>
      <c r="G57" s="175"/>
      <c r="H57" s="176"/>
      <c r="R57"/>
      <c r="S57" s="18"/>
      <c r="T57" t="s">
        <v>261</v>
      </c>
      <c r="U57" t="s">
        <v>270</v>
      </c>
      <c r="V57" s="18"/>
      <c r="W57" s="18"/>
      <c r="X57" s="18"/>
    </row>
    <row r="58" spans="1:24" s="20" customFormat="1" ht="15.75" hidden="1" customHeight="1" x14ac:dyDescent="0.25">
      <c r="A58" s="233" t="s">
        <v>279</v>
      </c>
      <c r="B58" s="234"/>
      <c r="C58" s="174">
        <f>C57</f>
        <v>0</v>
      </c>
      <c r="D58" s="175"/>
      <c r="E58" s="176"/>
      <c r="F58" s="17" t="s">
        <v>40</v>
      </c>
      <c r="G58" s="174">
        <f>G57</f>
        <v>0</v>
      </c>
      <c r="H58" s="176"/>
      <c r="R58"/>
      <c r="S58" s="18"/>
      <c r="T58" t="s">
        <v>262</v>
      </c>
      <c r="U58" s="18" t="s">
        <v>293</v>
      </c>
      <c r="V58" s="18"/>
      <c r="W58" s="18"/>
      <c r="X58" s="18"/>
    </row>
    <row r="59" spans="1:24" s="20" customFormat="1" ht="33.75" hidden="1" customHeight="1" x14ac:dyDescent="0.25">
      <c r="A59" s="235"/>
      <c r="B59" s="236"/>
      <c r="C59" s="174"/>
      <c r="D59" s="175"/>
      <c r="E59" s="175"/>
      <c r="F59" s="175"/>
      <c r="G59" s="175"/>
      <c r="H59" s="176"/>
      <c r="R59"/>
      <c r="S59" s="18"/>
      <c r="T59" t="s">
        <v>263</v>
      </c>
      <c r="U59" s="18"/>
      <c r="V59" s="18"/>
      <c r="W59" s="18"/>
      <c r="X59" s="18"/>
    </row>
    <row r="60" spans="1:24" x14ac:dyDescent="0.25">
      <c r="A60" s="246" t="s">
        <v>42</v>
      </c>
      <c r="B60" s="247"/>
      <c r="C60" s="246" t="s">
        <v>101</v>
      </c>
      <c r="D60" s="248"/>
      <c r="E60" s="247"/>
      <c r="F60" s="40" t="s">
        <v>40</v>
      </c>
      <c r="G60" s="231" t="s">
        <v>28</v>
      </c>
      <c r="H60" s="232"/>
      <c r="R60"/>
      <c r="T60" t="s">
        <v>265</v>
      </c>
    </row>
    <row r="61" spans="1:24" x14ac:dyDescent="0.25">
      <c r="A61" s="220" t="s">
        <v>44</v>
      </c>
      <c r="B61" s="220"/>
      <c r="C61" s="220"/>
      <c r="D61" s="220"/>
      <c r="E61" s="220"/>
      <c r="F61" s="220"/>
      <c r="G61" s="220"/>
      <c r="H61" s="220"/>
      <c r="T61" t="s">
        <v>274</v>
      </c>
    </row>
    <row r="62" spans="1:24" x14ac:dyDescent="0.25">
      <c r="A62" s="205" t="s">
        <v>88</v>
      </c>
      <c r="B62" s="205"/>
      <c r="C62" s="205"/>
      <c r="D62" s="147">
        <f>E46</f>
        <v>8485.26</v>
      </c>
      <c r="E62" s="147"/>
      <c r="F62" s="147"/>
      <c r="G62" s="147"/>
      <c r="H62" s="147"/>
      <c r="R62"/>
    </row>
    <row r="63" spans="1:24" x14ac:dyDescent="0.25">
      <c r="A63" s="169" t="s">
        <v>45</v>
      </c>
      <c r="B63" s="197"/>
      <c r="C63" s="197"/>
      <c r="D63" s="197" t="s">
        <v>373</v>
      </c>
      <c r="E63" s="197"/>
      <c r="F63" s="197"/>
      <c r="G63" s="197"/>
      <c r="H63" s="197"/>
      <c r="I63" s="21"/>
      <c r="R63"/>
    </row>
    <row r="64" spans="1:24" x14ac:dyDescent="0.25">
      <c r="A64" s="181" t="s">
        <v>46</v>
      </c>
      <c r="B64" s="182"/>
      <c r="C64" s="200"/>
      <c r="D64" s="198" t="s">
        <v>342</v>
      </c>
      <c r="E64" s="199"/>
      <c r="F64" s="199"/>
      <c r="G64" s="199"/>
      <c r="H64" s="199"/>
      <c r="R64"/>
    </row>
    <row r="65" spans="1:19" ht="15.75" customHeight="1" x14ac:dyDescent="0.25">
      <c r="A65" s="181" t="s">
        <v>86</v>
      </c>
      <c r="B65" s="182"/>
      <c r="C65" s="182"/>
      <c r="D65" s="197" t="s">
        <v>342</v>
      </c>
      <c r="E65" s="197"/>
      <c r="F65" s="197"/>
      <c r="G65" s="197"/>
      <c r="H65" s="197"/>
      <c r="R65"/>
    </row>
    <row r="66" spans="1:19" ht="15.75" hidden="1" customHeight="1" x14ac:dyDescent="0.25">
      <c r="A66" s="183"/>
      <c r="B66" s="184"/>
      <c r="C66" s="184"/>
      <c r="D66" s="177" t="s">
        <v>294</v>
      </c>
      <c r="E66" s="177"/>
      <c r="F66" s="177"/>
      <c r="G66" s="177"/>
      <c r="H66" s="177"/>
      <c r="R66"/>
    </row>
    <row r="67" spans="1:19" ht="15.75" hidden="1" customHeight="1" x14ac:dyDescent="0.25">
      <c r="A67" s="185"/>
      <c r="B67" s="186"/>
      <c r="C67" s="186"/>
      <c r="D67" s="177" t="s">
        <v>162</v>
      </c>
      <c r="E67" s="177"/>
      <c r="F67" s="177"/>
      <c r="G67" s="177"/>
      <c r="H67" s="177"/>
      <c r="S67"/>
    </row>
    <row r="68" spans="1:19" ht="47.25" customHeight="1" x14ac:dyDescent="0.25">
      <c r="A68" s="147" t="s">
        <v>43</v>
      </c>
      <c r="B68" s="147"/>
      <c r="C68" s="147"/>
      <c r="D68" s="205" t="s">
        <v>325</v>
      </c>
      <c r="E68" s="205"/>
      <c r="F68" s="205"/>
      <c r="G68" s="205"/>
      <c r="H68" s="205"/>
      <c r="J68" s="22"/>
      <c r="K68" s="21"/>
      <c r="N68" s="21"/>
      <c r="S68"/>
    </row>
    <row r="69" spans="1:19" ht="15.75" customHeight="1" x14ac:dyDescent="0.25">
      <c r="A69" s="147" t="s">
        <v>84</v>
      </c>
      <c r="B69" s="147"/>
      <c r="C69" s="147"/>
      <c r="D69" s="206" t="str">
        <f>(IF(G60="NA","60 Years After Completion",IF(G60&lt;&gt;"NA",""&amp;60-ROUNDDOWN((E3-G60)/360,0)&amp;" Years"," ")))</f>
        <v>60 Years After Completion</v>
      </c>
      <c r="E69" s="206"/>
      <c r="F69" s="206"/>
      <c r="G69" s="206"/>
      <c r="H69" s="206"/>
      <c r="N69" s="21"/>
      <c r="S69"/>
    </row>
    <row r="70" spans="1:19" ht="15.75" customHeight="1" x14ac:dyDescent="0.25">
      <c r="A70" s="147" t="s">
        <v>85</v>
      </c>
      <c r="B70" s="147"/>
      <c r="C70" s="147"/>
      <c r="D70" s="205" t="s">
        <v>23</v>
      </c>
      <c r="E70" s="205"/>
      <c r="F70" s="205"/>
      <c r="G70" s="205"/>
      <c r="H70" s="205"/>
      <c r="J70" s="23"/>
      <c r="K70" s="23"/>
      <c r="S70"/>
    </row>
    <row r="71" spans="1:19" x14ac:dyDescent="0.25">
      <c r="A71" s="197" t="s">
        <v>345</v>
      </c>
      <c r="B71" s="197"/>
      <c r="C71" s="197"/>
      <c r="D71" s="169" t="s">
        <v>346</v>
      </c>
      <c r="E71" s="169"/>
      <c r="F71" s="169"/>
      <c r="G71" s="169"/>
      <c r="H71" s="169"/>
      <c r="S71"/>
    </row>
    <row r="72" spans="1:19" x14ac:dyDescent="0.25">
      <c r="A72" s="205" t="s">
        <v>141</v>
      </c>
      <c r="B72" s="205"/>
      <c r="C72" s="205"/>
      <c r="D72" s="205" t="s">
        <v>28</v>
      </c>
      <c r="E72" s="205"/>
      <c r="F72" s="205"/>
      <c r="G72" s="205"/>
      <c r="H72" s="205"/>
      <c r="I72" s="24"/>
      <c r="J72" s="24"/>
      <c r="K72" s="24"/>
      <c r="L72" s="24"/>
      <c r="M72" s="24"/>
      <c r="N72" s="24"/>
    </row>
    <row r="73" spans="1:19" ht="15.75" customHeight="1" x14ac:dyDescent="0.25">
      <c r="A73" s="147" t="s">
        <v>83</v>
      </c>
      <c r="B73" s="147"/>
      <c r="C73" s="147"/>
      <c r="D73" s="169" t="str">
        <f ca="1">(IF(G94&gt;95%,"Nothing",IF(G94&gt;0%,"Cement, Aggregate, Steel, etc",IF(G94=0%,"Work not yet Started"))))</f>
        <v>Cement, Aggregate, Steel, etc</v>
      </c>
      <c r="E73" s="169"/>
      <c r="F73" s="169"/>
      <c r="G73" s="169"/>
      <c r="H73" s="169"/>
      <c r="J73" s="23"/>
      <c r="S73"/>
    </row>
    <row r="74" spans="1:19" ht="33.75" customHeight="1" thickBot="1" x14ac:dyDescent="0.3">
      <c r="A74" s="205" t="s">
        <v>114</v>
      </c>
      <c r="B74" s="205"/>
      <c r="C74" s="205"/>
      <c r="D74" s="169" t="str">
        <f ca="1">(IF(D73="Nothing","Yes",IF(D73="Cement, Aggregate, Steel, etc","Under Construction",IF(D73="Work not yet Started","Work not yet Started"))))</f>
        <v>Under Construction</v>
      </c>
      <c r="E74" s="169"/>
      <c r="F74" s="169" t="str">
        <f ca="1">(IF(D73="Nothing","Yes",IF(D73="Cement, Aggregate, Steel, etc","Under Construction",IF(D73="Work not yet Started","Work not yet Started"))))</f>
        <v>Under Construction</v>
      </c>
      <c r="G74" s="169"/>
      <c r="H74" s="169"/>
      <c r="S74"/>
    </row>
    <row r="75" spans="1:19" ht="15.75" customHeight="1" x14ac:dyDescent="0.25">
      <c r="A75" s="114" t="s">
        <v>133</v>
      </c>
      <c r="B75" s="114"/>
      <c r="C75" s="114" t="s">
        <v>343</v>
      </c>
      <c r="D75" s="114"/>
      <c r="E75" s="114"/>
      <c r="F75" s="114"/>
      <c r="G75" s="114"/>
      <c r="H75" s="114"/>
      <c r="I75" s="91" t="str">
        <f ca="1">IF(D89=100%,"All work Completed. Possession granted to the Building.",IF(D88=100%,"All work Completed, Waiting for OC",I76&amp;""&amp;I77&amp;""&amp;J76&amp;""&amp;J75&amp;" "&amp;J77))</f>
        <v>All work Completed. Possession granted to the Building.</v>
      </c>
      <c r="J75" s="43" t="str">
        <f ca="1">(IF(C82=(D76+F76+H76),"",IF(C82&gt;0,", RCC upto "&amp;C82&amp;" Slab","")))&amp;(IF(C83=H76,"",IF(C83&gt;0,", Brickwork upto "&amp;C83&amp;" Floor","")))&amp;(IF(C84=H76,"",IF(C84&gt;0,", Internal Plaster upto "&amp;C84&amp;" Floor","")))&amp;(IF(C85=H76,"",IF(C85&gt;0,", External Plaster upto "&amp;C85&amp;" Floor","")))&amp;(IF(C86=H76,"",IF(C86&gt;0,", Flooring upto "&amp;C86&amp;" Floor","")))&amp;(IF(C87=H76,"",IF(C87&gt;0,", Painting upto "&amp;C87&amp;" Floor","")))&amp;(IF(C88=H76,"",IF(C88&gt;0,", Finishing upto "&amp;C88&amp;" Floor","")))&amp;(IF(C89=H76,"",IF(C89&gt;0,", Possession upto "&amp;C89&amp;" Floor","")))</f>
        <v/>
      </c>
      <c r="S75"/>
    </row>
    <row r="76" spans="1:19" x14ac:dyDescent="0.25">
      <c r="A76" s="90" t="s">
        <v>135</v>
      </c>
      <c r="B76" s="90">
        <f>IF(AND(ISNUMBER(SEARCH("1B",C75))),1,IF(AND(ISNUMBER(SEARCH("2B",C75))),2,IF(AND(ISNUMBER(SEARCH("3B",C75))),3,IF(AND(ISNUMBER(SEARCH("4B",C75))),4,IF(ISNUMBER(SEARCH("5B",C75)),5,0)))))</f>
        <v>0</v>
      </c>
      <c r="C76" s="90" t="s">
        <v>69</v>
      </c>
      <c r="D76" s="90">
        <v>1</v>
      </c>
      <c r="E76" s="90" t="s">
        <v>68</v>
      </c>
      <c r="F76" s="90">
        <v>0</v>
      </c>
      <c r="G76" s="90" t="s">
        <v>77</v>
      </c>
      <c r="H76" s="90">
        <f ca="1">--TRIM(RIGHT(SUBSTITUTE(LEFT(C75,_xlfn.AGGREGATE(16,6,FIND({0,1,2,3,4,5,6,7,8,9},C75,ROW(INDIRECT("1:"&amp;LEN(C75)))),1))," ",REPT(" ",LEN(C75))),LEN(C75)))</f>
        <v>7</v>
      </c>
      <c r="I76" s="92" t="str">
        <f ca="1">IF(D80=100%,"Excavation","")&amp;IF(D81=100%,", Plinth","")&amp;IF(D82=100%,", RCC Slab","")&amp;IF(D83=100%,", Brickwork","")&amp;IF(D84=100%,", Internal Plaster","")&amp;IF(D85=100%,", External Plaster","")&amp;IF(D86=100%,", Flooring","")&amp;IF(D87=100%,", Painting","")&amp;IF(D88=100%,", Building common Amenities","")</f>
        <v>Excavation, Plinth, RCC Slab, Brickwork, Internal Plaster, External Plaster, Flooring, Painting, Building common Amenities</v>
      </c>
      <c r="J76" s="45" t="str">
        <f ca="1">(IF(C80=0,"Work not yet Started.",IF(D80=25%,"Piling work in process",IF(D80=50%,"Excavation work in process",IF(D80=100%,"","0")))))&amp;(IF(C81=0%,"",IF(C81=J82,", Footing work is process",IF(C81=J83,", Footing work Completed",IF(C81=J84,", 1st Basement Completed",IF(C81=J85,", 1st &amp; 2nd Basement Completed",IF(C81=J86,", 1st to 3rd Basement Completed",IF(C81=J87,", 1st to 4th Basement Completed",IF(C81=J88,", Plinth work is process",IF(C81=J89,"","0"))))))))))</f>
        <v/>
      </c>
      <c r="S76"/>
    </row>
    <row r="77" spans="1:19" x14ac:dyDescent="0.25">
      <c r="A77" s="113" t="s">
        <v>87</v>
      </c>
      <c r="B77" s="113"/>
      <c r="C77" s="114" t="str">
        <f ca="1">I75</f>
        <v>All work Completed. Possession granted to the Building.</v>
      </c>
      <c r="D77" s="114"/>
      <c r="E77" s="114"/>
      <c r="F77" s="114"/>
      <c r="G77" s="114"/>
      <c r="H77" s="114"/>
      <c r="I77" s="92" t="str">
        <f ca="1">IF(I76&lt;&gt;""," Completed","")</f>
        <v xml:space="preserve"> Completed</v>
      </c>
      <c r="J77" s="45" t="str">
        <f ca="1">IF(J75&lt;&gt;"","Completed","")</f>
        <v/>
      </c>
      <c r="S77"/>
    </row>
    <row r="78" spans="1:19" ht="30.6" customHeight="1" thickBot="1" x14ac:dyDescent="0.3">
      <c r="A78" s="93" t="s">
        <v>82</v>
      </c>
      <c r="B78" s="93"/>
      <c r="C78" s="94">
        <f ca="1">E80</f>
        <v>1</v>
      </c>
      <c r="D78" s="95"/>
      <c r="E78" s="95" t="s">
        <v>81</v>
      </c>
      <c r="F78" s="95"/>
      <c r="G78" s="94">
        <f ca="1">G80</f>
        <v>1</v>
      </c>
      <c r="H78" s="95"/>
      <c r="I78" s="92"/>
      <c r="J78" s="45"/>
      <c r="S78"/>
    </row>
    <row r="79" spans="1:19" ht="15.75" hidden="1" customHeight="1" x14ac:dyDescent="0.25">
      <c r="A79" s="117" t="s">
        <v>47</v>
      </c>
      <c r="B79" s="117"/>
      <c r="C79" s="89" t="s">
        <v>132</v>
      </c>
      <c r="D79" s="89" t="s">
        <v>80</v>
      </c>
      <c r="E79" s="117" t="s">
        <v>82</v>
      </c>
      <c r="F79" s="117"/>
      <c r="G79" s="117" t="s">
        <v>81</v>
      </c>
      <c r="H79" s="117"/>
      <c r="I79" s="13" t="s">
        <v>134</v>
      </c>
      <c r="J79" s="25">
        <f ca="1">H76*25%</f>
        <v>1.75</v>
      </c>
      <c r="S79"/>
    </row>
    <row r="80" spans="1:19" ht="16.5" hidden="1" thickBot="1" x14ac:dyDescent="0.3">
      <c r="A80" s="117" t="s">
        <v>121</v>
      </c>
      <c r="B80" s="117"/>
      <c r="C80" s="89">
        <f ca="1">J81</f>
        <v>7</v>
      </c>
      <c r="D80" s="73">
        <f ca="1">((100/H76)*C80)/100</f>
        <v>1</v>
      </c>
      <c r="E80" s="170">
        <f ca="1">(((C81/H76*10)+(40/(D76+F76+H76)*C82)+(7.5/(H76)*C83)+(7.5/(H76)*C84)+(10/H76*C85)+(10/H76*C86)+(5/H76*C87)+(5/H76*C88)+(5/H76*C89))/100)</f>
        <v>1</v>
      </c>
      <c r="F80" s="170"/>
      <c r="G80" s="170">
        <f ca="1">((((C80/H76)*20)+((C81/H76)*25)+(30/(H76+F76+D76)*C82)+(5/H76*C83)+(5/H76*C84)+(5/H76*C85)+(5/H76*C86)+(0/H76*C87)+(0/H76*C88)+(5/H76*C89))/100)</f>
        <v>1</v>
      </c>
      <c r="H80" s="170"/>
      <c r="I80" s="13" t="s">
        <v>96</v>
      </c>
      <c r="J80" s="26">
        <f ca="1">H76*50%</f>
        <v>3.5</v>
      </c>
    </row>
    <row r="81" spans="1:19" ht="16.5" hidden="1" thickBot="1" x14ac:dyDescent="0.3">
      <c r="A81" s="117" t="s">
        <v>48</v>
      </c>
      <c r="B81" s="117"/>
      <c r="C81" s="89">
        <f ca="1">J89</f>
        <v>7</v>
      </c>
      <c r="D81" s="73">
        <f ca="1">((100/H76)*C81)/100</f>
        <v>1</v>
      </c>
      <c r="E81" s="170"/>
      <c r="F81" s="170"/>
      <c r="G81" s="170"/>
      <c r="H81" s="170"/>
      <c r="I81" s="13" t="s">
        <v>97</v>
      </c>
      <c r="J81" s="26">
        <f ca="1">H76</f>
        <v>7</v>
      </c>
      <c r="S81"/>
    </row>
    <row r="82" spans="1:19" ht="15.75" hidden="1" customHeight="1" x14ac:dyDescent="0.25">
      <c r="A82" s="117" t="s">
        <v>122</v>
      </c>
      <c r="B82" s="117"/>
      <c r="C82" s="89">
        <v>8</v>
      </c>
      <c r="D82" s="73">
        <f ca="1">((100/(D76+F76+H76))*C82)/100</f>
        <v>1</v>
      </c>
      <c r="E82" s="170"/>
      <c r="F82" s="170"/>
      <c r="G82" s="170"/>
      <c r="H82" s="170"/>
      <c r="I82" s="13" t="s">
        <v>98</v>
      </c>
      <c r="J82" s="27">
        <f ca="1">(IF(B76&gt;1,(H76/(B76+2)),H76/4))</f>
        <v>1.75</v>
      </c>
      <c r="S82"/>
    </row>
    <row r="83" spans="1:19" ht="15.75" hidden="1" customHeight="1" x14ac:dyDescent="0.25">
      <c r="A83" s="117" t="s">
        <v>129</v>
      </c>
      <c r="B83" s="117" t="s">
        <v>123</v>
      </c>
      <c r="C83" s="89">
        <v>7</v>
      </c>
      <c r="D83" s="73">
        <f ca="1">((100/H76)*C83)/100</f>
        <v>1</v>
      </c>
      <c r="E83" s="170"/>
      <c r="F83" s="170"/>
      <c r="G83" s="170"/>
      <c r="H83" s="170"/>
      <c r="I83" s="13" t="s">
        <v>99</v>
      </c>
      <c r="J83" s="27">
        <f ca="1">(IF(B76&gt;1,(H76/(B76+2)+J82),H76/4+J82))</f>
        <v>3.5</v>
      </c>
    </row>
    <row r="84" spans="1:19" ht="15.75" hidden="1" customHeight="1" x14ac:dyDescent="0.25">
      <c r="A84" s="117" t="s">
        <v>130</v>
      </c>
      <c r="B84" s="117" t="s">
        <v>123</v>
      </c>
      <c r="C84" s="89">
        <v>7</v>
      </c>
      <c r="D84" s="73">
        <f ca="1">((100/H76)*C84)/100</f>
        <v>1</v>
      </c>
      <c r="E84" s="170"/>
      <c r="F84" s="170"/>
      <c r="G84" s="170"/>
      <c r="H84" s="170"/>
      <c r="I84" s="13" t="s">
        <v>139</v>
      </c>
      <c r="J84" s="27">
        <f>(IF(B76&gt;1,(H76/(B76+2)+J83),0))</f>
        <v>0</v>
      </c>
    </row>
    <row r="85" spans="1:19" ht="15" hidden="1" customHeight="1" x14ac:dyDescent="0.25">
      <c r="A85" s="117" t="s">
        <v>128</v>
      </c>
      <c r="B85" s="117" t="s">
        <v>125</v>
      </c>
      <c r="C85" s="89">
        <v>7</v>
      </c>
      <c r="D85" s="73">
        <f ca="1">((100/(H76))*C85)/100</f>
        <v>1</v>
      </c>
      <c r="E85" s="170"/>
      <c r="F85" s="170"/>
      <c r="G85" s="170"/>
      <c r="H85" s="170"/>
      <c r="I85" s="13" t="s">
        <v>136</v>
      </c>
      <c r="J85" s="27">
        <f>(IF(B76&gt;2,(H76/(B76+2)+J84),0))</f>
        <v>0</v>
      </c>
    </row>
    <row r="86" spans="1:19" ht="15.75" hidden="1" customHeight="1" x14ac:dyDescent="0.25">
      <c r="A86" s="117" t="s">
        <v>124</v>
      </c>
      <c r="B86" s="117" t="s">
        <v>124</v>
      </c>
      <c r="C86" s="89">
        <v>7</v>
      </c>
      <c r="D86" s="73">
        <f ca="1">((100/H76)*C86)/100</f>
        <v>1</v>
      </c>
      <c r="E86" s="170"/>
      <c r="F86" s="170"/>
      <c r="G86" s="170"/>
      <c r="H86" s="170"/>
      <c r="I86" s="13" t="s">
        <v>137</v>
      </c>
      <c r="J86" s="28">
        <f>(IF(B76&gt;3,(H76/(B76+2)+J85),0))</f>
        <v>0</v>
      </c>
    </row>
    <row r="87" spans="1:19" ht="15.75" hidden="1" customHeight="1" x14ac:dyDescent="0.25">
      <c r="A87" s="117" t="s">
        <v>131</v>
      </c>
      <c r="B87" s="117"/>
      <c r="C87" s="89">
        <v>7</v>
      </c>
      <c r="D87" s="73">
        <f ca="1">((100/H76)*C87)/100</f>
        <v>1</v>
      </c>
      <c r="E87" s="170"/>
      <c r="F87" s="170"/>
      <c r="G87" s="170"/>
      <c r="H87" s="170"/>
      <c r="I87" s="13" t="s">
        <v>138</v>
      </c>
      <c r="J87" s="27">
        <f>(IF(B76&gt;4,(H76/(B76+2)+J86),0))</f>
        <v>0</v>
      </c>
    </row>
    <row r="88" spans="1:19" ht="15.75" hidden="1" customHeight="1" x14ac:dyDescent="0.25">
      <c r="A88" s="117" t="s">
        <v>126</v>
      </c>
      <c r="B88" s="117" t="s">
        <v>126</v>
      </c>
      <c r="C88" s="89">
        <v>7</v>
      </c>
      <c r="D88" s="73">
        <f ca="1">((100/(H76))*C88)/100</f>
        <v>1</v>
      </c>
      <c r="E88" s="170"/>
      <c r="F88" s="170"/>
      <c r="G88" s="170"/>
      <c r="H88" s="170"/>
      <c r="I88" s="13" t="s">
        <v>140</v>
      </c>
      <c r="J88" s="27">
        <f ca="1">(IF(B76=1,(H76/(B76+3)+J83),IF(B76=0,(H76/4+J83),IF(B76&gt;1,0))))</f>
        <v>5.25</v>
      </c>
    </row>
    <row r="89" spans="1:19" ht="16.5" hidden="1" thickBot="1" x14ac:dyDescent="0.3">
      <c r="A89" s="117" t="s">
        <v>127</v>
      </c>
      <c r="B89" s="117"/>
      <c r="C89" s="89">
        <v>7</v>
      </c>
      <c r="D89" s="73">
        <f ca="1">((100/(H76))*C89)/100</f>
        <v>1</v>
      </c>
      <c r="E89" s="170"/>
      <c r="F89" s="170"/>
      <c r="G89" s="170"/>
      <c r="H89" s="170"/>
      <c r="I89" s="14" t="s">
        <v>100</v>
      </c>
      <c r="J89" s="29">
        <f ca="1">(IF(B76&gt;1.5,(H76/(B76+2)+J83+MAX(0,J84-J83)+MAX(0,J85-J84)+MAX(0,J86-J85)+MAX(0,J87-J86)+MAX(0,J88-J87)),IF(B76=1,(H76/(B76+3)+J88),IF(B76=0,H76/4+J88))))</f>
        <v>7</v>
      </c>
    </row>
    <row r="90" spans="1:19" ht="15.75" customHeight="1" x14ac:dyDescent="0.25">
      <c r="A90" s="114" t="s">
        <v>133</v>
      </c>
      <c r="B90" s="114"/>
      <c r="C90" s="114" t="s">
        <v>358</v>
      </c>
      <c r="D90" s="114"/>
      <c r="E90" s="114"/>
      <c r="F90" s="114"/>
      <c r="G90" s="114"/>
      <c r="H90" s="114"/>
      <c r="I90" s="91" t="str">
        <f ca="1">IF(D103=100%,"All work Completed. Possession granted to the Building.",IF(D102=100%,"All work Completed, Waiting for OC",I91&amp;""&amp;I92&amp;""&amp;J91&amp;""&amp;J90&amp;" "&amp;J92))</f>
        <v>Excavation, Plinth, RCC Slab, Brickwork, Internal Plaster Completed, External Plaster upto 6 Floor, Flooring upto 1 Floor Completed</v>
      </c>
      <c r="J90" s="43" t="str">
        <f ca="1">(IF(C96=(D91+F91+H91),"",IF(C96&gt;0,", RCC upto "&amp;C96&amp;" Slab","")))&amp;(IF(C97=H91,"",IF(C97&gt;0,", Brickwork upto "&amp;C97&amp;" Floor","")))&amp;(IF(C98=H91,"",IF(C98&gt;0,", Internal Plaster upto "&amp;C98&amp;" Floor","")))&amp;(IF(C99=H91,"",IF(C99&gt;0,", External Plaster upto "&amp;C99&amp;" Floor","")))&amp;(IF(C100=H91,"",IF(C100&gt;0,", Flooring upto "&amp;C100&amp;" Floor","")))&amp;(IF(C101=H91,"",IF(C101&gt;0,", Painting upto "&amp;C101&amp;" Floor","")))&amp;(IF(C102=H91,"",IF(C102&gt;0,", Finishing upto "&amp;C102&amp;" Floor","")))&amp;(IF(C103=H91,"",IF(C103&gt;0,", Possession upto "&amp;C103&amp;" Floor","")))</f>
        <v>, External Plaster upto 6 Floor, Flooring upto 1 Floor</v>
      </c>
    </row>
    <row r="91" spans="1:19" x14ac:dyDescent="0.25">
      <c r="A91" s="90" t="s">
        <v>135</v>
      </c>
      <c r="B91" s="90">
        <f>IF(AND(ISNUMBER(SEARCH("1B",C90))),1,IF(AND(ISNUMBER(SEARCH("2B",C90))),2,IF(AND(ISNUMBER(SEARCH("3B",C90))),3,IF(AND(ISNUMBER(SEARCH("4B",C90))),4,IF(ISNUMBER(SEARCH("5B",C90)),5,0)))))</f>
        <v>0</v>
      </c>
      <c r="C91" s="90" t="s">
        <v>69</v>
      </c>
      <c r="D91" s="90">
        <v>1</v>
      </c>
      <c r="E91" s="90" t="s">
        <v>68</v>
      </c>
      <c r="F91" s="90">
        <v>0</v>
      </c>
      <c r="G91" s="90" t="s">
        <v>77</v>
      </c>
      <c r="H91" s="90">
        <f ca="1">--TRIM(RIGHT(SUBSTITUTE(LEFT(C90,_xlfn.AGGREGATE(16,6,FIND({0,1,2,3,4,5,6,7,8,9},C90,ROW(INDIRECT("1:"&amp;LEN(C90)))),1))," ",REPT(" ",LEN(C90))),LEN(C90)))</f>
        <v>7</v>
      </c>
      <c r="I91" s="92" t="str">
        <f ca="1">IF(D94=100%,"Excavation","")&amp;IF(D95=100%,", Plinth","")&amp;IF(D96=100%,", RCC Slab","")&amp;IF(D97=100%,", Brickwork","")&amp;IF(D98=100%,", Internal Plaster","")&amp;IF(D99=100%,", External Plaster","")&amp;IF(D100=100%,", Flooring","")&amp;IF(D101=100%,", Painting","")&amp;IF(D102=100%,", Building common Amenities","")</f>
        <v>Excavation, Plinth, RCC Slab, Brickwork, Internal Plaster</v>
      </c>
      <c r="J91" s="45" t="str">
        <f ca="1">(IF(C94=0,"Work not yet Started.",IF(D94=25%,"Piling work in process",IF(D94=50%,"Excavation work in process",IF(D94=100%,"","0")))))&amp;(IF(C95=0%,"",IF(C95=J96,", Footing work is process",IF(C95=J97,", Footing work Completed",IF(C95=J98,", 1st Basement Completed",IF(C95=J99,", 1st &amp; 2nd Basement Completed",IF(C95=J100,", 1st to 3rd Basement Completed",IF(C95=J101,", 1st to 4th Basement Completed",IF(C95=J102,", Plinth work is process",IF(C95=J103,"","0"))))))))))</f>
        <v/>
      </c>
    </row>
    <row r="92" spans="1:19" ht="33.75" customHeight="1" x14ac:dyDescent="0.25">
      <c r="A92" s="113" t="s">
        <v>87</v>
      </c>
      <c r="B92" s="113"/>
      <c r="C92" s="114" t="str">
        <f ca="1">(IF($G$60="NA",I90,"All work Completed. OC Received."))</f>
        <v>Excavation, Plinth, RCC Slab, Brickwork, Internal Plaster Completed, External Plaster upto 6 Floor, Flooring upto 1 Floor Completed</v>
      </c>
      <c r="D92" s="114"/>
      <c r="E92" s="114"/>
      <c r="F92" s="114"/>
      <c r="G92" s="114"/>
      <c r="H92" s="114"/>
      <c r="I92" s="92" t="str">
        <f ca="1">IF(I91&lt;&gt;""," Completed","")</f>
        <v xml:space="preserve"> Completed</v>
      </c>
      <c r="J92" s="45" t="str">
        <f ca="1">IF(J90&lt;&gt;"","Completed","")</f>
        <v>Completed</v>
      </c>
    </row>
    <row r="93" spans="1:19" ht="15.75" customHeight="1" x14ac:dyDescent="0.25">
      <c r="A93" s="117" t="s">
        <v>47</v>
      </c>
      <c r="B93" s="117"/>
      <c r="C93" s="89" t="s">
        <v>132</v>
      </c>
      <c r="D93" s="89" t="s">
        <v>80</v>
      </c>
      <c r="E93" s="117" t="s">
        <v>82</v>
      </c>
      <c r="F93" s="117"/>
      <c r="G93" s="117" t="s">
        <v>81</v>
      </c>
      <c r="H93" s="117"/>
      <c r="I93" s="13" t="s">
        <v>134</v>
      </c>
      <c r="J93" s="25">
        <f ca="1">H91*25%</f>
        <v>1.75</v>
      </c>
    </row>
    <row r="94" spans="1:19" x14ac:dyDescent="0.25">
      <c r="A94" s="117" t="s">
        <v>121</v>
      </c>
      <c r="B94" s="117"/>
      <c r="C94" s="89">
        <f ca="1">J95</f>
        <v>7</v>
      </c>
      <c r="D94" s="73">
        <f ca="1">((100/H91)*C94)/100</f>
        <v>1</v>
      </c>
      <c r="E94" s="170">
        <f ca="1">(((C95/H91*10)+(40/(D91+F91+H91)*C96)+(7.5/(H91)*C97)+(7.5/(H91)*C98)+(10/H91*C99)+(10/H91*C100)+(5/H91*C101)+(5/H91*C102)+(5/H91*C103))/100)</f>
        <v>0.75</v>
      </c>
      <c r="F94" s="170"/>
      <c r="G94" s="170">
        <f ca="1">((((C94/H91)*20)+((C95/H91)*25)+(30/(H91+F91+D91)*C96)+(5/H91*C97)+(5/H91*C98)+(5/H91*C99)+(5/H91*C100)+(0/H91*C101)+(0/H91*C102)+(5/H91*C103))/100)</f>
        <v>0.9</v>
      </c>
      <c r="H94" s="170"/>
      <c r="I94" s="13" t="s">
        <v>96</v>
      </c>
      <c r="J94" s="26">
        <f ca="1">H91*50%</f>
        <v>3.5</v>
      </c>
    </row>
    <row r="95" spans="1:19" x14ac:dyDescent="0.25">
      <c r="A95" s="117" t="s">
        <v>48</v>
      </c>
      <c r="B95" s="117"/>
      <c r="C95" s="76">
        <v>7</v>
      </c>
      <c r="D95" s="73">
        <f ca="1">((100/H91)*C95)/100</f>
        <v>1</v>
      </c>
      <c r="E95" s="170"/>
      <c r="F95" s="170"/>
      <c r="G95" s="170"/>
      <c r="H95" s="170"/>
      <c r="I95" s="13" t="s">
        <v>97</v>
      </c>
      <c r="J95" s="26">
        <f ca="1">H91</f>
        <v>7</v>
      </c>
    </row>
    <row r="96" spans="1:19" ht="15.75" customHeight="1" x14ac:dyDescent="0.25">
      <c r="A96" s="117" t="s">
        <v>122</v>
      </c>
      <c r="B96" s="117"/>
      <c r="C96" s="89">
        <v>8</v>
      </c>
      <c r="D96" s="73">
        <f ca="1">((100/(D91+F91+H91))*C96)/100</f>
        <v>1</v>
      </c>
      <c r="E96" s="170"/>
      <c r="F96" s="170"/>
      <c r="G96" s="170"/>
      <c r="H96" s="170"/>
      <c r="I96" s="13" t="s">
        <v>98</v>
      </c>
      <c r="J96" s="27">
        <f ca="1">(IF(B91&gt;1,(H91/(B91+2)),H91/4))</f>
        <v>1.75</v>
      </c>
    </row>
    <row r="97" spans="1:12" ht="15.75" customHeight="1" x14ac:dyDescent="0.25">
      <c r="A97" s="117" t="s">
        <v>129</v>
      </c>
      <c r="B97" s="117" t="s">
        <v>123</v>
      </c>
      <c r="C97" s="89">
        <v>7</v>
      </c>
      <c r="D97" s="73">
        <f ca="1">((100/H91)*C97)/100</f>
        <v>1</v>
      </c>
      <c r="E97" s="170"/>
      <c r="F97" s="170"/>
      <c r="G97" s="170"/>
      <c r="H97" s="170"/>
      <c r="I97" s="13" t="s">
        <v>99</v>
      </c>
      <c r="J97" s="27">
        <f ca="1">(IF(B91&gt;1,(H91/(B91+2)+J96),H91/4+J96))</f>
        <v>3.5</v>
      </c>
    </row>
    <row r="98" spans="1:12" ht="15.75" customHeight="1" x14ac:dyDescent="0.25">
      <c r="A98" s="117" t="s">
        <v>130</v>
      </c>
      <c r="B98" s="117" t="s">
        <v>123</v>
      </c>
      <c r="C98" s="89">
        <v>7</v>
      </c>
      <c r="D98" s="73">
        <f ca="1">((100/H91)*C98)/100</f>
        <v>1</v>
      </c>
      <c r="E98" s="170"/>
      <c r="F98" s="170"/>
      <c r="G98" s="170"/>
      <c r="H98" s="170"/>
      <c r="I98" s="13" t="s">
        <v>139</v>
      </c>
      <c r="J98" s="27">
        <f>(IF(B91&gt;1,(H91/(B91+2)+J97),0))</f>
        <v>0</v>
      </c>
    </row>
    <row r="99" spans="1:12" ht="15" customHeight="1" x14ac:dyDescent="0.25">
      <c r="A99" s="117" t="s">
        <v>128</v>
      </c>
      <c r="B99" s="117" t="s">
        <v>125</v>
      </c>
      <c r="C99" s="89">
        <v>6</v>
      </c>
      <c r="D99" s="73">
        <f ca="1">((100/(H91))*C99)/100</f>
        <v>0.85714285714285721</v>
      </c>
      <c r="E99" s="170"/>
      <c r="F99" s="170"/>
      <c r="G99" s="170"/>
      <c r="H99" s="170"/>
      <c r="I99" s="13" t="s">
        <v>136</v>
      </c>
      <c r="J99" s="27">
        <f>(IF(B91&gt;2,(H91/(B91+2)+J98),0))</f>
        <v>0</v>
      </c>
    </row>
    <row r="100" spans="1:12" ht="15.75" customHeight="1" x14ac:dyDescent="0.25">
      <c r="A100" s="117" t="s">
        <v>124</v>
      </c>
      <c r="B100" s="117" t="s">
        <v>124</v>
      </c>
      <c r="C100" s="89">
        <v>1</v>
      </c>
      <c r="D100" s="73">
        <f ca="1">((100/H91)*C100)/100</f>
        <v>0.14285714285714288</v>
      </c>
      <c r="E100" s="170"/>
      <c r="F100" s="170"/>
      <c r="G100" s="170"/>
      <c r="H100" s="170"/>
      <c r="I100" s="13" t="s">
        <v>137</v>
      </c>
      <c r="J100" s="28">
        <f>(IF(B91&gt;3,(H91/(B91+2)+J99),0))</f>
        <v>0</v>
      </c>
    </row>
    <row r="101" spans="1:12" ht="15.75" customHeight="1" x14ac:dyDescent="0.25">
      <c r="A101" s="117" t="s">
        <v>131</v>
      </c>
      <c r="B101" s="117"/>
      <c r="C101" s="89">
        <v>0</v>
      </c>
      <c r="D101" s="73">
        <f ca="1">((100/H91)*C101)/100</f>
        <v>0</v>
      </c>
      <c r="E101" s="170"/>
      <c r="F101" s="170"/>
      <c r="G101" s="170"/>
      <c r="H101" s="170"/>
      <c r="I101" s="13" t="s">
        <v>138</v>
      </c>
      <c r="J101" s="27">
        <f>(IF(B91&gt;4,(H91/(B91+2)+J100),0))</f>
        <v>0</v>
      </c>
    </row>
    <row r="102" spans="1:12" ht="15.75" customHeight="1" x14ac:dyDescent="0.25">
      <c r="A102" s="117" t="s">
        <v>126</v>
      </c>
      <c r="B102" s="117" t="s">
        <v>126</v>
      </c>
      <c r="C102" s="89">
        <v>0</v>
      </c>
      <c r="D102" s="73">
        <f ca="1">((100/(H91))*C102)/100</f>
        <v>0</v>
      </c>
      <c r="E102" s="170"/>
      <c r="F102" s="170"/>
      <c r="G102" s="170"/>
      <c r="H102" s="170"/>
      <c r="I102" s="13" t="s">
        <v>140</v>
      </c>
      <c r="J102" s="27">
        <f ca="1">(IF(B91=1,(H91/(B91+3)+J97),IF(B91=0,(H91/4+J97),IF(B91&gt;1,0))))</f>
        <v>5.25</v>
      </c>
    </row>
    <row r="103" spans="1:12" ht="16.5" thickBot="1" x14ac:dyDescent="0.3">
      <c r="A103" s="117" t="s">
        <v>127</v>
      </c>
      <c r="B103" s="117"/>
      <c r="C103" s="89">
        <v>0</v>
      </c>
      <c r="D103" s="73">
        <f ca="1">((100/(H91))*C103)/100</f>
        <v>0</v>
      </c>
      <c r="E103" s="170"/>
      <c r="F103" s="170"/>
      <c r="G103" s="170"/>
      <c r="H103" s="170"/>
      <c r="I103" s="14" t="s">
        <v>100</v>
      </c>
      <c r="J103" s="29">
        <f ca="1">(IF(B91&gt;1.5,(H91/(B91+2)+J97+MAX(0,J98-J97)+MAX(0,J99-J98)+MAX(0,J100-J99)+MAX(0,J101-J100)+MAX(0,J102-J101)),IF(B91=1,(H91/(B91+3)+J102),IF(B91=0,H91/4+J102))))</f>
        <v>7</v>
      </c>
    </row>
    <row r="104" spans="1:12" ht="15.75" customHeight="1" x14ac:dyDescent="0.25">
      <c r="A104" s="107" t="s">
        <v>133</v>
      </c>
      <c r="B104" s="108"/>
      <c r="C104" s="109" t="s">
        <v>364</v>
      </c>
      <c r="D104" s="110"/>
      <c r="E104" s="110"/>
      <c r="F104" s="110"/>
      <c r="G104" s="110"/>
      <c r="H104" s="111"/>
      <c r="I104" s="42" t="str">
        <f ca="1">IF(D117=100%,"All work Completed. Possession granted to the Building.",IF(D116=100%,"All work Completed, Waiting for OC",I105&amp;""&amp;I106&amp;""&amp;J105&amp;""&amp;J104&amp;" "&amp;J106))</f>
        <v>Excavation, Plinth, RCC Slab, Brickwork Completed, Internal Plaster upto 1 Floor, External Plaster upto 2 Floor Completed</v>
      </c>
      <c r="J104" s="43" t="str">
        <f ca="1">(IF(C110=(D105+F105+H105),"",IF(C110&gt;0,", RCC upto "&amp;C110&amp;" Slab","")))&amp;(IF(C111=H105,"",IF(C111&gt;0,", Brickwork upto "&amp;C111&amp;" Floor","")))&amp;(IF(C112=H105,"",IF(C112&gt;0,", Internal Plaster upto "&amp;C112&amp;" Floor","")))&amp;(IF(C113=H105,"",IF(C113&gt;0,", External Plaster upto "&amp;C113&amp;" Floor","")))&amp;(IF(C114=H105,"",IF(C114&gt;0,", Flooring upto "&amp;C114&amp;" Floor","")))&amp;(IF(C115=H105,"",IF(C115&gt;0,", Painting upto "&amp;C115&amp;" Floor","")))&amp;(IF(C116=H105,"",IF(C116&gt;0,", Finishing upto "&amp;C116&amp;" Floor","")))&amp;(IF(C117=H105,"",IF(C117&gt;0,", Possession upto "&amp;C117&amp;" Floor","")))</f>
        <v>, Internal Plaster upto 1 Floor, External Plaster upto 2 Floor</v>
      </c>
    </row>
    <row r="105" spans="1:12" x14ac:dyDescent="0.25">
      <c r="A105" s="15" t="s">
        <v>135</v>
      </c>
      <c r="B105" s="46">
        <f>IF(AND(ISNUMBER(SEARCH("1B",C104))),1,IF(AND(ISNUMBER(SEARCH("2B",C104))),2,IF(AND(ISNUMBER(SEARCH("3B",C104))),3,IF(AND(ISNUMBER(SEARCH("4B",C104))),4,IF(ISNUMBER(SEARCH("5B",C104)),5,0)))))</f>
        <v>0</v>
      </c>
      <c r="C105" s="46" t="s">
        <v>69</v>
      </c>
      <c r="D105" s="46">
        <v>1</v>
      </c>
      <c r="E105" s="46" t="s">
        <v>68</v>
      </c>
      <c r="F105" s="46">
        <v>0</v>
      </c>
      <c r="G105" s="46" t="s">
        <v>77</v>
      </c>
      <c r="H105" s="16">
        <f ca="1">--TRIM(RIGHT(SUBSTITUTE(LEFT(C104,_xlfn.AGGREGATE(16,6,FIND({0,1,2,3,4,5,6,7,8,9},C104,ROW(INDIRECT("1:"&amp;LEN(C104)))),1))," ",REPT(" ",LEN(C104))),LEN(C104)))</f>
        <v>7</v>
      </c>
      <c r="I105" s="44" t="str">
        <f ca="1">IF(D108=100%,"Excavation","")&amp;IF(D109=100%,", Plinth","")&amp;IF(D110=100%,", RCC Slab","")&amp;IF(D111=100%,", Brickwork","")&amp;IF(D112=100%,", Internal Plaster","")&amp;IF(D113=100%,", External Plaster","")&amp;IF(D114=100%,", Flooring","")&amp;IF(D115=100%,", Painting","")&amp;IF(D116=100%,", Building common Amenities","")</f>
        <v>Excavation, Plinth, RCC Slab, Brickwork</v>
      </c>
      <c r="J105" s="45" t="str">
        <f ca="1">(IF(C108=0,"Work not yet Started.",IF(D108=25%,"Piling work in process",IF(D108=50%,"Excavation work in process",IF(D108=100%,"","0")))))&amp;(IF(C109=0%,"",IF(C109=J110,", Footing work is process",IF(C109=J111,", Footing work Completed",IF(C109=J112,", 1st Basement Completed",IF(C109=J113,", 1st &amp; 2nd Basement Completed",IF(C109=J114,", 1st to 3rd Basement Completed",IF(C109=J115,", 1st to 4th Basement Completed",IF(C109=J116,", Plinth work is process",IF(C109=J117,"","0"))))))))))</f>
        <v/>
      </c>
    </row>
    <row r="106" spans="1:12" ht="31.5" customHeight="1" x14ac:dyDescent="0.25">
      <c r="A106" s="112" t="s">
        <v>87</v>
      </c>
      <c r="B106" s="113"/>
      <c r="C106" s="114" t="str">
        <f ca="1">(IF($G$60="NA",I104,"All work Completed. OC Received."))</f>
        <v>Excavation, Plinth, RCC Slab, Brickwork Completed, Internal Plaster upto 1 Floor, External Plaster upto 2 Floor Completed</v>
      </c>
      <c r="D106" s="114"/>
      <c r="E106" s="114"/>
      <c r="F106" s="114"/>
      <c r="G106" s="114"/>
      <c r="H106" s="115"/>
      <c r="I106" s="44" t="str">
        <f ca="1">IF(I105&lt;&gt;""," Completed","")</f>
        <v xml:space="preserve"> Completed</v>
      </c>
      <c r="J106" s="45" t="str">
        <f ca="1">IF(J104&lt;&gt;"","Completed","")</f>
        <v>Completed</v>
      </c>
    </row>
    <row r="107" spans="1:12" ht="15.75" customHeight="1" x14ac:dyDescent="0.25">
      <c r="A107" s="116" t="s">
        <v>47</v>
      </c>
      <c r="B107" s="117"/>
      <c r="C107" s="78" t="s">
        <v>132</v>
      </c>
      <c r="D107" s="78" t="s">
        <v>80</v>
      </c>
      <c r="E107" s="117" t="s">
        <v>82</v>
      </c>
      <c r="F107" s="117"/>
      <c r="G107" s="117" t="s">
        <v>81</v>
      </c>
      <c r="H107" s="118"/>
      <c r="I107" s="13" t="s">
        <v>134</v>
      </c>
      <c r="J107" s="25">
        <f ca="1">H105*25%</f>
        <v>1.75</v>
      </c>
    </row>
    <row r="108" spans="1:12" x14ac:dyDescent="0.25">
      <c r="A108" s="117" t="s">
        <v>121</v>
      </c>
      <c r="B108" s="117"/>
      <c r="C108" s="86">
        <v>7</v>
      </c>
      <c r="D108" s="73">
        <f ca="1">((100/H105)*C108)/100</f>
        <v>1</v>
      </c>
      <c r="E108" s="170">
        <f ca="1">(((C109/H105*10)+(40/(D105+F105+H105)*C110)+(7.5/(H105)*C111)+(7.5/(H105)*C112)+(10/H105*C113)+(10/H105*C114)+(5/H105*C115)+(5/H105*C116)+(5/H105*C117))/100)</f>
        <v>0.61428571428571421</v>
      </c>
      <c r="F108" s="170"/>
      <c r="G108" s="170">
        <f ca="1">((((C108/H105)*20)+((C109/H105)*25)+(30/(H105+F105+D105)*C110)+(5/H105*C111)+(5/H105*C112)+(5/H105*C113)+(5/H105*C114)+(0/H105*C115)+(0/H105*C116)+(5/H105*C117))/100)</f>
        <v>0.8214285714285714</v>
      </c>
      <c r="H108" s="170"/>
      <c r="I108" s="13" t="s">
        <v>96</v>
      </c>
      <c r="J108" s="26">
        <f ca="1">H105*50%</f>
        <v>3.5</v>
      </c>
    </row>
    <row r="109" spans="1:12" x14ac:dyDescent="0.25">
      <c r="A109" s="117" t="s">
        <v>48</v>
      </c>
      <c r="B109" s="117"/>
      <c r="C109" s="86">
        <v>7</v>
      </c>
      <c r="D109" s="73">
        <f ca="1">((100/H105)*C109)/100</f>
        <v>1</v>
      </c>
      <c r="E109" s="170"/>
      <c r="F109" s="170"/>
      <c r="G109" s="170"/>
      <c r="H109" s="170"/>
      <c r="I109" s="13" t="s">
        <v>97</v>
      </c>
      <c r="J109" s="26">
        <f ca="1">H105</f>
        <v>7</v>
      </c>
    </row>
    <row r="110" spans="1:12" ht="15.75" customHeight="1" x14ac:dyDescent="0.25">
      <c r="A110" s="117" t="s">
        <v>122</v>
      </c>
      <c r="B110" s="117"/>
      <c r="C110" s="86">
        <v>8</v>
      </c>
      <c r="D110" s="73">
        <f ca="1">((100/(D105+F105+H105))*C110)/100</f>
        <v>1</v>
      </c>
      <c r="E110" s="170"/>
      <c r="F110" s="170"/>
      <c r="G110" s="170"/>
      <c r="H110" s="170"/>
      <c r="I110" s="13" t="s">
        <v>98</v>
      </c>
      <c r="J110" s="27">
        <f ca="1">(IF(B105&gt;1,(H105/(B105+2)),H105/4))</f>
        <v>1.75</v>
      </c>
    </row>
    <row r="111" spans="1:12" ht="15.75" customHeight="1" x14ac:dyDescent="0.25">
      <c r="A111" s="117" t="s">
        <v>129</v>
      </c>
      <c r="B111" s="117" t="s">
        <v>123</v>
      </c>
      <c r="C111" s="86">
        <v>7</v>
      </c>
      <c r="D111" s="73">
        <f ca="1">((100/H105)*C111)/100</f>
        <v>1</v>
      </c>
      <c r="E111" s="170"/>
      <c r="F111" s="170"/>
      <c r="G111" s="170"/>
      <c r="H111" s="170"/>
      <c r="I111" s="13" t="s">
        <v>99</v>
      </c>
      <c r="J111" s="27">
        <f ca="1">(IF(B105&gt;1,(H105/(B105+2)+J110),H105/4+J110))</f>
        <v>3.5</v>
      </c>
      <c r="L111" s="18">
        <f ca="1">E108*0.3</f>
        <v>0.18428571428571425</v>
      </c>
    </row>
    <row r="112" spans="1:12" ht="15.75" customHeight="1" x14ac:dyDescent="0.25">
      <c r="A112" s="117" t="s">
        <v>130</v>
      </c>
      <c r="B112" s="117" t="s">
        <v>123</v>
      </c>
      <c r="C112" s="86">
        <v>1</v>
      </c>
      <c r="D112" s="73">
        <f ca="1">((100/H105)*C112)/100</f>
        <v>0.14285714285714288</v>
      </c>
      <c r="E112" s="170"/>
      <c r="F112" s="170"/>
      <c r="G112" s="170"/>
      <c r="H112" s="170"/>
      <c r="I112" s="13" t="s">
        <v>139</v>
      </c>
      <c r="J112" s="27">
        <f>(IF(B105&gt;1,(H105/(B105+2)+J111),0))</f>
        <v>0</v>
      </c>
    </row>
    <row r="113" spans="1:10" ht="15" customHeight="1" x14ac:dyDescent="0.25">
      <c r="A113" s="117" t="s">
        <v>128</v>
      </c>
      <c r="B113" s="117" t="s">
        <v>125</v>
      </c>
      <c r="C113" s="86">
        <v>2</v>
      </c>
      <c r="D113" s="73">
        <f ca="1">((100/(H105))*C113)/100</f>
        <v>0.28571428571428575</v>
      </c>
      <c r="E113" s="170"/>
      <c r="F113" s="170"/>
      <c r="G113" s="170"/>
      <c r="H113" s="170"/>
      <c r="I113" s="13" t="s">
        <v>136</v>
      </c>
      <c r="J113" s="27">
        <f>(IF(B105&gt;2,(H105/(B105+2)+J112),0))</f>
        <v>0</v>
      </c>
    </row>
    <row r="114" spans="1:10" ht="15.75" customHeight="1" x14ac:dyDescent="0.25">
      <c r="A114" s="117" t="s">
        <v>124</v>
      </c>
      <c r="B114" s="117" t="s">
        <v>124</v>
      </c>
      <c r="C114" s="86">
        <v>0</v>
      </c>
      <c r="D114" s="73">
        <f ca="1">((100/H105)*C114)/100</f>
        <v>0</v>
      </c>
      <c r="E114" s="170"/>
      <c r="F114" s="170"/>
      <c r="G114" s="170"/>
      <c r="H114" s="170"/>
      <c r="I114" s="13" t="s">
        <v>137</v>
      </c>
      <c r="J114" s="28">
        <f>(IF(B105&gt;3,(H105/(B105+2)+J113),0))</f>
        <v>0</v>
      </c>
    </row>
    <row r="115" spans="1:10" ht="15.75" customHeight="1" x14ac:dyDescent="0.25">
      <c r="A115" s="117" t="s">
        <v>131</v>
      </c>
      <c r="B115" s="117"/>
      <c r="C115" s="86">
        <v>0</v>
      </c>
      <c r="D115" s="73">
        <f ca="1">((100/H105)*C115)/100</f>
        <v>0</v>
      </c>
      <c r="E115" s="170"/>
      <c r="F115" s="170"/>
      <c r="G115" s="170"/>
      <c r="H115" s="170"/>
      <c r="I115" s="13" t="s">
        <v>138</v>
      </c>
      <c r="J115" s="27">
        <f>(IF(B105&gt;4,(H105/(B105+2)+J114),0))</f>
        <v>0</v>
      </c>
    </row>
    <row r="116" spans="1:10" ht="15.75" customHeight="1" x14ac:dyDescent="0.25">
      <c r="A116" s="117" t="s">
        <v>126</v>
      </c>
      <c r="B116" s="117" t="s">
        <v>126</v>
      </c>
      <c r="C116" s="86">
        <v>0</v>
      </c>
      <c r="D116" s="73">
        <f ca="1">((100/(H105))*C116)/100</f>
        <v>0</v>
      </c>
      <c r="E116" s="170"/>
      <c r="F116" s="170"/>
      <c r="G116" s="170"/>
      <c r="H116" s="170"/>
      <c r="I116" s="13" t="s">
        <v>140</v>
      </c>
      <c r="J116" s="27">
        <f ca="1">(IF(B105=1,(H105/(B105+3)+J111),IF(B105=0,(H105/4+J111),IF(B105&gt;1,0))))</f>
        <v>5.25</v>
      </c>
    </row>
    <row r="117" spans="1:10" ht="16.5" thickBot="1" x14ac:dyDescent="0.3">
      <c r="A117" s="228" t="s">
        <v>127</v>
      </c>
      <c r="B117" s="228"/>
      <c r="C117" s="87">
        <v>0</v>
      </c>
      <c r="D117" s="75">
        <f ca="1">((100/(H105))*C117)/100</f>
        <v>0</v>
      </c>
      <c r="E117" s="249"/>
      <c r="F117" s="249"/>
      <c r="G117" s="249"/>
      <c r="H117" s="249"/>
      <c r="I117" s="14" t="s">
        <v>100</v>
      </c>
      <c r="J117" s="29">
        <f ca="1">(IF(B105&gt;1.5,(H105/(B105+2)+J111+MAX(0,J112-J111)+MAX(0,J113-J112)+MAX(0,J114-J113)+MAX(0,J115-J114)+MAX(0,J116-J115)),IF(B105=1,(H105/(B105+3)+J116),IF(B105=0,H105/4+J116))))</f>
        <v>7</v>
      </c>
    </row>
    <row r="118" spans="1:10" ht="15.75" customHeight="1" x14ac:dyDescent="0.25">
      <c r="A118" s="107" t="s">
        <v>133</v>
      </c>
      <c r="B118" s="108"/>
      <c r="C118" s="109" t="s">
        <v>365</v>
      </c>
      <c r="D118" s="110"/>
      <c r="E118" s="110"/>
      <c r="F118" s="110"/>
      <c r="G118" s="110"/>
      <c r="H118" s="111"/>
      <c r="I118" s="42" t="str">
        <f ca="1">IF(D131=100%,"All work Completed. Possession granted to the Building.",IF(D130=100%,"All work Completed, Waiting for OC",I119&amp;""&amp;I120&amp;""&amp;J119&amp;""&amp;J118&amp;" "&amp;J120))</f>
        <v>Excavation, Plinth Completed, RCC upto 5 Slab, Brickwork upto 1 Floor Completed</v>
      </c>
      <c r="J118" s="43" t="str">
        <f ca="1">(IF(C124=(D119+F119+H119),"",IF(C124&gt;0,", RCC upto "&amp;C124&amp;" Slab","")))&amp;(IF(C125=H119,"",IF(C125&gt;0,", Brickwork upto "&amp;C125&amp;" Floor","")))&amp;(IF(C126=H119,"",IF(C126&gt;0,", Internal Plaster upto "&amp;C126&amp;" Floor","")))&amp;(IF(C127=H119,"",IF(C127&gt;0,", External Plaster upto "&amp;C127&amp;" Floor","")))&amp;(IF(C128=H119,"",IF(C128&gt;0,", Flooring upto "&amp;C128&amp;" Floor","")))&amp;(IF(C129=H119,"",IF(C129&gt;0,", Painting upto "&amp;C129&amp;" Floor","")))&amp;(IF(C130=H119,"",IF(C130&gt;0,", Finishing upto "&amp;C130&amp;" Floor","")))&amp;(IF(C131=H119,"",IF(C131&gt;0,", Possession upto "&amp;C131&amp;" Floor","")))</f>
        <v>, RCC upto 5 Slab, Brickwork upto 1 Floor</v>
      </c>
    </row>
    <row r="119" spans="1:10" x14ac:dyDescent="0.25">
      <c r="A119" s="15" t="s">
        <v>135</v>
      </c>
      <c r="B119" s="46">
        <f>IF(AND(ISNUMBER(SEARCH("1B",C118))),1,IF(AND(ISNUMBER(SEARCH("2B",C118))),2,IF(AND(ISNUMBER(SEARCH("3B",C118))),3,IF(AND(ISNUMBER(SEARCH("4B",C118))),4,IF(ISNUMBER(SEARCH("5B",C118)),5,0)))))</f>
        <v>0</v>
      </c>
      <c r="C119" s="46" t="s">
        <v>69</v>
      </c>
      <c r="D119" s="46">
        <v>1</v>
      </c>
      <c r="E119" s="46" t="s">
        <v>68</v>
      </c>
      <c r="F119" s="46">
        <v>0</v>
      </c>
      <c r="G119" s="46" t="s">
        <v>77</v>
      </c>
      <c r="H119" s="16">
        <f ca="1">--TRIM(RIGHT(SUBSTITUTE(LEFT(C118,_xlfn.AGGREGATE(16,6,FIND({0,1,2,3,4,5,6,7,8,9},C118,ROW(INDIRECT("1:"&amp;LEN(C118)))),1))," ",REPT(" ",LEN(C118))),LEN(C118)))</f>
        <v>7</v>
      </c>
      <c r="I119" s="44" t="str">
        <f ca="1">IF(D122=100%,"Excavation","")&amp;IF(D123=100%,", Plinth","")&amp;IF(D124=100%,", RCC Slab","")&amp;IF(D125=100%,", Brickwork","")&amp;IF(D126=100%,", Internal Plaster","")&amp;IF(D127=100%,", External Plaster","")&amp;IF(D128=100%,", Flooring","")&amp;IF(D129=100%,", Painting","")&amp;IF(D130=100%,", Building common Amenities","")</f>
        <v>Excavation, Plinth</v>
      </c>
      <c r="J119" s="45" t="str">
        <f ca="1">(IF(C122=0,"Work not yet Started.",IF(D122=25%,"Piling work in process",IF(D122=50%,"Excavation work in process",IF(D122=100%,"","0")))))&amp;(IF(C123=0%,"",IF(C123=J124,", Footing work is process",IF(C123=J125,", Footing work Completed",IF(C123=J126,", 1st Basement Completed",IF(C123=J127,", 1st &amp; 2nd Basement Completed",IF(C123=J128,", 1st to 3rd Basement Completed",IF(C123=J129,", 1st to 4th Basement Completed",IF(C123=J130,", Plinth work is process",IF(C123=J131,"","0"))))))))))</f>
        <v/>
      </c>
    </row>
    <row r="120" spans="1:10" ht="33" customHeight="1" x14ac:dyDescent="0.25">
      <c r="A120" s="112" t="s">
        <v>87</v>
      </c>
      <c r="B120" s="113"/>
      <c r="C120" s="114" t="str">
        <f ca="1">(IF($G$60="NA",I118,"All work Completed. OC Received."))</f>
        <v>Excavation, Plinth Completed, RCC upto 5 Slab, Brickwork upto 1 Floor Completed</v>
      </c>
      <c r="D120" s="114"/>
      <c r="E120" s="114"/>
      <c r="F120" s="114"/>
      <c r="G120" s="114"/>
      <c r="H120" s="115"/>
      <c r="I120" s="44" t="str">
        <f ca="1">IF(I119&lt;&gt;""," Completed","")</f>
        <v xml:space="preserve"> Completed</v>
      </c>
      <c r="J120" s="45" t="str">
        <f ca="1">IF(J118&lt;&gt;"","Completed","")</f>
        <v>Completed</v>
      </c>
    </row>
    <row r="121" spans="1:10" ht="15.75" customHeight="1" x14ac:dyDescent="0.25">
      <c r="A121" s="116" t="s">
        <v>47</v>
      </c>
      <c r="B121" s="117"/>
      <c r="C121" s="79" t="s">
        <v>132</v>
      </c>
      <c r="D121" s="79" t="s">
        <v>80</v>
      </c>
      <c r="E121" s="117" t="s">
        <v>82</v>
      </c>
      <c r="F121" s="117"/>
      <c r="G121" s="117" t="s">
        <v>81</v>
      </c>
      <c r="H121" s="118"/>
      <c r="I121" s="13" t="s">
        <v>134</v>
      </c>
      <c r="J121" s="25">
        <f ca="1">H119*25%</f>
        <v>1.75</v>
      </c>
    </row>
    <row r="122" spans="1:10" x14ac:dyDescent="0.25">
      <c r="A122" s="116" t="s">
        <v>121</v>
      </c>
      <c r="B122" s="117"/>
      <c r="C122" s="79">
        <v>7</v>
      </c>
      <c r="D122" s="73">
        <f ca="1">((100/H119)*C122)/100</f>
        <v>1</v>
      </c>
      <c r="E122" s="119">
        <f ca="1">(((C123/H119*10)+(40/(D119+F119+H119)*C124)+(7.5/(H119)*C125)+(7.5/(H119)*C126)+(10/H119*C127)+(10/H119*C128)+(5/H119*C129)+(5/H119*C130)+(5/H119*C131))/100)</f>
        <v>0.36071428571428571</v>
      </c>
      <c r="F122" s="120"/>
      <c r="G122" s="119">
        <f ca="1">((((C122/H119)*20)+((C123/H119)*25)+(30/(H119+F119+D119)*C124)+(5/H119*C125)+(5/H119*C126)+(5/H119*C127)+(5/H119*C128)+(0/H119*C129)+(0/H119*C130)+(5/H119*C131))/100)</f>
        <v>0.64464285714285707</v>
      </c>
      <c r="H122" s="123"/>
      <c r="I122" s="13" t="s">
        <v>96</v>
      </c>
      <c r="J122" s="26">
        <f ca="1">H119*50%</f>
        <v>3.5</v>
      </c>
    </row>
    <row r="123" spans="1:10" x14ac:dyDescent="0.25">
      <c r="A123" s="116" t="s">
        <v>48</v>
      </c>
      <c r="B123" s="117"/>
      <c r="C123" s="79">
        <v>7</v>
      </c>
      <c r="D123" s="73">
        <f ca="1">((100/H119)*C123)/100</f>
        <v>1</v>
      </c>
      <c r="E123" s="121"/>
      <c r="F123" s="122"/>
      <c r="G123" s="121"/>
      <c r="H123" s="124"/>
      <c r="I123" s="13" t="s">
        <v>97</v>
      </c>
      <c r="J123" s="26">
        <f ca="1">H119</f>
        <v>7</v>
      </c>
    </row>
    <row r="124" spans="1:10" ht="15.75" customHeight="1" x14ac:dyDescent="0.25">
      <c r="A124" s="116" t="s">
        <v>122</v>
      </c>
      <c r="B124" s="117"/>
      <c r="C124" s="79">
        <v>5</v>
      </c>
      <c r="D124" s="73">
        <f ca="1">((100/(D119+F119+H119))*C124)/100</f>
        <v>0.625</v>
      </c>
      <c r="E124" s="121"/>
      <c r="F124" s="122"/>
      <c r="G124" s="121"/>
      <c r="H124" s="124"/>
      <c r="I124" s="13" t="s">
        <v>98</v>
      </c>
      <c r="J124" s="27">
        <f ca="1">(IF(B119&gt;1,(H119/(B119+2)),H119/4))</f>
        <v>1.75</v>
      </c>
    </row>
    <row r="125" spans="1:10" ht="15.75" customHeight="1" x14ac:dyDescent="0.25">
      <c r="A125" s="116" t="s">
        <v>129</v>
      </c>
      <c r="B125" s="117" t="s">
        <v>123</v>
      </c>
      <c r="C125" s="79">
        <v>1</v>
      </c>
      <c r="D125" s="73">
        <f ca="1">((100/H119)*C125)/100</f>
        <v>0.14285714285714288</v>
      </c>
      <c r="E125" s="121"/>
      <c r="F125" s="122"/>
      <c r="G125" s="121"/>
      <c r="H125" s="124"/>
      <c r="I125" s="13" t="s">
        <v>99</v>
      </c>
      <c r="J125" s="27">
        <f ca="1">(IF(B119&gt;1,(H119/(B119+2)+J124),H119/4+J124))</f>
        <v>3.5</v>
      </c>
    </row>
    <row r="126" spans="1:10" ht="15.75" customHeight="1" x14ac:dyDescent="0.25">
      <c r="A126" s="116" t="s">
        <v>130</v>
      </c>
      <c r="B126" s="117" t="s">
        <v>123</v>
      </c>
      <c r="C126" s="79">
        <v>0</v>
      </c>
      <c r="D126" s="73">
        <f ca="1">((100/H119)*C126)/100</f>
        <v>0</v>
      </c>
      <c r="E126" s="121"/>
      <c r="F126" s="122"/>
      <c r="G126" s="121"/>
      <c r="H126" s="124"/>
      <c r="I126" s="13" t="s">
        <v>139</v>
      </c>
      <c r="J126" s="27">
        <f>(IF(B119&gt;1,(H119/(B119+2)+J125),0))</f>
        <v>0</v>
      </c>
    </row>
    <row r="127" spans="1:10" ht="15" customHeight="1" x14ac:dyDescent="0.25">
      <c r="A127" s="116" t="s">
        <v>128</v>
      </c>
      <c r="B127" s="117" t="s">
        <v>125</v>
      </c>
      <c r="C127" s="79">
        <v>0</v>
      </c>
      <c r="D127" s="73">
        <f ca="1">((100/(H119))*C127)/100</f>
        <v>0</v>
      </c>
      <c r="E127" s="121"/>
      <c r="F127" s="122"/>
      <c r="G127" s="121"/>
      <c r="H127" s="124"/>
      <c r="I127" s="13" t="s">
        <v>136</v>
      </c>
      <c r="J127" s="27">
        <f>(IF(B119&gt;2,(H119/(B119+2)+J126),0))</f>
        <v>0</v>
      </c>
    </row>
    <row r="128" spans="1:10" ht="15.75" customHeight="1" x14ac:dyDescent="0.25">
      <c r="A128" s="116" t="s">
        <v>124</v>
      </c>
      <c r="B128" s="117" t="s">
        <v>124</v>
      </c>
      <c r="C128" s="79">
        <v>0</v>
      </c>
      <c r="D128" s="73">
        <f ca="1">((100/H119)*C128)/100</f>
        <v>0</v>
      </c>
      <c r="E128" s="121"/>
      <c r="F128" s="122"/>
      <c r="G128" s="121"/>
      <c r="H128" s="124"/>
      <c r="I128" s="13" t="s">
        <v>137</v>
      </c>
      <c r="J128" s="28">
        <f>(IF(B119&gt;3,(H119/(B119+2)+J127),0))</f>
        <v>0</v>
      </c>
    </row>
    <row r="129" spans="1:11" ht="15.75" customHeight="1" x14ac:dyDescent="0.25">
      <c r="A129" s="116" t="s">
        <v>131</v>
      </c>
      <c r="B129" s="117"/>
      <c r="C129" s="79">
        <v>0</v>
      </c>
      <c r="D129" s="73">
        <f ca="1">((100/H119)*C129)/100</f>
        <v>0</v>
      </c>
      <c r="E129" s="121"/>
      <c r="F129" s="122"/>
      <c r="G129" s="121"/>
      <c r="H129" s="124"/>
      <c r="I129" s="13" t="s">
        <v>138</v>
      </c>
      <c r="J129" s="27">
        <f>(IF(B119&gt;4,(H119/(B119+2)+J128),0))</f>
        <v>0</v>
      </c>
    </row>
    <row r="130" spans="1:11" ht="15.75" customHeight="1" x14ac:dyDescent="0.25">
      <c r="A130" s="116" t="s">
        <v>126</v>
      </c>
      <c r="B130" s="117" t="s">
        <v>126</v>
      </c>
      <c r="C130" s="79">
        <v>0</v>
      </c>
      <c r="D130" s="73">
        <f ca="1">((100/(H119))*C130)/100</f>
        <v>0</v>
      </c>
      <c r="E130" s="121"/>
      <c r="F130" s="122"/>
      <c r="G130" s="121"/>
      <c r="H130" s="124"/>
      <c r="I130" s="13" t="s">
        <v>140</v>
      </c>
      <c r="J130" s="27">
        <f ca="1">(IF(B119=1,(H119/(B119+3)+J125),IF(B119=0,(H119/4+J125),IF(B119&gt;1,0))))</f>
        <v>5.25</v>
      </c>
    </row>
    <row r="131" spans="1:11" ht="16.5" thickBot="1" x14ac:dyDescent="0.3">
      <c r="A131" s="125" t="s">
        <v>127</v>
      </c>
      <c r="B131" s="126"/>
      <c r="C131" s="83">
        <v>0</v>
      </c>
      <c r="D131" s="84">
        <f ca="1">((100/(H119))*C131)/100</f>
        <v>0</v>
      </c>
      <c r="E131" s="121"/>
      <c r="F131" s="122"/>
      <c r="G131" s="121"/>
      <c r="H131" s="124"/>
      <c r="I131" s="14" t="s">
        <v>100</v>
      </c>
      <c r="J131" s="29">
        <f ca="1">(IF(B119&gt;1.5,(H119/(B119+2)+J125+MAX(0,J126-J125)+MAX(0,J127-J126)+MAX(0,J128-J127)+MAX(0,J129-J128)+MAX(0,J130-J129)),IF(B119=1,(H119/(B119+3)+J130),IF(B119=0,H119/4+J130))))</f>
        <v>7</v>
      </c>
    </row>
    <row r="132" spans="1:11" x14ac:dyDescent="0.25">
      <c r="A132" s="96" t="s">
        <v>361</v>
      </c>
      <c r="B132" s="97"/>
      <c r="C132" s="100">
        <f ca="1">E108*40%+E122*60%</f>
        <v>0.46214285714285708</v>
      </c>
      <c r="D132" s="100"/>
      <c r="E132" s="102" t="s">
        <v>362</v>
      </c>
      <c r="F132" s="102"/>
      <c r="G132" s="100">
        <f ca="1">G108*40%+G122*60%</f>
        <v>0.7153571428571428</v>
      </c>
      <c r="H132" s="100"/>
      <c r="I132" s="82"/>
      <c r="J132" s="27"/>
    </row>
    <row r="133" spans="1:11" ht="16.5" thickBot="1" x14ac:dyDescent="0.3">
      <c r="A133" s="98"/>
      <c r="B133" s="99"/>
      <c r="C133" s="101"/>
      <c r="D133" s="101"/>
      <c r="E133" s="103"/>
      <c r="F133" s="103"/>
      <c r="G133" s="101"/>
      <c r="H133" s="101"/>
      <c r="I133" s="82"/>
      <c r="J133" s="27"/>
    </row>
    <row r="134" spans="1:11" ht="15.75" customHeight="1" x14ac:dyDescent="0.25">
      <c r="A134" s="107" t="s">
        <v>133</v>
      </c>
      <c r="B134" s="108"/>
      <c r="C134" s="109" t="s">
        <v>360</v>
      </c>
      <c r="D134" s="110"/>
      <c r="E134" s="110"/>
      <c r="F134" s="110"/>
      <c r="G134" s="110"/>
      <c r="H134" s="111"/>
      <c r="I134" s="42" t="str">
        <f ca="1">IF(D147=100%,"All work Completed. Possession granted to the Building.",IF(D146=100%,"All work Completed, Waiting for OC",I135&amp;""&amp;I136&amp;""&amp;J135&amp;""&amp;J134&amp;" "&amp;J136))</f>
        <v xml:space="preserve">Excavation, Plinth Completed </v>
      </c>
      <c r="J134" s="43" t="str">
        <f ca="1">(IF(C140=(D135+F135+H135),"",IF(C140&gt;0,", RCC upto "&amp;C140&amp;" Slab","")))&amp;(IF(C141=H135,"",IF(C141&gt;0,", Brickwork upto "&amp;C141&amp;" Floor","")))&amp;(IF(C142=H135,"",IF(C142&gt;0,", Internal Plaster upto "&amp;C142&amp;" Floor","")))&amp;(IF(C143=H135,"",IF(C143&gt;0,", External Plaster upto "&amp;C143&amp;" Floor","")))&amp;(IF(C144=H135,"",IF(C144&gt;0,", Flooring upto "&amp;C144&amp;" Floor","")))&amp;(IF(C145=H135,"",IF(C145&gt;0,", Painting upto "&amp;C145&amp;" Floor","")))&amp;(IF(C146=H135,"",IF(C146&gt;0,", Finishing upto "&amp;C146&amp;" Floor","")))&amp;(IF(C147=H135,"",IF(C147&gt;0,", Possession upto "&amp;C147&amp;" Floor","")))</f>
        <v/>
      </c>
    </row>
    <row r="135" spans="1:11" x14ac:dyDescent="0.25">
      <c r="A135" s="15" t="s">
        <v>135</v>
      </c>
      <c r="B135" s="46">
        <f>IF(AND(ISNUMBER(SEARCH("1B",C134))),1,IF(AND(ISNUMBER(SEARCH("2B",C134))),2,IF(AND(ISNUMBER(SEARCH("3B",C134))),3,IF(AND(ISNUMBER(SEARCH("4B",C134))),4,IF(ISNUMBER(SEARCH("5B",C134)),5,0)))))</f>
        <v>0</v>
      </c>
      <c r="C135" s="46" t="s">
        <v>69</v>
      </c>
      <c r="D135" s="46">
        <v>1</v>
      </c>
      <c r="E135" s="46" t="s">
        <v>68</v>
      </c>
      <c r="F135" s="46">
        <v>0</v>
      </c>
      <c r="G135" s="46" t="s">
        <v>77</v>
      </c>
      <c r="H135" s="16">
        <f ca="1">--TRIM(RIGHT(SUBSTITUTE(LEFT(C134,_xlfn.AGGREGATE(16,6,FIND({0,1,2,3,4,5,6,7,8,9},C134,ROW(INDIRECT("1:"&amp;LEN(C134)))),1))," ",REPT(" ",LEN(C134))),LEN(C134)))</f>
        <v>7</v>
      </c>
      <c r="I135" s="44" t="str">
        <f ca="1">IF(D138=100%,"Excavation","")&amp;IF(D139=100%,", Plinth","")&amp;IF(D140=100%,", RCC Slab","")&amp;IF(D141=100%,", Brickwork","")&amp;IF(D142=100%,", Internal Plaster","")&amp;IF(D143=100%,", External Plaster","")&amp;IF(D144=100%,", Flooring","")&amp;IF(D145=100%,", Painting","")&amp;IF(D146=100%,", Building common Amenities","")</f>
        <v>Excavation, Plinth</v>
      </c>
      <c r="J135" s="45" t="str">
        <f ca="1">(IF(C138=0,"Work not yet Started.",IF(D138=25%,"Piling work in process",IF(D138=50%,"Excavation work in process",IF(D138=100%,"","0")))))&amp;(IF(C139=0%,"",IF(C139=J140,", Footing work is process",IF(C139=J141,", Footing work Completed",IF(C139=J142,", 1st Basement Completed",IF(C139=J143,", 1st &amp; 2nd Basement Completed",IF(C139=J144,", 1st to 3rd Basement Completed",IF(C139=J145,", 1st to 4th Basement Completed",IF(C139=J146,", Plinth work is process",IF(C139=J147,"","0"))))))))))</f>
        <v/>
      </c>
    </row>
    <row r="136" spans="1:11" x14ac:dyDescent="0.25">
      <c r="A136" s="112" t="s">
        <v>87</v>
      </c>
      <c r="B136" s="113"/>
      <c r="C136" s="114" t="str">
        <f ca="1">(IF($G$60="NA",I134,"All work Completed. OC Received."))</f>
        <v xml:space="preserve">Excavation, Plinth Completed </v>
      </c>
      <c r="D136" s="114"/>
      <c r="E136" s="114"/>
      <c r="F136" s="114"/>
      <c r="G136" s="114"/>
      <c r="H136" s="115"/>
      <c r="I136" s="44" t="str">
        <f ca="1">IF(I135&lt;&gt;""," Completed","")</f>
        <v xml:space="preserve"> Completed</v>
      </c>
      <c r="J136" s="45" t="str">
        <f ca="1">IF(J134&lt;&gt;"","Completed","")</f>
        <v/>
      </c>
      <c r="K136" s="19" t="s">
        <v>370</v>
      </c>
    </row>
    <row r="137" spans="1:11" ht="15.75" customHeight="1" x14ac:dyDescent="0.25">
      <c r="A137" s="116" t="s">
        <v>47</v>
      </c>
      <c r="B137" s="117"/>
      <c r="C137" s="72" t="s">
        <v>132</v>
      </c>
      <c r="D137" s="72" t="s">
        <v>80</v>
      </c>
      <c r="E137" s="117" t="s">
        <v>82</v>
      </c>
      <c r="F137" s="117"/>
      <c r="G137" s="117" t="s">
        <v>81</v>
      </c>
      <c r="H137" s="118"/>
      <c r="I137" s="13" t="s">
        <v>134</v>
      </c>
      <c r="J137" s="25">
        <f ca="1">H135*25%</f>
        <v>1.75</v>
      </c>
    </row>
    <row r="138" spans="1:11" x14ac:dyDescent="0.25">
      <c r="A138" s="116" t="s">
        <v>121</v>
      </c>
      <c r="B138" s="117"/>
      <c r="C138" s="72">
        <v>7</v>
      </c>
      <c r="D138" s="73">
        <f ca="1">((100/H135)*C138)/100</f>
        <v>1</v>
      </c>
      <c r="E138" s="119">
        <f ca="1">(((C139/H135*10)+(40/(D135+F135+H135)*C140)+(7.5/(H135)*C141)+(7.5/(H135)*C142)+(10/H135*C143)+(10/H135*C144)+(5/H135*C145)+(5/H135*C146)+(5/H135*C147))/100)</f>
        <v>0.1</v>
      </c>
      <c r="F138" s="120"/>
      <c r="G138" s="119">
        <f ca="1">((((C138/H135)*20)+((C139/H135)*25)+(30/(H135+F135+D135)*C140)+(5/H135*C141)+(5/H135*C142)+(5/H135*C143)+(5/H135*C144)+(0/H135*C145)+(0/H135*C146)+(5/H135*C147))/100)</f>
        <v>0.45</v>
      </c>
      <c r="H138" s="123"/>
      <c r="I138" s="13" t="s">
        <v>96</v>
      </c>
      <c r="J138" s="26">
        <f ca="1">H135*50%</f>
        <v>3.5</v>
      </c>
    </row>
    <row r="139" spans="1:11" x14ac:dyDescent="0.25">
      <c r="A139" s="116" t="s">
        <v>48</v>
      </c>
      <c r="B139" s="117"/>
      <c r="C139" s="72">
        <v>7</v>
      </c>
      <c r="D139" s="73">
        <f ca="1">((100/H135)*C139)/100</f>
        <v>1</v>
      </c>
      <c r="E139" s="121"/>
      <c r="F139" s="122"/>
      <c r="G139" s="121"/>
      <c r="H139" s="124"/>
      <c r="I139" s="13" t="s">
        <v>97</v>
      </c>
      <c r="J139" s="26">
        <f ca="1">H135</f>
        <v>7</v>
      </c>
    </row>
    <row r="140" spans="1:11" ht="15.75" customHeight="1" x14ac:dyDescent="0.25">
      <c r="A140" s="116" t="s">
        <v>122</v>
      </c>
      <c r="B140" s="117"/>
      <c r="C140" s="72">
        <v>0</v>
      </c>
      <c r="D140" s="73">
        <f ca="1">((100/(D135+F135+H135))*C140)/100</f>
        <v>0</v>
      </c>
      <c r="E140" s="121"/>
      <c r="F140" s="122"/>
      <c r="G140" s="121"/>
      <c r="H140" s="124"/>
      <c r="I140" s="13" t="s">
        <v>98</v>
      </c>
      <c r="J140" s="27">
        <f ca="1">(IF(B135&gt;1,(H135/(B135+2)),H135/4))</f>
        <v>1.75</v>
      </c>
    </row>
    <row r="141" spans="1:11" ht="15.75" customHeight="1" x14ac:dyDescent="0.25">
      <c r="A141" s="116" t="s">
        <v>129</v>
      </c>
      <c r="B141" s="117" t="s">
        <v>123</v>
      </c>
      <c r="C141" s="72">
        <v>0</v>
      </c>
      <c r="D141" s="73">
        <f ca="1">((100/H135)*C141)/100</f>
        <v>0</v>
      </c>
      <c r="E141" s="121"/>
      <c r="F141" s="122"/>
      <c r="G141" s="121"/>
      <c r="H141" s="124"/>
      <c r="I141" s="13" t="s">
        <v>99</v>
      </c>
      <c r="J141" s="27">
        <f ca="1">(IF(B135&gt;1,(H135/(B135+2)+J140),H135/4+J140))</f>
        <v>3.5</v>
      </c>
    </row>
    <row r="142" spans="1:11" ht="15.75" customHeight="1" x14ac:dyDescent="0.25">
      <c r="A142" s="116" t="s">
        <v>130</v>
      </c>
      <c r="B142" s="117" t="s">
        <v>123</v>
      </c>
      <c r="C142" s="72">
        <v>0</v>
      </c>
      <c r="D142" s="73">
        <f ca="1">((100/H135)*C142)/100</f>
        <v>0</v>
      </c>
      <c r="E142" s="121"/>
      <c r="F142" s="122"/>
      <c r="G142" s="121"/>
      <c r="H142" s="124"/>
      <c r="I142" s="13" t="s">
        <v>139</v>
      </c>
      <c r="J142" s="27">
        <f>(IF(B135&gt;1,(H135/(B135+2)+J141),0))</f>
        <v>0</v>
      </c>
    </row>
    <row r="143" spans="1:11" ht="15" customHeight="1" x14ac:dyDescent="0.25">
      <c r="A143" s="116" t="s">
        <v>128</v>
      </c>
      <c r="B143" s="117" t="s">
        <v>125</v>
      </c>
      <c r="C143" s="72">
        <v>0</v>
      </c>
      <c r="D143" s="73">
        <f ca="1">((100/(H135))*C143)/100</f>
        <v>0</v>
      </c>
      <c r="E143" s="121"/>
      <c r="F143" s="122"/>
      <c r="G143" s="121"/>
      <c r="H143" s="124"/>
      <c r="I143" s="13" t="s">
        <v>136</v>
      </c>
      <c r="J143" s="27">
        <f>(IF(B135&gt;2,(H135/(B135+2)+J142),0))</f>
        <v>0</v>
      </c>
    </row>
    <row r="144" spans="1:11" ht="15.75" customHeight="1" x14ac:dyDescent="0.25">
      <c r="A144" s="116" t="s">
        <v>124</v>
      </c>
      <c r="B144" s="117" t="s">
        <v>124</v>
      </c>
      <c r="C144" s="72">
        <v>0</v>
      </c>
      <c r="D144" s="73">
        <f ca="1">((100/H135)*C144)/100</f>
        <v>0</v>
      </c>
      <c r="E144" s="121"/>
      <c r="F144" s="122"/>
      <c r="G144" s="121"/>
      <c r="H144" s="124"/>
      <c r="I144" s="13" t="s">
        <v>137</v>
      </c>
      <c r="J144" s="28">
        <f>(IF(B135&gt;3,(H135/(B135+2)+J143),0))</f>
        <v>0</v>
      </c>
    </row>
    <row r="145" spans="1:22" ht="15.75" customHeight="1" x14ac:dyDescent="0.25">
      <c r="A145" s="116" t="s">
        <v>131</v>
      </c>
      <c r="B145" s="117"/>
      <c r="C145" s="72">
        <v>0</v>
      </c>
      <c r="D145" s="73">
        <f ca="1">((100/H135)*C145)/100</f>
        <v>0</v>
      </c>
      <c r="E145" s="121"/>
      <c r="F145" s="122"/>
      <c r="G145" s="121"/>
      <c r="H145" s="124"/>
      <c r="I145" s="13" t="s">
        <v>138</v>
      </c>
      <c r="J145" s="27">
        <f>(IF(B135&gt;4,(H135/(B135+2)+J144),0))</f>
        <v>0</v>
      </c>
    </row>
    <row r="146" spans="1:22" ht="15.75" customHeight="1" x14ac:dyDescent="0.25">
      <c r="A146" s="116" t="s">
        <v>126</v>
      </c>
      <c r="B146" s="117" t="s">
        <v>126</v>
      </c>
      <c r="C146" s="72">
        <v>0</v>
      </c>
      <c r="D146" s="73">
        <f ca="1">((100/(H135))*C146)/100</f>
        <v>0</v>
      </c>
      <c r="E146" s="121"/>
      <c r="F146" s="122"/>
      <c r="G146" s="121"/>
      <c r="H146" s="124"/>
      <c r="I146" s="13" t="s">
        <v>140</v>
      </c>
      <c r="J146" s="27">
        <f ca="1">(IF(B135=1,(H135/(B135+3)+J141),IF(B135=0,(H135/4+J141),IF(B135&gt;1,0))))</f>
        <v>5.25</v>
      </c>
    </row>
    <row r="147" spans="1:22" ht="16.5" thickBot="1" x14ac:dyDescent="0.3">
      <c r="A147" s="227" t="s">
        <v>127</v>
      </c>
      <c r="B147" s="228"/>
      <c r="C147" s="74">
        <v>0</v>
      </c>
      <c r="D147" s="75">
        <f ca="1">((100/(H135))*C147)/100</f>
        <v>0</v>
      </c>
      <c r="E147" s="171"/>
      <c r="F147" s="172"/>
      <c r="G147" s="171"/>
      <c r="H147" s="203"/>
      <c r="I147" s="14" t="s">
        <v>100</v>
      </c>
      <c r="J147" s="29">
        <f ca="1">(IF(B135&gt;1.5,(H135/(B135+2)+J141+MAX(0,J142-J141)+MAX(0,J143-J142)+MAX(0,J144-J143)+MAX(0,J145-J144)+MAX(0,J146-J145)),IF(B135=1,(H135/(B135+3)+J146),IF(B135=0,H135/4+J146))))</f>
        <v>7</v>
      </c>
    </row>
    <row r="148" spans="1:22" x14ac:dyDescent="0.25">
      <c r="A148" s="148" t="s">
        <v>149</v>
      </c>
      <c r="B148" s="148"/>
      <c r="C148" s="148"/>
      <c r="D148" s="148"/>
      <c r="E148" s="148"/>
      <c r="F148" s="173" t="s">
        <v>153</v>
      </c>
      <c r="G148" s="173"/>
      <c r="H148" s="173"/>
      <c r="R148" t="s">
        <v>249</v>
      </c>
      <c r="S148" t="s">
        <v>166</v>
      </c>
      <c r="T148" t="s">
        <v>173</v>
      </c>
      <c r="U148" t="s">
        <v>188</v>
      </c>
      <c r="V148" t="s">
        <v>183</v>
      </c>
    </row>
    <row r="149" spans="1:22" x14ac:dyDescent="0.25">
      <c r="A149" s="147" t="s">
        <v>151</v>
      </c>
      <c r="B149" s="147"/>
      <c r="C149" s="147"/>
      <c r="D149" s="147"/>
      <c r="E149" s="147"/>
      <c r="F149" s="149">
        <v>3800</v>
      </c>
      <c r="G149" s="149"/>
      <c r="H149" s="149"/>
      <c r="I149" s="18" t="s">
        <v>354</v>
      </c>
      <c r="R149"/>
      <c r="S149">
        <v>800000</v>
      </c>
      <c r="T149">
        <v>150000</v>
      </c>
      <c r="U149">
        <v>100000</v>
      </c>
      <c r="V149">
        <v>100000</v>
      </c>
    </row>
    <row r="150" spans="1:22" x14ac:dyDescent="0.25">
      <c r="A150" s="147" t="s">
        <v>150</v>
      </c>
      <c r="B150" s="147"/>
      <c r="C150" s="147"/>
      <c r="D150" s="147"/>
      <c r="E150" s="147"/>
      <c r="F150" s="149">
        <v>7000</v>
      </c>
      <c r="G150" s="149"/>
      <c r="H150" s="149"/>
      <c r="R150"/>
      <c r="S150">
        <v>900000</v>
      </c>
      <c r="T150">
        <v>200000</v>
      </c>
      <c r="U150">
        <v>150000</v>
      </c>
      <c r="V150">
        <v>150000</v>
      </c>
    </row>
    <row r="151" spans="1:22" hidden="1" x14ac:dyDescent="0.25">
      <c r="A151" s="147" t="s">
        <v>152</v>
      </c>
      <c r="B151" s="147"/>
      <c r="C151" s="147"/>
      <c r="D151" s="147"/>
      <c r="E151" s="147"/>
      <c r="F151" s="149"/>
      <c r="G151" s="149"/>
      <c r="H151" s="149"/>
      <c r="R151"/>
      <c r="S151">
        <v>1000000</v>
      </c>
      <c r="T151">
        <v>250000</v>
      </c>
      <c r="U151">
        <v>200000</v>
      </c>
      <c r="V151">
        <v>200000</v>
      </c>
    </row>
    <row r="152" spans="1:22" s="30" customFormat="1" hidden="1" x14ac:dyDescent="0.25">
      <c r="A152" s="147" t="s">
        <v>169</v>
      </c>
      <c r="B152" s="147"/>
      <c r="C152" s="147"/>
      <c r="D152" s="147"/>
      <c r="E152" s="147"/>
      <c r="F152" s="149"/>
      <c r="G152" s="149"/>
      <c r="H152" s="149"/>
      <c r="R152"/>
      <c r="S152">
        <v>1100000</v>
      </c>
      <c r="T152">
        <v>300000</v>
      </c>
      <c r="U152">
        <v>250000</v>
      </c>
      <c r="V152" s="20">
        <v>250000</v>
      </c>
    </row>
    <row r="153" spans="1:22" s="30" customFormat="1" hidden="1" x14ac:dyDescent="0.25">
      <c r="A153" s="147" t="s">
        <v>92</v>
      </c>
      <c r="B153" s="147"/>
      <c r="C153" s="147"/>
      <c r="D153" s="147"/>
      <c r="E153" s="147"/>
      <c r="F153" s="149"/>
      <c r="G153" s="149"/>
      <c r="H153" s="149"/>
      <c r="R153"/>
      <c r="S153">
        <v>1200000</v>
      </c>
      <c r="T153">
        <v>350000</v>
      </c>
      <c r="U153">
        <v>300000</v>
      </c>
      <c r="V153">
        <v>300000</v>
      </c>
    </row>
    <row r="154" spans="1:22" s="30" customFormat="1" x14ac:dyDescent="0.25">
      <c r="A154" s="147" t="s">
        <v>93</v>
      </c>
      <c r="B154" s="147"/>
      <c r="C154" s="147"/>
      <c r="D154" s="147"/>
      <c r="E154" s="147"/>
      <c r="F154" s="149">
        <v>50000</v>
      </c>
      <c r="G154" s="149"/>
      <c r="H154" s="149"/>
      <c r="R154"/>
      <c r="S154">
        <v>1300000</v>
      </c>
      <c r="T154">
        <v>400000</v>
      </c>
      <c r="U154">
        <v>350000</v>
      </c>
      <c r="V154" s="20">
        <v>400000</v>
      </c>
    </row>
    <row r="155" spans="1:22" s="30" customFormat="1" hidden="1" x14ac:dyDescent="0.25">
      <c r="A155" s="147" t="s">
        <v>94</v>
      </c>
      <c r="B155" s="147"/>
      <c r="C155" s="147"/>
      <c r="D155" s="147"/>
      <c r="E155" s="147"/>
      <c r="F155" s="149"/>
      <c r="G155" s="149"/>
      <c r="H155" s="149"/>
      <c r="R155"/>
      <c r="S155">
        <v>1400000</v>
      </c>
      <c r="T155">
        <v>500000</v>
      </c>
      <c r="U155">
        <v>400000</v>
      </c>
      <c r="V155"/>
    </row>
    <row r="156" spans="1:22" s="30" customFormat="1" x14ac:dyDescent="0.25">
      <c r="A156" s="147" t="s">
        <v>347</v>
      </c>
      <c r="B156" s="147"/>
      <c r="C156" s="147"/>
      <c r="D156" s="147"/>
      <c r="E156" s="147"/>
      <c r="F156" s="149">
        <v>100000</v>
      </c>
      <c r="G156" s="149"/>
      <c r="H156" s="149"/>
      <c r="R156"/>
      <c r="S156">
        <v>1500000</v>
      </c>
      <c r="T156">
        <v>600000</v>
      </c>
      <c r="U156">
        <v>500000</v>
      </c>
      <c r="V156" s="20"/>
    </row>
    <row r="157" spans="1:22" s="30" customFormat="1" x14ac:dyDescent="0.25">
      <c r="A157" s="147" t="s">
        <v>348</v>
      </c>
      <c r="B157" s="147"/>
      <c r="C157" s="147"/>
      <c r="D157" s="147"/>
      <c r="E157" s="147"/>
      <c r="F157" s="149">
        <v>25000</v>
      </c>
      <c r="G157" s="149"/>
      <c r="H157" s="149"/>
      <c r="R157"/>
      <c r="S157">
        <v>1600000</v>
      </c>
      <c r="T157">
        <v>700000</v>
      </c>
      <c r="U157">
        <v>600000</v>
      </c>
      <c r="V157"/>
    </row>
    <row r="158" spans="1:22" s="30" customFormat="1" hidden="1" x14ac:dyDescent="0.25">
      <c r="A158" s="147" t="s">
        <v>95</v>
      </c>
      <c r="B158" s="147"/>
      <c r="C158" s="147"/>
      <c r="D158" s="147"/>
      <c r="E158" s="147"/>
      <c r="F158" s="149"/>
      <c r="G158" s="149"/>
      <c r="H158" s="149"/>
      <c r="R158"/>
      <c r="S158">
        <v>1700000</v>
      </c>
      <c r="T158">
        <v>800000</v>
      </c>
      <c r="U158"/>
      <c r="V158" s="20"/>
    </row>
    <row r="159" spans="1:22" x14ac:dyDescent="0.25">
      <c r="A159" s="147" t="s">
        <v>49</v>
      </c>
      <c r="B159" s="147"/>
      <c r="C159" s="147"/>
      <c r="D159" s="147"/>
      <c r="E159" s="147"/>
      <c r="F159" s="149">
        <v>150000</v>
      </c>
      <c r="G159" s="149"/>
      <c r="H159" s="149"/>
      <c r="R159"/>
      <c r="S159">
        <v>1800000</v>
      </c>
      <c r="T159">
        <v>900000</v>
      </c>
      <c r="U159"/>
    </row>
    <row r="160" spans="1:22" s="31" customFormat="1" x14ac:dyDescent="0.25">
      <c r="A160" s="196" t="s">
        <v>50</v>
      </c>
      <c r="B160" s="196"/>
      <c r="C160" s="196"/>
      <c r="D160" s="196"/>
      <c r="E160" s="196"/>
      <c r="F160" s="149">
        <f>F149*0.8</f>
        <v>3040</v>
      </c>
      <c r="G160" s="149"/>
      <c r="H160" s="149"/>
      <c r="R160" s="18"/>
      <c r="S160" s="18"/>
      <c r="T160">
        <v>1000000</v>
      </c>
      <c r="U160"/>
      <c r="V160" s="18"/>
    </row>
    <row r="161" spans="1:22" s="32" customFormat="1" ht="15.75" customHeight="1" x14ac:dyDescent="0.25">
      <c r="A161" s="162" t="s">
        <v>72</v>
      </c>
      <c r="B161" s="162"/>
      <c r="C161" s="162"/>
      <c r="D161" s="162"/>
      <c r="E161" s="162"/>
      <c r="F161" s="162"/>
      <c r="G161" s="162"/>
      <c r="H161" s="162"/>
      <c r="R161"/>
      <c r="S161" s="18"/>
      <c r="T161"/>
      <c r="U161"/>
      <c r="V161" s="18"/>
    </row>
    <row r="162" spans="1:22" s="32" customFormat="1" ht="15.75" customHeight="1" x14ac:dyDescent="0.25">
      <c r="A162" s="167" t="s">
        <v>51</v>
      </c>
      <c r="B162" s="167"/>
      <c r="C162" s="164" t="s">
        <v>75</v>
      </c>
      <c r="D162" s="164"/>
      <c r="E162" s="166" t="s">
        <v>52</v>
      </c>
      <c r="F162" s="166"/>
      <c r="G162" s="167" t="s">
        <v>53</v>
      </c>
      <c r="H162" s="167"/>
      <c r="R162"/>
      <c r="S162" s="18"/>
      <c r="T162"/>
      <c r="U162" s="18"/>
      <c r="V162" s="18"/>
    </row>
    <row r="163" spans="1:22" s="32" customFormat="1" x14ac:dyDescent="0.25">
      <c r="A163" s="151" t="s">
        <v>330</v>
      </c>
      <c r="B163" s="151"/>
      <c r="C163" s="150">
        <f>COUNT(D181:D185)</f>
        <v>5</v>
      </c>
      <c r="D163" s="159"/>
      <c r="E163" s="150">
        <f t="shared" ref="E163" si="0">SUM(F181:F185)</f>
        <v>532.81799999999998</v>
      </c>
      <c r="F163" s="159"/>
      <c r="G163" s="150">
        <f t="shared" ref="G163" si="1">SUM(H181:H185)</f>
        <v>799.22699999999998</v>
      </c>
      <c r="H163" s="159"/>
      <c r="R163"/>
      <c r="S163" s="18"/>
      <c r="T163"/>
      <c r="U163" s="18"/>
      <c r="V163" s="18"/>
    </row>
    <row r="164" spans="1:22" s="32" customFormat="1" hidden="1" x14ac:dyDescent="0.25">
      <c r="A164" s="151"/>
      <c r="B164" s="151"/>
      <c r="C164" s="159"/>
      <c r="D164" s="159"/>
      <c r="E164" s="160"/>
      <c r="F164" s="160"/>
      <c r="G164" s="161"/>
      <c r="H164" s="161"/>
      <c r="R164"/>
      <c r="S164" s="18"/>
      <c r="T164"/>
      <c r="U164" s="18"/>
      <c r="V164" s="18"/>
    </row>
    <row r="165" spans="1:22" s="32" customFormat="1" x14ac:dyDescent="0.25">
      <c r="A165" s="162" t="s">
        <v>143</v>
      </c>
      <c r="B165" s="162"/>
      <c r="C165" s="163">
        <f>SUM(C163:C164)</f>
        <v>5</v>
      </c>
      <c r="D165" s="164"/>
      <c r="E165" s="165">
        <f>SUM(E163:E164)</f>
        <v>532.81799999999998</v>
      </c>
      <c r="F165" s="166"/>
      <c r="G165" s="167">
        <f>SUM(G163:G164)</f>
        <v>799.22699999999998</v>
      </c>
      <c r="H165" s="167"/>
      <c r="R165"/>
      <c r="S165" s="18"/>
      <c r="T165"/>
      <c r="U165" s="18"/>
      <c r="V165" s="18"/>
    </row>
    <row r="166" spans="1:22" s="32" customFormat="1" x14ac:dyDescent="0.25">
      <c r="A166" s="162" t="s">
        <v>67</v>
      </c>
      <c r="B166" s="162"/>
      <c r="C166" s="162"/>
      <c r="D166" s="162"/>
      <c r="E166" s="162"/>
      <c r="F166" s="162"/>
      <c r="G166" s="162"/>
      <c r="H166" s="162"/>
      <c r="T166"/>
    </row>
    <row r="167" spans="1:22" s="32" customFormat="1" ht="15.75" customHeight="1" x14ac:dyDescent="0.25">
      <c r="A167" s="167" t="s">
        <v>51</v>
      </c>
      <c r="B167" s="167"/>
      <c r="C167" s="164" t="s">
        <v>75</v>
      </c>
      <c r="D167" s="164"/>
      <c r="E167" s="166" t="s">
        <v>52</v>
      </c>
      <c r="F167" s="166"/>
      <c r="G167" s="167" t="s">
        <v>53</v>
      </c>
      <c r="H167" s="167"/>
      <c r="T167"/>
    </row>
    <row r="168" spans="1:22" s="32" customFormat="1" x14ac:dyDescent="0.25">
      <c r="A168" s="151" t="s">
        <v>330</v>
      </c>
      <c r="B168" s="151"/>
      <c r="C168" s="150">
        <f>COUNT(D192:D193)*7</f>
        <v>14</v>
      </c>
      <c r="D168" s="150"/>
      <c r="E168" s="150">
        <f t="shared" ref="E168" si="2">SUM(F192:F193)*7</f>
        <v>6256.1444399999991</v>
      </c>
      <c r="F168" s="150"/>
      <c r="G168" s="150">
        <f t="shared" ref="G168" si="3">SUM(H192:H193)*7</f>
        <v>9071.4094379999988</v>
      </c>
      <c r="H168" s="150"/>
      <c r="T168"/>
    </row>
    <row r="169" spans="1:22" s="32" customFormat="1" x14ac:dyDescent="0.25">
      <c r="A169" s="151" t="s">
        <v>334</v>
      </c>
      <c r="B169" s="151"/>
      <c r="C169" s="150">
        <f>COUNT(D198:D204)*7</f>
        <v>49</v>
      </c>
      <c r="D169" s="150"/>
      <c r="E169" s="150">
        <f t="shared" ref="E169" si="4">SUM(F198:F204)*7</f>
        <v>16098.100199999999</v>
      </c>
      <c r="F169" s="150"/>
      <c r="G169" s="150">
        <f t="shared" ref="G169" si="5">SUM(H198:H204)*7</f>
        <v>23342.245289999995</v>
      </c>
      <c r="H169" s="150"/>
      <c r="T169"/>
    </row>
    <row r="170" spans="1:22" s="32" customFormat="1" x14ac:dyDescent="0.25">
      <c r="A170" s="151" t="s">
        <v>336</v>
      </c>
      <c r="B170" s="151"/>
      <c r="C170" s="150">
        <f>COUNT(D208:D217)*7</f>
        <v>70</v>
      </c>
      <c r="D170" s="150"/>
      <c r="E170" s="150">
        <f t="shared" ref="E170" si="6">SUM(F208:F217)*7</f>
        <v>22547.889000000003</v>
      </c>
      <c r="F170" s="150"/>
      <c r="G170" s="150">
        <f t="shared" ref="G170" si="7">SUM(H208:H217)*7</f>
        <v>32694.439050000001</v>
      </c>
      <c r="H170" s="150"/>
      <c r="T170"/>
    </row>
    <row r="171" spans="1:22" s="32" customFormat="1" x14ac:dyDescent="0.25">
      <c r="A171" s="151" t="s">
        <v>338</v>
      </c>
      <c r="B171" s="151"/>
      <c r="C171" s="150">
        <f>COUNT(D221:D226)*7</f>
        <v>42</v>
      </c>
      <c r="D171" s="150"/>
      <c r="E171" s="150">
        <f t="shared" ref="E171" si="8">SUM(F221:F226)*7</f>
        <v>14398.249319999999</v>
      </c>
      <c r="F171" s="150"/>
      <c r="G171" s="150">
        <f t="shared" ref="G171" si="9">SUM(H221:H226)*7</f>
        <v>20877.461513999995</v>
      </c>
      <c r="H171" s="150"/>
      <c r="T171"/>
    </row>
    <row r="172" spans="1:22" s="32" customFormat="1" ht="16.5" thickBot="1" x14ac:dyDescent="0.3">
      <c r="A172" s="155" t="s">
        <v>143</v>
      </c>
      <c r="B172" s="155"/>
      <c r="C172" s="229">
        <f>SUM(C168:C171)</f>
        <v>175</v>
      </c>
      <c r="D172" s="230"/>
      <c r="E172" s="156">
        <f>SUM(E168:E171)</f>
        <v>59300.382960000003</v>
      </c>
      <c r="F172" s="157"/>
      <c r="G172" s="158">
        <f>SUM(G168:G171)</f>
        <v>85985.55529199999</v>
      </c>
      <c r="H172" s="158"/>
      <c r="T172"/>
    </row>
    <row r="173" spans="1:22" s="32" customFormat="1" ht="16.5" thickBot="1" x14ac:dyDescent="0.3">
      <c r="A173" s="221" t="s">
        <v>159</v>
      </c>
      <c r="B173" s="222"/>
      <c r="C173" s="223">
        <f>C165+C172</f>
        <v>180</v>
      </c>
      <c r="D173" s="223"/>
      <c r="E173" s="224">
        <f>E165+E172</f>
        <v>59833.200960000002</v>
      </c>
      <c r="F173" s="224"/>
      <c r="G173" s="188">
        <f>G165+G172</f>
        <v>86784.782291999989</v>
      </c>
      <c r="H173" s="189"/>
      <c r="T173"/>
    </row>
    <row r="174" spans="1:22" s="31" customFormat="1" x14ac:dyDescent="0.25">
      <c r="A174" s="173" t="s">
        <v>54</v>
      </c>
      <c r="B174" s="173"/>
      <c r="C174" s="173"/>
      <c r="D174" s="173"/>
      <c r="E174" s="173"/>
      <c r="F174" s="173"/>
      <c r="G174" s="173"/>
      <c r="H174" s="173"/>
      <c r="T174" s="32"/>
    </row>
    <row r="175" spans="1:22" x14ac:dyDescent="0.25">
      <c r="A175" s="245" t="s">
        <v>168</v>
      </c>
      <c r="B175" s="245"/>
      <c r="C175" s="245"/>
      <c r="D175" s="245"/>
      <c r="E175" s="245"/>
      <c r="F175" s="245"/>
      <c r="G175" s="245"/>
      <c r="H175" s="245"/>
      <c r="T175" s="32"/>
    </row>
    <row r="176" spans="1:22" ht="47.25" customHeight="1" x14ac:dyDescent="0.25">
      <c r="A176" s="139" t="s">
        <v>326</v>
      </c>
      <c r="B176" s="139" t="s">
        <v>170</v>
      </c>
      <c r="C176" s="139" t="s">
        <v>55</v>
      </c>
      <c r="D176" s="139" t="s">
        <v>227</v>
      </c>
      <c r="E176" s="141" t="s">
        <v>148</v>
      </c>
      <c r="F176" s="139" t="s">
        <v>56</v>
      </c>
      <c r="G176" s="141" t="s">
        <v>57</v>
      </c>
      <c r="H176" s="65" t="s">
        <v>142</v>
      </c>
      <c r="T176" s="32"/>
    </row>
    <row r="177" spans="1:20" s="34" customFormat="1" x14ac:dyDescent="0.25">
      <c r="A177" s="140"/>
      <c r="B177" s="140"/>
      <c r="C177" s="140"/>
      <c r="D177" s="140"/>
      <c r="E177" s="142"/>
      <c r="F177" s="140"/>
      <c r="G177" s="142"/>
      <c r="H177" s="66">
        <v>0.5</v>
      </c>
      <c r="T177" s="32"/>
    </row>
    <row r="178" spans="1:20" s="64" customFormat="1" x14ac:dyDescent="0.25">
      <c r="A178" s="127" t="s">
        <v>350</v>
      </c>
      <c r="B178" s="128"/>
      <c r="C178" s="128"/>
      <c r="D178" s="128"/>
      <c r="E178" s="128"/>
      <c r="F178" s="128"/>
      <c r="G178" s="128"/>
      <c r="H178" s="129"/>
      <c r="J178" s="33"/>
      <c r="T178" s="32"/>
    </row>
    <row r="179" spans="1:20" s="62" customFormat="1" x14ac:dyDescent="0.25">
      <c r="A179" s="127" t="s">
        <v>330</v>
      </c>
      <c r="B179" s="128"/>
      <c r="C179" s="128"/>
      <c r="D179" s="128"/>
      <c r="E179" s="128"/>
      <c r="F179" s="128"/>
      <c r="G179" s="128"/>
      <c r="H179" s="129"/>
      <c r="J179" s="33"/>
      <c r="T179" s="32"/>
    </row>
    <row r="180" spans="1:20" s="34" customFormat="1" x14ac:dyDescent="0.25">
      <c r="A180" s="127" t="s">
        <v>332</v>
      </c>
      <c r="B180" s="128"/>
      <c r="C180" s="128"/>
      <c r="D180" s="128"/>
      <c r="E180" s="128"/>
      <c r="F180" s="128"/>
      <c r="G180" s="128"/>
      <c r="H180" s="129"/>
      <c r="J180" s="33"/>
      <c r="T180" s="32"/>
    </row>
    <row r="181" spans="1:20" s="34" customFormat="1" ht="15.75" customHeight="1" x14ac:dyDescent="0.25">
      <c r="A181" s="137">
        <v>1</v>
      </c>
      <c r="B181" s="138"/>
      <c r="C181" s="67" t="s">
        <v>327</v>
      </c>
      <c r="D181" s="68">
        <f>(10.14)*10.764</f>
        <v>109.14695999999999</v>
      </c>
      <c r="E181" s="39">
        <v>0</v>
      </c>
      <c r="F181" s="55">
        <f>D181+(IF(E181&lt;201,E181,IF(E181&lt;301,E181/2,E181/3)))</f>
        <v>109.14695999999999</v>
      </c>
      <c r="G181" s="56">
        <v>0</v>
      </c>
      <c r="H181" s="55">
        <f>(F181+(IF(G181&lt;101,G181,IF(G181&lt;201,G181/2,IF(G181&lt;=301,G181/3,G181/4)))))*(($H$177)+1)</f>
        <v>163.72044</v>
      </c>
      <c r="I181" s="33"/>
      <c r="L181" s="187"/>
      <c r="M181" s="187"/>
      <c r="N181" s="33"/>
      <c r="T181" s="32"/>
    </row>
    <row r="182" spans="1:20" s="34" customFormat="1" ht="15.75" customHeight="1" x14ac:dyDescent="0.25">
      <c r="A182" s="137">
        <f>A181+1</f>
        <v>2</v>
      </c>
      <c r="B182" s="138"/>
      <c r="C182" s="67" t="s">
        <v>327</v>
      </c>
      <c r="D182" s="68">
        <f>(13.74)*10.764</f>
        <v>147.89735999999999</v>
      </c>
      <c r="E182" s="39">
        <v>0</v>
      </c>
      <c r="F182" s="55">
        <f t="shared" ref="F182:F184" si="10">D182+(IF(E182&lt;201,E182,IF(E182&lt;301,E182/2,E182/3)))</f>
        <v>147.89735999999999</v>
      </c>
      <c r="G182" s="49">
        <v>0</v>
      </c>
      <c r="H182" s="55">
        <f t="shared" ref="H182:H184" si="11">(F182+(IF(G182&lt;101,G182,IF(G182&lt;201,G182/2,IF(G182&lt;=301,G182/3,G182/4)))))*(($H$177)+1)</f>
        <v>221.84603999999999</v>
      </c>
      <c r="I182" s="33"/>
      <c r="L182" s="187"/>
      <c r="M182" s="187"/>
      <c r="N182" s="33"/>
      <c r="T182" s="31"/>
    </row>
    <row r="183" spans="1:20" s="34" customFormat="1" ht="15.75" customHeight="1" x14ac:dyDescent="0.25">
      <c r="A183" s="137">
        <f>A182+1</f>
        <v>3</v>
      </c>
      <c r="B183" s="138"/>
      <c r="C183" s="67" t="s">
        <v>327</v>
      </c>
      <c r="D183" s="68">
        <f>(9.98)*10.764</f>
        <v>107.42471999999999</v>
      </c>
      <c r="E183" s="39">
        <v>0</v>
      </c>
      <c r="F183" s="55">
        <f t="shared" si="10"/>
        <v>107.42471999999999</v>
      </c>
      <c r="G183" s="49">
        <v>0</v>
      </c>
      <c r="H183" s="55">
        <f t="shared" si="11"/>
        <v>161.13708</v>
      </c>
      <c r="I183" s="33"/>
      <c r="L183" s="187"/>
      <c r="M183" s="187"/>
      <c r="N183" s="33"/>
      <c r="T183" s="18"/>
    </row>
    <row r="184" spans="1:20" s="34" customFormat="1" ht="15.75" customHeight="1" x14ac:dyDescent="0.25">
      <c r="A184" s="137">
        <f>A183+1</f>
        <v>4</v>
      </c>
      <c r="B184" s="138"/>
      <c r="C184" s="67" t="s">
        <v>327</v>
      </c>
      <c r="D184" s="68">
        <f>(5.81)*10.764</f>
        <v>62.538839999999993</v>
      </c>
      <c r="E184" s="39">
        <v>0</v>
      </c>
      <c r="F184" s="55">
        <f t="shared" si="10"/>
        <v>62.538839999999993</v>
      </c>
      <c r="G184" s="49">
        <v>0</v>
      </c>
      <c r="H184" s="55">
        <f t="shared" si="11"/>
        <v>93.80825999999999</v>
      </c>
      <c r="I184" s="33"/>
      <c r="L184" s="187"/>
      <c r="M184" s="187"/>
      <c r="N184" s="33"/>
      <c r="T184" s="18"/>
    </row>
    <row r="185" spans="1:20" s="62" customFormat="1" ht="15.75" customHeight="1" x14ac:dyDescent="0.25">
      <c r="A185" s="137">
        <f>A184+1</f>
        <v>5</v>
      </c>
      <c r="B185" s="138"/>
      <c r="C185" s="67" t="s">
        <v>327</v>
      </c>
      <c r="D185" s="68">
        <f>(9.83)*10.764</f>
        <v>105.81012</v>
      </c>
      <c r="E185" s="61">
        <v>0</v>
      </c>
      <c r="F185" s="61">
        <f t="shared" ref="F185" si="12">D185+(IF(E185&lt;201,E185,IF(E185&lt;301,E185/2,E185/3)))</f>
        <v>105.81012</v>
      </c>
      <c r="G185" s="61">
        <v>0</v>
      </c>
      <c r="H185" s="61">
        <f t="shared" ref="H185" si="13">(F185+(IF(G185&lt;101,G185,IF(G185&lt;201,G185/2,IF(G185&lt;=301,G185/3,G185/4)))))*(($H$177)+1)</f>
        <v>158.71518</v>
      </c>
      <c r="I185" s="33"/>
      <c r="L185" s="187"/>
      <c r="M185" s="187"/>
      <c r="N185" s="33"/>
      <c r="T185" s="18"/>
    </row>
    <row r="186" spans="1:20" s="34" customFormat="1" x14ac:dyDescent="0.25">
      <c r="A186" s="137"/>
      <c r="B186" s="143"/>
      <c r="C186" s="143"/>
      <c r="D186" s="143"/>
      <c r="E186" s="143"/>
      <c r="F186" s="143"/>
      <c r="G186" s="143"/>
      <c r="H186" s="138"/>
      <c r="I186" s="33"/>
      <c r="N186" s="33"/>
    </row>
    <row r="187" spans="1:20" ht="47.25" customHeight="1" x14ac:dyDescent="0.25">
      <c r="A187" s="144" t="s">
        <v>331</v>
      </c>
      <c r="B187" s="139" t="s">
        <v>171</v>
      </c>
      <c r="C187" s="139" t="s">
        <v>55</v>
      </c>
      <c r="D187" s="139" t="s">
        <v>227</v>
      </c>
      <c r="E187" s="139" t="s">
        <v>226</v>
      </c>
      <c r="F187" s="139" t="s">
        <v>56</v>
      </c>
      <c r="G187" s="141" t="s">
        <v>57</v>
      </c>
      <c r="H187" s="65" t="s">
        <v>142</v>
      </c>
      <c r="I187" s="33"/>
      <c r="T187" s="34"/>
    </row>
    <row r="188" spans="1:20" s="34" customFormat="1" x14ac:dyDescent="0.25">
      <c r="A188" s="145"/>
      <c r="B188" s="140"/>
      <c r="C188" s="140"/>
      <c r="D188" s="140"/>
      <c r="E188" s="140"/>
      <c r="F188" s="140"/>
      <c r="G188" s="142"/>
      <c r="H188" s="66">
        <v>0.45</v>
      </c>
      <c r="I188" s="33"/>
    </row>
    <row r="189" spans="1:20" s="64" customFormat="1" x14ac:dyDescent="0.25">
      <c r="A189" s="127" t="s">
        <v>350</v>
      </c>
      <c r="B189" s="128"/>
      <c r="C189" s="128"/>
      <c r="D189" s="128"/>
      <c r="E189" s="128"/>
      <c r="F189" s="128"/>
      <c r="G189" s="128"/>
      <c r="H189" s="129"/>
      <c r="J189" s="33"/>
      <c r="T189" s="32"/>
    </row>
    <row r="190" spans="1:20" s="62" customFormat="1" x14ac:dyDescent="0.25">
      <c r="A190" s="133" t="s">
        <v>330</v>
      </c>
      <c r="B190" s="134"/>
      <c r="C190" s="134"/>
      <c r="D190" s="134"/>
      <c r="E190" s="134"/>
      <c r="F190" s="134"/>
      <c r="G190" s="134"/>
      <c r="H190" s="135"/>
      <c r="J190" s="33"/>
    </row>
    <row r="191" spans="1:20" s="34" customFormat="1" x14ac:dyDescent="0.25">
      <c r="A191" s="133" t="s">
        <v>333</v>
      </c>
      <c r="B191" s="134"/>
      <c r="C191" s="134"/>
      <c r="D191" s="134"/>
      <c r="E191" s="134"/>
      <c r="F191" s="134"/>
      <c r="G191" s="134"/>
      <c r="H191" s="135"/>
      <c r="J191" s="33"/>
    </row>
    <row r="192" spans="1:20" s="34" customFormat="1" ht="15.75" customHeight="1" x14ac:dyDescent="0.25">
      <c r="A192" s="137" t="str">
        <f ca="1">(SUMPRODUCT(MID(0&amp;(LEFT(A191,SUM(LEN(A191)-LEN(SUBSTITUTE(A191,{"0","1","2"},""))))), LARGE(INDEX(ISNUMBER(--MID((LEFT(A191,SUM(LEN(A191)-LEN(SUBSTITUTE(A191,{"0","1","2"},""))))), ROW(INDIRECT("1:"&amp;LEN((LEFT(A191,SUM(LEN(A191)-LEN(SUBSTITUTE(A191,{"0","1","2"},"")))))))), 1)) * ROW(INDIRECT("1:"&amp;LEN((LEFT(A191,SUM(LEN(A191)-LEN(SUBSTITUTE(A191,{"0","1","2"},"")))))))), 0), ROW(INDIRECT("1:"&amp;LEN((LEFT(A191,SUM(LEN(A191)-LEN(SUBSTITUTE(A191,{"0","1","2"},"")))))))))+1, 1) * 10^ROW(INDIRECT("1:"&amp;LEN((LEFT(A191,SUM(LEN(A191)-LEN(SUBSTITUTE(A191,{"0","1","2"},""))))))))/10))*100+1&amp;""&amp;" ,.., "&amp;""&amp;(SUMPRODUCT(MID(0&amp;(--TRIM(RIGHT(SUBSTITUTE(LEFT(A191,_xlfn.AGGREGATE(16,6,FIND({0,1,2,3,4,5,6,7,8,9},A191,ROW(INDIRECT("1:"&amp;LEN(A191)))),1))," ",REPT(" ",LEN(A191))),LEN(A191)))), LARGE(INDEX(ISNUMBER(--MID((--TRIM(RIGHT(SUBSTITUTE(LEFT(A191,_xlfn.AGGREGATE(16,6,FIND({0,1,2,3,4,5,6,7,8,9},A191,ROW(INDIRECT("1:"&amp;LEN(A191)))),1))," ",REPT(" ",LEN(A191))),LEN(A191)))), ROW(INDIRECT("1:"&amp;LEN((--TRIM(RIGHT(SUBSTITUTE(LEFT(A191,_xlfn.AGGREGATE(16,6,FIND({0,1,2,3,4,5,6,7,8,9},A191,ROW(INDIRECT("1:"&amp;LEN(A191)))),1))," ",REPT(" ",LEN(A191))),LEN(A191))))))), 1)) * ROW(INDIRECT("1:"&amp;LEN((--TRIM(RIGHT(SUBSTITUTE(LEFT(A191,_xlfn.AGGREGATE(16,6,FIND({0,1,2,3,4,5,6,7,8,9},A191,ROW(INDIRECT("1:"&amp;LEN(A191)))),1))," ",REPT(" ",LEN(A191))),LEN(A191))))))), 0), ROW(INDIRECT("1:"&amp;LEN((--TRIM(RIGHT(SUBSTITUTE(LEFT(A191,_xlfn.AGGREGATE(16,6,FIND({0,1,2,3,4,5,6,7,8,9},A191,ROW(INDIRECT("1:"&amp;LEN(A191)))),1))," ",REPT(" ",LEN(A191))),LEN(A191))))))))+1, 1) * 10^ROW(INDIRECT("1:"&amp;LEN((--TRIM(RIGHT(SUBSTITUTE(LEFT(A191,_xlfn.AGGREGATE(16,6,FIND({0,1,2,3,4,5,6,7,8,9},A191,ROW(INDIRECT("1:"&amp;LEN(A191)))),1))," ",REPT(" ",LEN(A191))),LEN(A191)))))))/10))*100+1</f>
        <v>101 ,.., 701</v>
      </c>
      <c r="B192" s="138"/>
      <c r="C192" s="67" t="s">
        <v>328</v>
      </c>
      <c r="D192" s="68">
        <f>(34.8)*10.764</f>
        <v>374.58719999999994</v>
      </c>
      <c r="E192" s="68">
        <f>(11.57)*10.764</f>
        <v>124.53948</v>
      </c>
      <c r="F192" s="39">
        <f>D192+E192</f>
        <v>499.12667999999996</v>
      </c>
      <c r="G192" s="49">
        <v>0</v>
      </c>
      <c r="H192" s="49">
        <f>F192*(($H$188)+1)+(IF(G192&lt;101,G192,IF(G192&lt;201,G192/2,IF(G192&lt;=301,G192/3,G192/4))))</f>
        <v>723.73368599999992</v>
      </c>
      <c r="I192" s="33"/>
      <c r="J192" s="34">
        <f>(3.1+3.3)</f>
        <v>6.4</v>
      </c>
      <c r="L192" s="187"/>
      <c r="M192" s="187"/>
      <c r="N192" s="33"/>
    </row>
    <row r="193" spans="1:20" s="34" customFormat="1" ht="15.75" customHeight="1" x14ac:dyDescent="0.25">
      <c r="A193" s="137" t="str">
        <f ca="1">(SUMPRODUCT(MID(0&amp;(LEFT(A192,SUM(LEN(A192)-LEN(SUBSTITUTE(A192,{"0","1","2"},""))))), LARGE(INDEX(ISNUMBER(--MID((LEFT(A192,SUM(LEN(A192)-LEN(SUBSTITUTE(A192,{"0","1","2"},""))))), ROW(INDIRECT("1:"&amp;LEN((LEFT(A192,SUM(LEN(A192)-LEN(SUBSTITUTE(A192,{"0","1","2"},"")))))))), 1)) * ROW(INDIRECT("1:"&amp;LEN((LEFT(A192,SUM(LEN(A192)-LEN(SUBSTITUTE(A192,{"0","1","2"},"")))))))), 0), ROW(INDIRECT("1:"&amp;LEN((LEFT(A192,SUM(LEN(A192)-LEN(SUBSTITUTE(A192,{"0","1","2"},"")))))))))+1, 1) * 10^ROW(INDIRECT("1:"&amp;LEN((LEFT(A192,SUM(LEN(A192)-LEN(SUBSTITUTE(A192,{"0","1","2"},""))))))))/10))*1+1&amp;""&amp;" ,.., "&amp;""&amp;(SUMPRODUCT(MID(0&amp;(--TRIM(RIGHT(SUBSTITUTE(LEFT(A192,_xlfn.AGGREGATE(16,6,FIND({0,1,2,3,4,5,6,7,8,9},A192,ROW(INDIRECT("1:"&amp;LEN(A192)))),1))," ",REPT(" ",LEN(A192))),LEN(A192)))), LARGE(INDEX(ISNUMBER(--MID((--TRIM(RIGHT(SUBSTITUTE(LEFT(A192,_xlfn.AGGREGATE(16,6,FIND({0,1,2,3,4,5,6,7,8,9},A192,ROW(INDIRECT("1:"&amp;LEN(A192)))),1))," ",REPT(" ",LEN(A192))),LEN(A192)))), ROW(INDIRECT("1:"&amp;LEN((--TRIM(RIGHT(SUBSTITUTE(LEFT(A192,_xlfn.AGGREGATE(16,6,FIND({0,1,2,3,4,5,6,7,8,9},A192,ROW(INDIRECT("1:"&amp;LEN(A192)))),1))," ",REPT(" ",LEN(A192))),LEN(A192))))))), 1)) * ROW(INDIRECT("1:"&amp;LEN((--TRIM(RIGHT(SUBSTITUTE(LEFT(A192,_xlfn.AGGREGATE(16,6,FIND({0,1,2,3,4,5,6,7,8,9},A192,ROW(INDIRECT("1:"&amp;LEN(A192)))),1))," ",REPT(" ",LEN(A192))),LEN(A192))))))), 0), ROW(INDIRECT("1:"&amp;LEN((--TRIM(RIGHT(SUBSTITUTE(LEFT(A192,_xlfn.AGGREGATE(16,6,FIND({0,1,2,3,4,5,6,7,8,9},A192,ROW(INDIRECT("1:"&amp;LEN(A192)))),1))," ",REPT(" ",LEN(A192))),LEN(A192))))))))+1, 1) * 10^ROW(INDIRECT("1:"&amp;LEN((--TRIM(RIGHT(SUBSTITUTE(LEFT(A192,_xlfn.AGGREGATE(16,6,FIND({0,1,2,3,4,5,6,7,8,9},A192,ROW(INDIRECT("1:"&amp;LEN(A192)))),1))," ",REPT(" ",LEN(A192))),LEN(A192)))))))/10))*1+1</f>
        <v>102 ,.., 702</v>
      </c>
      <c r="B193" s="138"/>
      <c r="C193" s="67" t="s">
        <v>329</v>
      </c>
      <c r="D193" s="70">
        <f>(28.42)*10.764</f>
        <v>305.91287999999997</v>
      </c>
      <c r="E193" s="68">
        <f>(8.24)*10.764</f>
        <v>88.695359999999994</v>
      </c>
      <c r="F193" s="49">
        <f>D193+E193</f>
        <v>394.60823999999997</v>
      </c>
      <c r="G193" s="49">
        <v>0</v>
      </c>
      <c r="H193" s="49">
        <f>F193*(($H$188)+1)+(IF(G193&lt;101,G193,IF(G193&lt;201,G193/2,IF(G193&lt;=301,G193/3,G193/4))))</f>
        <v>572.18194799999992</v>
      </c>
      <c r="I193" s="69">
        <f>2.75*3.1+2.55*2.13+2.75*2.9+1.2*0.9+1.2*1.68+1.2*1.2</f>
        <v>26.467499999999998</v>
      </c>
      <c r="J193" s="69">
        <f>2.75+2.55+2.9</f>
        <v>8.1999999999999993</v>
      </c>
      <c r="K193" s="71">
        <f>2.55+2.9+2.75</f>
        <v>8.1999999999999993</v>
      </c>
      <c r="L193" s="187"/>
      <c r="M193" s="187"/>
      <c r="N193" s="33"/>
    </row>
    <row r="194" spans="1:20" s="64" customFormat="1" x14ac:dyDescent="0.25">
      <c r="A194" s="127" t="s">
        <v>351</v>
      </c>
      <c r="B194" s="128"/>
      <c r="C194" s="128"/>
      <c r="D194" s="128"/>
      <c r="E194" s="128"/>
      <c r="F194" s="128"/>
      <c r="G194" s="128"/>
      <c r="H194" s="129"/>
      <c r="J194" s="33"/>
      <c r="T194" s="32"/>
    </row>
    <row r="195" spans="1:20" s="64" customFormat="1" ht="15.75" customHeight="1" x14ac:dyDescent="0.25">
      <c r="A195" s="133" t="s">
        <v>334</v>
      </c>
      <c r="B195" s="134"/>
      <c r="C195" s="134"/>
      <c r="D195" s="134"/>
      <c r="E195" s="134"/>
      <c r="F195" s="134"/>
      <c r="G195" s="134"/>
      <c r="H195" s="135"/>
      <c r="I195" s="33"/>
    </row>
    <row r="196" spans="1:20" s="64" customFormat="1" ht="15.75" customHeight="1" x14ac:dyDescent="0.25">
      <c r="A196" s="136" t="s">
        <v>335</v>
      </c>
      <c r="B196" s="136"/>
      <c r="C196" s="136"/>
      <c r="D196" s="136"/>
      <c r="E196" s="136"/>
      <c r="F196" s="136"/>
      <c r="G196" s="136"/>
      <c r="H196" s="136"/>
      <c r="I196" s="33"/>
    </row>
    <row r="197" spans="1:20" s="34" customFormat="1" ht="15.75" customHeight="1" x14ac:dyDescent="0.25">
      <c r="A197" s="136" t="s">
        <v>333</v>
      </c>
      <c r="B197" s="136"/>
      <c r="C197" s="136"/>
      <c r="D197" s="136"/>
      <c r="E197" s="136"/>
      <c r="F197" s="136"/>
      <c r="G197" s="136"/>
      <c r="H197" s="136"/>
      <c r="I197" s="33"/>
      <c r="J197" s="70">
        <v>10.763999999999999</v>
      </c>
    </row>
    <row r="198" spans="1:20" s="34" customFormat="1" ht="15.75" customHeight="1" x14ac:dyDescent="0.25">
      <c r="A198" s="219" t="str">
        <f ca="1">(SUMPRODUCT(MID(0&amp;(LEFT(A197,SUM(LEN(A197)-LEN(SUBSTITUTE(A197,{"0","1","2"},""))))), LARGE(INDEX(ISNUMBER(--MID((LEFT(A197,SUM(LEN(A197)-LEN(SUBSTITUTE(A197,{"0","1","2"},""))))), ROW(INDIRECT("1:"&amp;LEN((LEFT(A197,SUM(LEN(A197)-LEN(SUBSTITUTE(A197,{"0","1","2"},"")))))))), 1)) * ROW(INDIRECT("1:"&amp;LEN((LEFT(A197,SUM(LEN(A197)-LEN(SUBSTITUTE(A197,{"0","1","2"},"")))))))), 0), ROW(INDIRECT("1:"&amp;LEN((LEFT(A197,SUM(LEN(A197)-LEN(SUBSTITUTE(A197,{"0","1","2"},"")))))))))+1, 1) * 10^ROW(INDIRECT("1:"&amp;LEN((LEFT(A197,SUM(LEN(A197)-LEN(SUBSTITUTE(A197,{"0","1","2"},""))))))))/10))*100+1&amp;""&amp;" ,.., "&amp;""&amp;(SUMPRODUCT(MID(0&amp;(--TRIM(RIGHT(SUBSTITUTE(LEFT(A197,_xlfn.AGGREGATE(16,6,FIND({0,1,2,3,4,5,6,7,8,9},A197,ROW(INDIRECT("1:"&amp;LEN(A197)))),1))," ",REPT(" ",LEN(A197))),LEN(A197)))), LARGE(INDEX(ISNUMBER(--MID((--TRIM(RIGHT(SUBSTITUTE(LEFT(A197,_xlfn.AGGREGATE(16,6,FIND({0,1,2,3,4,5,6,7,8,9},A197,ROW(INDIRECT("1:"&amp;LEN(A197)))),1))," ",REPT(" ",LEN(A197))),LEN(A197)))), ROW(INDIRECT("1:"&amp;LEN((--TRIM(RIGHT(SUBSTITUTE(LEFT(A197,_xlfn.AGGREGATE(16,6,FIND({0,1,2,3,4,5,6,7,8,9},A197,ROW(INDIRECT("1:"&amp;LEN(A197)))),1))," ",REPT(" ",LEN(A197))),LEN(A197))))))), 1)) * ROW(INDIRECT("1:"&amp;LEN((--TRIM(RIGHT(SUBSTITUTE(LEFT(A197,_xlfn.AGGREGATE(16,6,FIND({0,1,2,3,4,5,6,7,8,9},A197,ROW(INDIRECT("1:"&amp;LEN(A197)))),1))," ",REPT(" ",LEN(A197))),LEN(A197))))))), 0), ROW(INDIRECT("1:"&amp;LEN((--TRIM(RIGHT(SUBSTITUTE(LEFT(A197,_xlfn.AGGREGATE(16,6,FIND({0,1,2,3,4,5,6,7,8,9},A197,ROW(INDIRECT("1:"&amp;LEN(A197)))),1))," ",REPT(" ",LEN(A197))),LEN(A197))))))))+1, 1) * 10^ROW(INDIRECT("1:"&amp;LEN((--TRIM(RIGHT(SUBSTITUTE(LEFT(A197,_xlfn.AGGREGATE(16,6,FIND({0,1,2,3,4,5,6,7,8,9},A197,ROW(INDIRECT("1:"&amp;LEN(A197)))),1))," ",REPT(" ",LEN(A197))),LEN(A197)))))))/10))*100+1</f>
        <v>101 ,.., 701</v>
      </c>
      <c r="B198" s="219"/>
      <c r="C198" s="63" t="s">
        <v>340</v>
      </c>
      <c r="D198" s="70">
        <f>(21.93)*10.764</f>
        <v>236.05452</v>
      </c>
      <c r="E198" s="70">
        <f>(2.05)*10.764</f>
        <v>22.066199999999998</v>
      </c>
      <c r="F198" s="63">
        <f t="shared" ref="F198:F204" si="14">D198+E198</f>
        <v>258.12072000000001</v>
      </c>
      <c r="G198" s="63">
        <v>0</v>
      </c>
      <c r="H198" s="63">
        <f t="shared" ref="H198:H204" si="15">F198*(($H$188)+1)+(IF(G198&lt;101,G198,IF(G198&lt;201,G198/2,IF(G198&lt;=301,G198/3,G198/4))))</f>
        <v>374.27504399999998</v>
      </c>
      <c r="I198" s="33"/>
    </row>
    <row r="199" spans="1:20" s="34" customFormat="1" ht="15.75" customHeight="1" x14ac:dyDescent="0.25">
      <c r="A199" s="219" t="str">
        <f ca="1">(SUMPRODUCT(MID(0&amp;(LEFT(A198,SUM(LEN(A198)-LEN(SUBSTITUTE(A198,{"0","1","2"},""))))), LARGE(INDEX(ISNUMBER(--MID((LEFT(A198,SUM(LEN(A198)-LEN(SUBSTITUTE(A198,{"0","1","2"},""))))), ROW(INDIRECT("1:"&amp;LEN((LEFT(A198,SUM(LEN(A198)-LEN(SUBSTITUTE(A198,{"0","1","2"},"")))))))), 1)) * ROW(INDIRECT("1:"&amp;LEN((LEFT(A198,SUM(LEN(A198)-LEN(SUBSTITUTE(A198,{"0","1","2"},"")))))))), 0), ROW(INDIRECT("1:"&amp;LEN((LEFT(A198,SUM(LEN(A198)-LEN(SUBSTITUTE(A198,{"0","1","2"},"")))))))))+1, 1) * 10^ROW(INDIRECT("1:"&amp;LEN((LEFT(A198,SUM(LEN(A198)-LEN(SUBSTITUTE(A198,{"0","1","2"},""))))))))/10))*1+1&amp;""&amp;" ,.., "&amp;""&amp;(SUMPRODUCT(MID(0&amp;(--TRIM(RIGHT(SUBSTITUTE(LEFT(A198,_xlfn.AGGREGATE(16,6,FIND({0,1,2,3,4,5,6,7,8,9},A198,ROW(INDIRECT("1:"&amp;LEN(A198)))),1))," ",REPT(" ",LEN(A198))),LEN(A198)))), LARGE(INDEX(ISNUMBER(--MID((--TRIM(RIGHT(SUBSTITUTE(LEFT(A198,_xlfn.AGGREGATE(16,6,FIND({0,1,2,3,4,5,6,7,8,9},A198,ROW(INDIRECT("1:"&amp;LEN(A198)))),1))," ",REPT(" ",LEN(A198))),LEN(A198)))), ROW(INDIRECT("1:"&amp;LEN((--TRIM(RIGHT(SUBSTITUTE(LEFT(A198,_xlfn.AGGREGATE(16,6,FIND({0,1,2,3,4,5,6,7,8,9},A198,ROW(INDIRECT("1:"&amp;LEN(A198)))),1))," ",REPT(" ",LEN(A198))),LEN(A198))))))), 1)) * ROW(INDIRECT("1:"&amp;LEN((--TRIM(RIGHT(SUBSTITUTE(LEFT(A198,_xlfn.AGGREGATE(16,6,FIND({0,1,2,3,4,5,6,7,8,9},A198,ROW(INDIRECT("1:"&amp;LEN(A198)))),1))," ",REPT(" ",LEN(A198))),LEN(A198))))))), 0), ROW(INDIRECT("1:"&amp;LEN((--TRIM(RIGHT(SUBSTITUTE(LEFT(A198,_xlfn.AGGREGATE(16,6,FIND({0,1,2,3,4,5,6,7,8,9},A198,ROW(INDIRECT("1:"&amp;LEN(A198)))),1))," ",REPT(" ",LEN(A198))),LEN(A198))))))))+1, 1) * 10^ROW(INDIRECT("1:"&amp;LEN((--TRIM(RIGHT(SUBSTITUTE(LEFT(A198,_xlfn.AGGREGATE(16,6,FIND({0,1,2,3,4,5,6,7,8,9},A198,ROW(INDIRECT("1:"&amp;LEN(A198)))),1))," ",REPT(" ",LEN(A198))),LEN(A198)))))))/10))*1+1</f>
        <v>102 ,.., 702</v>
      </c>
      <c r="B199" s="219"/>
      <c r="C199" s="63" t="s">
        <v>329</v>
      </c>
      <c r="D199" s="70">
        <f>(29.52)*10.764</f>
        <v>317.75327999999996</v>
      </c>
      <c r="E199" s="70">
        <f>(2.25)*10.764</f>
        <v>24.218999999999998</v>
      </c>
      <c r="F199" s="63">
        <f t="shared" si="14"/>
        <v>341.97227999999996</v>
      </c>
      <c r="G199" s="63">
        <v>0</v>
      </c>
      <c r="H199" s="63">
        <f t="shared" si="15"/>
        <v>495.85980599999994</v>
      </c>
      <c r="I199" s="33"/>
    </row>
    <row r="200" spans="1:20" s="34" customFormat="1" ht="15" customHeight="1" x14ac:dyDescent="0.25">
      <c r="A200" s="219" t="str">
        <f ca="1">(SUMPRODUCT(MID(0&amp;(LEFT(A199,SUM(LEN(A199)-LEN(SUBSTITUTE(A199,{"0","1","2"},""))))), LARGE(INDEX(ISNUMBER(--MID((LEFT(A199,SUM(LEN(A199)-LEN(SUBSTITUTE(A199,{"0","1","2"},""))))), ROW(INDIRECT("1:"&amp;LEN((LEFT(A199,SUM(LEN(A199)-LEN(SUBSTITUTE(A199,{"0","1","2"},"")))))))), 1)) * ROW(INDIRECT("1:"&amp;LEN((LEFT(A199,SUM(LEN(A199)-LEN(SUBSTITUTE(A199,{"0","1","2"},"")))))))), 0), ROW(INDIRECT("1:"&amp;LEN((LEFT(A199,SUM(LEN(A199)-LEN(SUBSTITUTE(A199,{"0","1","2"},"")))))))))+1, 1) * 10^ROW(INDIRECT("1:"&amp;LEN((LEFT(A199,SUM(LEN(A199)-LEN(SUBSTITUTE(A199,{"0","1","2"},""))))))))/10))*1+1&amp;""&amp;" ,.., "&amp;""&amp;(SUMPRODUCT(MID(0&amp;(--TRIM(RIGHT(SUBSTITUTE(LEFT(A199,_xlfn.AGGREGATE(16,6,FIND({0,1,2,3,4,5,6,7,8,9},A199,ROW(INDIRECT("1:"&amp;LEN(A199)))),1))," ",REPT(" ",LEN(A199))),LEN(A199)))), LARGE(INDEX(ISNUMBER(--MID((--TRIM(RIGHT(SUBSTITUTE(LEFT(A199,_xlfn.AGGREGATE(16,6,FIND({0,1,2,3,4,5,6,7,8,9},A199,ROW(INDIRECT("1:"&amp;LEN(A199)))),1))," ",REPT(" ",LEN(A199))),LEN(A199)))), ROW(INDIRECT("1:"&amp;LEN((--TRIM(RIGHT(SUBSTITUTE(LEFT(A199,_xlfn.AGGREGATE(16,6,FIND({0,1,2,3,4,5,6,7,8,9},A199,ROW(INDIRECT("1:"&amp;LEN(A199)))),1))," ",REPT(" ",LEN(A199))),LEN(A199))))))), 1)) * ROW(INDIRECT("1:"&amp;LEN((--TRIM(RIGHT(SUBSTITUTE(LEFT(A199,_xlfn.AGGREGATE(16,6,FIND({0,1,2,3,4,5,6,7,8,9},A199,ROW(INDIRECT("1:"&amp;LEN(A199)))),1))," ",REPT(" ",LEN(A199))),LEN(A199))))))), 0), ROW(INDIRECT("1:"&amp;LEN((--TRIM(RIGHT(SUBSTITUTE(LEFT(A199,_xlfn.AGGREGATE(16,6,FIND({0,1,2,3,4,5,6,7,8,9},A199,ROW(INDIRECT("1:"&amp;LEN(A199)))),1))," ",REPT(" ",LEN(A199))),LEN(A199))))))))+1, 1) * 10^ROW(INDIRECT("1:"&amp;LEN((--TRIM(RIGHT(SUBSTITUTE(LEFT(A199,_xlfn.AGGREGATE(16,6,FIND({0,1,2,3,4,5,6,7,8,9},A199,ROW(INDIRECT("1:"&amp;LEN(A199)))),1))," ",REPT(" ",LEN(A199))),LEN(A199)))))))/10))*1+1</f>
        <v>103 ,.., 703</v>
      </c>
      <c r="B200" s="219"/>
      <c r="C200" s="63" t="s">
        <v>328</v>
      </c>
      <c r="D200" s="70">
        <f>(43.18)*10.764</f>
        <v>464.78951999999998</v>
      </c>
      <c r="E200" s="70">
        <f>(5.01)*10.764</f>
        <v>53.927639999999997</v>
      </c>
      <c r="F200" s="63">
        <f t="shared" si="14"/>
        <v>518.71715999999992</v>
      </c>
      <c r="G200" s="63">
        <v>0</v>
      </c>
      <c r="H200" s="63">
        <f t="shared" si="15"/>
        <v>752.13988199999983</v>
      </c>
      <c r="I200" s="69">
        <f>2.12+2.75*1.2</f>
        <v>5.42</v>
      </c>
      <c r="J200" s="34">
        <f>2.75*3.6+2.12*2.13+2.3*2.75+3.35*2.95+1.5*1.57+1.2*2.13+3.52*0.9+0.9*0.9+0.6*2.75+0.6*2.95</f>
        <v>42.932099999999998</v>
      </c>
    </row>
    <row r="201" spans="1:20" s="34" customFormat="1" ht="15.75" customHeight="1" x14ac:dyDescent="0.25">
      <c r="A201" s="219" t="str">
        <f ca="1">(SUMPRODUCT(MID(0&amp;(LEFT(A200,SUM(LEN(A200)-LEN(SUBSTITUTE(A200,{"0","1","2"},""))))), LARGE(INDEX(ISNUMBER(--MID((LEFT(A200,SUM(LEN(A200)-LEN(SUBSTITUTE(A200,{"0","1","2"},""))))), ROW(INDIRECT("1:"&amp;LEN((LEFT(A200,SUM(LEN(A200)-LEN(SUBSTITUTE(A200,{"0","1","2"},"")))))))), 1)) * ROW(INDIRECT("1:"&amp;LEN((LEFT(A200,SUM(LEN(A200)-LEN(SUBSTITUTE(A200,{"0","1","2"},"")))))))), 0), ROW(INDIRECT("1:"&amp;LEN((LEFT(A200,SUM(LEN(A200)-LEN(SUBSTITUTE(A200,{"0","1","2"},"")))))))))+1, 1) * 10^ROW(INDIRECT("1:"&amp;LEN((LEFT(A200,SUM(LEN(A200)-LEN(SUBSTITUTE(A200,{"0","1","2"},""))))))))/10))*1+1&amp;""&amp;" ,.., "&amp;""&amp;(SUMPRODUCT(MID(0&amp;(--TRIM(RIGHT(SUBSTITUTE(LEFT(A200,_xlfn.AGGREGATE(16,6,FIND({0,1,2,3,4,5,6,7,8,9},A200,ROW(INDIRECT("1:"&amp;LEN(A200)))),1))," ",REPT(" ",LEN(A200))),LEN(A200)))), LARGE(INDEX(ISNUMBER(--MID((--TRIM(RIGHT(SUBSTITUTE(LEFT(A200,_xlfn.AGGREGATE(16,6,FIND({0,1,2,3,4,5,6,7,8,9},A200,ROW(INDIRECT("1:"&amp;LEN(A200)))),1))," ",REPT(" ",LEN(A200))),LEN(A200)))), ROW(INDIRECT("1:"&amp;LEN((--TRIM(RIGHT(SUBSTITUTE(LEFT(A200,_xlfn.AGGREGATE(16,6,FIND({0,1,2,3,4,5,6,7,8,9},A200,ROW(INDIRECT("1:"&amp;LEN(A200)))),1))," ",REPT(" ",LEN(A200))),LEN(A200))))))), 1)) * ROW(INDIRECT("1:"&amp;LEN((--TRIM(RIGHT(SUBSTITUTE(LEFT(A200,_xlfn.AGGREGATE(16,6,FIND({0,1,2,3,4,5,6,7,8,9},A200,ROW(INDIRECT("1:"&amp;LEN(A200)))),1))," ",REPT(" ",LEN(A200))),LEN(A200))))))), 0), ROW(INDIRECT("1:"&amp;LEN((--TRIM(RIGHT(SUBSTITUTE(LEFT(A200,_xlfn.AGGREGATE(16,6,FIND({0,1,2,3,4,5,6,7,8,9},A200,ROW(INDIRECT("1:"&amp;LEN(A200)))),1))," ",REPT(" ",LEN(A200))),LEN(A200))))))))+1, 1) * 10^ROW(INDIRECT("1:"&amp;LEN((--TRIM(RIGHT(SUBSTITUTE(LEFT(A200,_xlfn.AGGREGATE(16,6,FIND({0,1,2,3,4,5,6,7,8,9},A200,ROW(INDIRECT("1:"&amp;LEN(A200)))),1))," ",REPT(" ",LEN(A200))),LEN(A200)))))))/10))*1+1</f>
        <v>104 ,.., 704</v>
      </c>
      <c r="B201" s="219"/>
      <c r="C201" s="63" t="s">
        <v>340</v>
      </c>
      <c r="D201" s="70">
        <f>(17.62)*10.764</f>
        <v>189.66167999999999</v>
      </c>
      <c r="E201" s="70">
        <f>(5.24)*10.764</f>
        <v>56.403359999999999</v>
      </c>
      <c r="F201" s="63">
        <f t="shared" si="14"/>
        <v>246.06503999999998</v>
      </c>
      <c r="G201" s="63">
        <v>0</v>
      </c>
      <c r="H201" s="63">
        <f t="shared" si="15"/>
        <v>356.79430799999994</v>
      </c>
      <c r="I201" s="33"/>
    </row>
    <row r="202" spans="1:20" s="34" customFormat="1" ht="15.75" customHeight="1" x14ac:dyDescent="0.25">
      <c r="A202" s="219" t="str">
        <f ca="1">(SUMPRODUCT(MID(0&amp;(LEFT(A201,SUM(LEN(A201)-LEN(SUBSTITUTE(A201,{"0","1","2"},""))))), LARGE(INDEX(ISNUMBER(--MID((LEFT(A201,SUM(LEN(A201)-LEN(SUBSTITUTE(A201,{"0","1","2"},""))))), ROW(INDIRECT("1:"&amp;LEN((LEFT(A201,SUM(LEN(A201)-LEN(SUBSTITUTE(A201,{"0","1","2"},"")))))))), 1)) * ROW(INDIRECT("1:"&amp;LEN((LEFT(A201,SUM(LEN(A201)-LEN(SUBSTITUTE(A201,{"0","1","2"},"")))))))), 0), ROW(INDIRECT("1:"&amp;LEN((LEFT(A201,SUM(LEN(A201)-LEN(SUBSTITUTE(A201,{"0","1","2"},"")))))))))+1, 1) * 10^ROW(INDIRECT("1:"&amp;LEN((LEFT(A201,SUM(LEN(A201)-LEN(SUBSTITUTE(A201,{"0","1","2"},""))))))))/10))*1+1&amp;""&amp;" ,.., "&amp;""&amp;(SUMPRODUCT(MID(0&amp;(--TRIM(RIGHT(SUBSTITUTE(LEFT(A201,_xlfn.AGGREGATE(16,6,FIND({0,1,2,3,4,5,6,7,8,9},A201,ROW(INDIRECT("1:"&amp;LEN(A201)))),1))," ",REPT(" ",LEN(A201))),LEN(A201)))), LARGE(INDEX(ISNUMBER(--MID((--TRIM(RIGHT(SUBSTITUTE(LEFT(A201,_xlfn.AGGREGATE(16,6,FIND({0,1,2,3,4,5,6,7,8,9},A201,ROW(INDIRECT("1:"&amp;LEN(A201)))),1))," ",REPT(" ",LEN(A201))),LEN(A201)))), ROW(INDIRECT("1:"&amp;LEN((--TRIM(RIGHT(SUBSTITUTE(LEFT(A201,_xlfn.AGGREGATE(16,6,FIND({0,1,2,3,4,5,6,7,8,9},A201,ROW(INDIRECT("1:"&amp;LEN(A201)))),1))," ",REPT(" ",LEN(A201))),LEN(A201))))))), 1)) * ROW(INDIRECT("1:"&amp;LEN((--TRIM(RIGHT(SUBSTITUTE(LEFT(A201,_xlfn.AGGREGATE(16,6,FIND({0,1,2,3,4,5,6,7,8,9},A201,ROW(INDIRECT("1:"&amp;LEN(A201)))),1))," ",REPT(" ",LEN(A201))),LEN(A201))))))), 0), ROW(INDIRECT("1:"&amp;LEN((--TRIM(RIGHT(SUBSTITUTE(LEFT(A201,_xlfn.AGGREGATE(16,6,FIND({0,1,2,3,4,5,6,7,8,9},A201,ROW(INDIRECT("1:"&amp;LEN(A201)))),1))," ",REPT(" ",LEN(A201))),LEN(A201))))))))+1, 1) * 10^ROW(INDIRECT("1:"&amp;LEN((--TRIM(RIGHT(SUBSTITUTE(LEFT(A201,_xlfn.AGGREGATE(16,6,FIND({0,1,2,3,4,5,6,7,8,9},A201,ROW(INDIRECT("1:"&amp;LEN(A201)))),1))," ",REPT(" ",LEN(A201))),LEN(A201)))))))/10))*1+1</f>
        <v>105 ,.., 705</v>
      </c>
      <c r="B202" s="219"/>
      <c r="C202" s="63" t="s">
        <v>329</v>
      </c>
      <c r="D202" s="70">
        <f>(26.66)*10.764</f>
        <v>286.96823999999998</v>
      </c>
      <c r="E202" s="70">
        <f>(5.09)*10.764</f>
        <v>54.788759999999996</v>
      </c>
      <c r="F202" s="63">
        <f t="shared" si="14"/>
        <v>341.75699999999995</v>
      </c>
      <c r="G202" s="63">
        <v>0</v>
      </c>
      <c r="H202" s="63">
        <f t="shared" si="15"/>
        <v>495.54764999999992</v>
      </c>
      <c r="I202" s="33"/>
    </row>
    <row r="203" spans="1:20" s="64" customFormat="1" ht="15.75" customHeight="1" x14ac:dyDescent="0.25">
      <c r="A203" s="219" t="str">
        <f ca="1">(SUMPRODUCT(MID(0&amp;(LEFT(A202,SUM(LEN(A202)-LEN(SUBSTITUTE(A202,{"0","1","2"},""))))), LARGE(INDEX(ISNUMBER(--MID((LEFT(A202,SUM(LEN(A202)-LEN(SUBSTITUTE(A202,{"0","1","2"},""))))), ROW(INDIRECT("1:"&amp;LEN((LEFT(A202,SUM(LEN(A202)-LEN(SUBSTITUTE(A202,{"0","1","2"},"")))))))), 1)) * ROW(INDIRECT("1:"&amp;LEN((LEFT(A202,SUM(LEN(A202)-LEN(SUBSTITUTE(A202,{"0","1","2"},"")))))))), 0), ROW(INDIRECT("1:"&amp;LEN((LEFT(A202,SUM(LEN(A202)-LEN(SUBSTITUTE(A202,{"0","1","2"},"")))))))))+1, 1) * 10^ROW(INDIRECT("1:"&amp;LEN((LEFT(A202,SUM(LEN(A202)-LEN(SUBSTITUTE(A202,{"0","1","2"},""))))))))/10))*1+1&amp;""&amp;" ,.., "&amp;""&amp;(SUMPRODUCT(MID(0&amp;(--TRIM(RIGHT(SUBSTITUTE(LEFT(A202,_xlfn.AGGREGATE(16,6,FIND({0,1,2,3,4,5,6,7,8,9},A202,ROW(INDIRECT("1:"&amp;LEN(A202)))),1))," ",REPT(" ",LEN(A202))),LEN(A202)))), LARGE(INDEX(ISNUMBER(--MID((--TRIM(RIGHT(SUBSTITUTE(LEFT(A202,_xlfn.AGGREGATE(16,6,FIND({0,1,2,3,4,5,6,7,8,9},A202,ROW(INDIRECT("1:"&amp;LEN(A202)))),1))," ",REPT(" ",LEN(A202))),LEN(A202)))), ROW(INDIRECT("1:"&amp;LEN((--TRIM(RIGHT(SUBSTITUTE(LEFT(A202,_xlfn.AGGREGATE(16,6,FIND({0,1,2,3,4,5,6,7,8,9},A202,ROW(INDIRECT("1:"&amp;LEN(A202)))),1))," ",REPT(" ",LEN(A202))),LEN(A202))))))), 1)) * ROW(INDIRECT("1:"&amp;LEN((--TRIM(RIGHT(SUBSTITUTE(LEFT(A202,_xlfn.AGGREGATE(16,6,FIND({0,1,2,3,4,5,6,7,8,9},A202,ROW(INDIRECT("1:"&amp;LEN(A202)))),1))," ",REPT(" ",LEN(A202))),LEN(A202))))))), 0), ROW(INDIRECT("1:"&amp;LEN((--TRIM(RIGHT(SUBSTITUTE(LEFT(A202,_xlfn.AGGREGATE(16,6,FIND({0,1,2,3,4,5,6,7,8,9},A202,ROW(INDIRECT("1:"&amp;LEN(A202)))),1))," ",REPT(" ",LEN(A202))),LEN(A202))))))))+1, 1) * 10^ROW(INDIRECT("1:"&amp;LEN((--TRIM(RIGHT(SUBSTITUTE(LEFT(A202,_xlfn.AGGREGATE(16,6,FIND({0,1,2,3,4,5,6,7,8,9},A202,ROW(INDIRECT("1:"&amp;LEN(A202)))),1))," ",REPT(" ",LEN(A202))),LEN(A202)))))))/10))*1+1</f>
        <v>106 ,.., 706</v>
      </c>
      <c r="B203" s="219"/>
      <c r="C203" s="63" t="s">
        <v>340</v>
      </c>
      <c r="D203" s="70">
        <f>(22.14)*10.764</f>
        <v>238.31495999999999</v>
      </c>
      <c r="E203" s="70">
        <f>(2.4)*10.764</f>
        <v>25.833599999999997</v>
      </c>
      <c r="F203" s="63">
        <f t="shared" si="14"/>
        <v>264.14855999999997</v>
      </c>
      <c r="G203" s="63">
        <v>0</v>
      </c>
      <c r="H203" s="63">
        <f t="shared" si="15"/>
        <v>383.01541199999997</v>
      </c>
      <c r="I203" s="33"/>
    </row>
    <row r="204" spans="1:20" s="64" customFormat="1" ht="15.75" customHeight="1" x14ac:dyDescent="0.25">
      <c r="A204" s="219" t="str">
        <f ca="1">(SUMPRODUCT(MID(0&amp;(LEFT(A203,SUM(LEN(A203)-LEN(SUBSTITUTE(A203,{"0","1","2"},""))))), LARGE(INDEX(ISNUMBER(--MID((LEFT(A203,SUM(LEN(A203)-LEN(SUBSTITUTE(A203,{"0","1","2"},""))))), ROW(INDIRECT("1:"&amp;LEN((LEFT(A203,SUM(LEN(A203)-LEN(SUBSTITUTE(A203,{"0","1","2"},"")))))))), 1)) * ROW(INDIRECT("1:"&amp;LEN((LEFT(A203,SUM(LEN(A203)-LEN(SUBSTITUTE(A203,{"0","1","2"},"")))))))), 0), ROW(INDIRECT("1:"&amp;LEN((LEFT(A203,SUM(LEN(A203)-LEN(SUBSTITUTE(A203,{"0","1","2"},"")))))))))+1, 1) * 10^ROW(INDIRECT("1:"&amp;LEN((LEFT(A203,SUM(LEN(A203)-LEN(SUBSTITUTE(A203,{"0","1","2"},""))))))))/10))*1+1&amp;""&amp;" ,.., "&amp;""&amp;(SUMPRODUCT(MID(0&amp;(--TRIM(RIGHT(SUBSTITUTE(LEFT(A203,_xlfn.AGGREGATE(16,6,FIND({0,1,2,3,4,5,6,7,8,9},A203,ROW(INDIRECT("1:"&amp;LEN(A203)))),1))," ",REPT(" ",LEN(A203))),LEN(A203)))), LARGE(INDEX(ISNUMBER(--MID((--TRIM(RIGHT(SUBSTITUTE(LEFT(A203,_xlfn.AGGREGATE(16,6,FIND({0,1,2,3,4,5,6,7,8,9},A203,ROW(INDIRECT("1:"&amp;LEN(A203)))),1))," ",REPT(" ",LEN(A203))),LEN(A203)))), ROW(INDIRECT("1:"&amp;LEN((--TRIM(RIGHT(SUBSTITUTE(LEFT(A203,_xlfn.AGGREGATE(16,6,FIND({0,1,2,3,4,5,6,7,8,9},A203,ROW(INDIRECT("1:"&amp;LEN(A203)))),1))," ",REPT(" ",LEN(A203))),LEN(A203))))))), 1)) * ROW(INDIRECT("1:"&amp;LEN((--TRIM(RIGHT(SUBSTITUTE(LEFT(A203,_xlfn.AGGREGATE(16,6,FIND({0,1,2,3,4,5,6,7,8,9},A203,ROW(INDIRECT("1:"&amp;LEN(A203)))),1))," ",REPT(" ",LEN(A203))),LEN(A203))))))), 0), ROW(INDIRECT("1:"&amp;LEN((--TRIM(RIGHT(SUBSTITUTE(LEFT(A203,_xlfn.AGGREGATE(16,6,FIND({0,1,2,3,4,5,6,7,8,9},A203,ROW(INDIRECT("1:"&amp;LEN(A203)))),1))," ",REPT(" ",LEN(A203))),LEN(A203))))))))+1, 1) * 10^ROW(INDIRECT("1:"&amp;LEN((--TRIM(RIGHT(SUBSTITUTE(LEFT(A203,_xlfn.AGGREGATE(16,6,FIND({0,1,2,3,4,5,6,7,8,9},A203,ROW(INDIRECT("1:"&amp;LEN(A203)))),1))," ",REPT(" ",LEN(A203))),LEN(A203)))))))/10))*1+1</f>
        <v>107 ,.., 707</v>
      </c>
      <c r="B204" s="219"/>
      <c r="C204" s="63" t="s">
        <v>329</v>
      </c>
      <c r="D204" s="70">
        <f>(2.76+9.29+4.14+5.36+1.08+1.99+0.9*0.9)*10.764</f>
        <v>273.72851999999989</v>
      </c>
      <c r="E204" s="70">
        <f>(5.13)*10.764</f>
        <v>55.219319999999996</v>
      </c>
      <c r="F204" s="63">
        <f t="shared" si="14"/>
        <v>328.94783999999987</v>
      </c>
      <c r="G204" s="63">
        <v>0</v>
      </c>
      <c r="H204" s="63">
        <f t="shared" si="15"/>
        <v>476.9743679999998</v>
      </c>
      <c r="I204" s="33">
        <f>2.76+9.29+4.14+5.38+1.08+1.99</f>
        <v>24.639999999999997</v>
      </c>
      <c r="J204" s="64">
        <f>2.75+2.66</f>
        <v>5.41</v>
      </c>
    </row>
    <row r="205" spans="1:20" s="64" customFormat="1" ht="15.75" customHeight="1" x14ac:dyDescent="0.25">
      <c r="A205" s="136" t="s">
        <v>336</v>
      </c>
      <c r="B205" s="136"/>
      <c r="C205" s="136"/>
      <c r="D205" s="136"/>
      <c r="E205" s="136"/>
      <c r="F205" s="136"/>
      <c r="G205" s="136"/>
      <c r="H205" s="136"/>
      <c r="I205" s="33"/>
    </row>
    <row r="206" spans="1:20" s="64" customFormat="1" ht="15.75" customHeight="1" x14ac:dyDescent="0.25">
      <c r="A206" s="136" t="s">
        <v>337</v>
      </c>
      <c r="B206" s="136"/>
      <c r="C206" s="136"/>
      <c r="D206" s="136"/>
      <c r="E206" s="136"/>
      <c r="F206" s="136"/>
      <c r="G206" s="136"/>
      <c r="H206" s="136"/>
      <c r="I206" s="33"/>
    </row>
    <row r="207" spans="1:20" s="64" customFormat="1" ht="15.75" customHeight="1" x14ac:dyDescent="0.25">
      <c r="A207" s="136" t="s">
        <v>333</v>
      </c>
      <c r="B207" s="136"/>
      <c r="C207" s="136"/>
      <c r="D207" s="136"/>
      <c r="E207" s="136"/>
      <c r="F207" s="136"/>
      <c r="G207" s="136"/>
      <c r="H207" s="136"/>
      <c r="I207" s="33"/>
      <c r="K207" s="64">
        <v>3700</v>
      </c>
    </row>
    <row r="208" spans="1:20" s="64" customFormat="1" ht="15.75" customHeight="1" x14ac:dyDescent="0.25">
      <c r="A208" s="137" t="str">
        <f ca="1">(SUMPRODUCT(MID(0&amp;(LEFT(A207,SUM(LEN(A207)-LEN(SUBSTITUTE(A207,{"0","1","2"},""))))), LARGE(INDEX(ISNUMBER(--MID((LEFT(A207,SUM(LEN(A207)-LEN(SUBSTITUTE(A207,{"0","1","2"},""))))), ROW(INDIRECT("1:"&amp;LEN((LEFT(A207,SUM(LEN(A207)-LEN(SUBSTITUTE(A207,{"0","1","2"},"")))))))), 1)) * ROW(INDIRECT("1:"&amp;LEN((LEFT(A207,SUM(LEN(A207)-LEN(SUBSTITUTE(A207,{"0","1","2"},"")))))))), 0), ROW(INDIRECT("1:"&amp;LEN((LEFT(A207,SUM(LEN(A207)-LEN(SUBSTITUTE(A207,{"0","1","2"},"")))))))))+1, 1) * 10^ROW(INDIRECT("1:"&amp;LEN((LEFT(A207,SUM(LEN(A207)-LEN(SUBSTITUTE(A207,{"0","1","2"},""))))))))/10))*100+1&amp;""&amp;" ,.., "&amp;""&amp;(SUMPRODUCT(MID(0&amp;(--TRIM(RIGHT(SUBSTITUTE(LEFT(A207,_xlfn.AGGREGATE(16,6,FIND({0,1,2,3,4,5,6,7,8,9},A207,ROW(INDIRECT("1:"&amp;LEN(A207)))),1))," ",REPT(" ",LEN(A207))),LEN(A207)))), LARGE(INDEX(ISNUMBER(--MID((--TRIM(RIGHT(SUBSTITUTE(LEFT(A207,_xlfn.AGGREGATE(16,6,FIND({0,1,2,3,4,5,6,7,8,9},A207,ROW(INDIRECT("1:"&amp;LEN(A207)))),1))," ",REPT(" ",LEN(A207))),LEN(A207)))), ROW(INDIRECT("1:"&amp;LEN((--TRIM(RIGHT(SUBSTITUTE(LEFT(A207,_xlfn.AGGREGATE(16,6,FIND({0,1,2,3,4,5,6,7,8,9},A207,ROW(INDIRECT("1:"&amp;LEN(A207)))),1))," ",REPT(" ",LEN(A207))),LEN(A207))))))), 1)) * ROW(INDIRECT("1:"&amp;LEN((--TRIM(RIGHT(SUBSTITUTE(LEFT(A207,_xlfn.AGGREGATE(16,6,FIND({0,1,2,3,4,5,6,7,8,9},A207,ROW(INDIRECT("1:"&amp;LEN(A207)))),1))," ",REPT(" ",LEN(A207))),LEN(A207))))))), 0), ROW(INDIRECT("1:"&amp;LEN((--TRIM(RIGHT(SUBSTITUTE(LEFT(A207,_xlfn.AGGREGATE(16,6,FIND({0,1,2,3,4,5,6,7,8,9},A207,ROW(INDIRECT("1:"&amp;LEN(A207)))),1))," ",REPT(" ",LEN(A207))),LEN(A207))))))))+1, 1) * 10^ROW(INDIRECT("1:"&amp;LEN((--TRIM(RIGHT(SUBSTITUTE(LEFT(A207,_xlfn.AGGREGATE(16,6,FIND({0,1,2,3,4,5,6,7,8,9},A207,ROW(INDIRECT("1:"&amp;LEN(A207)))),1))," ",REPT(" ",LEN(A207))),LEN(A207)))))))/10))*100+1</f>
        <v>101 ,.., 701</v>
      </c>
      <c r="B208" s="138"/>
      <c r="C208" s="63" t="s">
        <v>329</v>
      </c>
      <c r="D208" s="70">
        <f>(28.4)*10.764</f>
        <v>305.69759999999997</v>
      </c>
      <c r="E208" s="70">
        <f>(2.03)*10.764</f>
        <v>21.850919999999995</v>
      </c>
      <c r="F208" s="63">
        <f t="shared" ref="F208:F217" si="16">D208+E208</f>
        <v>327.54851999999994</v>
      </c>
      <c r="G208" s="63">
        <v>0</v>
      </c>
      <c r="H208" s="63">
        <f t="shared" ref="H208:H217" si="17">F208*(($H$188)+1)+(IF(G208&lt;101,G208,IF(G208&lt;201,G208/2,IF(G208&lt;=301,G208/3,G208/4))))</f>
        <v>474.9453539999999</v>
      </c>
      <c r="I208" s="33"/>
      <c r="K208" s="64">
        <f>K$207*H208</f>
        <v>1757297.8097999997</v>
      </c>
      <c r="L208" s="64">
        <f>K208+250000</f>
        <v>2007297.8097999997</v>
      </c>
    </row>
    <row r="209" spans="1:12" s="64" customFormat="1" ht="15.75" customHeight="1" x14ac:dyDescent="0.25">
      <c r="A209" s="137" t="str">
        <f ca="1">(SUMPRODUCT(MID(0&amp;(LEFT(A208,SUM(LEN(A208)-LEN(SUBSTITUTE(A208,{"0","1","2"},""))))), LARGE(INDEX(ISNUMBER(--MID((LEFT(A208,SUM(LEN(A208)-LEN(SUBSTITUTE(A208,{"0","1","2"},""))))), ROW(INDIRECT("1:"&amp;LEN((LEFT(A208,SUM(LEN(A208)-LEN(SUBSTITUTE(A208,{"0","1","2"},"")))))))), 1)) * ROW(INDIRECT("1:"&amp;LEN((LEFT(A208,SUM(LEN(A208)-LEN(SUBSTITUTE(A208,{"0","1","2"},"")))))))), 0), ROW(INDIRECT("1:"&amp;LEN((LEFT(A208,SUM(LEN(A208)-LEN(SUBSTITUTE(A208,{"0","1","2"},"")))))))))+1, 1) * 10^ROW(INDIRECT("1:"&amp;LEN((LEFT(A208,SUM(LEN(A208)-LEN(SUBSTITUTE(A208,{"0","1","2"},""))))))))/10))*1+1&amp;""&amp;" ,.., "&amp;""&amp;(SUMPRODUCT(MID(0&amp;(--TRIM(RIGHT(SUBSTITUTE(LEFT(A208,_xlfn.AGGREGATE(16,6,FIND({0,1,2,3,4,5,6,7,8,9},A208,ROW(INDIRECT("1:"&amp;LEN(A208)))),1))," ",REPT(" ",LEN(A208))),LEN(A208)))), LARGE(INDEX(ISNUMBER(--MID((--TRIM(RIGHT(SUBSTITUTE(LEFT(A208,_xlfn.AGGREGATE(16,6,FIND({0,1,2,3,4,5,6,7,8,9},A208,ROW(INDIRECT("1:"&amp;LEN(A208)))),1))," ",REPT(" ",LEN(A208))),LEN(A208)))), ROW(INDIRECT("1:"&amp;LEN((--TRIM(RIGHT(SUBSTITUTE(LEFT(A208,_xlfn.AGGREGATE(16,6,FIND({0,1,2,3,4,5,6,7,8,9},A208,ROW(INDIRECT("1:"&amp;LEN(A208)))),1))," ",REPT(" ",LEN(A208))),LEN(A208))))))), 1)) * ROW(INDIRECT("1:"&amp;LEN((--TRIM(RIGHT(SUBSTITUTE(LEFT(A208,_xlfn.AGGREGATE(16,6,FIND({0,1,2,3,4,5,6,7,8,9},A208,ROW(INDIRECT("1:"&amp;LEN(A208)))),1))," ",REPT(" ",LEN(A208))),LEN(A208))))))), 0), ROW(INDIRECT("1:"&amp;LEN((--TRIM(RIGHT(SUBSTITUTE(LEFT(A208,_xlfn.AGGREGATE(16,6,FIND({0,1,2,3,4,5,6,7,8,9},A208,ROW(INDIRECT("1:"&amp;LEN(A208)))),1))," ",REPT(" ",LEN(A208))),LEN(A208))))))))+1, 1) * 10^ROW(INDIRECT("1:"&amp;LEN((--TRIM(RIGHT(SUBSTITUTE(LEFT(A208,_xlfn.AGGREGATE(16,6,FIND({0,1,2,3,4,5,6,7,8,9},A208,ROW(INDIRECT("1:"&amp;LEN(A208)))),1))," ",REPT(" ",LEN(A208))),LEN(A208)))))))/10))*1+1</f>
        <v>102 ,.., 702</v>
      </c>
      <c r="B209" s="138"/>
      <c r="C209" s="63" t="s">
        <v>329</v>
      </c>
      <c r="D209" s="70">
        <f>(27.33)*10.764</f>
        <v>294.18011999999999</v>
      </c>
      <c r="E209" s="70">
        <f>(4.41)*10.764</f>
        <v>47.469239999999999</v>
      </c>
      <c r="F209" s="63">
        <f t="shared" si="16"/>
        <v>341.64936</v>
      </c>
      <c r="G209" s="63">
        <v>0</v>
      </c>
      <c r="H209" s="63">
        <f t="shared" si="17"/>
        <v>495.391572</v>
      </c>
      <c r="I209" s="33"/>
      <c r="K209" s="64">
        <f t="shared" ref="K209:K217" si="18">K$207*H209</f>
        <v>1832948.8163999999</v>
      </c>
      <c r="L209" s="64">
        <f t="shared" ref="L209:L217" si="19">K209+250000</f>
        <v>2082948.8163999999</v>
      </c>
    </row>
    <row r="210" spans="1:12" s="64" customFormat="1" ht="15.75" customHeight="1" x14ac:dyDescent="0.25">
      <c r="A210" s="137" t="str">
        <f ca="1">(SUMPRODUCT(MID(0&amp;(LEFT(A209,SUM(LEN(A209)-LEN(SUBSTITUTE(A209,{"0","1","2"},""))))), LARGE(INDEX(ISNUMBER(--MID((LEFT(A209,SUM(LEN(A209)-LEN(SUBSTITUTE(A209,{"0","1","2"},""))))), ROW(INDIRECT("1:"&amp;LEN((LEFT(A209,SUM(LEN(A209)-LEN(SUBSTITUTE(A209,{"0","1","2"},"")))))))), 1)) * ROW(INDIRECT("1:"&amp;LEN((LEFT(A209,SUM(LEN(A209)-LEN(SUBSTITUTE(A209,{"0","1","2"},"")))))))), 0), ROW(INDIRECT("1:"&amp;LEN((LEFT(A209,SUM(LEN(A209)-LEN(SUBSTITUTE(A209,{"0","1","2"},"")))))))))+1, 1) * 10^ROW(INDIRECT("1:"&amp;LEN((LEFT(A209,SUM(LEN(A209)-LEN(SUBSTITUTE(A209,{"0","1","2"},""))))))))/10))*1+1&amp;""&amp;" ,.., "&amp;""&amp;(SUMPRODUCT(MID(0&amp;(--TRIM(RIGHT(SUBSTITUTE(LEFT(A209,_xlfn.AGGREGATE(16,6,FIND({0,1,2,3,4,5,6,7,8,9},A209,ROW(INDIRECT("1:"&amp;LEN(A209)))),1))," ",REPT(" ",LEN(A209))),LEN(A209)))), LARGE(INDEX(ISNUMBER(--MID((--TRIM(RIGHT(SUBSTITUTE(LEFT(A209,_xlfn.AGGREGATE(16,6,FIND({0,1,2,3,4,5,6,7,8,9},A209,ROW(INDIRECT("1:"&amp;LEN(A209)))),1))," ",REPT(" ",LEN(A209))),LEN(A209)))), ROW(INDIRECT("1:"&amp;LEN((--TRIM(RIGHT(SUBSTITUTE(LEFT(A209,_xlfn.AGGREGATE(16,6,FIND({0,1,2,3,4,5,6,7,8,9},A209,ROW(INDIRECT("1:"&amp;LEN(A209)))),1))," ",REPT(" ",LEN(A209))),LEN(A209))))))), 1)) * ROW(INDIRECT("1:"&amp;LEN((--TRIM(RIGHT(SUBSTITUTE(LEFT(A209,_xlfn.AGGREGATE(16,6,FIND({0,1,2,3,4,5,6,7,8,9},A209,ROW(INDIRECT("1:"&amp;LEN(A209)))),1))," ",REPT(" ",LEN(A209))),LEN(A209))))))), 0), ROW(INDIRECT("1:"&amp;LEN((--TRIM(RIGHT(SUBSTITUTE(LEFT(A209,_xlfn.AGGREGATE(16,6,FIND({0,1,2,3,4,5,6,7,8,9},A209,ROW(INDIRECT("1:"&amp;LEN(A209)))),1))," ",REPT(" ",LEN(A209))),LEN(A209))))))))+1, 1) * 10^ROW(INDIRECT("1:"&amp;LEN((--TRIM(RIGHT(SUBSTITUTE(LEFT(A209,_xlfn.AGGREGATE(16,6,FIND({0,1,2,3,4,5,6,7,8,9},A209,ROW(INDIRECT("1:"&amp;LEN(A209)))),1))," ",REPT(" ",LEN(A209))),LEN(A209)))))))/10))*1+1</f>
        <v>103 ,.., 703</v>
      </c>
      <c r="B210" s="138"/>
      <c r="C210" s="63" t="s">
        <v>329</v>
      </c>
      <c r="D210" s="70">
        <f>(25.06)*10.764</f>
        <v>269.74583999999999</v>
      </c>
      <c r="E210" s="70">
        <f>(2.76)*10.764</f>
        <v>29.708639999999995</v>
      </c>
      <c r="F210" s="63">
        <f t="shared" si="16"/>
        <v>299.45447999999999</v>
      </c>
      <c r="G210" s="63">
        <v>0</v>
      </c>
      <c r="H210" s="63">
        <f t="shared" si="17"/>
        <v>434.20899599999996</v>
      </c>
      <c r="I210" s="33"/>
      <c r="K210" s="64">
        <f t="shared" si="18"/>
        <v>1606573.2851999998</v>
      </c>
      <c r="L210" s="64">
        <f t="shared" si="19"/>
        <v>1856573.2851999998</v>
      </c>
    </row>
    <row r="211" spans="1:12" s="64" customFormat="1" ht="15.75" customHeight="1" x14ac:dyDescent="0.25">
      <c r="A211" s="137" t="str">
        <f ca="1">(SUMPRODUCT(MID(0&amp;(LEFT(A210,SUM(LEN(A210)-LEN(SUBSTITUTE(A210,{"0","1","2"},""))))), LARGE(INDEX(ISNUMBER(--MID((LEFT(A210,SUM(LEN(A210)-LEN(SUBSTITUTE(A210,{"0","1","2"},""))))), ROW(INDIRECT("1:"&amp;LEN((LEFT(A210,SUM(LEN(A210)-LEN(SUBSTITUTE(A210,{"0","1","2"},"")))))))), 1)) * ROW(INDIRECT("1:"&amp;LEN((LEFT(A210,SUM(LEN(A210)-LEN(SUBSTITUTE(A210,{"0","1","2"},"")))))))), 0), ROW(INDIRECT("1:"&amp;LEN((LEFT(A210,SUM(LEN(A210)-LEN(SUBSTITUTE(A210,{"0","1","2"},"")))))))))+1, 1) * 10^ROW(INDIRECT("1:"&amp;LEN((LEFT(A210,SUM(LEN(A210)-LEN(SUBSTITUTE(A210,{"0","1","2"},""))))))))/10))*1+1&amp;""&amp;" ,.., "&amp;""&amp;(SUMPRODUCT(MID(0&amp;(--TRIM(RIGHT(SUBSTITUTE(LEFT(A210,_xlfn.AGGREGATE(16,6,FIND({0,1,2,3,4,5,6,7,8,9},A210,ROW(INDIRECT("1:"&amp;LEN(A210)))),1))," ",REPT(" ",LEN(A210))),LEN(A210)))), LARGE(INDEX(ISNUMBER(--MID((--TRIM(RIGHT(SUBSTITUTE(LEFT(A210,_xlfn.AGGREGATE(16,6,FIND({0,1,2,3,4,5,6,7,8,9},A210,ROW(INDIRECT("1:"&amp;LEN(A210)))),1))," ",REPT(" ",LEN(A210))),LEN(A210)))), ROW(INDIRECT("1:"&amp;LEN((--TRIM(RIGHT(SUBSTITUTE(LEFT(A210,_xlfn.AGGREGATE(16,6,FIND({0,1,2,3,4,5,6,7,8,9},A210,ROW(INDIRECT("1:"&amp;LEN(A210)))),1))," ",REPT(" ",LEN(A210))),LEN(A210))))))), 1)) * ROW(INDIRECT("1:"&amp;LEN((--TRIM(RIGHT(SUBSTITUTE(LEFT(A210,_xlfn.AGGREGATE(16,6,FIND({0,1,2,3,4,5,6,7,8,9},A210,ROW(INDIRECT("1:"&amp;LEN(A210)))),1))," ",REPT(" ",LEN(A210))),LEN(A210))))))), 0), ROW(INDIRECT("1:"&amp;LEN((--TRIM(RIGHT(SUBSTITUTE(LEFT(A210,_xlfn.AGGREGATE(16,6,FIND({0,1,2,3,4,5,6,7,8,9},A210,ROW(INDIRECT("1:"&amp;LEN(A210)))),1))," ",REPT(" ",LEN(A210))),LEN(A210))))))))+1, 1) * 10^ROW(INDIRECT("1:"&amp;LEN((--TRIM(RIGHT(SUBSTITUTE(LEFT(A210,_xlfn.AGGREGATE(16,6,FIND({0,1,2,3,4,5,6,7,8,9},A210,ROW(INDIRECT("1:"&amp;LEN(A210)))),1))," ",REPT(" ",LEN(A210))),LEN(A210)))))))/10))*1+1</f>
        <v>104 ,.., 704</v>
      </c>
      <c r="B211" s="138"/>
      <c r="C211" s="63" t="s">
        <v>329</v>
      </c>
      <c r="D211" s="70">
        <f>(25.87)*10.764</f>
        <v>278.46467999999999</v>
      </c>
      <c r="E211" s="70">
        <f>(6.62)*10.764</f>
        <v>71.257679999999993</v>
      </c>
      <c r="F211" s="63">
        <f t="shared" si="16"/>
        <v>349.72235999999998</v>
      </c>
      <c r="G211" s="63">
        <v>0</v>
      </c>
      <c r="H211" s="63">
        <f t="shared" si="17"/>
        <v>507.09742199999994</v>
      </c>
      <c r="I211" s="33"/>
      <c r="K211" s="64">
        <f t="shared" si="18"/>
        <v>1876260.4613999997</v>
      </c>
      <c r="L211" s="64">
        <f t="shared" si="19"/>
        <v>2126260.4613999994</v>
      </c>
    </row>
    <row r="212" spans="1:12" s="64" customFormat="1" ht="15.75" customHeight="1" x14ac:dyDescent="0.25">
      <c r="A212" s="137" t="str">
        <f ca="1">(SUMPRODUCT(MID(0&amp;(LEFT(A211,SUM(LEN(A211)-LEN(SUBSTITUTE(A211,{"0","1","2"},""))))), LARGE(INDEX(ISNUMBER(--MID((LEFT(A211,SUM(LEN(A211)-LEN(SUBSTITUTE(A211,{"0","1","2"},""))))), ROW(INDIRECT("1:"&amp;LEN((LEFT(A211,SUM(LEN(A211)-LEN(SUBSTITUTE(A211,{"0","1","2"},"")))))))), 1)) * ROW(INDIRECT("1:"&amp;LEN((LEFT(A211,SUM(LEN(A211)-LEN(SUBSTITUTE(A211,{"0","1","2"},"")))))))), 0), ROW(INDIRECT("1:"&amp;LEN((LEFT(A211,SUM(LEN(A211)-LEN(SUBSTITUTE(A211,{"0","1","2"},"")))))))))+1, 1) * 10^ROW(INDIRECT("1:"&amp;LEN((LEFT(A211,SUM(LEN(A211)-LEN(SUBSTITUTE(A211,{"0","1","2"},""))))))))/10))*1+1&amp;""&amp;" ,.., "&amp;""&amp;(SUMPRODUCT(MID(0&amp;(--TRIM(RIGHT(SUBSTITUTE(LEFT(A211,_xlfn.AGGREGATE(16,6,FIND({0,1,2,3,4,5,6,7,8,9},A211,ROW(INDIRECT("1:"&amp;LEN(A211)))),1))," ",REPT(" ",LEN(A211))),LEN(A211)))), LARGE(INDEX(ISNUMBER(--MID((--TRIM(RIGHT(SUBSTITUTE(LEFT(A211,_xlfn.AGGREGATE(16,6,FIND({0,1,2,3,4,5,6,7,8,9},A211,ROW(INDIRECT("1:"&amp;LEN(A211)))),1))," ",REPT(" ",LEN(A211))),LEN(A211)))), ROW(INDIRECT("1:"&amp;LEN((--TRIM(RIGHT(SUBSTITUTE(LEFT(A211,_xlfn.AGGREGATE(16,6,FIND({0,1,2,3,4,5,6,7,8,9},A211,ROW(INDIRECT("1:"&amp;LEN(A211)))),1))," ",REPT(" ",LEN(A211))),LEN(A211))))))), 1)) * ROW(INDIRECT("1:"&amp;LEN((--TRIM(RIGHT(SUBSTITUTE(LEFT(A211,_xlfn.AGGREGATE(16,6,FIND({0,1,2,3,4,5,6,7,8,9},A211,ROW(INDIRECT("1:"&amp;LEN(A211)))),1))," ",REPT(" ",LEN(A211))),LEN(A211))))))), 0), ROW(INDIRECT("1:"&amp;LEN((--TRIM(RIGHT(SUBSTITUTE(LEFT(A211,_xlfn.AGGREGATE(16,6,FIND({0,1,2,3,4,5,6,7,8,9},A211,ROW(INDIRECT("1:"&amp;LEN(A211)))),1))," ",REPT(" ",LEN(A211))),LEN(A211))))))))+1, 1) * 10^ROW(INDIRECT("1:"&amp;LEN((--TRIM(RIGHT(SUBSTITUTE(LEFT(A211,_xlfn.AGGREGATE(16,6,FIND({0,1,2,3,4,5,6,7,8,9},A211,ROW(INDIRECT("1:"&amp;LEN(A211)))),1))," ",REPT(" ",LEN(A211))),LEN(A211)))))))/10))*1+1</f>
        <v>105 ,.., 705</v>
      </c>
      <c r="B212" s="138"/>
      <c r="C212" s="63" t="s">
        <v>329</v>
      </c>
      <c r="D212" s="70">
        <f>(24.9)*10.764</f>
        <v>268.02359999999999</v>
      </c>
      <c r="E212" s="70">
        <f>(7.27)*10.764</f>
        <v>78.254279999999994</v>
      </c>
      <c r="F212" s="63">
        <f t="shared" si="16"/>
        <v>346.27787999999998</v>
      </c>
      <c r="G212" s="63">
        <v>0</v>
      </c>
      <c r="H212" s="63">
        <f t="shared" si="17"/>
        <v>502.10292599999997</v>
      </c>
      <c r="I212" s="69">
        <f>2.75*4.08+2.1*2.2+2.75*1.9+1.2*1.8+1.2*1.08</f>
        <v>24.521000000000001</v>
      </c>
      <c r="J212" s="64">
        <f>2.75+2.1*1.08+2.75*1.08</f>
        <v>7.9880000000000013</v>
      </c>
      <c r="K212" s="64">
        <f t="shared" si="18"/>
        <v>1857780.8261999998</v>
      </c>
      <c r="L212" s="64">
        <f t="shared" si="19"/>
        <v>2107780.8262</v>
      </c>
    </row>
    <row r="213" spans="1:12" s="64" customFormat="1" ht="15.75" customHeight="1" x14ac:dyDescent="0.25">
      <c r="A213" s="137" t="str">
        <f ca="1">(SUMPRODUCT(MID(0&amp;(LEFT(A212,SUM(LEN(A212)-LEN(SUBSTITUTE(A212,{"0","1","2"},""))))), LARGE(INDEX(ISNUMBER(--MID((LEFT(A212,SUM(LEN(A212)-LEN(SUBSTITUTE(A212,{"0","1","2"},""))))), ROW(INDIRECT("1:"&amp;LEN((LEFT(A212,SUM(LEN(A212)-LEN(SUBSTITUTE(A212,{"0","1","2"},"")))))))), 1)) * ROW(INDIRECT("1:"&amp;LEN((LEFT(A212,SUM(LEN(A212)-LEN(SUBSTITUTE(A212,{"0","1","2"},"")))))))), 0), ROW(INDIRECT("1:"&amp;LEN((LEFT(A212,SUM(LEN(A212)-LEN(SUBSTITUTE(A212,{"0","1","2"},"")))))))))+1, 1) * 10^ROW(INDIRECT("1:"&amp;LEN((LEFT(A212,SUM(LEN(A212)-LEN(SUBSTITUTE(A212,{"0","1","2"},""))))))))/10))*1+1&amp;""&amp;" ,.., "&amp;""&amp;(SUMPRODUCT(MID(0&amp;(--TRIM(RIGHT(SUBSTITUTE(LEFT(A212,_xlfn.AGGREGATE(16,6,FIND({0,1,2,3,4,5,6,7,8,9},A212,ROW(INDIRECT("1:"&amp;LEN(A212)))),1))," ",REPT(" ",LEN(A212))),LEN(A212)))), LARGE(INDEX(ISNUMBER(--MID((--TRIM(RIGHT(SUBSTITUTE(LEFT(A212,_xlfn.AGGREGATE(16,6,FIND({0,1,2,3,4,5,6,7,8,9},A212,ROW(INDIRECT("1:"&amp;LEN(A212)))),1))," ",REPT(" ",LEN(A212))),LEN(A212)))), ROW(INDIRECT("1:"&amp;LEN((--TRIM(RIGHT(SUBSTITUTE(LEFT(A212,_xlfn.AGGREGATE(16,6,FIND({0,1,2,3,4,5,6,7,8,9},A212,ROW(INDIRECT("1:"&amp;LEN(A212)))),1))," ",REPT(" ",LEN(A212))),LEN(A212))))))), 1)) * ROW(INDIRECT("1:"&amp;LEN((--TRIM(RIGHT(SUBSTITUTE(LEFT(A212,_xlfn.AGGREGATE(16,6,FIND({0,1,2,3,4,5,6,7,8,9},A212,ROW(INDIRECT("1:"&amp;LEN(A212)))),1))," ",REPT(" ",LEN(A212))),LEN(A212))))))), 0), ROW(INDIRECT("1:"&amp;LEN((--TRIM(RIGHT(SUBSTITUTE(LEFT(A212,_xlfn.AGGREGATE(16,6,FIND({0,1,2,3,4,5,6,7,8,9},A212,ROW(INDIRECT("1:"&amp;LEN(A212)))),1))," ",REPT(" ",LEN(A212))),LEN(A212))))))))+1, 1) * 10^ROW(INDIRECT("1:"&amp;LEN((--TRIM(RIGHT(SUBSTITUTE(LEFT(A212,_xlfn.AGGREGATE(16,6,FIND({0,1,2,3,4,5,6,7,8,9},A212,ROW(INDIRECT("1:"&amp;LEN(A212)))),1))," ",REPT(" ",LEN(A212))),LEN(A212)))))))/10))*1+1</f>
        <v>106 ,.., 706</v>
      </c>
      <c r="B213" s="138"/>
      <c r="C213" s="63" t="s">
        <v>329</v>
      </c>
      <c r="D213" s="70">
        <f>(24.9)*10.764</f>
        <v>268.02359999999999</v>
      </c>
      <c r="E213" s="70">
        <f>(7.27)*10.764</f>
        <v>78.254279999999994</v>
      </c>
      <c r="F213" s="63">
        <f t="shared" si="16"/>
        <v>346.27787999999998</v>
      </c>
      <c r="G213" s="63">
        <v>0</v>
      </c>
      <c r="H213" s="63">
        <f t="shared" si="17"/>
        <v>502.10292599999997</v>
      </c>
      <c r="I213" s="33"/>
      <c r="K213" s="64">
        <f t="shared" si="18"/>
        <v>1857780.8261999998</v>
      </c>
      <c r="L213" s="64">
        <f t="shared" si="19"/>
        <v>2107780.8262</v>
      </c>
    </row>
    <row r="214" spans="1:12" s="64" customFormat="1" ht="15.75" customHeight="1" x14ac:dyDescent="0.25">
      <c r="A214" s="137" t="str">
        <f ca="1">(SUMPRODUCT(MID(0&amp;(LEFT(A213,SUM(LEN(A213)-LEN(SUBSTITUTE(A213,{"0","1","2"},""))))), LARGE(INDEX(ISNUMBER(--MID((LEFT(A213,SUM(LEN(A213)-LEN(SUBSTITUTE(A213,{"0","1","2"},""))))), ROW(INDIRECT("1:"&amp;LEN((LEFT(A213,SUM(LEN(A213)-LEN(SUBSTITUTE(A213,{"0","1","2"},"")))))))), 1)) * ROW(INDIRECT("1:"&amp;LEN((LEFT(A213,SUM(LEN(A213)-LEN(SUBSTITUTE(A213,{"0","1","2"},"")))))))), 0), ROW(INDIRECT("1:"&amp;LEN((LEFT(A213,SUM(LEN(A213)-LEN(SUBSTITUTE(A213,{"0","1","2"},"")))))))))+1, 1) * 10^ROW(INDIRECT("1:"&amp;LEN((LEFT(A213,SUM(LEN(A213)-LEN(SUBSTITUTE(A213,{"0","1","2"},""))))))))/10))*1+1&amp;""&amp;" ,.., "&amp;""&amp;(SUMPRODUCT(MID(0&amp;(--TRIM(RIGHT(SUBSTITUTE(LEFT(A213,_xlfn.AGGREGATE(16,6,FIND({0,1,2,3,4,5,6,7,8,9},A213,ROW(INDIRECT("1:"&amp;LEN(A213)))),1))," ",REPT(" ",LEN(A213))),LEN(A213)))), LARGE(INDEX(ISNUMBER(--MID((--TRIM(RIGHT(SUBSTITUTE(LEFT(A213,_xlfn.AGGREGATE(16,6,FIND({0,1,2,3,4,5,6,7,8,9},A213,ROW(INDIRECT("1:"&amp;LEN(A213)))),1))," ",REPT(" ",LEN(A213))),LEN(A213)))), ROW(INDIRECT("1:"&amp;LEN((--TRIM(RIGHT(SUBSTITUTE(LEFT(A213,_xlfn.AGGREGATE(16,6,FIND({0,1,2,3,4,5,6,7,8,9},A213,ROW(INDIRECT("1:"&amp;LEN(A213)))),1))," ",REPT(" ",LEN(A213))),LEN(A213))))))), 1)) * ROW(INDIRECT("1:"&amp;LEN((--TRIM(RIGHT(SUBSTITUTE(LEFT(A213,_xlfn.AGGREGATE(16,6,FIND({0,1,2,3,4,5,6,7,8,9},A213,ROW(INDIRECT("1:"&amp;LEN(A213)))),1))," ",REPT(" ",LEN(A213))),LEN(A213))))))), 0), ROW(INDIRECT("1:"&amp;LEN((--TRIM(RIGHT(SUBSTITUTE(LEFT(A213,_xlfn.AGGREGATE(16,6,FIND({0,1,2,3,4,5,6,7,8,9},A213,ROW(INDIRECT("1:"&amp;LEN(A213)))),1))," ",REPT(" ",LEN(A213))),LEN(A213))))))))+1, 1) * 10^ROW(INDIRECT("1:"&amp;LEN((--TRIM(RIGHT(SUBSTITUTE(LEFT(A213,_xlfn.AGGREGATE(16,6,FIND({0,1,2,3,4,5,6,7,8,9},A213,ROW(INDIRECT("1:"&amp;LEN(A213)))),1))," ",REPT(" ",LEN(A213))),LEN(A213)))))))/10))*1+1</f>
        <v>107 ,.., 707</v>
      </c>
      <c r="B214" s="138"/>
      <c r="C214" s="63" t="s">
        <v>340</v>
      </c>
      <c r="D214" s="70">
        <f>(18.24)*10.764</f>
        <v>196.33535999999998</v>
      </c>
      <c r="E214" s="70">
        <f>(5.13)*10.764</f>
        <v>55.219319999999996</v>
      </c>
      <c r="F214" s="63">
        <f t="shared" si="16"/>
        <v>251.55467999999996</v>
      </c>
      <c r="G214" s="63">
        <v>0</v>
      </c>
      <c r="H214" s="63">
        <f t="shared" si="17"/>
        <v>364.75428599999992</v>
      </c>
      <c r="I214" s="33"/>
      <c r="K214" s="64">
        <f t="shared" si="18"/>
        <v>1349590.8581999997</v>
      </c>
      <c r="L214" s="64">
        <f t="shared" si="19"/>
        <v>1599590.8581999997</v>
      </c>
    </row>
    <row r="215" spans="1:12" s="64" customFormat="1" ht="15.75" customHeight="1" x14ac:dyDescent="0.25">
      <c r="A215" s="137" t="str">
        <f ca="1">(SUMPRODUCT(MID(0&amp;(LEFT(A214,SUM(LEN(A214)-LEN(SUBSTITUTE(A214,{"0","1","2"},""))))), LARGE(INDEX(ISNUMBER(--MID((LEFT(A214,SUM(LEN(A214)-LEN(SUBSTITUTE(A214,{"0","1","2"},""))))), ROW(INDIRECT("1:"&amp;LEN((LEFT(A214,SUM(LEN(A214)-LEN(SUBSTITUTE(A214,{"0","1","2"},"")))))))), 1)) * ROW(INDIRECT("1:"&amp;LEN((LEFT(A214,SUM(LEN(A214)-LEN(SUBSTITUTE(A214,{"0","1","2"},"")))))))), 0), ROW(INDIRECT("1:"&amp;LEN((LEFT(A214,SUM(LEN(A214)-LEN(SUBSTITUTE(A214,{"0","1","2"},"")))))))))+1, 1) * 10^ROW(INDIRECT("1:"&amp;LEN((LEFT(A214,SUM(LEN(A214)-LEN(SUBSTITUTE(A214,{"0","1","2"},""))))))))/10))*1+1&amp;""&amp;" ,.., "&amp;""&amp;(SUMPRODUCT(MID(0&amp;(--TRIM(RIGHT(SUBSTITUTE(LEFT(A214,_xlfn.AGGREGATE(16,6,FIND({0,1,2,3,4,5,6,7,8,9},A214,ROW(INDIRECT("1:"&amp;LEN(A214)))),1))," ",REPT(" ",LEN(A214))),LEN(A214)))), LARGE(INDEX(ISNUMBER(--MID((--TRIM(RIGHT(SUBSTITUTE(LEFT(A214,_xlfn.AGGREGATE(16,6,FIND({0,1,2,3,4,5,6,7,8,9},A214,ROW(INDIRECT("1:"&amp;LEN(A214)))),1))," ",REPT(" ",LEN(A214))),LEN(A214)))), ROW(INDIRECT("1:"&amp;LEN((--TRIM(RIGHT(SUBSTITUTE(LEFT(A214,_xlfn.AGGREGATE(16,6,FIND({0,1,2,3,4,5,6,7,8,9},A214,ROW(INDIRECT("1:"&amp;LEN(A214)))),1))," ",REPT(" ",LEN(A214))),LEN(A214))))))), 1)) * ROW(INDIRECT("1:"&amp;LEN((--TRIM(RIGHT(SUBSTITUTE(LEFT(A214,_xlfn.AGGREGATE(16,6,FIND({0,1,2,3,4,5,6,7,8,9},A214,ROW(INDIRECT("1:"&amp;LEN(A214)))),1))," ",REPT(" ",LEN(A214))),LEN(A214))))))), 0), ROW(INDIRECT("1:"&amp;LEN((--TRIM(RIGHT(SUBSTITUTE(LEFT(A214,_xlfn.AGGREGATE(16,6,FIND({0,1,2,3,4,5,6,7,8,9},A214,ROW(INDIRECT("1:"&amp;LEN(A214)))),1))," ",REPT(" ",LEN(A214))),LEN(A214))))))))+1, 1) * 10^ROW(INDIRECT("1:"&amp;LEN((--TRIM(RIGHT(SUBSTITUTE(LEFT(A214,_xlfn.AGGREGATE(16,6,FIND({0,1,2,3,4,5,6,7,8,9},A214,ROW(INDIRECT("1:"&amp;LEN(A214)))),1))," ",REPT(" ",LEN(A214))),LEN(A214)))))))/10))*1+1</f>
        <v>108 ,.., 708</v>
      </c>
      <c r="B215" s="138"/>
      <c r="C215" s="63" t="s">
        <v>329</v>
      </c>
      <c r="D215" s="70">
        <f>(27.61)*10.764</f>
        <v>297.19403999999997</v>
      </c>
      <c r="E215" s="70">
        <f>(2.75)*10.764</f>
        <v>29.600999999999999</v>
      </c>
      <c r="F215" s="63">
        <f t="shared" si="16"/>
        <v>326.79503999999997</v>
      </c>
      <c r="G215" s="63">
        <v>0</v>
      </c>
      <c r="H215" s="63">
        <f t="shared" si="17"/>
        <v>473.85280799999992</v>
      </c>
      <c r="I215" s="33"/>
      <c r="K215" s="64">
        <f t="shared" si="18"/>
        <v>1753255.3895999996</v>
      </c>
      <c r="L215" s="64">
        <f t="shared" si="19"/>
        <v>2003255.3895999996</v>
      </c>
    </row>
    <row r="216" spans="1:12" s="64" customFormat="1" ht="15.75" customHeight="1" x14ac:dyDescent="0.25">
      <c r="A216" s="137" t="str">
        <f ca="1">(SUMPRODUCT(MID(0&amp;(LEFT(A215,SUM(LEN(A215)-LEN(SUBSTITUTE(A215,{"0","1","2"},""))))), LARGE(INDEX(ISNUMBER(--MID((LEFT(A215,SUM(LEN(A215)-LEN(SUBSTITUTE(A215,{"0","1","2"},""))))), ROW(INDIRECT("1:"&amp;LEN((LEFT(A215,SUM(LEN(A215)-LEN(SUBSTITUTE(A215,{"0","1","2"},"")))))))), 1)) * ROW(INDIRECT("1:"&amp;LEN((LEFT(A215,SUM(LEN(A215)-LEN(SUBSTITUTE(A215,{"0","1","2"},"")))))))), 0), ROW(INDIRECT("1:"&amp;LEN((LEFT(A215,SUM(LEN(A215)-LEN(SUBSTITUTE(A215,{"0","1","2"},"")))))))))+1, 1) * 10^ROW(INDIRECT("1:"&amp;LEN((LEFT(A215,SUM(LEN(A215)-LEN(SUBSTITUTE(A215,{"0","1","2"},""))))))))/10))*1+1&amp;""&amp;" ,.., "&amp;""&amp;(SUMPRODUCT(MID(0&amp;(--TRIM(RIGHT(SUBSTITUTE(LEFT(A215,_xlfn.AGGREGATE(16,6,FIND({0,1,2,3,4,5,6,7,8,9},A215,ROW(INDIRECT("1:"&amp;LEN(A215)))),1))," ",REPT(" ",LEN(A215))),LEN(A215)))), LARGE(INDEX(ISNUMBER(--MID((--TRIM(RIGHT(SUBSTITUTE(LEFT(A215,_xlfn.AGGREGATE(16,6,FIND({0,1,2,3,4,5,6,7,8,9},A215,ROW(INDIRECT("1:"&amp;LEN(A215)))),1))," ",REPT(" ",LEN(A215))),LEN(A215)))), ROW(INDIRECT("1:"&amp;LEN((--TRIM(RIGHT(SUBSTITUTE(LEFT(A215,_xlfn.AGGREGATE(16,6,FIND({0,1,2,3,4,5,6,7,8,9},A215,ROW(INDIRECT("1:"&amp;LEN(A215)))),1))," ",REPT(" ",LEN(A215))),LEN(A215))))))), 1)) * ROW(INDIRECT("1:"&amp;LEN((--TRIM(RIGHT(SUBSTITUTE(LEFT(A215,_xlfn.AGGREGATE(16,6,FIND({0,1,2,3,4,5,6,7,8,9},A215,ROW(INDIRECT("1:"&amp;LEN(A215)))),1))," ",REPT(" ",LEN(A215))),LEN(A215))))))), 0), ROW(INDIRECT("1:"&amp;LEN((--TRIM(RIGHT(SUBSTITUTE(LEFT(A215,_xlfn.AGGREGATE(16,6,FIND({0,1,2,3,4,5,6,7,8,9},A215,ROW(INDIRECT("1:"&amp;LEN(A215)))),1))," ",REPT(" ",LEN(A215))),LEN(A215))))))))+1, 1) * 10^ROW(INDIRECT("1:"&amp;LEN((--TRIM(RIGHT(SUBSTITUTE(LEFT(A215,_xlfn.AGGREGATE(16,6,FIND({0,1,2,3,4,5,6,7,8,9},A215,ROW(INDIRECT("1:"&amp;LEN(A215)))),1))," ",REPT(" ",LEN(A215))),LEN(A215)))))))/10))*1+1</f>
        <v>109 ,.., 709</v>
      </c>
      <c r="B216" s="138"/>
      <c r="C216" s="63" t="s">
        <v>329</v>
      </c>
      <c r="D216" s="70">
        <f>(27.18)*10.764</f>
        <v>292.56551999999999</v>
      </c>
      <c r="E216" s="70">
        <f>(1.88)*10.764</f>
        <v>20.236319999999999</v>
      </c>
      <c r="F216" s="63">
        <f t="shared" si="16"/>
        <v>312.80183999999997</v>
      </c>
      <c r="G216" s="63">
        <v>0</v>
      </c>
      <c r="H216" s="63">
        <f t="shared" si="17"/>
        <v>453.56266799999992</v>
      </c>
      <c r="I216" s="33"/>
      <c r="K216" s="64">
        <f t="shared" si="18"/>
        <v>1678181.8715999997</v>
      </c>
      <c r="L216" s="64">
        <f t="shared" si="19"/>
        <v>1928181.8715999997</v>
      </c>
    </row>
    <row r="217" spans="1:12" s="64" customFormat="1" ht="15.75" customHeight="1" x14ac:dyDescent="0.25">
      <c r="A217" s="137" t="str">
        <f ca="1">(SUMPRODUCT(MID(0&amp;(LEFT(A216,SUM(LEN(A216)-LEN(SUBSTITUTE(A216,{"0","1","2"},""))))), LARGE(INDEX(ISNUMBER(--MID((LEFT(A216,SUM(LEN(A216)-LEN(SUBSTITUTE(A216,{"0","1","2"},""))))), ROW(INDIRECT("1:"&amp;LEN((LEFT(A216,SUM(LEN(A216)-LEN(SUBSTITUTE(A216,{"0","1","2"},"")))))))), 1)) * ROW(INDIRECT("1:"&amp;LEN((LEFT(A216,SUM(LEN(A216)-LEN(SUBSTITUTE(A216,{"0","1","2"},"")))))))), 0), ROW(INDIRECT("1:"&amp;LEN((LEFT(A216,SUM(LEN(A216)-LEN(SUBSTITUTE(A216,{"0","1","2"},"")))))))))+1, 1) * 10^ROW(INDIRECT("1:"&amp;LEN((LEFT(A216,SUM(LEN(A216)-LEN(SUBSTITUTE(A216,{"0","1","2"},""))))))))/10))*1+1&amp;""&amp;" ,.., "&amp;""&amp;(SUMPRODUCT(MID(0&amp;(--TRIM(RIGHT(SUBSTITUTE(LEFT(A216,_xlfn.AGGREGATE(16,6,FIND({0,1,2,3,4,5,6,7,8,9},A216,ROW(INDIRECT("1:"&amp;LEN(A216)))),1))," ",REPT(" ",LEN(A216))),LEN(A216)))), LARGE(INDEX(ISNUMBER(--MID((--TRIM(RIGHT(SUBSTITUTE(LEFT(A216,_xlfn.AGGREGATE(16,6,FIND({0,1,2,3,4,5,6,7,8,9},A216,ROW(INDIRECT("1:"&amp;LEN(A216)))),1))," ",REPT(" ",LEN(A216))),LEN(A216)))), ROW(INDIRECT("1:"&amp;LEN((--TRIM(RIGHT(SUBSTITUTE(LEFT(A216,_xlfn.AGGREGATE(16,6,FIND({0,1,2,3,4,5,6,7,8,9},A216,ROW(INDIRECT("1:"&amp;LEN(A216)))),1))," ",REPT(" ",LEN(A216))),LEN(A216))))))), 1)) * ROW(INDIRECT("1:"&amp;LEN((--TRIM(RIGHT(SUBSTITUTE(LEFT(A216,_xlfn.AGGREGATE(16,6,FIND({0,1,2,3,4,5,6,7,8,9},A216,ROW(INDIRECT("1:"&amp;LEN(A216)))),1))," ",REPT(" ",LEN(A216))),LEN(A216))))))), 0), ROW(INDIRECT("1:"&amp;LEN((--TRIM(RIGHT(SUBSTITUTE(LEFT(A216,_xlfn.AGGREGATE(16,6,FIND({0,1,2,3,4,5,6,7,8,9},A216,ROW(INDIRECT("1:"&amp;LEN(A216)))),1))," ",REPT(" ",LEN(A216))),LEN(A216))))))))+1, 1) * 10^ROW(INDIRECT("1:"&amp;LEN((--TRIM(RIGHT(SUBSTITUTE(LEFT(A216,_xlfn.AGGREGATE(16,6,FIND({0,1,2,3,4,5,6,7,8,9},A216,ROW(INDIRECT("1:"&amp;LEN(A216)))),1))," ",REPT(" ",LEN(A216))),LEN(A216)))))))/10))*1+1</f>
        <v>110 ,.., 710</v>
      </c>
      <c r="B217" s="138"/>
      <c r="C217" s="63" t="s">
        <v>329</v>
      </c>
      <c r="D217" s="70">
        <f>(27.61)*10.764</f>
        <v>297.19403999999997</v>
      </c>
      <c r="E217" s="70">
        <f>(2.03)*10.764</f>
        <v>21.850919999999995</v>
      </c>
      <c r="F217" s="63">
        <f t="shared" si="16"/>
        <v>319.04495999999995</v>
      </c>
      <c r="G217" s="63">
        <v>0</v>
      </c>
      <c r="H217" s="63">
        <f t="shared" si="17"/>
        <v>462.61519199999992</v>
      </c>
      <c r="I217" s="33"/>
      <c r="K217" s="64">
        <f t="shared" si="18"/>
        <v>1711676.2103999997</v>
      </c>
      <c r="L217" s="64">
        <f t="shared" si="19"/>
        <v>1961676.2103999997</v>
      </c>
    </row>
    <row r="218" spans="1:12" s="64" customFormat="1" ht="15.75" customHeight="1" x14ac:dyDescent="0.25">
      <c r="A218" s="133" t="s">
        <v>338</v>
      </c>
      <c r="B218" s="134"/>
      <c r="C218" s="134"/>
      <c r="D218" s="134"/>
      <c r="E218" s="134"/>
      <c r="F218" s="134"/>
      <c r="G218" s="134"/>
      <c r="H218" s="135"/>
      <c r="I218" s="33"/>
    </row>
    <row r="219" spans="1:12" s="64" customFormat="1" ht="15.75" customHeight="1" x14ac:dyDescent="0.25">
      <c r="A219" s="133" t="s">
        <v>339</v>
      </c>
      <c r="B219" s="134"/>
      <c r="C219" s="134"/>
      <c r="D219" s="134"/>
      <c r="E219" s="134"/>
      <c r="F219" s="134"/>
      <c r="G219" s="134"/>
      <c r="H219" s="135"/>
      <c r="I219" s="33"/>
    </row>
    <row r="220" spans="1:12" s="64" customFormat="1" ht="15.75" customHeight="1" x14ac:dyDescent="0.25">
      <c r="A220" s="133" t="s">
        <v>333</v>
      </c>
      <c r="B220" s="134"/>
      <c r="C220" s="134"/>
      <c r="D220" s="134"/>
      <c r="E220" s="134"/>
      <c r="F220" s="134"/>
      <c r="G220" s="134"/>
      <c r="H220" s="135"/>
      <c r="I220" s="33"/>
    </row>
    <row r="221" spans="1:12" s="64" customFormat="1" ht="15.75" customHeight="1" x14ac:dyDescent="0.25">
      <c r="A221" s="137" t="str">
        <f ca="1">(SUMPRODUCT(MID(0&amp;(LEFT(A220,SUM(LEN(A220)-LEN(SUBSTITUTE(A220,{"0","1","2"},""))))), LARGE(INDEX(ISNUMBER(--MID((LEFT(A220,SUM(LEN(A220)-LEN(SUBSTITUTE(A220,{"0","1","2"},""))))), ROW(INDIRECT("1:"&amp;LEN((LEFT(A220,SUM(LEN(A220)-LEN(SUBSTITUTE(A220,{"0","1","2"},"")))))))), 1)) * ROW(INDIRECT("1:"&amp;LEN((LEFT(A220,SUM(LEN(A220)-LEN(SUBSTITUTE(A220,{"0","1","2"},"")))))))), 0), ROW(INDIRECT("1:"&amp;LEN((LEFT(A220,SUM(LEN(A220)-LEN(SUBSTITUTE(A220,{"0","1","2"},"")))))))))+1, 1) * 10^ROW(INDIRECT("1:"&amp;LEN((LEFT(A220,SUM(LEN(A220)-LEN(SUBSTITUTE(A220,{"0","1","2"},""))))))))/10))*100+1&amp;""&amp;" ,.., "&amp;""&amp;(SUMPRODUCT(MID(0&amp;(--TRIM(RIGHT(SUBSTITUTE(LEFT(A220,_xlfn.AGGREGATE(16,6,FIND({0,1,2,3,4,5,6,7,8,9},A220,ROW(INDIRECT("1:"&amp;LEN(A220)))),1))," ",REPT(" ",LEN(A220))),LEN(A220)))), LARGE(INDEX(ISNUMBER(--MID((--TRIM(RIGHT(SUBSTITUTE(LEFT(A220,_xlfn.AGGREGATE(16,6,FIND({0,1,2,3,4,5,6,7,8,9},A220,ROW(INDIRECT("1:"&amp;LEN(A220)))),1))," ",REPT(" ",LEN(A220))),LEN(A220)))), ROW(INDIRECT("1:"&amp;LEN((--TRIM(RIGHT(SUBSTITUTE(LEFT(A220,_xlfn.AGGREGATE(16,6,FIND({0,1,2,3,4,5,6,7,8,9},A220,ROW(INDIRECT("1:"&amp;LEN(A220)))),1))," ",REPT(" ",LEN(A220))),LEN(A220))))))), 1)) * ROW(INDIRECT("1:"&amp;LEN((--TRIM(RIGHT(SUBSTITUTE(LEFT(A220,_xlfn.AGGREGATE(16,6,FIND({0,1,2,3,4,5,6,7,8,9},A220,ROW(INDIRECT("1:"&amp;LEN(A220)))),1))," ",REPT(" ",LEN(A220))),LEN(A220))))))), 0), ROW(INDIRECT("1:"&amp;LEN((--TRIM(RIGHT(SUBSTITUTE(LEFT(A220,_xlfn.AGGREGATE(16,6,FIND({0,1,2,3,4,5,6,7,8,9},A220,ROW(INDIRECT("1:"&amp;LEN(A220)))),1))," ",REPT(" ",LEN(A220))),LEN(A220))))))))+1, 1) * 10^ROW(INDIRECT("1:"&amp;LEN((--TRIM(RIGHT(SUBSTITUTE(LEFT(A220,_xlfn.AGGREGATE(16,6,FIND({0,1,2,3,4,5,6,7,8,9},A220,ROW(INDIRECT("1:"&amp;LEN(A220)))),1))," ",REPT(" ",LEN(A220))),LEN(A220)))))))/10))*100+1</f>
        <v>101 ,.., 701</v>
      </c>
      <c r="B221" s="138"/>
      <c r="C221" s="63" t="s">
        <v>329</v>
      </c>
      <c r="D221" s="70">
        <f>(27.62)*10.764</f>
        <v>297.30167999999998</v>
      </c>
      <c r="E221" s="70">
        <f>(1.88)*10.764</f>
        <v>20.236319999999999</v>
      </c>
      <c r="F221" s="63">
        <f t="shared" ref="F221:F226" si="20">D221+E221</f>
        <v>317.53799999999995</v>
      </c>
      <c r="G221" s="63">
        <v>0</v>
      </c>
      <c r="H221" s="63">
        <f t="shared" ref="H221:H226" si="21">F221*(($H$188)+1)+(IF(G221&lt;101,G221,IF(G221&lt;201,G221/2,IF(G221&lt;=301,G221/3,G221/4))))</f>
        <v>460.43009999999992</v>
      </c>
      <c r="I221" s="33"/>
    </row>
    <row r="222" spans="1:12" s="64" customFormat="1" ht="15.75" customHeight="1" x14ac:dyDescent="0.25">
      <c r="A222" s="137" t="str">
        <f ca="1">(SUMPRODUCT(MID(0&amp;(LEFT(A221,SUM(LEN(A221)-LEN(SUBSTITUTE(A221,{"0","1","2"},""))))), LARGE(INDEX(ISNUMBER(--MID((LEFT(A221,SUM(LEN(A221)-LEN(SUBSTITUTE(A221,{"0","1","2"},""))))), ROW(INDIRECT("1:"&amp;LEN((LEFT(A221,SUM(LEN(A221)-LEN(SUBSTITUTE(A221,{"0","1","2"},"")))))))), 1)) * ROW(INDIRECT("1:"&amp;LEN((LEFT(A221,SUM(LEN(A221)-LEN(SUBSTITUTE(A221,{"0","1","2"},"")))))))), 0), ROW(INDIRECT("1:"&amp;LEN((LEFT(A221,SUM(LEN(A221)-LEN(SUBSTITUTE(A221,{"0","1","2"},"")))))))))+1, 1) * 10^ROW(INDIRECT("1:"&amp;LEN((LEFT(A221,SUM(LEN(A221)-LEN(SUBSTITUTE(A221,{"0","1","2"},""))))))))/10))*1+1&amp;""&amp;" ,.., "&amp;""&amp;(SUMPRODUCT(MID(0&amp;(--TRIM(RIGHT(SUBSTITUTE(LEFT(A221,_xlfn.AGGREGATE(16,6,FIND({0,1,2,3,4,5,6,7,8,9},A221,ROW(INDIRECT("1:"&amp;LEN(A221)))),1))," ",REPT(" ",LEN(A221))),LEN(A221)))), LARGE(INDEX(ISNUMBER(--MID((--TRIM(RIGHT(SUBSTITUTE(LEFT(A221,_xlfn.AGGREGATE(16,6,FIND({0,1,2,3,4,5,6,7,8,9},A221,ROW(INDIRECT("1:"&amp;LEN(A221)))),1))," ",REPT(" ",LEN(A221))),LEN(A221)))), ROW(INDIRECT("1:"&amp;LEN((--TRIM(RIGHT(SUBSTITUTE(LEFT(A221,_xlfn.AGGREGATE(16,6,FIND({0,1,2,3,4,5,6,7,8,9},A221,ROW(INDIRECT("1:"&amp;LEN(A221)))),1))," ",REPT(" ",LEN(A221))),LEN(A221))))))), 1)) * ROW(INDIRECT("1:"&amp;LEN((--TRIM(RIGHT(SUBSTITUTE(LEFT(A221,_xlfn.AGGREGATE(16,6,FIND({0,1,2,3,4,5,6,7,8,9},A221,ROW(INDIRECT("1:"&amp;LEN(A221)))),1))," ",REPT(" ",LEN(A221))),LEN(A221))))))), 0), ROW(INDIRECT("1:"&amp;LEN((--TRIM(RIGHT(SUBSTITUTE(LEFT(A221,_xlfn.AGGREGATE(16,6,FIND({0,1,2,3,4,5,6,7,8,9},A221,ROW(INDIRECT("1:"&amp;LEN(A221)))),1))," ",REPT(" ",LEN(A221))),LEN(A221))))))))+1, 1) * 10^ROW(INDIRECT("1:"&amp;LEN((--TRIM(RIGHT(SUBSTITUTE(LEFT(A221,_xlfn.AGGREGATE(16,6,FIND({0,1,2,3,4,5,6,7,8,9},A221,ROW(INDIRECT("1:"&amp;LEN(A221)))),1))," ",REPT(" ",LEN(A221))),LEN(A221)))))))/10))*1+1</f>
        <v>102 ,.., 702</v>
      </c>
      <c r="B222" s="138"/>
      <c r="C222" s="63" t="s">
        <v>329</v>
      </c>
      <c r="D222" s="70">
        <f>(24.48)*10.764</f>
        <v>263.50272000000001</v>
      </c>
      <c r="E222" s="70">
        <f>(7.42)*10.764</f>
        <v>79.86887999999999</v>
      </c>
      <c r="F222" s="63">
        <f t="shared" si="20"/>
        <v>343.3716</v>
      </c>
      <c r="G222" s="63">
        <v>0</v>
      </c>
      <c r="H222" s="63">
        <f t="shared" si="21"/>
        <v>497.88882000000001</v>
      </c>
      <c r="I222" s="33"/>
    </row>
    <row r="223" spans="1:12" s="64" customFormat="1" ht="15.75" customHeight="1" x14ac:dyDescent="0.25">
      <c r="A223" s="137" t="str">
        <f ca="1">(SUMPRODUCT(MID(0&amp;(LEFT(A222,SUM(LEN(A222)-LEN(SUBSTITUTE(A222,{"0","1","2"},""))))), LARGE(INDEX(ISNUMBER(--MID((LEFT(A222,SUM(LEN(A222)-LEN(SUBSTITUTE(A222,{"0","1","2"},""))))), ROW(INDIRECT("1:"&amp;LEN((LEFT(A222,SUM(LEN(A222)-LEN(SUBSTITUTE(A222,{"0","1","2"},"")))))))), 1)) * ROW(INDIRECT("1:"&amp;LEN((LEFT(A222,SUM(LEN(A222)-LEN(SUBSTITUTE(A222,{"0","1","2"},"")))))))), 0), ROW(INDIRECT("1:"&amp;LEN((LEFT(A222,SUM(LEN(A222)-LEN(SUBSTITUTE(A222,{"0","1","2"},"")))))))))+1, 1) * 10^ROW(INDIRECT("1:"&amp;LEN((LEFT(A222,SUM(LEN(A222)-LEN(SUBSTITUTE(A222,{"0","1","2"},""))))))))/10))*1+1&amp;""&amp;" ,.., "&amp;""&amp;(SUMPRODUCT(MID(0&amp;(--TRIM(RIGHT(SUBSTITUTE(LEFT(A222,_xlfn.AGGREGATE(16,6,FIND({0,1,2,3,4,5,6,7,8,9},A222,ROW(INDIRECT("1:"&amp;LEN(A222)))),1))," ",REPT(" ",LEN(A222))),LEN(A222)))), LARGE(INDEX(ISNUMBER(--MID((--TRIM(RIGHT(SUBSTITUTE(LEFT(A222,_xlfn.AGGREGATE(16,6,FIND({0,1,2,3,4,5,6,7,8,9},A222,ROW(INDIRECT("1:"&amp;LEN(A222)))),1))," ",REPT(" ",LEN(A222))),LEN(A222)))), ROW(INDIRECT("1:"&amp;LEN((--TRIM(RIGHT(SUBSTITUTE(LEFT(A222,_xlfn.AGGREGATE(16,6,FIND({0,1,2,3,4,5,6,7,8,9},A222,ROW(INDIRECT("1:"&amp;LEN(A222)))),1))," ",REPT(" ",LEN(A222))),LEN(A222))))))), 1)) * ROW(INDIRECT("1:"&amp;LEN((--TRIM(RIGHT(SUBSTITUTE(LEFT(A222,_xlfn.AGGREGATE(16,6,FIND({0,1,2,3,4,5,6,7,8,9},A222,ROW(INDIRECT("1:"&amp;LEN(A222)))),1))," ",REPT(" ",LEN(A222))),LEN(A222))))))), 0), ROW(INDIRECT("1:"&amp;LEN((--TRIM(RIGHT(SUBSTITUTE(LEFT(A222,_xlfn.AGGREGATE(16,6,FIND({0,1,2,3,4,5,6,7,8,9},A222,ROW(INDIRECT("1:"&amp;LEN(A222)))),1))," ",REPT(" ",LEN(A222))),LEN(A222))))))))+1, 1) * 10^ROW(INDIRECT("1:"&amp;LEN((--TRIM(RIGHT(SUBSTITUTE(LEFT(A222,_xlfn.AGGREGATE(16,6,FIND({0,1,2,3,4,5,6,7,8,9},A222,ROW(INDIRECT("1:"&amp;LEN(A222)))),1))," ",REPT(" ",LEN(A222))),LEN(A222)))))))/10))*1+1</f>
        <v>103 ,.., 703</v>
      </c>
      <c r="B223" s="138"/>
      <c r="C223" s="63" t="s">
        <v>329</v>
      </c>
      <c r="D223" s="70">
        <f>(24.48)*10.764</f>
        <v>263.50272000000001</v>
      </c>
      <c r="E223" s="70">
        <f>(7.42)*10.764</f>
        <v>79.86887999999999</v>
      </c>
      <c r="F223" s="63">
        <f t="shared" si="20"/>
        <v>343.3716</v>
      </c>
      <c r="G223" s="63">
        <v>0</v>
      </c>
      <c r="H223" s="63">
        <f t="shared" si="21"/>
        <v>497.88882000000001</v>
      </c>
      <c r="I223" s="33"/>
    </row>
    <row r="224" spans="1:12" s="64" customFormat="1" ht="15.75" customHeight="1" x14ac:dyDescent="0.25">
      <c r="A224" s="137" t="str">
        <f ca="1">(SUMPRODUCT(MID(0&amp;(LEFT(A223,SUM(LEN(A223)-LEN(SUBSTITUTE(A223,{"0","1","2"},""))))), LARGE(INDEX(ISNUMBER(--MID((LEFT(A223,SUM(LEN(A223)-LEN(SUBSTITUTE(A223,{"0","1","2"},""))))), ROW(INDIRECT("1:"&amp;LEN((LEFT(A223,SUM(LEN(A223)-LEN(SUBSTITUTE(A223,{"0","1","2"},"")))))))), 1)) * ROW(INDIRECT("1:"&amp;LEN((LEFT(A223,SUM(LEN(A223)-LEN(SUBSTITUTE(A223,{"0","1","2"},"")))))))), 0), ROW(INDIRECT("1:"&amp;LEN((LEFT(A223,SUM(LEN(A223)-LEN(SUBSTITUTE(A223,{"0","1","2"},"")))))))))+1, 1) * 10^ROW(INDIRECT("1:"&amp;LEN((LEFT(A223,SUM(LEN(A223)-LEN(SUBSTITUTE(A223,{"0","1","2"},""))))))))/10))*1+1&amp;""&amp;" ,.., "&amp;""&amp;(SUMPRODUCT(MID(0&amp;(--TRIM(RIGHT(SUBSTITUTE(LEFT(A223,_xlfn.AGGREGATE(16,6,FIND({0,1,2,3,4,5,6,7,8,9},A223,ROW(INDIRECT("1:"&amp;LEN(A223)))),1))," ",REPT(" ",LEN(A223))),LEN(A223)))), LARGE(INDEX(ISNUMBER(--MID((--TRIM(RIGHT(SUBSTITUTE(LEFT(A223,_xlfn.AGGREGATE(16,6,FIND({0,1,2,3,4,5,6,7,8,9},A223,ROW(INDIRECT("1:"&amp;LEN(A223)))),1))," ",REPT(" ",LEN(A223))),LEN(A223)))), ROW(INDIRECT("1:"&amp;LEN((--TRIM(RIGHT(SUBSTITUTE(LEFT(A223,_xlfn.AGGREGATE(16,6,FIND({0,1,2,3,4,5,6,7,8,9},A223,ROW(INDIRECT("1:"&amp;LEN(A223)))),1))," ",REPT(" ",LEN(A223))),LEN(A223))))))), 1)) * ROW(INDIRECT("1:"&amp;LEN((--TRIM(RIGHT(SUBSTITUTE(LEFT(A223,_xlfn.AGGREGATE(16,6,FIND({0,1,2,3,4,5,6,7,8,9},A223,ROW(INDIRECT("1:"&amp;LEN(A223)))),1))," ",REPT(" ",LEN(A223))),LEN(A223))))))), 0), ROW(INDIRECT("1:"&amp;LEN((--TRIM(RIGHT(SUBSTITUTE(LEFT(A223,_xlfn.AGGREGATE(16,6,FIND({0,1,2,3,4,5,6,7,8,9},A223,ROW(INDIRECT("1:"&amp;LEN(A223)))),1))," ",REPT(" ",LEN(A223))),LEN(A223))))))))+1, 1) * 10^ROW(INDIRECT("1:"&amp;LEN((--TRIM(RIGHT(SUBSTITUTE(LEFT(A223,_xlfn.AGGREGATE(16,6,FIND({0,1,2,3,4,5,6,7,8,9},A223,ROW(INDIRECT("1:"&amp;LEN(A223)))),1))," ",REPT(" ",LEN(A223))),LEN(A223)))))))/10))*1+1</f>
        <v>104 ,.., 704</v>
      </c>
      <c r="B224" s="138"/>
      <c r="C224" s="63" t="s">
        <v>329</v>
      </c>
      <c r="D224" s="70">
        <f>(24.7)*10.764</f>
        <v>265.87079999999997</v>
      </c>
      <c r="E224" s="70">
        <f>(6.87)*10.764</f>
        <v>73.948679999999996</v>
      </c>
      <c r="F224" s="63">
        <f t="shared" si="20"/>
        <v>339.81948</v>
      </c>
      <c r="G224" s="63">
        <v>0</v>
      </c>
      <c r="H224" s="63">
        <f t="shared" si="21"/>
        <v>492.738246</v>
      </c>
      <c r="I224" s="85" t="s">
        <v>368</v>
      </c>
    </row>
    <row r="225" spans="1:20" s="64" customFormat="1" ht="15.75" customHeight="1" x14ac:dyDescent="0.25">
      <c r="A225" s="137" t="str">
        <f ca="1">(SUMPRODUCT(MID(0&amp;(LEFT(A224,SUM(LEN(A224)-LEN(SUBSTITUTE(A224,{"0","1","2"},""))))), LARGE(INDEX(ISNUMBER(--MID((LEFT(A224,SUM(LEN(A224)-LEN(SUBSTITUTE(A224,{"0","1","2"},""))))), ROW(INDIRECT("1:"&amp;LEN((LEFT(A224,SUM(LEN(A224)-LEN(SUBSTITUTE(A224,{"0","1","2"},"")))))))), 1)) * ROW(INDIRECT("1:"&amp;LEN((LEFT(A224,SUM(LEN(A224)-LEN(SUBSTITUTE(A224,{"0","1","2"},"")))))))), 0), ROW(INDIRECT("1:"&amp;LEN((LEFT(A224,SUM(LEN(A224)-LEN(SUBSTITUTE(A224,{"0","1","2"},"")))))))))+1, 1) * 10^ROW(INDIRECT("1:"&amp;LEN((LEFT(A224,SUM(LEN(A224)-LEN(SUBSTITUTE(A224,{"0","1","2"},""))))))))/10))*1+1&amp;""&amp;" ,.., "&amp;""&amp;(SUMPRODUCT(MID(0&amp;(--TRIM(RIGHT(SUBSTITUTE(LEFT(A224,_xlfn.AGGREGATE(16,6,FIND({0,1,2,3,4,5,6,7,8,9},A224,ROW(INDIRECT("1:"&amp;LEN(A224)))),1))," ",REPT(" ",LEN(A224))),LEN(A224)))), LARGE(INDEX(ISNUMBER(--MID((--TRIM(RIGHT(SUBSTITUTE(LEFT(A224,_xlfn.AGGREGATE(16,6,FIND({0,1,2,3,4,5,6,7,8,9},A224,ROW(INDIRECT("1:"&amp;LEN(A224)))),1))," ",REPT(" ",LEN(A224))),LEN(A224)))), ROW(INDIRECT("1:"&amp;LEN((--TRIM(RIGHT(SUBSTITUTE(LEFT(A224,_xlfn.AGGREGATE(16,6,FIND({0,1,2,3,4,5,6,7,8,9},A224,ROW(INDIRECT("1:"&amp;LEN(A224)))),1))," ",REPT(" ",LEN(A224))),LEN(A224))))))), 1)) * ROW(INDIRECT("1:"&amp;LEN((--TRIM(RIGHT(SUBSTITUTE(LEFT(A224,_xlfn.AGGREGATE(16,6,FIND({0,1,2,3,4,5,6,7,8,9},A224,ROW(INDIRECT("1:"&amp;LEN(A224)))),1))," ",REPT(" ",LEN(A224))),LEN(A224))))))), 0), ROW(INDIRECT("1:"&amp;LEN((--TRIM(RIGHT(SUBSTITUTE(LEFT(A224,_xlfn.AGGREGATE(16,6,FIND({0,1,2,3,4,5,6,7,8,9},A224,ROW(INDIRECT("1:"&amp;LEN(A224)))),1))," ",REPT(" ",LEN(A224))),LEN(A224))))))))+1, 1) * 10^ROW(INDIRECT("1:"&amp;LEN((--TRIM(RIGHT(SUBSTITUTE(LEFT(A224,_xlfn.AGGREGATE(16,6,FIND({0,1,2,3,4,5,6,7,8,9},A224,ROW(INDIRECT("1:"&amp;LEN(A224)))),1))," ",REPT(" ",LEN(A224))),LEN(A224)))))))/10))*1+1</f>
        <v>105 ,.., 705</v>
      </c>
      <c r="B225" s="138"/>
      <c r="C225" s="63" t="s">
        <v>329</v>
      </c>
      <c r="D225" s="70">
        <f>(27.15)*10.764</f>
        <v>292.24259999999998</v>
      </c>
      <c r="E225" s="70">
        <f>(6.87)*10.764</f>
        <v>73.948679999999996</v>
      </c>
      <c r="F225" s="63">
        <f t="shared" si="20"/>
        <v>366.19128000000001</v>
      </c>
      <c r="G225" s="63">
        <v>0</v>
      </c>
      <c r="H225" s="63">
        <f t="shared" si="21"/>
        <v>530.97735599999999</v>
      </c>
      <c r="I225" s="33"/>
    </row>
    <row r="226" spans="1:20" s="64" customFormat="1" ht="15.75" customHeight="1" x14ac:dyDescent="0.25">
      <c r="A226" s="137" t="str">
        <f ca="1">(SUMPRODUCT(MID(0&amp;(LEFT(A225,SUM(LEN(A225)-LEN(SUBSTITUTE(A225,{"0","1","2"},""))))), LARGE(INDEX(ISNUMBER(--MID((LEFT(A225,SUM(LEN(A225)-LEN(SUBSTITUTE(A225,{"0","1","2"},""))))), ROW(INDIRECT("1:"&amp;LEN((LEFT(A225,SUM(LEN(A225)-LEN(SUBSTITUTE(A225,{"0","1","2"},"")))))))), 1)) * ROW(INDIRECT("1:"&amp;LEN((LEFT(A225,SUM(LEN(A225)-LEN(SUBSTITUTE(A225,{"0","1","2"},"")))))))), 0), ROW(INDIRECT("1:"&amp;LEN((LEFT(A225,SUM(LEN(A225)-LEN(SUBSTITUTE(A225,{"0","1","2"},"")))))))))+1, 1) * 10^ROW(INDIRECT("1:"&amp;LEN((LEFT(A225,SUM(LEN(A225)-LEN(SUBSTITUTE(A225,{"0","1","2"},""))))))))/10))*1+1&amp;""&amp;" ,.., "&amp;""&amp;(SUMPRODUCT(MID(0&amp;(--TRIM(RIGHT(SUBSTITUTE(LEFT(A225,_xlfn.AGGREGATE(16,6,FIND({0,1,2,3,4,5,6,7,8,9},A225,ROW(INDIRECT("1:"&amp;LEN(A225)))),1))," ",REPT(" ",LEN(A225))),LEN(A225)))), LARGE(INDEX(ISNUMBER(--MID((--TRIM(RIGHT(SUBSTITUTE(LEFT(A225,_xlfn.AGGREGATE(16,6,FIND({0,1,2,3,4,5,6,7,8,9},A225,ROW(INDIRECT("1:"&amp;LEN(A225)))),1))," ",REPT(" ",LEN(A225))),LEN(A225)))), ROW(INDIRECT("1:"&amp;LEN((--TRIM(RIGHT(SUBSTITUTE(LEFT(A225,_xlfn.AGGREGATE(16,6,FIND({0,1,2,3,4,5,6,7,8,9},A225,ROW(INDIRECT("1:"&amp;LEN(A225)))),1))," ",REPT(" ",LEN(A225))),LEN(A225))))))), 1)) * ROW(INDIRECT("1:"&amp;LEN((--TRIM(RIGHT(SUBSTITUTE(LEFT(A225,_xlfn.AGGREGATE(16,6,FIND({0,1,2,3,4,5,6,7,8,9},A225,ROW(INDIRECT("1:"&amp;LEN(A225)))),1))," ",REPT(" ",LEN(A225))),LEN(A225))))))), 0), ROW(INDIRECT("1:"&amp;LEN((--TRIM(RIGHT(SUBSTITUTE(LEFT(A225,_xlfn.AGGREGATE(16,6,FIND({0,1,2,3,4,5,6,7,8,9},A225,ROW(INDIRECT("1:"&amp;LEN(A225)))),1))," ",REPT(" ",LEN(A225))),LEN(A225))))))))+1, 1) * 10^ROW(INDIRECT("1:"&amp;LEN((--TRIM(RIGHT(SUBSTITUTE(LEFT(A225,_xlfn.AGGREGATE(16,6,FIND({0,1,2,3,4,5,6,7,8,9},A225,ROW(INDIRECT("1:"&amp;LEN(A225)))),1))," ",REPT(" ",LEN(A225))),LEN(A225)))))))/10))*1+1</f>
        <v>106 ,.., 706</v>
      </c>
      <c r="B226" s="138"/>
      <c r="C226" s="63" t="s">
        <v>329</v>
      </c>
      <c r="D226" s="70">
        <f>(27.72)*10.764</f>
        <v>298.37807999999995</v>
      </c>
      <c r="E226" s="70">
        <f>(4.48)*10.764</f>
        <v>48.222720000000002</v>
      </c>
      <c r="F226" s="63">
        <f t="shared" si="20"/>
        <v>346.60079999999994</v>
      </c>
      <c r="G226" s="63">
        <v>0</v>
      </c>
      <c r="H226" s="63">
        <f t="shared" si="21"/>
        <v>502.57115999999991</v>
      </c>
      <c r="I226" s="33"/>
    </row>
    <row r="227" spans="1:20" s="32" customFormat="1" x14ac:dyDescent="0.25">
      <c r="A227" s="225" t="s">
        <v>65</v>
      </c>
      <c r="B227" s="225"/>
      <c r="C227" s="225"/>
      <c r="D227" s="225"/>
      <c r="E227" s="225"/>
      <c r="F227" s="225"/>
      <c r="G227" s="225"/>
      <c r="H227" s="225"/>
      <c r="T227" s="34"/>
    </row>
    <row r="228" spans="1:20" s="32" customFormat="1" ht="48" customHeight="1" x14ac:dyDescent="0.25">
      <c r="A228" s="41">
        <v>1</v>
      </c>
      <c r="B228" s="104" t="s">
        <v>371</v>
      </c>
      <c r="C228" s="105"/>
      <c r="D228" s="105"/>
      <c r="E228" s="105"/>
      <c r="F228" s="105"/>
      <c r="G228" s="105"/>
      <c r="H228" s="106"/>
      <c r="I228" s="32" t="s">
        <v>363</v>
      </c>
      <c r="T228" s="34"/>
    </row>
    <row r="229" spans="1:20" s="32" customFormat="1" ht="30.75" customHeight="1" x14ac:dyDescent="0.25">
      <c r="A229" s="80">
        <v>2</v>
      </c>
      <c r="B229" s="104" t="s">
        <v>369</v>
      </c>
      <c r="C229" s="105"/>
      <c r="D229" s="105"/>
      <c r="E229" s="105"/>
      <c r="F229" s="105"/>
      <c r="G229" s="105"/>
      <c r="H229" s="106"/>
      <c r="I229" s="32" t="s">
        <v>363</v>
      </c>
      <c r="T229" s="81"/>
    </row>
    <row r="230" spans="1:20" s="32" customFormat="1" x14ac:dyDescent="0.25">
      <c r="A230" s="80">
        <v>3</v>
      </c>
      <c r="B230" s="104" t="str">
        <f>(IF(H187="Saleable area Loading :","We have considered Saleable area of Flats as per our Calculation.","We considered Saleable area of Flat as per Builder area Sheet."))</f>
        <v>We have considered Saleable area of Flats as per our Calculation.</v>
      </c>
      <c r="C230" s="105"/>
      <c r="D230" s="105"/>
      <c r="E230" s="105"/>
      <c r="F230" s="105"/>
      <c r="G230" s="105"/>
      <c r="H230" s="106"/>
      <c r="T230" s="34"/>
    </row>
    <row r="231" spans="1:20" s="32" customFormat="1" x14ac:dyDescent="0.25">
      <c r="A231" s="80">
        <v>4</v>
      </c>
      <c r="B231" s="104" t="str">
        <f>(IF(H176="Saleable area Loading :","We have considered Saleable area of Commercial as per our Calculation.","We considered Saleable area of Commercial as per Builder area Sheet."))</f>
        <v>We have considered Saleable area of Commercial as per our Calculation.</v>
      </c>
      <c r="C231" s="105"/>
      <c r="D231" s="105"/>
      <c r="E231" s="105"/>
      <c r="F231" s="105"/>
      <c r="G231" s="105"/>
      <c r="H231" s="106"/>
      <c r="T231" s="34"/>
    </row>
    <row r="232" spans="1:20" s="32" customFormat="1" x14ac:dyDescent="0.25">
      <c r="A232" s="80">
        <v>5</v>
      </c>
      <c r="B232" s="130" t="s">
        <v>116</v>
      </c>
      <c r="C232" s="131"/>
      <c r="D232" s="131"/>
      <c r="E232" s="131"/>
      <c r="F232" s="131"/>
      <c r="G232" s="131"/>
      <c r="H232" s="132"/>
      <c r="T232" s="34"/>
    </row>
    <row r="233" spans="1:20" s="32" customFormat="1" x14ac:dyDescent="0.25">
      <c r="A233" s="80">
        <v>6</v>
      </c>
      <c r="B233" s="130" t="s">
        <v>341</v>
      </c>
      <c r="C233" s="131"/>
      <c r="D233" s="131"/>
      <c r="E233" s="131"/>
      <c r="F233" s="131"/>
      <c r="G233" s="131"/>
      <c r="H233" s="132"/>
      <c r="T233" s="34"/>
    </row>
    <row r="234" spans="1:20" s="32" customFormat="1" x14ac:dyDescent="0.25">
      <c r="A234" s="80">
        <v>7</v>
      </c>
      <c r="B234" s="130" t="s">
        <v>145</v>
      </c>
      <c r="C234" s="131"/>
      <c r="D234" s="131"/>
      <c r="E234" s="131"/>
      <c r="F234" s="131"/>
      <c r="G234" s="131"/>
      <c r="H234" s="132"/>
    </row>
    <row r="235" spans="1:20" s="32" customFormat="1" x14ac:dyDescent="0.25">
      <c r="A235" s="80">
        <v>8</v>
      </c>
      <c r="B235" s="130" t="s">
        <v>117</v>
      </c>
      <c r="C235" s="131"/>
      <c r="D235" s="131"/>
      <c r="E235" s="131"/>
      <c r="F235" s="131"/>
      <c r="G235" s="131"/>
      <c r="H235" s="132"/>
    </row>
    <row r="236" spans="1:20" s="32" customFormat="1" ht="34.5" hidden="1" customHeight="1" x14ac:dyDescent="0.25">
      <c r="A236" s="80" t="s">
        <v>367</v>
      </c>
      <c r="B236" s="130" t="s">
        <v>146</v>
      </c>
      <c r="C236" s="131"/>
      <c r="D236" s="131"/>
      <c r="E236" s="131"/>
      <c r="F236" s="131"/>
      <c r="G236" s="131"/>
      <c r="H236" s="132"/>
    </row>
    <row r="237" spans="1:20" s="32" customFormat="1" x14ac:dyDescent="0.25">
      <c r="A237" s="80">
        <v>9</v>
      </c>
      <c r="B237" s="130" t="s">
        <v>118</v>
      </c>
      <c r="C237" s="131"/>
      <c r="D237" s="131"/>
      <c r="E237" s="131"/>
      <c r="F237" s="131"/>
      <c r="G237" s="131"/>
      <c r="H237" s="132"/>
    </row>
    <row r="238" spans="1:20" s="32" customFormat="1" ht="32.25" hidden="1" customHeight="1" x14ac:dyDescent="0.25">
      <c r="A238" s="80" t="s">
        <v>367</v>
      </c>
      <c r="B238" s="152" t="s">
        <v>172</v>
      </c>
      <c r="C238" s="153"/>
      <c r="D238" s="153"/>
      <c r="E238" s="153"/>
      <c r="F238" s="153"/>
      <c r="G238" s="153"/>
      <c r="H238" s="154"/>
    </row>
    <row r="239" spans="1:20" s="32" customFormat="1" hidden="1" x14ac:dyDescent="0.25">
      <c r="A239" s="80" t="s">
        <v>367</v>
      </c>
      <c r="B239" s="152" t="s">
        <v>228</v>
      </c>
      <c r="C239" s="153"/>
      <c r="D239" s="153"/>
      <c r="E239" s="153"/>
      <c r="F239" s="153"/>
      <c r="G239" s="153"/>
      <c r="H239" s="154"/>
    </row>
    <row r="240" spans="1:20" s="32" customFormat="1" x14ac:dyDescent="0.25">
      <c r="A240" s="80">
        <v>10</v>
      </c>
      <c r="B240" s="130" t="s">
        <v>352</v>
      </c>
      <c r="C240" s="131"/>
      <c r="D240" s="131"/>
      <c r="E240" s="131"/>
      <c r="F240" s="131"/>
      <c r="G240" s="131"/>
      <c r="H240" s="132"/>
      <c r="I240" s="32" t="s">
        <v>366</v>
      </c>
    </row>
    <row r="241" spans="1:20" s="32" customFormat="1" ht="47.25" customHeight="1" x14ac:dyDescent="0.25">
      <c r="A241" s="88">
        <v>11</v>
      </c>
      <c r="B241" s="146" t="s">
        <v>353</v>
      </c>
      <c r="C241" s="146"/>
      <c r="D241" s="146"/>
      <c r="E241" s="146"/>
      <c r="F241" s="146"/>
      <c r="G241" s="146"/>
      <c r="H241" s="146"/>
      <c r="I241" s="32">
        <f>13.19*10.764</f>
        <v>141.97716</v>
      </c>
    </row>
    <row r="242" spans="1:20" s="32" customFormat="1" ht="33.75" customHeight="1" x14ac:dyDescent="0.25">
      <c r="A242" s="88">
        <v>12</v>
      </c>
      <c r="B242" s="146" t="s">
        <v>356</v>
      </c>
      <c r="C242" s="146"/>
      <c r="D242" s="146"/>
      <c r="E242" s="146"/>
      <c r="F242" s="146"/>
      <c r="G242" s="146"/>
      <c r="H242" s="146"/>
      <c r="I242" s="32">
        <f>13.19*10.764</f>
        <v>141.97716</v>
      </c>
    </row>
    <row r="243" spans="1:20" s="32" customFormat="1" x14ac:dyDescent="0.25">
      <c r="A243" s="88">
        <v>13</v>
      </c>
      <c r="B243" s="146" t="s">
        <v>355</v>
      </c>
      <c r="C243" s="146"/>
      <c r="D243" s="146"/>
      <c r="E243" s="146"/>
      <c r="F243" s="146"/>
      <c r="G243" s="146"/>
      <c r="H243" s="146"/>
      <c r="I243" s="32">
        <f>13.19*10.764</f>
        <v>141.97716</v>
      </c>
    </row>
    <row r="244" spans="1:20" x14ac:dyDescent="0.25">
      <c r="A244" s="220" t="s">
        <v>58</v>
      </c>
      <c r="B244" s="220"/>
      <c r="C244" s="220"/>
      <c r="D244" s="220"/>
      <c r="E244" s="220"/>
      <c r="F244" s="220"/>
      <c r="G244" s="220"/>
      <c r="H244" s="220"/>
      <c r="T244" s="32"/>
    </row>
    <row r="245" spans="1:20" x14ac:dyDescent="0.25">
      <c r="A245" s="147" t="s">
        <v>59</v>
      </c>
      <c r="B245" s="147"/>
      <c r="C245" s="147"/>
      <c r="D245" s="147"/>
      <c r="E245" s="147"/>
      <c r="F245" s="147"/>
      <c r="G245" s="147"/>
      <c r="H245" s="147"/>
      <c r="T245" s="32"/>
    </row>
    <row r="246" spans="1:20" ht="15.75" customHeight="1" x14ac:dyDescent="0.25">
      <c r="A246" s="226" t="s">
        <v>60</v>
      </c>
      <c r="B246" s="226"/>
      <c r="C246" s="226"/>
      <c r="D246" s="226"/>
      <c r="E246" s="226"/>
      <c r="F246" s="226"/>
      <c r="G246" s="226"/>
      <c r="H246" s="226"/>
      <c r="T246" s="32"/>
    </row>
    <row r="247" spans="1:20" x14ac:dyDescent="0.25">
      <c r="A247" s="147" t="s">
        <v>61</v>
      </c>
      <c r="B247" s="147"/>
      <c r="C247" s="147"/>
      <c r="D247" s="147"/>
      <c r="E247" s="147"/>
      <c r="F247" s="147"/>
      <c r="G247" s="147"/>
      <c r="H247" s="147"/>
      <c r="T247" s="32"/>
    </row>
    <row r="248" spans="1:20" x14ac:dyDescent="0.25">
      <c r="A248" s="147" t="s">
        <v>62</v>
      </c>
      <c r="B248" s="147"/>
      <c r="C248" s="147"/>
      <c r="D248" s="147"/>
      <c r="E248" s="147"/>
      <c r="F248" s="147"/>
      <c r="G248" s="147"/>
      <c r="H248" s="147"/>
      <c r="T248" s="32"/>
    </row>
    <row r="249" spans="1:20" x14ac:dyDescent="0.25">
      <c r="A249" s="147" t="s">
        <v>119</v>
      </c>
      <c r="B249" s="147"/>
      <c r="C249" s="147"/>
      <c r="D249" s="147"/>
      <c r="E249" s="147"/>
      <c r="F249" s="147"/>
      <c r="G249" s="147"/>
      <c r="H249" s="147"/>
      <c r="T249" s="32"/>
    </row>
    <row r="250" spans="1:20" ht="33.950000000000003" customHeight="1" x14ac:dyDescent="0.25">
      <c r="A250" s="205" t="s">
        <v>120</v>
      </c>
      <c r="B250" s="205"/>
      <c r="C250" s="205"/>
      <c r="D250" s="205"/>
      <c r="E250" s="205"/>
      <c r="F250" s="205"/>
      <c r="G250" s="205"/>
      <c r="H250" s="205"/>
    </row>
    <row r="251" spans="1:20" x14ac:dyDescent="0.25">
      <c r="A251" s="218" t="s">
        <v>74</v>
      </c>
      <c r="B251" s="218"/>
      <c r="C251" s="218" t="s">
        <v>301</v>
      </c>
      <c r="D251" s="218"/>
      <c r="E251" s="218" t="s">
        <v>102</v>
      </c>
      <c r="F251" s="218"/>
      <c r="G251" s="218" t="s">
        <v>374</v>
      </c>
      <c r="H251" s="218"/>
    </row>
    <row r="252" spans="1:20" x14ac:dyDescent="0.25">
      <c r="A252" s="217" t="s">
        <v>76</v>
      </c>
      <c r="B252" s="217"/>
      <c r="C252" s="217"/>
      <c r="D252" s="217"/>
      <c r="E252" s="217"/>
      <c r="F252" s="217"/>
      <c r="G252" s="217"/>
      <c r="H252" s="217"/>
    </row>
    <row r="253" spans="1:20" x14ac:dyDescent="0.25">
      <c r="A253" s="217"/>
      <c r="B253" s="217"/>
      <c r="C253" s="217"/>
      <c r="D253" s="217"/>
      <c r="E253" s="217"/>
      <c r="F253" s="217"/>
      <c r="G253" s="217"/>
      <c r="H253" s="217"/>
    </row>
    <row r="254" spans="1:20" x14ac:dyDescent="0.25">
      <c r="A254" s="217"/>
      <c r="B254" s="217"/>
      <c r="C254" s="217"/>
      <c r="D254" s="217"/>
      <c r="E254" s="217"/>
      <c r="F254" s="217"/>
      <c r="G254" s="217"/>
      <c r="H254" s="217"/>
    </row>
    <row r="255" spans="1:20" x14ac:dyDescent="0.25">
      <c r="A255" s="217"/>
      <c r="B255" s="217"/>
      <c r="C255" s="217"/>
      <c r="D255" s="217"/>
      <c r="E255" s="217"/>
      <c r="F255" s="217"/>
      <c r="G255" s="217"/>
      <c r="H255" s="217"/>
    </row>
    <row r="256" spans="1:20" x14ac:dyDescent="0.25">
      <c r="A256" s="35" t="s">
        <v>63</v>
      </c>
      <c r="B256" s="36"/>
      <c r="C256" s="36"/>
      <c r="D256" s="35" t="str">
        <f>E9</f>
        <v>Kailash Complex Phase 1 &amp; 2</v>
      </c>
      <c r="F256" s="36"/>
      <c r="G256" s="36"/>
      <c r="H256" s="36"/>
    </row>
    <row r="257" spans="1:8" x14ac:dyDescent="0.25">
      <c r="A257" s="36"/>
      <c r="B257" s="36"/>
      <c r="C257" s="36"/>
      <c r="D257" s="36"/>
      <c r="E257" s="36"/>
      <c r="F257" s="36"/>
      <c r="G257" s="36"/>
      <c r="H257" s="36"/>
    </row>
    <row r="258" spans="1:8" x14ac:dyDescent="0.25">
      <c r="A258" s="36"/>
      <c r="B258" s="36"/>
      <c r="C258" s="36"/>
      <c r="D258" s="36"/>
      <c r="E258" s="36"/>
      <c r="F258" s="36"/>
      <c r="G258" s="36"/>
      <c r="H258" s="36"/>
    </row>
    <row r="259" spans="1:8" ht="15" customHeight="1" x14ac:dyDescent="0.25"/>
    <row r="299" spans="1:1" x14ac:dyDescent="0.25">
      <c r="A299" s="38" t="s">
        <v>357</v>
      </c>
    </row>
    <row r="342" spans="1:1" x14ac:dyDescent="0.25">
      <c r="A342" s="38" t="s">
        <v>156</v>
      </c>
    </row>
    <row r="385" spans="1:1" x14ac:dyDescent="0.25">
      <c r="A385" s="38" t="s">
        <v>64</v>
      </c>
    </row>
  </sheetData>
  <mergeCells count="429">
    <mergeCell ref="G107:H107"/>
    <mergeCell ref="A108:B108"/>
    <mergeCell ref="E108:F117"/>
    <mergeCell ref="G108:H117"/>
    <mergeCell ref="A109:B109"/>
    <mergeCell ref="A110:B110"/>
    <mergeCell ref="A111:B111"/>
    <mergeCell ref="A112:B112"/>
    <mergeCell ref="A113:B113"/>
    <mergeCell ref="A114:B114"/>
    <mergeCell ref="A115:B115"/>
    <mergeCell ref="A116:B116"/>
    <mergeCell ref="A117:B117"/>
    <mergeCell ref="B240:H240"/>
    <mergeCell ref="B241:H241"/>
    <mergeCell ref="B242:H242"/>
    <mergeCell ref="L185:M185"/>
    <mergeCell ref="A190:H190"/>
    <mergeCell ref="A179:H179"/>
    <mergeCell ref="I15:P15"/>
    <mergeCell ref="F158:H158"/>
    <mergeCell ref="F156:H156"/>
    <mergeCell ref="A199:B199"/>
    <mergeCell ref="A175:H175"/>
    <mergeCell ref="G162:H162"/>
    <mergeCell ref="A157:E157"/>
    <mergeCell ref="A182:B182"/>
    <mergeCell ref="A60:B60"/>
    <mergeCell ref="C60:E60"/>
    <mergeCell ref="D62:H62"/>
    <mergeCell ref="F157:H157"/>
    <mergeCell ref="E162:F162"/>
    <mergeCell ref="A162:B162"/>
    <mergeCell ref="A164:B164"/>
    <mergeCell ref="C167:D167"/>
    <mergeCell ref="D72:H72"/>
    <mergeCell ref="A73:C73"/>
    <mergeCell ref="E43:H43"/>
    <mergeCell ref="A43:D43"/>
    <mergeCell ref="A50:B50"/>
    <mergeCell ref="C50:E50"/>
    <mergeCell ref="G50:H50"/>
    <mergeCell ref="G52:H52"/>
    <mergeCell ref="A51:B51"/>
    <mergeCell ref="A61:H61"/>
    <mergeCell ref="A62:C62"/>
    <mergeCell ref="G51:H51"/>
    <mergeCell ref="A52:B53"/>
    <mergeCell ref="D63:H63"/>
    <mergeCell ref="G60:H60"/>
    <mergeCell ref="A54:B55"/>
    <mergeCell ref="C54:E54"/>
    <mergeCell ref="G54:H54"/>
    <mergeCell ref="A56:B57"/>
    <mergeCell ref="C56:E56"/>
    <mergeCell ref="G56:H56"/>
    <mergeCell ref="A58:B59"/>
    <mergeCell ref="C58:E58"/>
    <mergeCell ref="G58:H58"/>
    <mergeCell ref="D65:H65"/>
    <mergeCell ref="D66:H66"/>
    <mergeCell ref="C51:E51"/>
    <mergeCell ref="A249:H249"/>
    <mergeCell ref="A246:H246"/>
    <mergeCell ref="A167:B167"/>
    <mergeCell ref="D187:D188"/>
    <mergeCell ref="E187:E188"/>
    <mergeCell ref="A98:B98"/>
    <mergeCell ref="A99:B99"/>
    <mergeCell ref="A100:B100"/>
    <mergeCell ref="A144:B144"/>
    <mergeCell ref="F149:H149"/>
    <mergeCell ref="G163:H163"/>
    <mergeCell ref="A147:B147"/>
    <mergeCell ref="F155:H155"/>
    <mergeCell ref="C162:D162"/>
    <mergeCell ref="C172:D172"/>
    <mergeCell ref="A191:H191"/>
    <mergeCell ref="A90:B90"/>
    <mergeCell ref="C90:H90"/>
    <mergeCell ref="A85:B85"/>
    <mergeCell ref="A185:B185"/>
    <mergeCell ref="A63:C63"/>
    <mergeCell ref="B238:H238"/>
    <mergeCell ref="A173:B173"/>
    <mergeCell ref="C173:D173"/>
    <mergeCell ref="E173:F173"/>
    <mergeCell ref="B237:H237"/>
    <mergeCell ref="B235:H235"/>
    <mergeCell ref="B231:H231"/>
    <mergeCell ref="B228:H228"/>
    <mergeCell ref="B230:H230"/>
    <mergeCell ref="B232:H232"/>
    <mergeCell ref="B233:H233"/>
    <mergeCell ref="A227:H227"/>
    <mergeCell ref="A224:B224"/>
    <mergeCell ref="A225:B225"/>
    <mergeCell ref="A203:B203"/>
    <mergeCell ref="A204:B204"/>
    <mergeCell ref="A213:B213"/>
    <mergeCell ref="A214:B214"/>
    <mergeCell ref="A201:B201"/>
    <mergeCell ref="A198:B198"/>
    <mergeCell ref="A210:B210"/>
    <mergeCell ref="A211:B211"/>
    <mergeCell ref="A212:B212"/>
    <mergeCell ref="A218:H218"/>
    <mergeCell ref="A252:H255"/>
    <mergeCell ref="A251:B251"/>
    <mergeCell ref="E251:F251"/>
    <mergeCell ref="C251:D251"/>
    <mergeCell ref="G251:H251"/>
    <mergeCell ref="A161:H161"/>
    <mergeCell ref="A159:E159"/>
    <mergeCell ref="F159:H159"/>
    <mergeCell ref="A160:E160"/>
    <mergeCell ref="F160:H160"/>
    <mergeCell ref="A170:B170"/>
    <mergeCell ref="A200:B200"/>
    <mergeCell ref="A163:B163"/>
    <mergeCell ref="A247:H247"/>
    <mergeCell ref="A166:H166"/>
    <mergeCell ref="A250:H250"/>
    <mergeCell ref="A248:H248"/>
    <mergeCell ref="A244:H244"/>
    <mergeCell ref="G167:H167"/>
    <mergeCell ref="A202:B202"/>
    <mergeCell ref="C176:C177"/>
    <mergeCell ref="B187:B188"/>
    <mergeCell ref="A197:H197"/>
    <mergeCell ref="A192:B192"/>
    <mergeCell ref="A245:H245"/>
    <mergeCell ref="A77:B77"/>
    <mergeCell ref="A75:B75"/>
    <mergeCell ref="C75:H75"/>
    <mergeCell ref="A84:B84"/>
    <mergeCell ref="A70:C70"/>
    <mergeCell ref="D70:H70"/>
    <mergeCell ref="C77:H77"/>
    <mergeCell ref="A81:B81"/>
    <mergeCell ref="A83:B83"/>
    <mergeCell ref="E79:F79"/>
    <mergeCell ref="A71:C71"/>
    <mergeCell ref="D71:H71"/>
    <mergeCell ref="A74:C74"/>
    <mergeCell ref="D74:H74"/>
    <mergeCell ref="A72:C72"/>
    <mergeCell ref="D73:H73"/>
    <mergeCell ref="A80:B80"/>
    <mergeCell ref="G79:H79"/>
    <mergeCell ref="B234:H234"/>
    <mergeCell ref="A96:B96"/>
    <mergeCell ref="A97:B97"/>
    <mergeCell ref="F150:H150"/>
    <mergeCell ref="A150:E15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35:B35"/>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A92:B92"/>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45:D45"/>
    <mergeCell ref="A38:H38"/>
    <mergeCell ref="A37:B37"/>
    <mergeCell ref="C37:E37"/>
    <mergeCell ref="G138:H147"/>
    <mergeCell ref="A42:D42"/>
    <mergeCell ref="E42:H42"/>
    <mergeCell ref="A41:H41"/>
    <mergeCell ref="A68:C68"/>
    <mergeCell ref="A69:C69"/>
    <mergeCell ref="D68:H68"/>
    <mergeCell ref="E80:F89"/>
    <mergeCell ref="G80:H89"/>
    <mergeCell ref="A88:B88"/>
    <mergeCell ref="A89:B89"/>
    <mergeCell ref="D69:H69"/>
    <mergeCell ref="A44:D44"/>
    <mergeCell ref="E44:H44"/>
    <mergeCell ref="E45:H45"/>
    <mergeCell ref="E46:H46"/>
    <mergeCell ref="A93:B93"/>
    <mergeCell ref="E47:H47"/>
    <mergeCell ref="C57:H57"/>
    <mergeCell ref="C59:H59"/>
    <mergeCell ref="A155:E155"/>
    <mergeCell ref="A39:B39"/>
    <mergeCell ref="C39:H39"/>
    <mergeCell ref="A46:D46"/>
    <mergeCell ref="L184:M184"/>
    <mergeCell ref="L183:M183"/>
    <mergeCell ref="L182:M182"/>
    <mergeCell ref="L181:M181"/>
    <mergeCell ref="A87:B87"/>
    <mergeCell ref="C170:D170"/>
    <mergeCell ref="E170:F170"/>
    <mergeCell ref="G170:H170"/>
    <mergeCell ref="A149:E149"/>
    <mergeCell ref="A134:B134"/>
    <mergeCell ref="C134:H134"/>
    <mergeCell ref="A180:H180"/>
    <mergeCell ref="E176:E177"/>
    <mergeCell ref="A94:B94"/>
    <mergeCell ref="A47:D47"/>
    <mergeCell ref="A48:H48"/>
    <mergeCell ref="D64:H64"/>
    <mergeCell ref="A64:C64"/>
    <mergeCell ref="A86:B86"/>
    <mergeCell ref="C92:H92"/>
    <mergeCell ref="A65:C67"/>
    <mergeCell ref="L192:M192"/>
    <mergeCell ref="A193:B193"/>
    <mergeCell ref="G173:H173"/>
    <mergeCell ref="L193:M193"/>
    <mergeCell ref="C55:H55"/>
    <mergeCell ref="A79:B79"/>
    <mergeCell ref="A49:B49"/>
    <mergeCell ref="C49:H49"/>
    <mergeCell ref="A139:B139"/>
    <mergeCell ref="A140:B140"/>
    <mergeCell ref="G94:H103"/>
    <mergeCell ref="A95:B95"/>
    <mergeCell ref="F187:F188"/>
    <mergeCell ref="F148:H148"/>
    <mergeCell ref="F153:H153"/>
    <mergeCell ref="A184:B184"/>
    <mergeCell ref="A183:B183"/>
    <mergeCell ref="E93:F93"/>
    <mergeCell ref="G93:H93"/>
    <mergeCell ref="A154:E154"/>
    <mergeCell ref="F154:H154"/>
    <mergeCell ref="A156:E156"/>
    <mergeCell ref="F151:H151"/>
    <mergeCell ref="E107:F107"/>
    <mergeCell ref="D176:D177"/>
    <mergeCell ref="A152:E152"/>
    <mergeCell ref="A143:B143"/>
    <mergeCell ref="A145:B145"/>
    <mergeCell ref="A40:B40"/>
    <mergeCell ref="C40:H40"/>
    <mergeCell ref="F176:F177"/>
    <mergeCell ref="C163:D163"/>
    <mergeCell ref="E163:F163"/>
    <mergeCell ref="B176:B177"/>
    <mergeCell ref="A176:A177"/>
    <mergeCell ref="A141:B141"/>
    <mergeCell ref="A142:B142"/>
    <mergeCell ref="E94:F103"/>
    <mergeCell ref="A101:B101"/>
    <mergeCell ref="A102:B102"/>
    <mergeCell ref="E137:F137"/>
    <mergeCell ref="E138:F147"/>
    <mergeCell ref="E167:F167"/>
    <mergeCell ref="A174:H174"/>
    <mergeCell ref="C53:H53"/>
    <mergeCell ref="D67:H67"/>
    <mergeCell ref="C52:E52"/>
    <mergeCell ref="A153:E153"/>
    <mergeCell ref="A103:B103"/>
    <mergeCell ref="A138:B138"/>
    <mergeCell ref="A172:B172"/>
    <mergeCell ref="E172:F172"/>
    <mergeCell ref="C136:H136"/>
    <mergeCell ref="A137:B137"/>
    <mergeCell ref="A158:E158"/>
    <mergeCell ref="G172:H172"/>
    <mergeCell ref="C164:D164"/>
    <mergeCell ref="E164:F164"/>
    <mergeCell ref="G164:H164"/>
    <mergeCell ref="A165:B165"/>
    <mergeCell ref="C165:D165"/>
    <mergeCell ref="E165:F165"/>
    <mergeCell ref="G165:H165"/>
    <mergeCell ref="A171:B171"/>
    <mergeCell ref="C171:D171"/>
    <mergeCell ref="E171:F171"/>
    <mergeCell ref="A104:B104"/>
    <mergeCell ref="C104:H104"/>
    <mergeCell ref="A106:B106"/>
    <mergeCell ref="C106:H106"/>
    <mergeCell ref="A107:B107"/>
    <mergeCell ref="A181:B181"/>
    <mergeCell ref="B243:H243"/>
    <mergeCell ref="A215:B215"/>
    <mergeCell ref="A216:B216"/>
    <mergeCell ref="A217:B217"/>
    <mergeCell ref="A226:B226"/>
    <mergeCell ref="A136:B136"/>
    <mergeCell ref="G176:G177"/>
    <mergeCell ref="A82:B82"/>
    <mergeCell ref="A146:B146"/>
    <mergeCell ref="A151:E151"/>
    <mergeCell ref="A148:E148"/>
    <mergeCell ref="F152:H152"/>
    <mergeCell ref="G137:H137"/>
    <mergeCell ref="G171:H171"/>
    <mergeCell ref="A168:B168"/>
    <mergeCell ref="C168:D168"/>
    <mergeCell ref="E168:F168"/>
    <mergeCell ref="G168:H168"/>
    <mergeCell ref="A169:B169"/>
    <mergeCell ref="C169:D169"/>
    <mergeCell ref="E169:F169"/>
    <mergeCell ref="G169:H169"/>
    <mergeCell ref="B239:H239"/>
    <mergeCell ref="A128:B128"/>
    <mergeCell ref="A129:B129"/>
    <mergeCell ref="A130:B130"/>
    <mergeCell ref="A131:B131"/>
    <mergeCell ref="A178:H178"/>
    <mergeCell ref="A189:H189"/>
    <mergeCell ref="A194:H194"/>
    <mergeCell ref="B236:H236"/>
    <mergeCell ref="A195:H195"/>
    <mergeCell ref="A196:H196"/>
    <mergeCell ref="A205:H205"/>
    <mergeCell ref="A206:H206"/>
    <mergeCell ref="A207:H207"/>
    <mergeCell ref="A208:B208"/>
    <mergeCell ref="A209:B209"/>
    <mergeCell ref="A219:H219"/>
    <mergeCell ref="A220:H220"/>
    <mergeCell ref="A221:B221"/>
    <mergeCell ref="A222:B222"/>
    <mergeCell ref="A223:B223"/>
    <mergeCell ref="C187:C188"/>
    <mergeCell ref="G187:G188"/>
    <mergeCell ref="A186:H186"/>
    <mergeCell ref="A187:A188"/>
    <mergeCell ref="A78:B78"/>
    <mergeCell ref="C78:D78"/>
    <mergeCell ref="E78:F78"/>
    <mergeCell ref="G78:H78"/>
    <mergeCell ref="A132:B133"/>
    <mergeCell ref="C132:D133"/>
    <mergeCell ref="E132:F133"/>
    <mergeCell ref="G132:H133"/>
    <mergeCell ref="B229:H229"/>
    <mergeCell ref="A118:B118"/>
    <mergeCell ref="C118:H118"/>
    <mergeCell ref="A120:B120"/>
    <mergeCell ref="C120:H120"/>
    <mergeCell ref="A121:B121"/>
    <mergeCell ref="E121:F121"/>
    <mergeCell ref="G121:H121"/>
    <mergeCell ref="A122:B122"/>
    <mergeCell ref="E122:F131"/>
    <mergeCell ref="G122:H131"/>
    <mergeCell ref="A123:B123"/>
    <mergeCell ref="A124:B124"/>
    <mergeCell ref="A125:B125"/>
    <mergeCell ref="A126:B126"/>
    <mergeCell ref="A127:B127"/>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76:E177">
      <formula1>"Attached Loft area,Attached Otla area,Attached Mezzanine area"</formula1>
    </dataValidation>
    <dataValidation type="list" allowBlank="1" showInputMessage="1" showErrorMessage="1" sqref="G251:H251">
      <formula1>"Kunal Kadam,Pranita Mhatre,Shruti Fule,Pooja Kawale,Neha Dhokale,Shruti Tathare, Hitakshi Mhatre, Sachin Sawant"</formula1>
    </dataValidation>
    <dataValidation type="list" allowBlank="1" showInputMessage="1" showErrorMessage="1" sqref="F148:H148">
      <formula1>"On Saleable Area,On Builtup Area,On Carpet Area,On Plot Area"</formula1>
    </dataValidation>
    <dataValidation type="list" allowBlank="1" showInputMessage="1" showErrorMessage="1" sqref="F159:H159">
      <formula1>OFFSET($S$148,1,MATCH($G20,$S$148:$W$148,0)-1,15,1)</formula1>
    </dataValidation>
    <dataValidation type="list" allowBlank="1" showInputMessage="1" showErrorMessage="1" sqref="B176:B177">
      <formula1>"Shop No. (Sale Plan),Sale / Rehab,Sale / Mhada"</formula1>
    </dataValidation>
    <dataValidation type="list" allowBlank="1" showInputMessage="1" showErrorMessage="1" sqref="B187:B188">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87:E188">
      <formula1>"Fungible area,Balcony Area,Chajja Area,Cornice Area,AP Area,WS Area"</formula1>
    </dataValidation>
    <dataValidation type="list" allowBlank="1" showInputMessage="1" showErrorMessage="1" sqref="H177 H188">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5">
      <formula1>0</formula1>
      <formula2>H76</formula2>
    </dataValidation>
    <dataValidation type="list" allowBlank="1" showInputMessage="1" showErrorMessage="1" sqref="H176 H187">
      <formula1>"Saleable area Loading :,Builder Saleable Area"</formula1>
    </dataValidation>
    <dataValidation type="list" allowBlank="1" showInputMessage="1" showErrorMessage="1" sqref="D176:D177 D187:D188">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5" manualBreakCount="5">
    <brk id="89" max="16383" man="1"/>
    <brk id="255" max="16383" man="1"/>
    <brk id="298" max="7" man="1"/>
    <brk id="341" max="16383" man="1"/>
    <brk id="384"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50" t="s">
        <v>103</v>
      </c>
      <c r="C3" s="250"/>
      <c r="D3" s="250"/>
      <c r="E3" s="250"/>
      <c r="F3" s="250"/>
      <c r="G3" s="250"/>
      <c r="H3" s="250"/>
    </row>
    <row r="4" spans="1:9" x14ac:dyDescent="0.25">
      <c r="A4" s="2"/>
      <c r="B4" s="3" t="s">
        <v>104</v>
      </c>
      <c r="C4" s="3" t="s">
        <v>105</v>
      </c>
      <c r="D4" s="3" t="s">
        <v>66</v>
      </c>
      <c r="E4" s="3" t="s">
        <v>106</v>
      </c>
      <c r="F4" s="3" t="s">
        <v>112</v>
      </c>
      <c r="G4" s="3" t="s">
        <v>113</v>
      </c>
      <c r="H4" s="3" t="s">
        <v>107</v>
      </c>
    </row>
    <row r="5" spans="1:9" ht="15" customHeight="1" x14ac:dyDescent="0.25">
      <c r="A5" s="2"/>
      <c r="B5" s="5" t="s">
        <v>108</v>
      </c>
      <c r="C5" s="6"/>
      <c r="D5" s="5"/>
      <c r="E5" s="5"/>
      <c r="F5" s="7">
        <f>E5*1.6</f>
        <v>0</v>
      </c>
      <c r="G5" s="7" t="e">
        <f>H5/F5</f>
        <v>#DIV/0!</v>
      </c>
      <c r="H5" s="8"/>
    </row>
    <row r="6" spans="1:9" x14ac:dyDescent="0.25">
      <c r="A6" s="2"/>
      <c r="B6" s="5" t="s">
        <v>108</v>
      </c>
      <c r="C6" s="9"/>
      <c r="D6" s="5"/>
      <c r="E6" s="5"/>
      <c r="F6" s="7">
        <f t="shared" ref="F6:F11" si="0">E6*1.6</f>
        <v>0</v>
      </c>
      <c r="G6" s="7" t="e">
        <f t="shared" ref="G6:G11" si="1">H6/F6</f>
        <v>#DIV/0!</v>
      </c>
      <c r="H6" s="8"/>
    </row>
    <row r="7" spans="1:9" ht="15" customHeight="1" x14ac:dyDescent="0.25">
      <c r="A7" s="2"/>
      <c r="B7" s="5" t="s">
        <v>108</v>
      </c>
      <c r="C7" s="6"/>
      <c r="D7" s="5"/>
      <c r="E7" s="5"/>
      <c r="F7" s="7">
        <f t="shared" si="0"/>
        <v>0</v>
      </c>
      <c r="G7" s="7" t="e">
        <f t="shared" si="1"/>
        <v>#DIV/0!</v>
      </c>
      <c r="H7" s="8"/>
    </row>
    <row r="8" spans="1:9" x14ac:dyDescent="0.25">
      <c r="A8" s="2"/>
      <c r="B8" s="5" t="s">
        <v>108</v>
      </c>
      <c r="C8" s="9"/>
      <c r="D8" s="5"/>
      <c r="E8" s="5"/>
      <c r="F8" s="7">
        <f t="shared" si="0"/>
        <v>0</v>
      </c>
      <c r="G8" s="7" t="e">
        <f t="shared" si="1"/>
        <v>#DIV/0!</v>
      </c>
      <c r="H8" s="8"/>
    </row>
    <row r="9" spans="1:9" ht="15" customHeight="1" x14ac:dyDescent="0.25">
      <c r="A9" s="2"/>
      <c r="B9" s="5" t="s">
        <v>108</v>
      </c>
      <c r="C9" s="9"/>
      <c r="D9" s="5"/>
      <c r="E9" s="5"/>
      <c r="F9" s="7">
        <f t="shared" si="0"/>
        <v>0</v>
      </c>
      <c r="G9" s="7" t="e">
        <f t="shared" si="1"/>
        <v>#DIV/0!</v>
      </c>
      <c r="H9" s="8"/>
    </row>
    <row r="10" spans="1:9" ht="15" customHeight="1" x14ac:dyDescent="0.25">
      <c r="A10" s="2"/>
      <c r="B10" s="5" t="s">
        <v>109</v>
      </c>
      <c r="C10" s="6"/>
      <c r="D10" s="5"/>
      <c r="E10" s="5"/>
      <c r="F10" s="7">
        <f t="shared" si="0"/>
        <v>0</v>
      </c>
      <c r="G10" s="7" t="e">
        <f t="shared" si="1"/>
        <v>#DIV/0!</v>
      </c>
      <c r="H10" s="8"/>
    </row>
    <row r="11" spans="1:9" ht="15" customHeight="1" x14ac:dyDescent="0.25">
      <c r="A11" s="2"/>
      <c r="B11" s="5" t="s">
        <v>109</v>
      </c>
      <c r="C11" s="6"/>
      <c r="D11" s="5"/>
      <c r="E11" s="5"/>
      <c r="F11" s="7">
        <f t="shared" si="0"/>
        <v>0</v>
      </c>
      <c r="G11" s="7" t="e">
        <f t="shared" si="1"/>
        <v>#DIV/0!</v>
      </c>
      <c r="H11" s="8"/>
    </row>
    <row r="12" spans="1:9" ht="15" customHeight="1" x14ac:dyDescent="0.25">
      <c r="A12" s="2"/>
      <c r="B12" s="10" t="s">
        <v>110</v>
      </c>
      <c r="C12" s="5"/>
      <c r="D12" s="5"/>
      <c r="E12" s="5"/>
      <c r="F12" s="5"/>
      <c r="G12" s="11" t="e">
        <f>AVERAGE(G5:G11)</f>
        <v>#DIV/0!</v>
      </c>
      <c r="H12" s="5"/>
    </row>
    <row r="13" spans="1:9" ht="15" customHeight="1" x14ac:dyDescent="0.25">
      <c r="B13" s="10" t="s">
        <v>111</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3" zoomScale="85" zoomScaleNormal="85" workbookViewId="0">
      <selection activeCell="M15" sqref="M15"/>
    </sheetView>
  </sheetViews>
  <sheetFormatPr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7"/>
      <c r="C4" s="47" t="s">
        <v>11</v>
      </c>
      <c r="D4" s="48" t="s">
        <v>173</v>
      </c>
      <c r="E4" s="48" t="s">
        <v>183</v>
      </c>
      <c r="F4" s="48" t="s">
        <v>166</v>
      </c>
      <c r="G4" s="48" t="s">
        <v>188</v>
      </c>
      <c r="H4" s="48" t="s">
        <v>206</v>
      </c>
      <c r="J4" t="s">
        <v>188</v>
      </c>
      <c r="K4" t="s">
        <v>204</v>
      </c>
    </row>
    <row r="5" spans="2:11" x14ac:dyDescent="0.25">
      <c r="B5" s="47"/>
      <c r="C5" s="47"/>
      <c r="D5" s="48" t="s">
        <v>174</v>
      </c>
      <c r="E5" s="48" t="s">
        <v>181</v>
      </c>
      <c r="F5" s="48" t="s">
        <v>203</v>
      </c>
      <c r="G5" s="48" t="s">
        <v>189</v>
      </c>
      <c r="H5" s="48" t="s">
        <v>207</v>
      </c>
    </row>
    <row r="6" spans="2:11" x14ac:dyDescent="0.25">
      <c r="B6" s="47"/>
      <c r="C6" s="47"/>
      <c r="D6" s="48" t="s">
        <v>175</v>
      </c>
      <c r="E6" s="48" t="s">
        <v>182</v>
      </c>
      <c r="F6" s="48" t="s">
        <v>204</v>
      </c>
      <c r="G6" s="48" t="s">
        <v>190</v>
      </c>
      <c r="H6" s="48" t="s">
        <v>220</v>
      </c>
    </row>
    <row r="7" spans="2:11" x14ac:dyDescent="0.25">
      <c r="B7" s="47"/>
      <c r="C7" s="47"/>
      <c r="D7" s="48" t="s">
        <v>176</v>
      </c>
      <c r="E7" s="48" t="s">
        <v>184</v>
      </c>
      <c r="F7" s="48" t="s">
        <v>205</v>
      </c>
      <c r="G7" s="48" t="s">
        <v>191</v>
      </c>
      <c r="H7" s="48" t="s">
        <v>208</v>
      </c>
    </row>
    <row r="8" spans="2:11" x14ac:dyDescent="0.25">
      <c r="B8" s="47"/>
      <c r="C8" s="47"/>
      <c r="D8" s="48" t="s">
        <v>177</v>
      </c>
      <c r="E8" s="48" t="s">
        <v>185</v>
      </c>
      <c r="F8" s="48"/>
      <c r="G8" s="48" t="s">
        <v>192</v>
      </c>
      <c r="H8" s="48" t="s">
        <v>209</v>
      </c>
    </row>
    <row r="9" spans="2:11" x14ac:dyDescent="0.25">
      <c r="B9" s="47"/>
      <c r="C9" s="47"/>
      <c r="D9" s="48" t="s">
        <v>178</v>
      </c>
      <c r="E9" s="48" t="s">
        <v>183</v>
      </c>
      <c r="F9" s="48"/>
      <c r="G9" s="48" t="s">
        <v>193</v>
      </c>
      <c r="H9" s="48" t="s">
        <v>210</v>
      </c>
    </row>
    <row r="10" spans="2:11" x14ac:dyDescent="0.25">
      <c r="B10" s="47"/>
      <c r="C10" s="47"/>
      <c r="D10" s="48" t="s">
        <v>179</v>
      </c>
      <c r="E10" s="48" t="s">
        <v>186</v>
      </c>
      <c r="F10" s="48"/>
      <c r="G10" s="48" t="s">
        <v>194</v>
      </c>
      <c r="H10" s="48" t="s">
        <v>211</v>
      </c>
    </row>
    <row r="11" spans="2:11" x14ac:dyDescent="0.25">
      <c r="B11" s="47"/>
      <c r="C11" s="47"/>
      <c r="D11" s="48" t="s">
        <v>180</v>
      </c>
      <c r="E11" s="48" t="s">
        <v>187</v>
      </c>
      <c r="F11" s="48"/>
      <c r="G11" s="48" t="s">
        <v>195</v>
      </c>
      <c r="H11" s="48" t="s">
        <v>212</v>
      </c>
    </row>
    <row r="12" spans="2:11" x14ac:dyDescent="0.25">
      <c r="B12" s="47"/>
      <c r="C12" s="47"/>
      <c r="D12" s="48"/>
      <c r="E12" s="48"/>
      <c r="F12" s="48"/>
      <c r="G12" s="48" t="s">
        <v>196</v>
      </c>
      <c r="H12" s="48" t="s">
        <v>213</v>
      </c>
    </row>
    <row r="13" spans="2:11" x14ac:dyDescent="0.25">
      <c r="B13" s="47"/>
      <c r="C13" s="47"/>
      <c r="D13" s="48"/>
      <c r="E13" s="48"/>
      <c r="F13" s="48"/>
      <c r="G13" s="48" t="s">
        <v>197</v>
      </c>
      <c r="H13" s="48" t="s">
        <v>214</v>
      </c>
    </row>
    <row r="14" spans="2:11" x14ac:dyDescent="0.25">
      <c r="B14" s="47"/>
      <c r="C14" s="47"/>
      <c r="D14" s="48"/>
      <c r="E14" s="48"/>
      <c r="F14" s="48"/>
      <c r="G14" s="48" t="s">
        <v>198</v>
      </c>
      <c r="H14" s="48" t="s">
        <v>215</v>
      </c>
    </row>
    <row r="15" spans="2:11" x14ac:dyDescent="0.25">
      <c r="B15" s="47"/>
      <c r="C15" s="47"/>
      <c r="D15" s="48"/>
      <c r="E15" s="48"/>
      <c r="F15" s="48"/>
      <c r="G15" s="48" t="s">
        <v>199</v>
      </c>
      <c r="H15" s="48" t="s">
        <v>216</v>
      </c>
    </row>
    <row r="16" spans="2:11" x14ac:dyDescent="0.25">
      <c r="B16" s="47"/>
      <c r="C16" s="47"/>
      <c r="D16" s="48"/>
      <c r="E16" s="48"/>
      <c r="F16" s="48"/>
      <c r="G16" s="48" t="s">
        <v>200</v>
      </c>
      <c r="H16" s="48" t="s">
        <v>217</v>
      </c>
    </row>
    <row r="17" spans="2:8" x14ac:dyDescent="0.25">
      <c r="B17" s="47"/>
      <c r="C17" s="47"/>
      <c r="D17" s="48"/>
      <c r="E17" s="48"/>
      <c r="F17" s="48"/>
      <c r="G17" s="48" t="s">
        <v>201</v>
      </c>
      <c r="H17" s="48" t="s">
        <v>218</v>
      </c>
    </row>
    <row r="18" spans="2:8" x14ac:dyDescent="0.25">
      <c r="B18" s="47"/>
      <c r="C18" s="47"/>
      <c r="D18" s="48"/>
      <c r="E18" s="48"/>
      <c r="F18" s="48"/>
      <c r="G18" s="48" t="s">
        <v>202</v>
      </c>
      <c r="H18" s="48" t="s">
        <v>219</v>
      </c>
    </row>
    <row r="24" spans="2:8" x14ac:dyDescent="0.25">
      <c r="C24" t="s">
        <v>163</v>
      </c>
    </row>
    <row r="25" spans="2:8" x14ac:dyDescent="0.25">
      <c r="C25" t="s">
        <v>221</v>
      </c>
    </row>
    <row r="26" spans="2:8" x14ac:dyDescent="0.25">
      <c r="C26" t="s">
        <v>222</v>
      </c>
    </row>
    <row r="27" spans="2:8" x14ac:dyDescent="0.25">
      <c r="C27" t="s">
        <v>223</v>
      </c>
    </row>
    <row r="28" spans="2:8" x14ac:dyDescent="0.25">
      <c r="C28" t="s">
        <v>224</v>
      </c>
    </row>
    <row r="29" spans="2:8" x14ac:dyDescent="0.25">
      <c r="C29" t="s">
        <v>225</v>
      </c>
    </row>
    <row r="30" spans="2:8" x14ac:dyDescent="0.25">
      <c r="C30" t="s">
        <v>163</v>
      </c>
    </row>
    <row r="33" spans="3:11" x14ac:dyDescent="0.25">
      <c r="J33">
        <v>1</v>
      </c>
      <c r="K33">
        <v>2</v>
      </c>
    </row>
    <row r="34" spans="3:11" x14ac:dyDescent="0.25">
      <c r="C34" s="50" t="s">
        <v>232</v>
      </c>
      <c r="D34" s="48" t="s">
        <v>230</v>
      </c>
      <c r="E34" s="48" t="s">
        <v>235</v>
      </c>
      <c r="F34" s="48" t="s">
        <v>233</v>
      </c>
      <c r="G34" s="48" t="s">
        <v>234</v>
      </c>
      <c r="H34" s="48" t="s">
        <v>236</v>
      </c>
      <c r="J34" t="s">
        <v>188</v>
      </c>
      <c r="K34" t="s">
        <v>204</v>
      </c>
    </row>
    <row r="35" spans="3:11" x14ac:dyDescent="0.25">
      <c r="C35" s="47" t="s">
        <v>231</v>
      </c>
      <c r="D35" s="48" t="s">
        <v>164</v>
      </c>
      <c r="E35" s="48" t="s">
        <v>240</v>
      </c>
      <c r="F35" s="48" t="s">
        <v>242</v>
      </c>
      <c r="G35" s="48" t="s">
        <v>244</v>
      </c>
      <c r="H35" s="48"/>
    </row>
    <row r="36" spans="3:11" x14ac:dyDescent="0.25">
      <c r="C36" s="47"/>
      <c r="D36" s="48" t="s">
        <v>237</v>
      </c>
      <c r="E36" s="48" t="s">
        <v>241</v>
      </c>
      <c r="F36" s="48" t="s">
        <v>243</v>
      </c>
      <c r="G36" s="48" t="s">
        <v>245</v>
      </c>
      <c r="H36" s="48"/>
    </row>
    <row r="37" spans="3:11" x14ac:dyDescent="0.25">
      <c r="C37" s="47"/>
      <c r="D37" s="48" t="s">
        <v>238</v>
      </c>
      <c r="E37" s="48"/>
      <c r="F37" s="48"/>
      <c r="G37" s="48" t="s">
        <v>246</v>
      </c>
      <c r="H37" s="48"/>
    </row>
    <row r="38" spans="3:11" x14ac:dyDescent="0.25">
      <c r="C38" s="47"/>
      <c r="D38" s="48" t="s">
        <v>239</v>
      </c>
      <c r="E38" s="48"/>
      <c r="F38" s="48"/>
      <c r="G38" s="48" t="s">
        <v>246</v>
      </c>
      <c r="H38" s="48"/>
    </row>
    <row r="39" spans="3:11" x14ac:dyDescent="0.25">
      <c r="C39" s="47"/>
      <c r="D39" s="48"/>
      <c r="E39" s="48"/>
      <c r="F39" s="48"/>
      <c r="G39" s="48" t="s">
        <v>247</v>
      </c>
      <c r="H39" s="48"/>
    </row>
    <row r="40" spans="3:11" x14ac:dyDescent="0.25">
      <c r="C40" s="47"/>
      <c r="D40" s="48"/>
      <c r="E40" s="48"/>
      <c r="F40" s="48"/>
      <c r="G40" s="48" t="s">
        <v>248</v>
      </c>
      <c r="H40" s="48"/>
    </row>
    <row r="41" spans="3:11" x14ac:dyDescent="0.25">
      <c r="C41" s="47"/>
      <c r="D41" s="48"/>
      <c r="E41" s="48"/>
      <c r="F41" s="48"/>
      <c r="G41" s="48"/>
      <c r="H41" s="48"/>
    </row>
    <row r="43" spans="3:11" x14ac:dyDescent="0.25">
      <c r="C43" t="s">
        <v>249</v>
      </c>
    </row>
    <row r="44" spans="3:11" x14ac:dyDescent="0.25">
      <c r="C44" t="s">
        <v>166</v>
      </c>
      <c r="D44" t="s">
        <v>250</v>
      </c>
    </row>
    <row r="45" spans="3:11" x14ac:dyDescent="0.25">
      <c r="D45" t="s">
        <v>251</v>
      </c>
    </row>
    <row r="46" spans="3:11" x14ac:dyDescent="0.25">
      <c r="D46" t="s">
        <v>252</v>
      </c>
    </row>
    <row r="47" spans="3:11" x14ac:dyDescent="0.25">
      <c r="D47" t="s">
        <v>253</v>
      </c>
    </row>
    <row r="48" spans="3:11" x14ac:dyDescent="0.25">
      <c r="D48" t="s">
        <v>254</v>
      </c>
    </row>
    <row r="49" spans="3:4" x14ac:dyDescent="0.25">
      <c r="C49" t="s">
        <v>173</v>
      </c>
      <c r="D49" t="s">
        <v>255</v>
      </c>
    </row>
    <row r="50" spans="3:4" x14ac:dyDescent="0.25">
      <c r="D50" t="s">
        <v>256</v>
      </c>
    </row>
    <row r="51" spans="3:4" x14ac:dyDescent="0.25">
      <c r="D51" t="s">
        <v>257</v>
      </c>
    </row>
    <row r="52" spans="3:4" x14ac:dyDescent="0.25">
      <c r="D52" t="s">
        <v>260</v>
      </c>
    </row>
    <row r="53" spans="3:4" x14ac:dyDescent="0.25">
      <c r="D53" t="s">
        <v>258</v>
      </c>
    </row>
    <row r="54" spans="3:4" x14ac:dyDescent="0.25">
      <c r="D54" t="s">
        <v>259</v>
      </c>
    </row>
    <row r="55" spans="3:4" x14ac:dyDescent="0.25">
      <c r="D55" t="s">
        <v>261</v>
      </c>
    </row>
    <row r="56" spans="3:4" x14ac:dyDescent="0.25">
      <c r="D56" t="s">
        <v>262</v>
      </c>
    </row>
    <row r="57" spans="3:4" x14ac:dyDescent="0.25">
      <c r="D57" t="s">
        <v>263</v>
      </c>
    </row>
    <row r="58" spans="3:4" x14ac:dyDescent="0.25">
      <c r="D58" t="s">
        <v>265</v>
      </c>
    </row>
    <row r="59" spans="3:4" x14ac:dyDescent="0.25">
      <c r="D59" t="s">
        <v>274</v>
      </c>
    </row>
    <row r="60" spans="3:4" x14ac:dyDescent="0.25">
      <c r="C60" t="s">
        <v>188</v>
      </c>
      <c r="D60" t="s">
        <v>266</v>
      </c>
    </row>
    <row r="61" spans="3:4" x14ac:dyDescent="0.25">
      <c r="D61" t="s">
        <v>264</v>
      </c>
    </row>
    <row r="62" spans="3:4" x14ac:dyDescent="0.25">
      <c r="D62" t="s">
        <v>254</v>
      </c>
    </row>
    <row r="63" spans="3:4" x14ac:dyDescent="0.25">
      <c r="D63" t="s">
        <v>267</v>
      </c>
    </row>
    <row r="64" spans="3:4" x14ac:dyDescent="0.25">
      <c r="D64" t="s">
        <v>268</v>
      </c>
    </row>
    <row r="65" spans="3:4" x14ac:dyDescent="0.25">
      <c r="D65" t="s">
        <v>269</v>
      </c>
    </row>
    <row r="66" spans="3:4" x14ac:dyDescent="0.25">
      <c r="D66" t="s">
        <v>270</v>
      </c>
    </row>
    <row r="67" spans="3:4" x14ac:dyDescent="0.25">
      <c r="C67" t="s">
        <v>183</v>
      </c>
      <c r="D67" t="s">
        <v>271</v>
      </c>
    </row>
    <row r="68" spans="3:4" x14ac:dyDescent="0.25">
      <c r="D68" t="s">
        <v>272</v>
      </c>
    </row>
    <row r="69" spans="3:4" x14ac:dyDescent="0.25">
      <c r="D69" t="s">
        <v>273</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workbookViewId="0">
      <selection activeCell="E8" sqref="E8"/>
    </sheetView>
  </sheetViews>
  <sheetFormatPr defaultRowHeight="15" x14ac:dyDescent="0.25"/>
  <cols>
    <col min="2" max="2" width="3" bestFit="1" customWidth="1"/>
    <col min="3" max="3" width="130" customWidth="1"/>
  </cols>
  <sheetData>
    <row r="2" spans="2:3" ht="15" customHeight="1" x14ac:dyDescent="0.25">
      <c r="B2" s="51">
        <v>1</v>
      </c>
      <c r="C2" s="54" t="s">
        <v>280</v>
      </c>
    </row>
    <row r="3" spans="2:3" x14ac:dyDescent="0.25">
      <c r="B3" s="51">
        <v>2</v>
      </c>
      <c r="C3" s="52" t="s">
        <v>281</v>
      </c>
    </row>
    <row r="4" spans="2:3" x14ac:dyDescent="0.25">
      <c r="B4" s="51">
        <v>3</v>
      </c>
      <c r="C4" s="53" t="s">
        <v>282</v>
      </c>
    </row>
    <row r="5" spans="2:3" ht="30" x14ac:dyDescent="0.25">
      <c r="B5" s="51">
        <v>4</v>
      </c>
      <c r="C5" s="52" t="s">
        <v>283</v>
      </c>
    </row>
    <row r="6" spans="2:3" x14ac:dyDescent="0.25">
      <c r="B6" s="51">
        <v>5</v>
      </c>
      <c r="C6" s="53" t="s">
        <v>284</v>
      </c>
    </row>
    <row r="7" spans="2:3" ht="30" x14ac:dyDescent="0.25">
      <c r="B7" s="51">
        <v>6</v>
      </c>
      <c r="C7" s="52" t="s">
        <v>285</v>
      </c>
    </row>
    <row r="8" spans="2:3" ht="90" x14ac:dyDescent="0.25">
      <c r="B8" s="51">
        <v>7</v>
      </c>
      <c r="C8" s="52" t="s">
        <v>286</v>
      </c>
    </row>
    <row r="9" spans="2:3" x14ac:dyDescent="0.25">
      <c r="B9" s="51">
        <v>8</v>
      </c>
      <c r="C9" s="53" t="s">
        <v>287</v>
      </c>
    </row>
    <row r="10" spans="2:3" x14ac:dyDescent="0.25">
      <c r="B10" s="51">
        <v>9</v>
      </c>
      <c r="C10" s="53" t="s">
        <v>288</v>
      </c>
    </row>
    <row r="11" spans="2:3" x14ac:dyDescent="0.25">
      <c r="B11" s="51">
        <v>10</v>
      </c>
      <c r="C11" s="53" t="s">
        <v>289</v>
      </c>
    </row>
    <row r="12" spans="2:3" x14ac:dyDescent="0.25">
      <c r="B12" s="51">
        <v>11</v>
      </c>
      <c r="C12" s="53" t="s">
        <v>290</v>
      </c>
    </row>
    <row r="13" spans="2:3" x14ac:dyDescent="0.25">
      <c r="B13" s="51">
        <v>12</v>
      </c>
      <c r="C13" s="53" t="s">
        <v>291</v>
      </c>
    </row>
    <row r="14" spans="2:3" x14ac:dyDescent="0.25">
      <c r="B14" s="51">
        <v>13</v>
      </c>
      <c r="C14" s="53" t="s">
        <v>292</v>
      </c>
    </row>
    <row r="15" spans="2:3" x14ac:dyDescent="0.25">
      <c r="B15" s="51">
        <v>14</v>
      </c>
      <c r="C15" s="53" t="s">
        <v>282</v>
      </c>
    </row>
    <row r="16" spans="2:3" x14ac:dyDescent="0.25">
      <c r="B16" s="51">
        <v>15</v>
      </c>
      <c r="C16" s="53" t="s">
        <v>295</v>
      </c>
    </row>
    <row r="17" spans="2:3" ht="31.5" customHeight="1" x14ac:dyDescent="0.25">
      <c r="B17" s="57">
        <v>16</v>
      </c>
      <c r="C17" s="59" t="s">
        <v>296</v>
      </c>
    </row>
    <row r="18" spans="2:3" x14ac:dyDescent="0.25">
      <c r="B18" s="58">
        <v>17</v>
      </c>
      <c r="C18" s="59" t="s">
        <v>297</v>
      </c>
    </row>
    <row r="19" spans="2:3" x14ac:dyDescent="0.25">
      <c r="B19" s="57">
        <v>18</v>
      </c>
      <c r="C19" s="51" t="s">
        <v>298</v>
      </c>
    </row>
    <row r="20" spans="2:3" x14ac:dyDescent="0.25">
      <c r="B20" s="58">
        <v>19</v>
      </c>
      <c r="C20" s="51"/>
    </row>
    <row r="21" spans="2:3" x14ac:dyDescent="0.25">
      <c r="B21" s="60">
        <v>20</v>
      </c>
      <c r="C21" s="51"/>
    </row>
    <row r="22" spans="2:3" x14ac:dyDescent="0.25">
      <c r="B22" s="51"/>
      <c r="C22" s="51"/>
    </row>
    <row r="23" spans="2:3" x14ac:dyDescent="0.25">
      <c r="B23" s="51"/>
      <c r="C23" s="51"/>
    </row>
    <row r="24" spans="2:3" x14ac:dyDescent="0.25">
      <c r="B24" s="51"/>
      <c r="C24" s="51"/>
    </row>
    <row r="25" spans="2:3" x14ac:dyDescent="0.25">
      <c r="B25" s="51"/>
      <c r="C25" s="51"/>
    </row>
    <row r="26" spans="2:3" x14ac:dyDescent="0.25">
      <c r="B26" s="51"/>
      <c r="C26" s="51"/>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Sheet1</vt:lpstr>
      <vt:lpstr>Research</vt:lpstr>
      <vt:lpstr>Remarks</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2025-09-16T10:42:19Z</cp:lastPrinted>
  <dcterms:created xsi:type="dcterms:W3CDTF">2019-07-16T09:29:46Z</dcterms:created>
  <dcterms:modified xsi:type="dcterms:W3CDTF">2025-09-16T10:43:04Z</dcterms:modified>
</cp:coreProperties>
</file>