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7" i="1" l="1"/>
  <c r="C14" i="1" l="1"/>
  <c r="K188" i="1" l="1"/>
  <c r="D206" i="1"/>
  <c r="F206" i="1" s="1"/>
  <c r="D205" i="1"/>
  <c r="F205" i="1" s="1"/>
  <c r="D204" i="1"/>
  <c r="F204" i="1" s="1"/>
  <c r="D203" i="1"/>
  <c r="D202" i="1"/>
  <c r="F202" i="1" s="1"/>
  <c r="D201" i="1"/>
  <c r="F201" i="1" s="1"/>
  <c r="D198" i="1"/>
  <c r="F198" i="1" s="1"/>
  <c r="D197" i="1"/>
  <c r="F197" i="1" s="1"/>
  <c r="D195" i="1"/>
  <c r="F195" i="1" s="1"/>
  <c r="D194" i="1"/>
  <c r="F194" i="1" s="1"/>
  <c r="J194" i="1" s="1"/>
  <c r="D193" i="1"/>
  <c r="F193" i="1" s="1"/>
  <c r="J193" i="1" s="1"/>
  <c r="D192" i="1"/>
  <c r="D191" i="1"/>
  <c r="F191" i="1" s="1"/>
  <c r="D187" i="1"/>
  <c r="F187" i="1" s="1"/>
  <c r="D186" i="1"/>
  <c r="F186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D175" i="1"/>
  <c r="F175" i="1" s="1"/>
  <c r="D165" i="1"/>
  <c r="F165" i="1" s="1"/>
  <c r="D164" i="1"/>
  <c r="F164" i="1" s="1"/>
  <c r="D153" i="1"/>
  <c r="F153" i="1" s="1"/>
  <c r="D152" i="1"/>
  <c r="F152" i="1" s="1"/>
  <c r="D151" i="1"/>
  <c r="F151" i="1" s="1"/>
  <c r="D149" i="1"/>
  <c r="F149" i="1" s="1"/>
  <c r="D148" i="1"/>
  <c r="F148" i="1" s="1"/>
  <c r="D147" i="1"/>
  <c r="F147" i="1" s="1"/>
  <c r="D146" i="1"/>
  <c r="F146" i="1" s="1"/>
  <c r="D144" i="1"/>
  <c r="F144" i="1" s="1"/>
  <c r="D143" i="1"/>
  <c r="F143" i="1" s="1"/>
  <c r="D142" i="1"/>
  <c r="F142" i="1" s="1"/>
  <c r="J140" i="1"/>
  <c r="F203" i="1"/>
  <c r="A198" i="1"/>
  <c r="A199" i="1" s="1"/>
  <c r="A200" i="1" s="1"/>
  <c r="A201" i="1" s="1"/>
  <c r="A202" i="1" s="1"/>
  <c r="A203" i="1" s="1"/>
  <c r="A204" i="1" s="1"/>
  <c r="A205" i="1" s="1"/>
  <c r="A206" i="1" s="1"/>
  <c r="G197" i="1"/>
  <c r="F192" i="1"/>
  <c r="J192" i="1" s="1"/>
  <c r="A187" i="1"/>
  <c r="A188" i="1" s="1"/>
  <c r="A189" i="1" s="1"/>
  <c r="A190" i="1" s="1"/>
  <c r="A191" i="1" s="1"/>
  <c r="A192" i="1" s="1"/>
  <c r="A193" i="1" s="1"/>
  <c r="A194" i="1" s="1"/>
  <c r="A195" i="1" s="1"/>
  <c r="G186" i="1"/>
  <c r="A176" i="1"/>
  <c r="A177" i="1" s="1"/>
  <c r="A178" i="1" s="1"/>
  <c r="A179" i="1" s="1"/>
  <c r="A180" i="1" s="1"/>
  <c r="A181" i="1" s="1"/>
  <c r="A182" i="1" s="1"/>
  <c r="A183" i="1" s="1"/>
  <c r="A184" i="1" s="1"/>
  <c r="G175" i="1"/>
  <c r="A165" i="1"/>
  <c r="A166" i="1" s="1"/>
  <c r="A167" i="1" s="1"/>
  <c r="A168" i="1" s="1"/>
  <c r="A169" i="1" s="1"/>
  <c r="A170" i="1" s="1"/>
  <c r="A171" i="1" s="1"/>
  <c r="A172" i="1" s="1"/>
  <c r="A173" i="1" s="1"/>
  <c r="G164" i="1"/>
  <c r="A152" i="1"/>
  <c r="A153" i="1" s="1"/>
  <c r="A154" i="1" s="1"/>
  <c r="G151" i="1"/>
  <c r="A147" i="1"/>
  <c r="A148" i="1" s="1"/>
  <c r="A149" i="1" s="1"/>
  <c r="G146" i="1"/>
  <c r="J145" i="1"/>
  <c r="J144" i="1"/>
  <c r="K144" i="1" s="1"/>
  <c r="J143" i="1"/>
  <c r="A142" i="1"/>
  <c r="A143" i="1" s="1"/>
  <c r="A144" i="1" s="1"/>
  <c r="G141" i="1"/>
  <c r="C49" i="1"/>
  <c r="L193" i="1" l="1"/>
  <c r="C115" i="1"/>
  <c r="C116" i="1"/>
  <c r="E115" i="1"/>
  <c r="E116" i="1"/>
  <c r="G115" i="1"/>
  <c r="F176" i="1"/>
  <c r="G116" i="1" s="1"/>
  <c r="C117" i="1" l="1"/>
  <c r="C118" i="1" s="1"/>
  <c r="G117" i="1"/>
  <c r="G118" i="1" s="1"/>
  <c r="E117" i="1"/>
  <c r="E118" i="1" s="1"/>
  <c r="E42" i="1"/>
  <c r="E43" i="1" s="1"/>
  <c r="E29" i="1" l="1"/>
  <c r="F209" i="1" l="1"/>
  <c r="F210" i="1"/>
  <c r="F211" i="1"/>
  <c r="F208" i="1"/>
  <c r="A209" i="1"/>
  <c r="A210" i="1" s="1"/>
  <c r="A211" i="1" s="1"/>
  <c r="G208" i="1"/>
  <c r="G209" i="1" s="1"/>
  <c r="G210" i="1" s="1"/>
  <c r="G211" i="1" s="1"/>
  <c r="F107" i="1" l="1"/>
  <c r="F126" i="1" l="1"/>
  <c r="F127" i="1"/>
  <c r="F128" i="1"/>
  <c r="F125" i="1"/>
  <c r="B238" i="1" l="1"/>
  <c r="A225" i="1"/>
  <c r="A219" i="1"/>
  <c r="A231" i="1"/>
  <c r="F235" i="1" l="1"/>
  <c r="F234" i="1"/>
  <c r="F233" i="1"/>
  <c r="F232" i="1"/>
  <c r="F231" i="1"/>
  <c r="F229" i="1"/>
  <c r="F228" i="1"/>
  <c r="F227" i="1"/>
  <c r="F226" i="1"/>
  <c r="F225" i="1"/>
  <c r="F223" i="1"/>
  <c r="F222" i="1"/>
  <c r="F221" i="1"/>
  <c r="F220" i="1"/>
  <c r="F219" i="1"/>
  <c r="F217" i="1"/>
  <c r="F216" i="1"/>
  <c r="F214" i="1"/>
  <c r="F213" i="1"/>
  <c r="F215" i="1"/>
  <c r="A226" i="1"/>
  <c r="A232" i="1"/>
  <c r="A220" i="1"/>
  <c r="B239" i="1" l="1"/>
  <c r="A233" i="1"/>
  <c r="A221" i="1"/>
  <c r="A2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9" i="1"/>
  <c r="G231" i="1"/>
  <c r="G232" i="1" s="1"/>
  <c r="G233" i="1" s="1"/>
  <c r="G234" i="1" s="1"/>
  <c r="G235" i="1" s="1"/>
  <c r="G225" i="1"/>
  <c r="G226" i="1" s="1"/>
  <c r="G227" i="1" s="1"/>
  <c r="G228" i="1" s="1"/>
  <c r="G229" i="1" s="1"/>
  <c r="G219" i="1"/>
  <c r="G220" i="1" s="1"/>
  <c r="G221" i="1" s="1"/>
  <c r="G222" i="1" s="1"/>
  <c r="G223" i="1" s="1"/>
  <c r="G213" i="1"/>
  <c r="G214" i="1" s="1"/>
  <c r="G215" i="1" s="1"/>
  <c r="G216" i="1" s="1"/>
  <c r="G217" i="1" s="1"/>
  <c r="A213" i="1"/>
  <c r="A214" i="1" s="1"/>
  <c r="A215" i="1" s="1"/>
  <c r="A216" i="1" s="1"/>
  <c r="A217" i="1" s="1"/>
  <c r="A126" i="1"/>
  <c r="A127" i="1" s="1"/>
  <c r="A128" i="1" s="1"/>
  <c r="G125" i="1"/>
  <c r="G126" i="1" s="1"/>
  <c r="G127" i="1" s="1"/>
  <c r="G128" i="1" s="1"/>
  <c r="C80" i="1"/>
  <c r="C66" i="1"/>
  <c r="D54" i="1"/>
  <c r="G49" i="1"/>
  <c r="G50" i="1" s="1"/>
  <c r="C50" i="1"/>
  <c r="E26" i="1"/>
  <c r="E24" i="1"/>
  <c r="E7" i="1"/>
  <c r="E3" i="1"/>
  <c r="A228" i="1"/>
  <c r="A222" i="1"/>
  <c r="A234" i="1"/>
  <c r="H67" i="1"/>
  <c r="H81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86" i="1"/>
  <c r="J87" i="1" s="1"/>
  <c r="J92" i="1" s="1"/>
  <c r="J84" i="1"/>
  <c r="J85" i="1"/>
  <c r="C84" i="1" s="1"/>
  <c r="J83" i="1"/>
  <c r="A229" i="1"/>
  <c r="A235" i="1"/>
  <c r="A223" i="1"/>
  <c r="J88" i="1" l="1"/>
  <c r="J89" i="1" s="1"/>
  <c r="J90" i="1" s="1"/>
  <c r="J91" i="1" s="1"/>
  <c r="J74" i="1"/>
  <c r="D86" i="1"/>
  <c r="D72" i="1"/>
  <c r="J68" i="1"/>
  <c r="D70" i="1"/>
  <c r="D84" i="1"/>
  <c r="J75" i="1" l="1"/>
  <c r="J76" i="1" s="1"/>
  <c r="J77" i="1" s="1"/>
  <c r="J79" i="1"/>
  <c r="C71" i="1" s="1"/>
  <c r="J93" i="1"/>
  <c r="C85" i="1" s="1"/>
  <c r="G70" i="1" l="1"/>
  <c r="J67" i="1"/>
  <c r="D71" i="1"/>
  <c r="I67" i="1" s="1"/>
  <c r="I68" i="1" s="1"/>
  <c r="E70" i="1"/>
  <c r="E84" i="1"/>
  <c r="G84" i="1"/>
  <c r="D64" i="1" s="1"/>
  <c r="D65" i="1" s="1"/>
  <c r="D85" i="1"/>
  <c r="I81" i="1" s="1"/>
  <c r="I82" i="1" s="1"/>
  <c r="J81" i="1"/>
  <c r="F65" i="1" l="1"/>
  <c r="I66" i="1"/>
  <c r="C68" i="1" s="1"/>
  <c r="I80" i="1"/>
  <c r="C82" i="1" s="1"/>
</calcChain>
</file>

<file path=xl/sharedStrings.xml><?xml version="1.0" encoding="utf-8"?>
<sst xmlns="http://schemas.openxmlformats.org/spreadsheetml/2006/main" count="338" uniqueCount="246">
  <si>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</si>
  <si>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</si>
  <si>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</si>
  <si>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</si>
  <si>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</si>
  <si>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</si>
  <si>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</si>
  <si>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</si>
  <si>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</si>
  <si>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</si>
  <si>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</si>
  <si>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</si>
  <si>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</si>
  <si>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</si>
  <si>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</si>
  <si>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</si>
  <si>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</si>
  <si>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</si>
  <si>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</si>
  <si>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</si>
  <si>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</si>
  <si>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</si>
  <si>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</si>
  <si>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</si>
  <si>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</si>
  <si>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</si>
  <si>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</si>
  <si>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</si>
  <si>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</si>
  <si>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</si>
  <si>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</si>
  <si>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</si>
  <si>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</si>
  <si>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</si>
  <si>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</si>
  <si>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</si>
  <si>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</si>
  <si>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</si>
  <si>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</si>
  <si>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</si>
  <si>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</si>
  <si>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</si>
  <si>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</si>
  <si>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</si>
  <si>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</si>
  <si>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</si>
  <si>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</si>
  <si>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</si>
  <si>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</si>
  <si>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</si>
  <si>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</si>
  <si>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</si>
  <si>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</si>
  <si>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</si>
  <si>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</si>
  <si>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</si>
  <si>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</si>
  <si>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</si>
  <si>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</si>
  <si>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</si>
  <si>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</si>
  <si>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</si>
  <si>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</si>
  <si>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</si>
  <si>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</si>
  <si>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</si>
  <si>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</si>
  <si>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</si>
  <si>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</si>
  <si>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</si>
  <si>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</si>
  <si>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</si>
  <si>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</si>
  <si>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</si>
  <si>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</si>
  <si>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</si>
  <si>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</si>
  <si>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</si>
  <si>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</si>
  <si>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</si>
  <si>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</si>
  <si>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</si>
  <si>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</si>
  <si>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</si>
  <si>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</si>
  <si>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</si>
  <si>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</si>
  <si>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</si>
  <si>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</si>
  <si>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</si>
  <si>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</si>
  <si>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</si>
  <si>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</si>
  <si>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</si>
  <si>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</si>
  <si>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</si>
  <si>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</si>
  <si>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</si>
  <si>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</si>
  <si>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</si>
  <si>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</si>
  <si>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</si>
  <si>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</si>
  <si>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</si>
  <si>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</si>
  <si>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</si>
  <si>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</si>
  <si>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</si>
  <si>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</si>
  <si>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</si>
  <si>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</si>
  <si>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</si>
  <si>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</si>
  <si>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</si>
  <si>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</si>
  <si>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</si>
  <si>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</si>
  <si>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</si>
  <si>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</si>
  <si>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</si>
  <si>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</si>
  <si>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</si>
  <si>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</si>
  <si>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</si>
  <si>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</si>
  <si>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</si>
  <si>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</si>
  <si>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</si>
  <si>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</si>
  <si>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</si>
  <si>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</si>
  <si>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</si>
  <si>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</si>
  <si>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</si>
  <si>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</si>
  <si>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</si>
  <si>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</si>
  <si>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</si>
  <si>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</si>
  <si>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</si>
  <si>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</si>
  <si>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</si>
  <si>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</si>
  <si>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</si>
  <si>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</si>
  <si>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</si>
  <si>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</si>
  <si>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</si>
  <si>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</si>
  <si>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</si>
  <si>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</si>
  <si>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</si>
  <si>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</si>
  <si>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</si>
  <si>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</si>
  <si>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</si>
  <si>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</si>
  <si>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</si>
  <si>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</si>
  <si>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</si>
  <si>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</si>
  <si>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</si>
  <si>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</si>
  <si>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</si>
  <si>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</si>
  <si>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</si>
  <si>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</si>
  <si>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</si>
  <si>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</si>
  <si>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</si>
  <si>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</si>
  <si>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</si>
  <si>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</si>
  <si>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</si>
  <si>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</si>
  <si>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</si>
  <si>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Grand Total</t>
  </si>
  <si>
    <t>Axis Goregaon</t>
  </si>
  <si>
    <t>Integrated Ramicon</t>
  </si>
  <si>
    <t>Integrated Affordable Home Private Limited</t>
  </si>
  <si>
    <t>Wing A &amp; B</t>
  </si>
  <si>
    <t>Approved Plans, CC</t>
  </si>
  <si>
    <t>https://goo.gl/maps/7Jg5ymi4xFxWhM4G8?coh=178572&amp;entry=tt</t>
  </si>
  <si>
    <t>Internal Road</t>
  </si>
  <si>
    <t>Internal Road/ Asmi Industrial Complex</t>
  </si>
  <si>
    <t>Ashirwad Industrial Estate</t>
  </si>
  <si>
    <t>Ram Mandir Cross Ln</t>
  </si>
  <si>
    <t>Mrinal Tai Gore Flyover</t>
  </si>
  <si>
    <t>CTS No</t>
  </si>
  <si>
    <t>Mumbai</t>
  </si>
  <si>
    <t>Mahatma Jyotiba Phule Nagar Jogeshwari West</t>
  </si>
  <si>
    <t>Goregaon</t>
  </si>
  <si>
    <t>Ram Mandir West</t>
  </si>
  <si>
    <t>Borivali</t>
  </si>
  <si>
    <t>Asmi Industrial Complex</t>
  </si>
  <si>
    <t>2 Wings</t>
  </si>
  <si>
    <t>Mumbai Metropolitan Region Development Authority</t>
  </si>
  <si>
    <t>TCP(P-2)/ODC/CC/3.156/II/560/2022</t>
  </si>
  <si>
    <t>A Wing = LB + UP + Gr + 1st to 5th Service Floor + 1st Part Podium + 2nd to 9th Floor
B Wing = LB + UP + Gr + 1st to 5th Service Floor + 1st Part Podium + 2nd to 35th Floor</t>
  </si>
  <si>
    <t>A Wing = LB + UP + Gr + 1st to 5th Service Floor + 1st Part Podium + 2nd to 9th Floor</t>
  </si>
  <si>
    <t>B Wing = LB + UP + Gr + 1st to 5th Service Floor + 1st Part Podium + 2nd to 35th Floor</t>
  </si>
  <si>
    <t>Gymnasium, Swimming Pool, Kids' Pool, Cricket Kids' Play Areas, Sand Pits, Yoga Areas, Jogging / Cycle Track, Table Tennis, Power Backup Water Supply, 24 x 7 SecurityCCTV / Video Surveillance, Fire Fighting, Intercom Facility, Video Phone, Reading Room/Library, Sauna, Party Hall, Cards Room, Indoor Games, Jacuzzi, Normal Park / Central Green</t>
  </si>
  <si>
    <t>Wing A</t>
  </si>
  <si>
    <t>Upper Basement Floor For STP Tanks &amp; Parking</t>
  </si>
  <si>
    <t>Lower Basement Floor For Pump Room, Fire Tank, Flushing Tank &amp; Domestic Tank</t>
  </si>
  <si>
    <t>Ground Floor For Entrance Lobby &amp; Parking</t>
  </si>
  <si>
    <t>1st Service Floor For Parking</t>
  </si>
  <si>
    <t>2nd Service Floor For Letter Box Room &amp; Parking</t>
  </si>
  <si>
    <t>3rd &amp; 4th Service Floor For Meter Room &amp; Parking</t>
  </si>
  <si>
    <t>5th Service Floor For Meter Room &amp; Parking</t>
  </si>
  <si>
    <t>1st Floor For Part Podium &amp; Residential</t>
  </si>
  <si>
    <t>Lobby Area</t>
  </si>
  <si>
    <t>2nd, 4th to 9th Floor For Residential</t>
  </si>
  <si>
    <t>3rd Floor (Part Refuge Area)</t>
  </si>
  <si>
    <t>Refuge Area</t>
  </si>
  <si>
    <t>Lower Basement Floor For STP Tanks &amp; Parking</t>
  </si>
  <si>
    <t>Upper Basement Floor For Pump Room, Fire Tank, Flushing Tank &amp; Domestic Tank</t>
  </si>
  <si>
    <t>Wing B</t>
  </si>
  <si>
    <t>1st Floor For Part Podium Amenties &amp; Residential</t>
  </si>
  <si>
    <t>Fitness Center Area</t>
  </si>
  <si>
    <t>Fitness Center Area &amp; Society Office</t>
  </si>
  <si>
    <t>2nd, 4th to 9th, 11th to 16th, 18th to 23rd, 25th to 30th &amp; 32nd to 35th Floor For Residential</t>
  </si>
  <si>
    <t>3rd, 10th, 17th &amp; 24th Floor (Part Refuge Area)</t>
  </si>
  <si>
    <t>31st Floor (Part Refuge Area)</t>
  </si>
  <si>
    <t>We considered Gross carpet area = Net carpet + Utility.</t>
  </si>
  <si>
    <t>Flats - 362</t>
  </si>
  <si>
    <t>0.750KM from Ram Mandir Railway Station</t>
  </si>
  <si>
    <t>57A &amp; 57C</t>
  </si>
  <si>
    <t>Electric Meter Charges</t>
  </si>
  <si>
    <t>Water Meter Charges</t>
  </si>
  <si>
    <t>16500 to 17500</t>
  </si>
  <si>
    <t>gaurav</t>
  </si>
  <si>
    <t>costsheet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</si>
  <si>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</si>
  <si>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Mr. Saiyad  8097784578</t>
  </si>
  <si>
    <t>19.153488,72.848349</t>
  </si>
  <si>
    <t>Other Charges</t>
  </si>
  <si>
    <t>Integrated Ramicon Wing A (P51800056120)
Integrated Ramicon Wing B (P51800045996)</t>
  </si>
  <si>
    <t>RERA Name &amp; No.</t>
  </si>
  <si>
    <t xml:space="preserve">As per RERA - Integrated Ramicon Wing A (31/12/2027)
                          Integrated Ramicon Wing B  (31/12/2026) </t>
  </si>
  <si>
    <t>Mr.Pankaj Singh 9769890510</t>
  </si>
  <si>
    <t>17500 to 18500 on 29/03/2025 by aakash mote</t>
  </si>
  <si>
    <t>Recommended Rates/Other Charges of the Property have been revised on 29/03/2025</t>
  </si>
  <si>
    <t>Shruti Tathare</t>
  </si>
  <si>
    <t>Pratik Niwate</t>
  </si>
  <si>
    <t>Wing A &amp; B = Construction work is in process at the time of Visit (Slow Speed).
Wing B = Construction work is in process at the time of Visit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</si>
</sst>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14" fontId="7" fillId="2" borderId="0" xfId="1" applyNumberFormat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7" fillId="0" borderId="0" xfId="0" applyFont="1" applyAlignment="1">
      <alignment horizontal="center" vertical="center" readingOrder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Alignment="1" applyProtection="1">
      <alignment horizontal="center" vertical="center" wrapText="1"/>
      <protection locked="0"/>
    </xf>
    <xf numFmtId="168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300</xdr:row>
      <xdr:rowOff>95249</xdr:rowOff>
    </xdr:from>
    <xdr:to>
      <xdr:col>7</xdr:col>
      <xdr:colOff>621475</xdr:colOff>
      <xdr:row>323</xdr:row>
      <xdr:rowOff>46064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8" y="54742772"/>
          <a:ext cx="6120000" cy="4531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688274</xdr:colOff>
      <xdr:row>323</xdr:row>
      <xdr:rowOff>137254</xdr:rowOff>
    </xdr:from>
    <xdr:to>
      <xdr:col>6</xdr:col>
      <xdr:colOff>293419</xdr:colOff>
      <xdr:row>339</xdr:row>
      <xdr:rowOff>122534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720" y="59924946"/>
          <a:ext cx="3866484" cy="31739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181839</xdr:colOff>
      <xdr:row>342</xdr:row>
      <xdr:rowOff>43295</xdr:rowOff>
    </xdr:from>
    <xdr:to>
      <xdr:col>7</xdr:col>
      <xdr:colOff>612816</xdr:colOff>
      <xdr:row>356</xdr:row>
      <xdr:rowOff>17303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839" y="63453818"/>
          <a:ext cx="6120000" cy="27622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173180</xdr:colOff>
      <xdr:row>356</xdr:row>
      <xdr:rowOff>187724</xdr:rowOff>
    </xdr:from>
    <xdr:to>
      <xdr:col>7</xdr:col>
      <xdr:colOff>604157</xdr:colOff>
      <xdr:row>376</xdr:row>
      <xdr:rowOff>170503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0" y="66386474"/>
          <a:ext cx="6120000" cy="39659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658090</xdr:colOff>
      <xdr:row>364</xdr:row>
      <xdr:rowOff>25977</xdr:rowOff>
    </xdr:from>
    <xdr:to>
      <xdr:col>5</xdr:col>
      <xdr:colOff>199159</xdr:colOff>
      <xdr:row>368</xdr:row>
      <xdr:rowOff>190500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 rot="1196202">
          <a:off x="1420090" y="67818000"/>
          <a:ext cx="2909455" cy="961159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89163</xdr:colOff>
      <xdr:row>362</xdr:row>
      <xdr:rowOff>96087</xdr:rowOff>
    </xdr:from>
    <xdr:ext cx="638508" cy="280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 rot="1310209">
          <a:off x="1647799" y="67489792"/>
          <a:ext cx="638508" cy="28020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B</a:t>
          </a:r>
        </a:p>
      </xdr:txBody>
    </xdr:sp>
    <xdr:clientData/>
  </xdr:oneCellAnchor>
  <xdr:oneCellAnchor>
    <xdr:from>
      <xdr:col>3</xdr:col>
      <xdr:colOff>428568</xdr:colOff>
      <xdr:row>367</xdr:row>
      <xdr:rowOff>118602</xdr:rowOff>
    </xdr:from>
    <xdr:ext cx="645498" cy="280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 rot="1310209">
          <a:off x="2835795" y="68508102"/>
          <a:ext cx="645498" cy="28020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A</a:t>
          </a:r>
        </a:p>
      </xdr:txBody>
    </xdr:sp>
    <xdr:clientData/>
  </xdr:oneCellAnchor>
  <xdr:twoCellAnchor>
    <xdr:from>
      <xdr:col>4</xdr:col>
      <xdr:colOff>372341</xdr:colOff>
      <xdr:row>306</xdr:row>
      <xdr:rowOff>8659</xdr:rowOff>
    </xdr:from>
    <xdr:to>
      <xdr:col>7</xdr:col>
      <xdr:colOff>381000</xdr:colOff>
      <xdr:row>313</xdr:row>
      <xdr:rowOff>181841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3723409" y="55851136"/>
          <a:ext cx="2346614" cy="1567296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69273</xdr:colOff>
      <xdr:row>302</xdr:row>
      <xdr:rowOff>43294</xdr:rowOff>
    </xdr:from>
    <xdr:to>
      <xdr:col>4</xdr:col>
      <xdr:colOff>164523</xdr:colOff>
      <xdr:row>312</xdr:row>
      <xdr:rowOff>60612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831273" y="55089135"/>
          <a:ext cx="2684318" cy="2008909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355022</xdr:colOff>
      <xdr:row>314</xdr:row>
      <xdr:rowOff>43295</xdr:rowOff>
    </xdr:from>
    <xdr:ext cx="799065" cy="34278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4485408" y="57479045"/>
          <a:ext cx="799065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A</a:t>
          </a:r>
        </a:p>
      </xdr:txBody>
    </xdr:sp>
    <xdr:clientData/>
  </xdr:oneCellAnchor>
  <xdr:oneCellAnchor>
    <xdr:from>
      <xdr:col>1</xdr:col>
      <xdr:colOff>793172</xdr:colOff>
      <xdr:row>312</xdr:row>
      <xdr:rowOff>152400</xdr:rowOff>
    </xdr:from>
    <xdr:ext cx="799065" cy="342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555172" y="57189832"/>
          <a:ext cx="799065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B</a:t>
          </a:r>
        </a:p>
      </xdr:txBody>
    </xdr:sp>
    <xdr:clientData/>
  </xdr:oneCellAnchor>
  <xdr:twoCellAnchor>
    <xdr:from>
      <xdr:col>13</xdr:col>
      <xdr:colOff>321236</xdr:colOff>
      <xdr:row>261</xdr:row>
      <xdr:rowOff>56029</xdr:rowOff>
    </xdr:from>
    <xdr:to>
      <xdr:col>14</xdr:col>
      <xdr:colOff>389031</xdr:colOff>
      <xdr:row>263</xdr:row>
      <xdr:rowOff>42820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10989236" y="49597235"/>
          <a:ext cx="908236" cy="37899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9</xdr:col>
      <xdr:colOff>365686</xdr:colOff>
      <xdr:row>270</xdr:row>
      <xdr:rowOff>149785</xdr:rowOff>
    </xdr:from>
    <xdr:to>
      <xdr:col>10</xdr:col>
      <xdr:colOff>508560</xdr:colOff>
      <xdr:row>272</xdr:row>
      <xdr:rowOff>130226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8064127" y="51495138"/>
          <a:ext cx="904874" cy="38385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0</xdr:col>
      <xdr:colOff>605118</xdr:colOff>
      <xdr:row>259</xdr:row>
      <xdr:rowOff>47064</xdr:rowOff>
    </xdr:from>
    <xdr:to>
      <xdr:col>7</xdr:col>
      <xdr:colOff>286312</xdr:colOff>
      <xdr:row>297</xdr:row>
      <xdr:rowOff>156388</xdr:rowOff>
    </xdr:to>
    <xdr:grpSp>
      <xdr:nvGrpSpPr>
        <xdr:cNvPr id="4" name="Group 3"/>
        <xdr:cNvGrpSpPr/>
      </xdr:nvGrpSpPr>
      <xdr:grpSpPr>
        <a:xfrm>
          <a:off x="605118" y="49016770"/>
          <a:ext cx="5384988" cy="7762942"/>
          <a:chOff x="605118" y="49672314"/>
          <a:chExt cx="5355373" cy="7851788"/>
        </a:xfrm>
      </xdr:grpSpPr>
      <xdr:grpSp>
        <xdr:nvGrpSpPr>
          <xdr:cNvPr id="3" name="Group 2"/>
          <xdr:cNvGrpSpPr/>
        </xdr:nvGrpSpPr>
        <xdr:grpSpPr>
          <a:xfrm>
            <a:off x="605118" y="49672314"/>
            <a:ext cx="5355373" cy="7851788"/>
            <a:chOff x="605118" y="49184858"/>
            <a:chExt cx="5384988" cy="7762942"/>
          </a:xfrm>
        </xdr:grpSpPr>
        <xdr:pic>
          <xdr:nvPicPr>
            <xdr:cNvPr id="52" name="Picture 51" descr="https://vsjcllp.vsjadon.com/upload/insp-246601-152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0146" y="54998470"/>
              <a:ext cx="1451911" cy="193588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https://vsjcllp.vsjadon.com/upload/insp-246601-843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60812" y="52795747"/>
              <a:ext cx="1623452" cy="210106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46601-84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4741" y="55011919"/>
              <a:ext cx="1451911" cy="193588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46601-846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5118" y="49191582"/>
              <a:ext cx="2635065" cy="351342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46601-844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7865" y="52804714"/>
              <a:ext cx="1623452" cy="210106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7" name="Picture 56" descr="https://vsjcllp.vsjadon.com/upload/insp-246601-848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21323" y="55009676"/>
              <a:ext cx="1451911" cy="193588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46601-850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75312" y="52795748"/>
              <a:ext cx="1623452" cy="210106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46601-852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55041" y="49184858"/>
              <a:ext cx="2635065" cy="351342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/>
        </xdr:nvSpPr>
        <xdr:spPr>
          <a:xfrm>
            <a:off x="3946072" y="49679679"/>
            <a:ext cx="911437" cy="38139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A Wing </a:t>
            </a:r>
          </a:p>
        </xdr:txBody>
      </xdr:sp>
      <xdr:sp macro="" textlink="">
        <xdr:nvSpPr>
          <xdr:cNvPr id="67" name="Rectangle 66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/>
        </xdr:nvSpPr>
        <xdr:spPr>
          <a:xfrm>
            <a:off x="696686" y="50362757"/>
            <a:ext cx="911437" cy="38139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 Wing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1</xdr:rowOff>
    </xdr:from>
    <xdr:to>
      <xdr:col>8</xdr:col>
      <xdr:colOff>169765</xdr:colOff>
      <xdr:row>42</xdr:row>
      <xdr:rowOff>107030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059207"/>
          <a:ext cx="9000000" cy="5060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</xdr:rowOff>
    </xdr:from>
    <xdr:to>
      <xdr:col>8</xdr:col>
      <xdr:colOff>169765</xdr:colOff>
      <xdr:row>70</xdr:row>
      <xdr:rowOff>107030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8393207"/>
          <a:ext cx="9000000" cy="5060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1</xdr:rowOff>
    </xdr:from>
    <xdr:to>
      <xdr:col>8</xdr:col>
      <xdr:colOff>169765</xdr:colOff>
      <xdr:row>98</xdr:row>
      <xdr:rowOff>107030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13727207"/>
          <a:ext cx="9000000" cy="5060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Jg5ymi4xFxWhM4G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41"/>
  <sheetViews>
    <sheetView tabSelected="1" view="pageBreakPreview" zoomScale="85" zoomScaleNormal="100" zoomScaleSheetLayoutView="85" workbookViewId="0">
      <selection activeCell="M6" sqref="M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70" t="s">
        <v>233</v>
      </c>
      <c r="B1" s="170"/>
      <c r="C1" s="170"/>
      <c r="D1" s="170"/>
      <c r="E1" s="170"/>
      <c r="F1" s="170"/>
      <c r="G1" s="170"/>
      <c r="H1" s="170"/>
    </row>
    <row r="2" spans="1:12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12" x14ac:dyDescent="0.25">
      <c r="A3" s="63" t="s">
        <v>1</v>
      </c>
      <c r="B3" s="63"/>
      <c r="C3" s="63"/>
      <c r="D3" s="63"/>
      <c r="E3" s="63" t="str">
        <f ca="1">TEXT(TODAY(),"DD/MM/YYYY")</f>
        <v>15/09/2025</v>
      </c>
      <c r="F3" s="63"/>
      <c r="G3" s="63"/>
      <c r="H3" s="63"/>
    </row>
    <row r="4" spans="1:12" ht="15" customHeight="1" x14ac:dyDescent="0.25">
      <c r="A4" s="63" t="s">
        <v>2</v>
      </c>
      <c r="B4" s="63"/>
      <c r="C4" s="63"/>
      <c r="D4" s="63"/>
      <c r="E4" s="63" t="s">
        <v>177</v>
      </c>
      <c r="F4" s="63"/>
      <c r="G4" s="63"/>
      <c r="H4" s="63"/>
    </row>
    <row r="5" spans="1:12" x14ac:dyDescent="0.25">
      <c r="A5" s="63" t="s">
        <v>3</v>
      </c>
      <c r="B5" s="63"/>
      <c r="C5" s="63"/>
      <c r="D5" s="63"/>
      <c r="E5" s="171">
        <v>45908</v>
      </c>
      <c r="F5" s="63"/>
      <c r="G5" s="63"/>
      <c r="H5" s="63"/>
    </row>
    <row r="6" spans="1:12" ht="16.5" customHeight="1" x14ac:dyDescent="0.25">
      <c r="A6" s="63" t="s">
        <v>4</v>
      </c>
      <c r="B6" s="63"/>
      <c r="C6" s="63"/>
      <c r="D6" s="63"/>
      <c r="E6" s="63" t="s">
        <v>179</v>
      </c>
      <c r="F6" s="63"/>
      <c r="G6" s="63"/>
      <c r="H6" s="63"/>
    </row>
    <row r="7" spans="1:12" ht="15" customHeight="1" x14ac:dyDescent="0.25">
      <c r="A7" s="63" t="s">
        <v>5</v>
      </c>
      <c r="B7" s="63"/>
      <c r="C7" s="63"/>
      <c r="D7" s="63"/>
      <c r="E7" s="63" t="str">
        <f>E6</f>
        <v>Integrated Affordable Home Private Limited</v>
      </c>
      <c r="F7" s="63"/>
      <c r="G7" s="63"/>
      <c r="H7" s="63"/>
    </row>
    <row r="8" spans="1:12" x14ac:dyDescent="0.25">
      <c r="A8" s="63" t="s">
        <v>6</v>
      </c>
      <c r="B8" s="63"/>
      <c r="C8" s="63"/>
      <c r="D8" s="63"/>
      <c r="E8" s="107" t="s">
        <v>178</v>
      </c>
      <c r="F8" s="107"/>
      <c r="G8" s="107"/>
      <c r="H8" s="107"/>
    </row>
    <row r="9" spans="1:12" x14ac:dyDescent="0.25">
      <c r="A9" s="63" t="s">
        <v>172</v>
      </c>
      <c r="B9" s="63"/>
      <c r="C9" s="63"/>
      <c r="D9" s="63"/>
      <c r="E9" s="63" t="s">
        <v>240</v>
      </c>
      <c r="F9" s="63"/>
      <c r="G9" s="63"/>
      <c r="H9" s="63"/>
    </row>
    <row r="10" spans="1:12" x14ac:dyDescent="0.25">
      <c r="A10" s="63" t="s">
        <v>173</v>
      </c>
      <c r="B10" s="63"/>
      <c r="C10" s="63"/>
      <c r="D10" s="63"/>
      <c r="E10" s="63" t="s">
        <v>240</v>
      </c>
      <c r="F10" s="63"/>
      <c r="G10" s="63"/>
      <c r="H10" s="63"/>
      <c r="I10" s="63" t="s">
        <v>234</v>
      </c>
      <c r="J10" s="63"/>
      <c r="K10" s="63"/>
      <c r="L10" s="63"/>
    </row>
    <row r="11" spans="1:12" x14ac:dyDescent="0.25">
      <c r="A11" s="63" t="s">
        <v>7</v>
      </c>
      <c r="B11" s="63"/>
      <c r="C11" s="63"/>
      <c r="D11" s="63"/>
      <c r="E11" s="63" t="s">
        <v>180</v>
      </c>
      <c r="F11" s="63"/>
      <c r="G11" s="63"/>
      <c r="H11" s="63"/>
    </row>
    <row r="12" spans="1:12" x14ac:dyDescent="0.25">
      <c r="A12" s="102" t="s">
        <v>8</v>
      </c>
      <c r="B12" s="102"/>
      <c r="C12" s="102"/>
      <c r="D12" s="102"/>
      <c r="E12" s="137" t="s">
        <v>181</v>
      </c>
      <c r="F12" s="137"/>
      <c r="G12" s="137"/>
      <c r="H12" s="137"/>
    </row>
    <row r="13" spans="1:12" ht="32.25" customHeight="1" x14ac:dyDescent="0.25">
      <c r="A13" s="102" t="s">
        <v>238</v>
      </c>
      <c r="B13" s="102"/>
      <c r="C13" s="102"/>
      <c r="D13" s="102"/>
      <c r="E13" s="137" t="s">
        <v>237</v>
      </c>
      <c r="F13" s="63"/>
      <c r="G13" s="63"/>
      <c r="H13" s="63"/>
    </row>
    <row r="14" spans="1:12" ht="48.75" customHeight="1" x14ac:dyDescent="0.25">
      <c r="A14" s="132" t="s">
        <v>9</v>
      </c>
      <c r="B14" s="132"/>
      <c r="C14" s="13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Integrated Ramicon, CTS No.57A &amp; 57C, near Asmi Industrial Complex, Internal Road, Mahatma Jyotiba Phule Nagar Jogeshwari West, Goregaon, Ram Mandir West, Borivali, Mumbai - 400104.</v>
      </c>
      <c r="D14" s="132"/>
      <c r="E14" s="132"/>
      <c r="F14" s="132"/>
      <c r="G14" s="132"/>
      <c r="H14" s="132"/>
    </row>
    <row r="15" spans="1:12" x14ac:dyDescent="0.25">
      <c r="A15" s="137" t="s">
        <v>188</v>
      </c>
      <c r="B15" s="137"/>
      <c r="C15" s="137" t="s">
        <v>227</v>
      </c>
      <c r="D15" s="137"/>
      <c r="E15" s="137"/>
      <c r="F15" s="137"/>
      <c r="G15" s="137"/>
      <c r="H15" s="137"/>
    </row>
    <row r="16" spans="1:12" ht="15.75" customHeight="1" x14ac:dyDescent="0.25">
      <c r="A16" s="137" t="s">
        <v>171</v>
      </c>
      <c r="B16" s="137"/>
      <c r="C16" s="137" t="s">
        <v>190</v>
      </c>
      <c r="D16" s="137"/>
      <c r="E16" s="137"/>
      <c r="F16" s="137"/>
      <c r="G16" s="137"/>
      <c r="H16" s="137"/>
    </row>
    <row r="17" spans="1:10" ht="15.75" customHeight="1" x14ac:dyDescent="0.25">
      <c r="A17" s="132" t="s">
        <v>10</v>
      </c>
      <c r="B17" s="132"/>
      <c r="C17" s="63" t="s">
        <v>183</v>
      </c>
      <c r="D17" s="63"/>
      <c r="E17" s="132" t="s">
        <v>74</v>
      </c>
      <c r="F17" s="132"/>
      <c r="G17" s="137" t="s">
        <v>191</v>
      </c>
      <c r="H17" s="137"/>
    </row>
    <row r="18" spans="1:10" x14ac:dyDescent="0.25">
      <c r="A18" s="102" t="s">
        <v>12</v>
      </c>
      <c r="B18" s="102"/>
      <c r="C18" s="137" t="s">
        <v>192</v>
      </c>
      <c r="D18" s="137"/>
      <c r="E18" s="132" t="s">
        <v>11</v>
      </c>
      <c r="F18" s="132"/>
      <c r="G18" s="169" t="s">
        <v>189</v>
      </c>
      <c r="H18" s="169"/>
    </row>
    <row r="19" spans="1:10" x14ac:dyDescent="0.25">
      <c r="A19" s="102" t="s">
        <v>75</v>
      </c>
      <c r="B19" s="102"/>
      <c r="C19" s="137" t="s">
        <v>193</v>
      </c>
      <c r="D19" s="137"/>
      <c r="E19" s="132" t="s">
        <v>13</v>
      </c>
      <c r="F19" s="132"/>
      <c r="G19" s="137">
        <v>400104</v>
      </c>
      <c r="H19" s="137"/>
    </row>
    <row r="20" spans="1:10" ht="32.25" customHeight="1" x14ac:dyDescent="0.25">
      <c r="A20" s="102" t="s">
        <v>126</v>
      </c>
      <c r="B20" s="102"/>
      <c r="C20" s="137" t="s">
        <v>194</v>
      </c>
      <c r="D20" s="137"/>
      <c r="E20" s="132" t="s">
        <v>14</v>
      </c>
      <c r="F20" s="132"/>
      <c r="G20" s="137" t="s">
        <v>226</v>
      </c>
      <c r="H20" s="137"/>
    </row>
    <row r="21" spans="1:10" ht="15" customHeight="1" x14ac:dyDescent="0.25">
      <c r="A21" s="132" t="s">
        <v>78</v>
      </c>
      <c r="B21" s="132"/>
      <c r="C21" s="132"/>
      <c r="D21" s="132"/>
      <c r="E21" s="63" t="s">
        <v>15</v>
      </c>
      <c r="F21" s="63"/>
      <c r="G21" s="63"/>
      <c r="H21" s="63"/>
    </row>
    <row r="22" spans="1:10" ht="18.75" customHeight="1" x14ac:dyDescent="0.25">
      <c r="A22" s="132"/>
      <c r="B22" s="132"/>
      <c r="C22" s="132"/>
      <c r="D22" s="132"/>
      <c r="E22" s="63"/>
      <c r="F22" s="63"/>
      <c r="G22" s="63"/>
      <c r="H22" s="63"/>
    </row>
    <row r="23" spans="1:10" ht="15" customHeight="1" x14ac:dyDescent="0.25">
      <c r="A23" s="132" t="s">
        <v>16</v>
      </c>
      <c r="B23" s="132"/>
      <c r="C23" s="132"/>
      <c r="D23" s="132"/>
      <c r="E23" s="137" t="s">
        <v>17</v>
      </c>
      <c r="F23" s="137"/>
      <c r="G23" s="137"/>
      <c r="H23" s="137"/>
    </row>
    <row r="24" spans="1:10" ht="15" customHeight="1" x14ac:dyDescent="0.25">
      <c r="A24" s="102" t="s">
        <v>18</v>
      </c>
      <c r="B24" s="102"/>
      <c r="C24" s="102"/>
      <c r="D24" s="102"/>
      <c r="E24" s="137" t="str">
        <f>IF(AND(G18="Mumbai"),"Upper Class","Middle Class")</f>
        <v>Upper Class</v>
      </c>
      <c r="F24" s="137"/>
      <c r="G24" s="137"/>
      <c r="H24" s="137"/>
    </row>
    <row r="25" spans="1:10" x14ac:dyDescent="0.25">
      <c r="A25" s="102" t="s">
        <v>19</v>
      </c>
      <c r="B25" s="102"/>
      <c r="C25" s="102"/>
      <c r="D25" s="102"/>
      <c r="E25" s="137" t="s">
        <v>20</v>
      </c>
      <c r="F25" s="137"/>
      <c r="G25" s="137"/>
      <c r="H25" s="137"/>
      <c r="J25" s="56"/>
    </row>
    <row r="26" spans="1:10" ht="15.75" customHeight="1" x14ac:dyDescent="0.25">
      <c r="A26" s="102" t="s">
        <v>21</v>
      </c>
      <c r="B26" s="102"/>
      <c r="C26" s="102"/>
      <c r="D26" s="102"/>
      <c r="E26" s="137" t="str">
        <f>IF(AND(G18="Mumbai"),"Developed","Developing")</f>
        <v>Developed</v>
      </c>
      <c r="F26" s="137"/>
      <c r="G26" s="137"/>
      <c r="H26" s="137"/>
    </row>
    <row r="27" spans="1:10" x14ac:dyDescent="0.25">
      <c r="A27" s="102" t="s">
        <v>22</v>
      </c>
      <c r="B27" s="102"/>
      <c r="C27" s="102"/>
      <c r="D27" s="102"/>
      <c r="E27" s="137" t="s">
        <v>23</v>
      </c>
      <c r="F27" s="137"/>
      <c r="G27" s="137"/>
      <c r="H27" s="137"/>
    </row>
    <row r="28" spans="1:10" ht="15.75" customHeight="1" x14ac:dyDescent="0.25">
      <c r="A28" s="102" t="s">
        <v>83</v>
      </c>
      <c r="B28" s="102"/>
      <c r="C28" s="102"/>
      <c r="D28" s="102"/>
      <c r="E28" s="137" t="s">
        <v>84</v>
      </c>
      <c r="F28" s="137"/>
      <c r="G28" s="137"/>
      <c r="H28" s="137"/>
    </row>
    <row r="29" spans="1:10" ht="15" customHeight="1" x14ac:dyDescent="0.25">
      <c r="A29" s="102" t="s">
        <v>32</v>
      </c>
      <c r="B29" s="102"/>
      <c r="C29" s="102"/>
      <c r="D29" s="102"/>
      <c r="E29" s="13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37"/>
      <c r="G29" s="137"/>
      <c r="H29" s="137"/>
    </row>
    <row r="30" spans="1:10" ht="15.75" customHeight="1" x14ac:dyDescent="0.25">
      <c r="A30" s="102" t="s">
        <v>95</v>
      </c>
      <c r="B30" s="102"/>
      <c r="C30" s="102"/>
      <c r="D30" s="102"/>
      <c r="E30" s="137" t="s">
        <v>33</v>
      </c>
      <c r="F30" s="137"/>
      <c r="G30" s="137"/>
      <c r="H30" s="137"/>
    </row>
    <row r="31" spans="1:10" s="22" customFormat="1" x14ac:dyDescent="0.25">
      <c r="A31" s="168" t="s">
        <v>96</v>
      </c>
      <c r="B31" s="168"/>
      <c r="C31" s="166" t="s">
        <v>28</v>
      </c>
      <c r="D31" s="166"/>
      <c r="E31" s="166"/>
      <c r="F31" s="166" t="s">
        <v>30</v>
      </c>
      <c r="G31" s="166"/>
      <c r="H31" s="166"/>
    </row>
    <row r="32" spans="1:10" s="22" customFormat="1" ht="33" customHeight="1" x14ac:dyDescent="0.25">
      <c r="A32" s="167" t="s">
        <v>24</v>
      </c>
      <c r="B32" s="167" t="s">
        <v>29</v>
      </c>
      <c r="C32" s="167" t="s">
        <v>29</v>
      </c>
      <c r="D32" s="167"/>
      <c r="E32" s="167"/>
      <c r="F32" s="131" t="s">
        <v>184</v>
      </c>
      <c r="G32" s="131"/>
      <c r="H32" s="131"/>
    </row>
    <row r="33" spans="1:8" x14ac:dyDescent="0.25">
      <c r="A33" s="128" t="s">
        <v>25</v>
      </c>
      <c r="B33" s="128" t="s">
        <v>29</v>
      </c>
      <c r="C33" s="129" t="s">
        <v>29</v>
      </c>
      <c r="D33" s="129"/>
      <c r="E33" s="129"/>
      <c r="F33" s="129" t="s">
        <v>185</v>
      </c>
      <c r="G33" s="129"/>
      <c r="H33" s="129"/>
    </row>
    <row r="34" spans="1:8" s="22" customFormat="1" x14ac:dyDescent="0.25">
      <c r="A34" s="128" t="s">
        <v>27</v>
      </c>
      <c r="B34" s="128" t="s">
        <v>29</v>
      </c>
      <c r="C34" s="129" t="s">
        <v>29</v>
      </c>
      <c r="D34" s="129"/>
      <c r="E34" s="129"/>
      <c r="F34" s="129" t="s">
        <v>186</v>
      </c>
      <c r="G34" s="129"/>
      <c r="H34" s="129"/>
    </row>
    <row r="35" spans="1:8" x14ac:dyDescent="0.25">
      <c r="A35" s="128" t="s">
        <v>26</v>
      </c>
      <c r="B35" s="128" t="s">
        <v>29</v>
      </c>
      <c r="C35" s="129" t="s">
        <v>29</v>
      </c>
      <c r="D35" s="129"/>
      <c r="E35" s="129"/>
      <c r="F35" s="129" t="s">
        <v>187</v>
      </c>
      <c r="G35" s="129"/>
      <c r="H35" s="129"/>
    </row>
    <row r="36" spans="1:8" x14ac:dyDescent="0.25">
      <c r="A36" s="102" t="s">
        <v>31</v>
      </c>
      <c r="B36" s="102"/>
      <c r="C36" s="102"/>
      <c r="D36" s="102"/>
      <c r="E36" s="102"/>
      <c r="F36" s="102"/>
      <c r="G36" s="102"/>
      <c r="H36" s="102"/>
    </row>
    <row r="37" spans="1:8" ht="15.75" customHeight="1" x14ac:dyDescent="0.25">
      <c r="A37" s="102" t="s">
        <v>175</v>
      </c>
      <c r="B37" s="102"/>
      <c r="C37" s="111" t="s">
        <v>235</v>
      </c>
      <c r="D37" s="111"/>
      <c r="E37" s="111"/>
      <c r="F37" s="111"/>
      <c r="G37" s="111"/>
      <c r="H37" s="111"/>
    </row>
    <row r="38" spans="1:8" x14ac:dyDescent="0.25">
      <c r="A38" s="102" t="s">
        <v>170</v>
      </c>
      <c r="B38" s="102"/>
      <c r="C38" s="136" t="s">
        <v>182</v>
      </c>
      <c r="D38" s="137"/>
      <c r="E38" s="137"/>
      <c r="F38" s="137"/>
      <c r="G38" s="137"/>
      <c r="H38" s="137"/>
    </row>
    <row r="39" spans="1:8" x14ac:dyDescent="0.25">
      <c r="A39" s="111" t="s">
        <v>34</v>
      </c>
      <c r="B39" s="111"/>
      <c r="C39" s="111"/>
      <c r="D39" s="111"/>
      <c r="E39" s="111"/>
      <c r="F39" s="111"/>
      <c r="G39" s="111"/>
      <c r="H39" s="111"/>
    </row>
    <row r="40" spans="1:8" x14ac:dyDescent="0.25">
      <c r="A40" s="102" t="s">
        <v>35</v>
      </c>
      <c r="B40" s="102"/>
      <c r="C40" s="102"/>
      <c r="D40" s="102"/>
      <c r="E40" s="130">
        <v>7269.19</v>
      </c>
      <c r="F40" s="130"/>
      <c r="G40" s="130"/>
      <c r="H40" s="130"/>
    </row>
    <row r="41" spans="1:8" x14ac:dyDescent="0.25">
      <c r="A41" s="102" t="s">
        <v>36</v>
      </c>
      <c r="B41" s="102"/>
      <c r="C41" s="102"/>
      <c r="D41" s="102"/>
      <c r="E41" s="134">
        <v>1.5</v>
      </c>
      <c r="F41" s="134"/>
      <c r="G41" s="134"/>
      <c r="H41" s="134"/>
    </row>
    <row r="42" spans="1:8" x14ac:dyDescent="0.25">
      <c r="A42" s="102" t="s">
        <v>37</v>
      </c>
      <c r="B42" s="102"/>
      <c r="C42" s="102"/>
      <c r="D42" s="102"/>
      <c r="E42" s="134">
        <f>E44/E40-E41</f>
        <v>1.4781144804304196</v>
      </c>
      <c r="F42" s="134"/>
      <c r="G42" s="134"/>
      <c r="H42" s="134"/>
    </row>
    <row r="43" spans="1:8" x14ac:dyDescent="0.25">
      <c r="A43" s="102" t="s">
        <v>38</v>
      </c>
      <c r="B43" s="102"/>
      <c r="C43" s="102"/>
      <c r="D43" s="102"/>
      <c r="E43" s="134">
        <f>E41+E42</f>
        <v>2.9781144804304196</v>
      </c>
      <c r="F43" s="134"/>
      <c r="G43" s="134"/>
      <c r="H43" s="134"/>
    </row>
    <row r="44" spans="1:8" x14ac:dyDescent="0.25">
      <c r="A44" s="102" t="s">
        <v>94</v>
      </c>
      <c r="B44" s="102"/>
      <c r="C44" s="102"/>
      <c r="D44" s="102"/>
      <c r="E44" s="135">
        <v>21648.48</v>
      </c>
      <c r="F44" s="135"/>
      <c r="G44" s="135"/>
      <c r="H44" s="135"/>
    </row>
    <row r="45" spans="1:8" x14ac:dyDescent="0.25">
      <c r="A45" s="63" t="s">
        <v>39</v>
      </c>
      <c r="B45" s="63"/>
      <c r="C45" s="63"/>
      <c r="D45" s="63"/>
      <c r="E45" s="63" t="s">
        <v>195</v>
      </c>
      <c r="F45" s="63"/>
      <c r="G45" s="63"/>
      <c r="H45" s="63"/>
    </row>
    <row r="46" spans="1:8" x14ac:dyDescent="0.25">
      <c r="A46" s="111" t="s">
        <v>40</v>
      </c>
      <c r="B46" s="111"/>
      <c r="C46" s="111"/>
      <c r="D46" s="111"/>
      <c r="E46" s="111"/>
      <c r="F46" s="111"/>
      <c r="G46" s="111"/>
      <c r="H46" s="111"/>
    </row>
    <row r="47" spans="1:8" ht="33.75" customHeight="1" x14ac:dyDescent="0.25">
      <c r="A47" s="94" t="s">
        <v>158</v>
      </c>
      <c r="B47" s="95"/>
      <c r="C47" s="96" t="s">
        <v>196</v>
      </c>
      <c r="D47" s="97"/>
      <c r="E47" s="97"/>
      <c r="F47" s="97"/>
      <c r="G47" s="97"/>
      <c r="H47" s="98"/>
    </row>
    <row r="48" spans="1:8" ht="15.75" customHeight="1" x14ac:dyDescent="0.25">
      <c r="A48" s="94" t="s">
        <v>41</v>
      </c>
      <c r="B48" s="95"/>
      <c r="C48" s="94" t="s">
        <v>197</v>
      </c>
      <c r="D48" s="133"/>
      <c r="E48" s="95"/>
      <c r="F48" s="18" t="s">
        <v>42</v>
      </c>
      <c r="G48" s="143">
        <v>44743</v>
      </c>
      <c r="H48" s="95"/>
    </row>
    <row r="49" spans="1:14" x14ac:dyDescent="0.25">
      <c r="A49" s="94" t="s">
        <v>43</v>
      </c>
      <c r="B49" s="95"/>
      <c r="C49" s="94" t="str">
        <f>C48</f>
        <v>TCP(P-2)/ODC/CC/3.156/II/560/2022</v>
      </c>
      <c r="D49" s="133"/>
      <c r="E49" s="95"/>
      <c r="F49" s="18" t="s">
        <v>42</v>
      </c>
      <c r="G49" s="143">
        <f>G48</f>
        <v>44743</v>
      </c>
      <c r="H49" s="144"/>
    </row>
    <row r="50" spans="1:14" s="23" customFormat="1" ht="15.75" customHeight="1" x14ac:dyDescent="0.25">
      <c r="A50" s="145" t="s">
        <v>162</v>
      </c>
      <c r="B50" s="146"/>
      <c r="C50" s="94" t="str">
        <f>C49</f>
        <v>TCP(P-2)/ODC/CC/3.156/II/560/2022</v>
      </c>
      <c r="D50" s="133"/>
      <c r="E50" s="95"/>
      <c r="F50" s="18" t="s">
        <v>42</v>
      </c>
      <c r="G50" s="143">
        <f>G49</f>
        <v>44743</v>
      </c>
      <c r="H50" s="144"/>
    </row>
    <row r="51" spans="1:14" s="23" customFormat="1" ht="67.5" customHeight="1" x14ac:dyDescent="0.25">
      <c r="A51" s="147"/>
      <c r="B51" s="148"/>
      <c r="C51" s="94" t="s">
        <v>198</v>
      </c>
      <c r="D51" s="133"/>
      <c r="E51" s="133"/>
      <c r="F51" s="133"/>
      <c r="G51" s="133"/>
      <c r="H51" s="95"/>
    </row>
    <row r="52" spans="1:14" x14ac:dyDescent="0.25">
      <c r="A52" s="196" t="s">
        <v>44</v>
      </c>
      <c r="B52" s="197"/>
      <c r="C52" s="196" t="s">
        <v>106</v>
      </c>
      <c r="D52" s="198"/>
      <c r="E52" s="197"/>
      <c r="F52" s="46" t="s">
        <v>42</v>
      </c>
      <c r="G52" s="199" t="s">
        <v>29</v>
      </c>
      <c r="H52" s="200"/>
    </row>
    <row r="53" spans="1:14" x14ac:dyDescent="0.25">
      <c r="A53" s="176" t="s">
        <v>46</v>
      </c>
      <c r="B53" s="176"/>
      <c r="C53" s="176"/>
      <c r="D53" s="176"/>
      <c r="E53" s="176"/>
      <c r="F53" s="176"/>
      <c r="G53" s="176"/>
      <c r="H53" s="176"/>
    </row>
    <row r="54" spans="1:14" x14ac:dyDescent="0.25">
      <c r="A54" s="132" t="s">
        <v>93</v>
      </c>
      <c r="B54" s="132"/>
      <c r="C54" s="132"/>
      <c r="D54" s="102">
        <f>E44</f>
        <v>21648.48</v>
      </c>
      <c r="E54" s="102"/>
      <c r="F54" s="102"/>
      <c r="G54" s="102"/>
      <c r="H54" s="102"/>
    </row>
    <row r="55" spans="1:14" x14ac:dyDescent="0.25">
      <c r="A55" s="137" t="s">
        <v>47</v>
      </c>
      <c r="B55" s="63"/>
      <c r="C55" s="63"/>
      <c r="D55" s="63" t="s">
        <v>225</v>
      </c>
      <c r="E55" s="63"/>
      <c r="F55" s="63"/>
      <c r="G55" s="63"/>
      <c r="H55" s="63"/>
      <c r="I55" s="24"/>
    </row>
    <row r="56" spans="1:14" ht="66" customHeight="1" x14ac:dyDescent="0.25">
      <c r="A56" s="140" t="s">
        <v>48</v>
      </c>
      <c r="B56" s="141"/>
      <c r="C56" s="142"/>
      <c r="D56" s="138" t="s">
        <v>198</v>
      </c>
      <c r="E56" s="139"/>
      <c r="F56" s="139"/>
      <c r="G56" s="139"/>
      <c r="H56" s="139"/>
    </row>
    <row r="57" spans="1:14" ht="33" customHeight="1" x14ac:dyDescent="0.25">
      <c r="A57" s="140" t="s">
        <v>91</v>
      </c>
      <c r="B57" s="141"/>
      <c r="C57" s="141"/>
      <c r="D57" s="140" t="s">
        <v>199</v>
      </c>
      <c r="E57" s="141"/>
      <c r="F57" s="141"/>
      <c r="G57" s="141"/>
      <c r="H57" s="142"/>
    </row>
    <row r="58" spans="1:14" ht="33" customHeight="1" x14ac:dyDescent="0.25">
      <c r="A58" s="191"/>
      <c r="B58" s="192"/>
      <c r="C58" s="192"/>
      <c r="D58" s="193" t="s">
        <v>200</v>
      </c>
      <c r="E58" s="194"/>
      <c r="F58" s="194"/>
      <c r="G58" s="194"/>
      <c r="H58" s="195"/>
    </row>
    <row r="59" spans="1:14" ht="34.5" customHeight="1" x14ac:dyDescent="0.25">
      <c r="A59" s="102" t="s">
        <v>45</v>
      </c>
      <c r="B59" s="102"/>
      <c r="C59" s="102"/>
      <c r="D59" s="132" t="s">
        <v>239</v>
      </c>
      <c r="E59" s="132"/>
      <c r="F59" s="132"/>
      <c r="G59" s="132"/>
      <c r="H59" s="132"/>
      <c r="J59" s="25"/>
      <c r="K59" s="24"/>
      <c r="N59" s="24"/>
    </row>
    <row r="60" spans="1:14" ht="15.75" customHeight="1" x14ac:dyDescent="0.25">
      <c r="A60" s="102" t="s">
        <v>89</v>
      </c>
      <c r="B60" s="102"/>
      <c r="C60" s="102"/>
      <c r="D60" s="149" t="str">
        <f>(IF(G52="NA","60 Years After Completion",IF(G52&lt;&gt;"NA",""&amp;60-ROUNDDOWN((E3-G52)/360,0)&amp;" Years"," ")))</f>
        <v>60 Years After Completion</v>
      </c>
      <c r="E60" s="149"/>
      <c r="F60" s="149"/>
      <c r="G60" s="149"/>
      <c r="H60" s="149"/>
      <c r="N60" s="24"/>
    </row>
    <row r="61" spans="1:14" ht="15.75" customHeight="1" x14ac:dyDescent="0.25">
      <c r="A61" s="102" t="s">
        <v>90</v>
      </c>
      <c r="B61" s="102"/>
      <c r="C61" s="102"/>
      <c r="D61" s="132" t="s">
        <v>23</v>
      </c>
      <c r="E61" s="132"/>
      <c r="F61" s="132"/>
      <c r="G61" s="132"/>
      <c r="H61" s="132"/>
      <c r="J61" s="26"/>
      <c r="K61" s="26"/>
    </row>
    <row r="62" spans="1:14" ht="102.75" customHeight="1" x14ac:dyDescent="0.25">
      <c r="A62" s="102" t="s">
        <v>76</v>
      </c>
      <c r="B62" s="102"/>
      <c r="C62" s="102"/>
      <c r="D62" s="137" t="s">
        <v>201</v>
      </c>
      <c r="E62" s="132"/>
      <c r="F62" s="132"/>
      <c r="G62" s="132"/>
      <c r="H62" s="132"/>
    </row>
    <row r="63" spans="1:14" x14ac:dyDescent="0.25">
      <c r="A63" s="132" t="s">
        <v>154</v>
      </c>
      <c r="B63" s="132"/>
      <c r="C63" s="132"/>
      <c r="D63" s="132" t="s">
        <v>29</v>
      </c>
      <c r="E63" s="132"/>
      <c r="F63" s="132"/>
      <c r="G63" s="132"/>
      <c r="H63" s="132"/>
      <c r="I63" s="27"/>
      <c r="J63" s="27"/>
      <c r="K63" s="27"/>
      <c r="L63" s="27"/>
      <c r="M63" s="27"/>
      <c r="N63" s="27"/>
    </row>
    <row r="64" spans="1:14" ht="15.75" customHeight="1" x14ac:dyDescent="0.25">
      <c r="A64" s="154" t="s">
        <v>88</v>
      </c>
      <c r="B64" s="154"/>
      <c r="C64" s="154"/>
      <c r="D64" s="138" t="str">
        <f ca="1">(IF(G84&gt;95%,"Nothing",IF(G84&gt;0%,"Cement, Aggregate, Steel, etc",IF(G84=0%,"Work not yet Started"))))</f>
        <v>Cement, Aggregate, Steel, etc</v>
      </c>
      <c r="E64" s="138"/>
      <c r="F64" s="138"/>
      <c r="G64" s="138"/>
      <c r="H64" s="138"/>
      <c r="J64" s="26"/>
    </row>
    <row r="65" spans="1:10" ht="33.75" customHeight="1" thickBot="1" x14ac:dyDescent="0.3">
      <c r="A65" s="153" t="s">
        <v>119</v>
      </c>
      <c r="B65" s="153"/>
      <c r="C65" s="153"/>
      <c r="D65" s="138" t="str">
        <f ca="1">(IF(D64="Nothing","Yes",IF(D64="Cement, Aggregate, Steel, etc","Under Construction",IF(D64="Work not yet Started","Work not yet Started"))))</f>
        <v>Under Construction</v>
      </c>
      <c r="E65" s="138"/>
      <c r="F65" s="138" t="str">
        <f ca="1">(IF(D64="Nothing","Yes",IF(D64="Cement, Aggregate, Steel, etc","Under Construction",IF(D64="Work not yet Started","Work not yet Started"))))</f>
        <v>Under Construction</v>
      </c>
      <c r="G65" s="138"/>
      <c r="H65" s="138"/>
    </row>
    <row r="66" spans="1:10" ht="30.75" customHeight="1" x14ac:dyDescent="0.25">
      <c r="A66" s="180" t="s">
        <v>144</v>
      </c>
      <c r="B66" s="181"/>
      <c r="C66" s="150" t="str">
        <f>D57</f>
        <v>A Wing = LB + UP + Gr + 1st to 5th Service Floor + 1st Part Podium + 2nd to 9th Floor</v>
      </c>
      <c r="D66" s="151"/>
      <c r="E66" s="151"/>
      <c r="F66" s="151"/>
      <c r="G66" s="151"/>
      <c r="H66" s="152"/>
      <c r="I66" s="48" t="str">
        <f ca="1">IF(D79=100%,"All work Completed. Possession granted to the Building.",IF(D78=100%,"All work Completed, Waiting for OC",I67&amp;""&amp;I68&amp;""&amp;J67&amp;""&amp;J66&amp;" "&amp;J68))</f>
        <v>Excavation, Plinth Completed, RCC upto 1 Slab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 Slab</v>
      </c>
    </row>
    <row r="67" spans="1:10" x14ac:dyDescent="0.25">
      <c r="A67" s="16" t="s">
        <v>146</v>
      </c>
      <c r="B67" s="52">
        <v>2</v>
      </c>
      <c r="C67" s="52" t="s">
        <v>73</v>
      </c>
      <c r="D67" s="52">
        <v>1</v>
      </c>
      <c r="E67" s="52" t="s">
        <v>72</v>
      </c>
      <c r="F67" s="52">
        <v>5</v>
      </c>
      <c r="G67" s="52" t="s">
        <v>82</v>
      </c>
      <c r="H67" s="17">
        <f ca="1">--TRIM(RIGHT(SUBSTITUTE(LEFT(C66,_xlfn.AGGREGATE(16,6,FIND({0,1,2,3,4,5,6,7,8,9},C66,ROW(INDIRECT("1:"&amp;LEN(C66)))),1))," ",REPT(" ",LEN(C66))),LEN(C66)))</f>
        <v>9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106" t="s">
        <v>92</v>
      </c>
      <c r="B68" s="107"/>
      <c r="C68" s="126" t="str">
        <f ca="1">I66</f>
        <v>Excavation, Plinth Completed, RCC upto 1 Slab Completed</v>
      </c>
      <c r="D68" s="126"/>
      <c r="E68" s="126"/>
      <c r="F68" s="126"/>
      <c r="G68" s="126"/>
      <c r="H68" s="127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25">
      <c r="A69" s="118" t="s">
        <v>49</v>
      </c>
      <c r="B69" s="100"/>
      <c r="C69" s="44" t="s">
        <v>143</v>
      </c>
      <c r="D69" s="44" t="s">
        <v>85</v>
      </c>
      <c r="E69" s="100" t="s">
        <v>87</v>
      </c>
      <c r="F69" s="100"/>
      <c r="G69" s="100" t="s">
        <v>86</v>
      </c>
      <c r="H69" s="110"/>
      <c r="I69" s="14" t="s">
        <v>145</v>
      </c>
      <c r="J69" s="28">
        <f ca="1">H67*25%</f>
        <v>2.25</v>
      </c>
    </row>
    <row r="70" spans="1:10" x14ac:dyDescent="0.25">
      <c r="A70" s="118" t="s">
        <v>132</v>
      </c>
      <c r="B70" s="100"/>
      <c r="C70" s="44">
        <f ca="1">J71</f>
        <v>9</v>
      </c>
      <c r="D70" s="19">
        <f ca="1">((100/H67)*C70)/100</f>
        <v>1</v>
      </c>
      <c r="E70" s="155">
        <f ca="1">(((C71/H67*10)+(40/(D67+F67+H67)*C72)+(7.5/(H67)*C73)+(7.5/(H67)*C74)+(10/H67*C75)+(10/H67*C76)+(5/H67*C77)+(5/H67*C78)+(5/H67*C79))/100)</f>
        <v>0.12666666666666665</v>
      </c>
      <c r="F70" s="156"/>
      <c r="G70" s="155">
        <f ca="1">((((C70/H67)*20)+((C71/H67)*25)+(30/(H67+F67+D67)*C72)+(5/H67*C73)+(5/H67*C74)+(5/H67*C75)+(5/H67*C76)+(0/H67*C77)+(0/H67*C78)+(5/H67*C79))/100)</f>
        <v>0.47</v>
      </c>
      <c r="H70" s="161"/>
      <c r="I70" s="14" t="s">
        <v>101</v>
      </c>
      <c r="J70" s="29">
        <f ca="1">H67*50%</f>
        <v>4.5</v>
      </c>
    </row>
    <row r="71" spans="1:10" x14ac:dyDescent="0.25">
      <c r="A71" s="118" t="s">
        <v>50</v>
      </c>
      <c r="B71" s="100"/>
      <c r="C71" s="59">
        <f ca="1">J79</f>
        <v>9</v>
      </c>
      <c r="D71" s="19">
        <f ca="1">((100/H67)*C71)/100</f>
        <v>1</v>
      </c>
      <c r="E71" s="157"/>
      <c r="F71" s="158"/>
      <c r="G71" s="157"/>
      <c r="H71" s="162"/>
      <c r="I71" s="14" t="s">
        <v>102</v>
      </c>
      <c r="J71" s="29">
        <f ca="1">H67</f>
        <v>9</v>
      </c>
    </row>
    <row r="72" spans="1:10" ht="15.75" customHeight="1" x14ac:dyDescent="0.25">
      <c r="A72" s="118" t="s">
        <v>133</v>
      </c>
      <c r="B72" s="100"/>
      <c r="C72" s="44">
        <v>1</v>
      </c>
      <c r="D72" s="19">
        <f ca="1">((100/(D67+F67+H67))*C72)/100</f>
        <v>6.6666666666666666E-2</v>
      </c>
      <c r="E72" s="157"/>
      <c r="F72" s="158"/>
      <c r="G72" s="157"/>
      <c r="H72" s="162"/>
      <c r="I72" s="14" t="s">
        <v>103</v>
      </c>
      <c r="J72" s="30">
        <f ca="1">(IF(B67&gt;1,(H67/(B67+2)),H67/4))</f>
        <v>2.25</v>
      </c>
    </row>
    <row r="73" spans="1:10" ht="15.75" customHeight="1" x14ac:dyDescent="0.25">
      <c r="A73" s="118" t="s">
        <v>140</v>
      </c>
      <c r="B73" s="100" t="s">
        <v>134</v>
      </c>
      <c r="C73" s="44">
        <v>0</v>
      </c>
      <c r="D73" s="19">
        <f ca="1">((100/H67)*C73)/100</f>
        <v>0</v>
      </c>
      <c r="E73" s="157"/>
      <c r="F73" s="158"/>
      <c r="G73" s="157"/>
      <c r="H73" s="162"/>
      <c r="I73" s="14" t="s">
        <v>104</v>
      </c>
      <c r="J73" s="30">
        <f ca="1">(IF(B67&gt;1,(H67/(B67+2)+J72),H67/4+J72))</f>
        <v>4.5</v>
      </c>
    </row>
    <row r="74" spans="1:10" ht="15.75" customHeight="1" x14ac:dyDescent="0.25">
      <c r="A74" s="118" t="s">
        <v>141</v>
      </c>
      <c r="B74" s="100" t="s">
        <v>134</v>
      </c>
      <c r="C74" s="44">
        <v>0</v>
      </c>
      <c r="D74" s="19">
        <f ca="1">((100/H67)*C74)/100</f>
        <v>0</v>
      </c>
      <c r="E74" s="157"/>
      <c r="F74" s="158"/>
      <c r="G74" s="157"/>
      <c r="H74" s="162"/>
      <c r="I74" s="14" t="s">
        <v>152</v>
      </c>
      <c r="J74" s="30">
        <f ca="1">(IF(B67&gt;1,(H67/(B67+2)+J73),0))</f>
        <v>6.75</v>
      </c>
    </row>
    <row r="75" spans="1:10" ht="15" customHeight="1" x14ac:dyDescent="0.25">
      <c r="A75" s="118" t="s">
        <v>139</v>
      </c>
      <c r="B75" s="100" t="s">
        <v>136</v>
      </c>
      <c r="C75" s="44">
        <v>0</v>
      </c>
      <c r="D75" s="19">
        <f ca="1">((100/(H67))*C75)/100</f>
        <v>0</v>
      </c>
      <c r="E75" s="157"/>
      <c r="F75" s="158"/>
      <c r="G75" s="157"/>
      <c r="H75" s="162"/>
      <c r="I75" s="14" t="s">
        <v>147</v>
      </c>
      <c r="J75" s="30">
        <f>(IF(B67&gt;2,(H67/(B67+2)+J74),0))</f>
        <v>0</v>
      </c>
    </row>
    <row r="76" spans="1:10" ht="15.75" customHeight="1" x14ac:dyDescent="0.25">
      <c r="A76" s="118" t="s">
        <v>135</v>
      </c>
      <c r="B76" s="100" t="s">
        <v>135</v>
      </c>
      <c r="C76" s="44">
        <v>0</v>
      </c>
      <c r="D76" s="19">
        <f ca="1">((100/H67)*C76)/100</f>
        <v>0</v>
      </c>
      <c r="E76" s="157"/>
      <c r="F76" s="158"/>
      <c r="G76" s="157"/>
      <c r="H76" s="162"/>
      <c r="I76" s="14" t="s">
        <v>148</v>
      </c>
      <c r="J76" s="31">
        <f>(IF(B67&gt;3,(H67/(B67+2)+J75),0))</f>
        <v>0</v>
      </c>
    </row>
    <row r="77" spans="1:10" ht="15.75" customHeight="1" x14ac:dyDescent="0.25">
      <c r="A77" s="118" t="s">
        <v>142</v>
      </c>
      <c r="B77" s="100"/>
      <c r="C77" s="44">
        <v>0</v>
      </c>
      <c r="D77" s="19">
        <f ca="1">((100/H67)*C77)/100</f>
        <v>0</v>
      </c>
      <c r="E77" s="157"/>
      <c r="F77" s="158"/>
      <c r="G77" s="157"/>
      <c r="H77" s="162"/>
      <c r="I77" s="14" t="s">
        <v>149</v>
      </c>
      <c r="J77" s="30">
        <f>(IF(B67&gt;4,(H67/(B67+2)+J76),0))</f>
        <v>0</v>
      </c>
    </row>
    <row r="78" spans="1:10" ht="15.75" customHeight="1" x14ac:dyDescent="0.25">
      <c r="A78" s="118" t="s">
        <v>137</v>
      </c>
      <c r="B78" s="100" t="s">
        <v>137</v>
      </c>
      <c r="C78" s="44">
        <v>0</v>
      </c>
      <c r="D78" s="19">
        <f ca="1">((100/(H67))*C78)/100</f>
        <v>0</v>
      </c>
      <c r="E78" s="157"/>
      <c r="F78" s="158"/>
      <c r="G78" s="157"/>
      <c r="H78" s="162"/>
      <c r="I78" s="14" t="s">
        <v>153</v>
      </c>
      <c r="J78" s="30">
        <f>(IF(B67=1,(H67/(B67+3)+J73),IF(B67=0,(H67/4+J73),IF(B67&gt;1,0))))</f>
        <v>0</v>
      </c>
    </row>
    <row r="79" spans="1:10" ht="16.5" thickBot="1" x14ac:dyDescent="0.3">
      <c r="A79" s="164" t="s">
        <v>138</v>
      </c>
      <c r="B79" s="165"/>
      <c r="C79" s="45">
        <v>0</v>
      </c>
      <c r="D79" s="20">
        <f ca="1">((100/(H67))*C79)/100</f>
        <v>0</v>
      </c>
      <c r="E79" s="159"/>
      <c r="F79" s="160"/>
      <c r="G79" s="159"/>
      <c r="H79" s="163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9</v>
      </c>
    </row>
    <row r="80" spans="1:10" ht="33" customHeight="1" x14ac:dyDescent="0.25">
      <c r="A80" s="202" t="s">
        <v>144</v>
      </c>
      <c r="B80" s="203"/>
      <c r="C80" s="150" t="str">
        <f>D58</f>
        <v>B Wing = LB + UP + Gr + 1st to 5th Service Floor + 1st Part Podium + 2nd to 35th Floor</v>
      </c>
      <c r="D80" s="151"/>
      <c r="E80" s="151"/>
      <c r="F80" s="151"/>
      <c r="G80" s="151"/>
      <c r="H80" s="152"/>
      <c r="I80" s="48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32 Floor, Flooring upto 11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32 Floor, Flooring upto 11 Floor</v>
      </c>
    </row>
    <row r="81" spans="1:16" x14ac:dyDescent="0.25">
      <c r="A81" s="16" t="s">
        <v>146</v>
      </c>
      <c r="B81" s="52">
        <v>2</v>
      </c>
      <c r="C81" s="52" t="s">
        <v>73</v>
      </c>
      <c r="D81" s="52">
        <v>1</v>
      </c>
      <c r="E81" s="52" t="s">
        <v>72</v>
      </c>
      <c r="F81" s="52">
        <v>5</v>
      </c>
      <c r="G81" s="52" t="s">
        <v>82</v>
      </c>
      <c r="H81" s="17">
        <f ca="1">--TRIM(RIGHT(SUBSTITUTE(LEFT(C80,_xlfn.AGGREGATE(16,6,FIND({0,1,2,3,4,5,6,7,8,9},C80,ROW(INDIRECT("1:"&amp;LEN(C80)))),1))," ",REPT(" ",LEN(C80))),LEN(C80)))</f>
        <v>35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6" ht="33.75" customHeight="1" x14ac:dyDescent="0.25">
      <c r="A82" s="106" t="s">
        <v>92</v>
      </c>
      <c r="B82" s="107"/>
      <c r="C82" s="126" t="str">
        <f ca="1">(IF($G$52="NA",I80,"All work Completed. OC Received."))</f>
        <v>Excavation, Plinth, RCC Slab, Brickwork, Internal Plaster Completed, External Plaster upto 32 Floor, Flooring upto 11 Floor Completed</v>
      </c>
      <c r="D82" s="126"/>
      <c r="E82" s="126"/>
      <c r="F82" s="126"/>
      <c r="G82" s="126"/>
      <c r="H82" s="127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6" ht="15.75" customHeight="1" x14ac:dyDescent="0.25">
      <c r="A83" s="118" t="s">
        <v>49</v>
      </c>
      <c r="B83" s="100"/>
      <c r="C83" s="44" t="s">
        <v>143</v>
      </c>
      <c r="D83" s="44" t="s">
        <v>85</v>
      </c>
      <c r="E83" s="100" t="s">
        <v>87</v>
      </c>
      <c r="F83" s="100"/>
      <c r="G83" s="100" t="s">
        <v>86</v>
      </c>
      <c r="H83" s="110"/>
      <c r="I83" s="14" t="s">
        <v>145</v>
      </c>
      <c r="J83" s="28">
        <f ca="1">H81*25%</f>
        <v>8.75</v>
      </c>
    </row>
    <row r="84" spans="1:16" x14ac:dyDescent="0.25">
      <c r="A84" s="100" t="s">
        <v>132</v>
      </c>
      <c r="B84" s="100"/>
      <c r="C84" s="62">
        <f ca="1">J85</f>
        <v>35</v>
      </c>
      <c r="D84" s="19">
        <f ca="1">((100/H81)*C84)/100</f>
        <v>1</v>
      </c>
      <c r="E84" s="99">
        <f ca="1">(((C85/H81*10)+(40/(D81+F81+H81)*C86)+(7.5/(H81)*C87)+(7.5/(H81)*C88)+(10/H81*C89)+(10/H81*C90)+(5/H81*C91)+(5/H81*C92)+(5/H81*C93))/100)</f>
        <v>0.7728571428571428</v>
      </c>
      <c r="F84" s="99"/>
      <c r="G84" s="99">
        <f ca="1">((((C84/H81)*20)+((C85/H81)*25)+(30/(H81+F81+D81)*C86)+(5/H81*C87)+(5/H81*C88)+(5/H81*C89)+(5/H81*C90)+(0/H81*C91)+(0/H81*C92)+(5/H81*C93))/100)</f>
        <v>0.91142857142857137</v>
      </c>
      <c r="H84" s="99"/>
      <c r="I84" s="14" t="s">
        <v>101</v>
      </c>
      <c r="J84" s="29">
        <f ca="1">H81*50%</f>
        <v>17.5</v>
      </c>
    </row>
    <row r="85" spans="1:16" x14ac:dyDescent="0.25">
      <c r="A85" s="100" t="s">
        <v>50</v>
      </c>
      <c r="B85" s="100"/>
      <c r="C85" s="62">
        <f ca="1">J93</f>
        <v>35</v>
      </c>
      <c r="D85" s="19">
        <f ca="1">((100/H81)*C85)/100</f>
        <v>1</v>
      </c>
      <c r="E85" s="99"/>
      <c r="F85" s="99"/>
      <c r="G85" s="99"/>
      <c r="H85" s="99"/>
      <c r="I85" s="14" t="s">
        <v>102</v>
      </c>
      <c r="J85" s="29">
        <f ca="1">H81</f>
        <v>35</v>
      </c>
    </row>
    <row r="86" spans="1:16" ht="15.75" customHeight="1" x14ac:dyDescent="0.25">
      <c r="A86" s="100" t="s">
        <v>133</v>
      </c>
      <c r="B86" s="100"/>
      <c r="C86" s="62">
        <f>D81+F81+35</f>
        <v>41</v>
      </c>
      <c r="D86" s="19">
        <f ca="1">((100/(D81+F81+H81))*C86)/100</f>
        <v>1</v>
      </c>
      <c r="E86" s="99"/>
      <c r="F86" s="99"/>
      <c r="G86" s="99"/>
      <c r="H86" s="99"/>
      <c r="I86" s="14" t="s">
        <v>103</v>
      </c>
      <c r="J86" s="30">
        <f ca="1">(IF(B81&gt;1,(H81/(B81+2)),H81/4))</f>
        <v>8.75</v>
      </c>
    </row>
    <row r="87" spans="1:16" ht="15.75" customHeight="1" x14ac:dyDescent="0.25">
      <c r="A87" s="100" t="s">
        <v>140</v>
      </c>
      <c r="B87" s="100" t="s">
        <v>134</v>
      </c>
      <c r="C87" s="62">
        <f>C86-D81-F81</f>
        <v>35</v>
      </c>
      <c r="D87" s="19">
        <f ca="1">((100/H81)*C87)/100</f>
        <v>1</v>
      </c>
      <c r="E87" s="99"/>
      <c r="F87" s="99"/>
      <c r="G87" s="99"/>
      <c r="H87" s="99"/>
      <c r="I87" s="14" t="s">
        <v>104</v>
      </c>
      <c r="J87" s="30">
        <f ca="1">(IF(B81&gt;1,(H81/(B81+2)+J86),H81/4+J86))</f>
        <v>17.5</v>
      </c>
    </row>
    <row r="88" spans="1:16" ht="15.75" customHeight="1" x14ac:dyDescent="0.25">
      <c r="A88" s="100" t="s">
        <v>141</v>
      </c>
      <c r="B88" s="100" t="s">
        <v>134</v>
      </c>
      <c r="C88" s="59">
        <v>35</v>
      </c>
      <c r="D88" s="19">
        <f ca="1">((100/H81)*C88)/100</f>
        <v>1</v>
      </c>
      <c r="E88" s="99"/>
      <c r="F88" s="99"/>
      <c r="G88" s="99"/>
      <c r="H88" s="99"/>
      <c r="I88" s="14" t="s">
        <v>152</v>
      </c>
      <c r="J88" s="30">
        <f ca="1">(IF(B81&gt;1,(H81/(B81+2)+J87),0))</f>
        <v>26.25</v>
      </c>
    </row>
    <row r="89" spans="1:16" ht="15" customHeight="1" x14ac:dyDescent="0.25">
      <c r="A89" s="100" t="s">
        <v>139</v>
      </c>
      <c r="B89" s="100" t="s">
        <v>136</v>
      </c>
      <c r="C89" s="59">
        <v>32</v>
      </c>
      <c r="D89" s="19">
        <f ca="1">((100/(H81))*C89)/100</f>
        <v>0.91428571428571426</v>
      </c>
      <c r="E89" s="99"/>
      <c r="F89" s="99"/>
      <c r="G89" s="99"/>
      <c r="H89" s="99"/>
      <c r="I89" s="14" t="s">
        <v>147</v>
      </c>
      <c r="J89" s="30">
        <f>(IF(B81&gt;2,(H81/(B81+2)+J88),0))</f>
        <v>0</v>
      </c>
    </row>
    <row r="90" spans="1:16" ht="15.75" customHeight="1" x14ac:dyDescent="0.25">
      <c r="A90" s="100" t="s">
        <v>135</v>
      </c>
      <c r="B90" s="100" t="s">
        <v>135</v>
      </c>
      <c r="C90" s="62">
        <v>11</v>
      </c>
      <c r="D90" s="19">
        <f ca="1">((100/H81)*C90)/100</f>
        <v>0.31428571428571428</v>
      </c>
      <c r="E90" s="99"/>
      <c r="F90" s="99"/>
      <c r="G90" s="99"/>
      <c r="H90" s="99"/>
      <c r="I90" s="14" t="s">
        <v>148</v>
      </c>
      <c r="J90" s="31">
        <f>(IF(B81&gt;3,(H81/(B81+2)+J89),0))</f>
        <v>0</v>
      </c>
    </row>
    <row r="91" spans="1:16" ht="15.75" customHeight="1" x14ac:dyDescent="0.25">
      <c r="A91" s="100" t="s">
        <v>142</v>
      </c>
      <c r="B91" s="100"/>
      <c r="C91" s="62">
        <v>0</v>
      </c>
      <c r="D91" s="19">
        <f ca="1">((100/H81)*C91)/100</f>
        <v>0</v>
      </c>
      <c r="E91" s="99"/>
      <c r="F91" s="99"/>
      <c r="G91" s="99"/>
      <c r="H91" s="99"/>
      <c r="I91" s="14" t="s">
        <v>149</v>
      </c>
      <c r="J91" s="30">
        <f>(IF(B81&gt;4,(H81/(B81+2)+J90),0))</f>
        <v>0</v>
      </c>
    </row>
    <row r="92" spans="1:16" ht="15.75" customHeight="1" x14ac:dyDescent="0.25">
      <c r="A92" s="100" t="s">
        <v>137</v>
      </c>
      <c r="B92" s="100" t="s">
        <v>137</v>
      </c>
      <c r="C92" s="62">
        <v>0</v>
      </c>
      <c r="D92" s="19">
        <f ca="1">((100/(H81))*C92)/100</f>
        <v>0</v>
      </c>
      <c r="E92" s="99"/>
      <c r="F92" s="99"/>
      <c r="G92" s="99"/>
      <c r="H92" s="99"/>
      <c r="I92" s="14" t="s">
        <v>153</v>
      </c>
      <c r="J92" s="30">
        <f>(IF(B81=1,(H81/(B81+3)+J87),IF(B81=0,(H81/4+J87),IF(B81&gt;1,0))))</f>
        <v>0</v>
      </c>
    </row>
    <row r="93" spans="1:16" ht="16.5" thickBot="1" x14ac:dyDescent="0.3">
      <c r="A93" s="100" t="s">
        <v>138</v>
      </c>
      <c r="B93" s="100"/>
      <c r="C93" s="62">
        <v>0</v>
      </c>
      <c r="D93" s="19">
        <f ca="1">((100/(H81))*C93)/100</f>
        <v>0</v>
      </c>
      <c r="E93" s="99"/>
      <c r="F93" s="99"/>
      <c r="G93" s="99"/>
      <c r="H93" s="99"/>
      <c r="I93" s="15" t="s">
        <v>105</v>
      </c>
      <c r="J93" s="32">
        <f ca="1">(IF(B81&gt;1.5,(H81/(B81+2)+J87+MAX(0,J88-J87)+MAX(0,J89-J88)+MAX(0,J90-J89)+MAX(0,J91-J90)+MAX(0,J92-J91)),IF(B81=1,(H81/(B81+3)+J92),IF(B81=0,H81/4+J92))))</f>
        <v>35</v>
      </c>
    </row>
    <row r="94" spans="1:16" x14ac:dyDescent="0.25">
      <c r="A94" s="111" t="s">
        <v>164</v>
      </c>
      <c r="B94" s="111"/>
      <c r="C94" s="111"/>
      <c r="D94" s="111"/>
      <c r="E94" s="111"/>
      <c r="F94" s="112" t="s">
        <v>169</v>
      </c>
      <c r="G94" s="112"/>
      <c r="H94" s="112"/>
    </row>
    <row r="95" spans="1:16" x14ac:dyDescent="0.25">
      <c r="A95" s="102" t="s">
        <v>167</v>
      </c>
      <c r="B95" s="102"/>
      <c r="C95" s="102"/>
      <c r="D95" s="102"/>
      <c r="E95" s="102"/>
      <c r="F95" s="101">
        <v>18500</v>
      </c>
      <c r="G95" s="101"/>
      <c r="H95" s="101"/>
      <c r="I95" s="21" t="s">
        <v>241</v>
      </c>
      <c r="L95" s="57" t="s">
        <v>230</v>
      </c>
      <c r="M95" s="57"/>
      <c r="N95" s="57" t="s">
        <v>231</v>
      </c>
      <c r="O95" s="58">
        <v>45112</v>
      </c>
      <c r="P95" s="57" t="s">
        <v>232</v>
      </c>
    </row>
    <row r="96" spans="1:16" hidden="1" x14ac:dyDescent="0.25">
      <c r="A96" s="102" t="s">
        <v>166</v>
      </c>
      <c r="B96" s="102"/>
      <c r="C96" s="102"/>
      <c r="D96" s="102"/>
      <c r="E96" s="102"/>
      <c r="F96" s="101"/>
      <c r="G96" s="101"/>
      <c r="H96" s="101"/>
    </row>
    <row r="97" spans="1:8" hidden="1" x14ac:dyDescent="0.25">
      <c r="A97" s="102" t="s">
        <v>168</v>
      </c>
      <c r="B97" s="102"/>
      <c r="C97" s="102"/>
      <c r="D97" s="102"/>
      <c r="E97" s="102"/>
      <c r="F97" s="101"/>
      <c r="G97" s="101"/>
      <c r="H97" s="101"/>
    </row>
    <row r="98" spans="1:8" s="33" customFormat="1" hidden="1" x14ac:dyDescent="0.25">
      <c r="A98" s="102" t="s">
        <v>165</v>
      </c>
      <c r="B98" s="102"/>
      <c r="C98" s="102"/>
      <c r="D98" s="102"/>
      <c r="E98" s="102"/>
      <c r="F98" s="101"/>
      <c r="G98" s="101"/>
      <c r="H98" s="101"/>
    </row>
    <row r="99" spans="1:8" s="33" customFormat="1" x14ac:dyDescent="0.25">
      <c r="A99" s="102" t="s">
        <v>97</v>
      </c>
      <c r="B99" s="102"/>
      <c r="C99" s="102"/>
      <c r="D99" s="102"/>
      <c r="E99" s="102"/>
      <c r="F99" s="101">
        <v>65000</v>
      </c>
      <c r="G99" s="101"/>
      <c r="H99" s="101"/>
    </row>
    <row r="100" spans="1:8" s="33" customFormat="1" x14ac:dyDescent="0.25">
      <c r="A100" s="102" t="s">
        <v>98</v>
      </c>
      <c r="B100" s="102"/>
      <c r="C100" s="102"/>
      <c r="D100" s="102"/>
      <c r="E100" s="102"/>
      <c r="F100" s="101">
        <v>65000</v>
      </c>
      <c r="G100" s="101"/>
      <c r="H100" s="101"/>
    </row>
    <row r="101" spans="1:8" s="33" customFormat="1" x14ac:dyDescent="0.25">
      <c r="A101" s="102" t="s">
        <v>236</v>
      </c>
      <c r="B101" s="102"/>
      <c r="C101" s="102"/>
      <c r="D101" s="102"/>
      <c r="E101" s="102"/>
      <c r="F101" s="101">
        <v>20000</v>
      </c>
      <c r="G101" s="101"/>
      <c r="H101" s="101"/>
    </row>
    <row r="102" spans="1:8" s="33" customFormat="1" x14ac:dyDescent="0.25">
      <c r="A102" s="102" t="s">
        <v>99</v>
      </c>
      <c r="B102" s="102"/>
      <c r="C102" s="102"/>
      <c r="D102" s="102"/>
      <c r="E102" s="102"/>
      <c r="F102" s="101">
        <v>10000</v>
      </c>
      <c r="G102" s="101"/>
      <c r="H102" s="101"/>
    </row>
    <row r="103" spans="1:8" s="33" customFormat="1" x14ac:dyDescent="0.25">
      <c r="A103" s="102" t="s">
        <v>229</v>
      </c>
      <c r="B103" s="102"/>
      <c r="C103" s="102"/>
      <c r="D103" s="102"/>
      <c r="E103" s="102"/>
      <c r="F103" s="101">
        <v>20000</v>
      </c>
      <c r="G103" s="101"/>
      <c r="H103" s="101"/>
    </row>
    <row r="104" spans="1:8" s="33" customFormat="1" x14ac:dyDescent="0.25">
      <c r="A104" s="102" t="s">
        <v>100</v>
      </c>
      <c r="B104" s="102"/>
      <c r="C104" s="102"/>
      <c r="D104" s="102"/>
      <c r="E104" s="102"/>
      <c r="F104" s="101">
        <v>20000</v>
      </c>
      <c r="G104" s="101"/>
      <c r="H104" s="101"/>
    </row>
    <row r="105" spans="1:8" s="33" customFormat="1" x14ac:dyDescent="0.25">
      <c r="A105" s="102" t="s">
        <v>228</v>
      </c>
      <c r="B105" s="102"/>
      <c r="C105" s="102"/>
      <c r="D105" s="102"/>
      <c r="E105" s="102"/>
      <c r="F105" s="101">
        <v>20000</v>
      </c>
      <c r="G105" s="101"/>
      <c r="H105" s="101"/>
    </row>
    <row r="106" spans="1:8" x14ac:dyDescent="0.25">
      <c r="A106" s="102" t="s">
        <v>51</v>
      </c>
      <c r="B106" s="102"/>
      <c r="C106" s="102"/>
      <c r="D106" s="102"/>
      <c r="E106" s="102"/>
      <c r="F106" s="101">
        <v>1000000</v>
      </c>
      <c r="G106" s="101"/>
      <c r="H106" s="101"/>
    </row>
    <row r="107" spans="1:8" s="34" customFormat="1" x14ac:dyDescent="0.25">
      <c r="A107" s="111" t="s">
        <v>52</v>
      </c>
      <c r="B107" s="111"/>
      <c r="C107" s="111"/>
      <c r="D107" s="111"/>
      <c r="E107" s="111"/>
      <c r="F107" s="101">
        <f>F95*0.8</f>
        <v>14800</v>
      </c>
      <c r="G107" s="101"/>
      <c r="H107" s="101"/>
    </row>
    <row r="108" spans="1:8" s="35" customFormat="1" ht="15.75" hidden="1" customHeight="1" x14ac:dyDescent="0.25">
      <c r="A108" s="115" t="s">
        <v>77</v>
      </c>
      <c r="B108" s="115"/>
      <c r="C108" s="115"/>
      <c r="D108" s="115"/>
      <c r="E108" s="115"/>
      <c r="F108" s="115"/>
      <c r="G108" s="115"/>
      <c r="H108" s="115"/>
    </row>
    <row r="109" spans="1:8" s="35" customFormat="1" ht="15.75" hidden="1" customHeight="1" x14ac:dyDescent="0.25">
      <c r="A109" s="125" t="s">
        <v>53</v>
      </c>
      <c r="B109" s="125"/>
      <c r="C109" s="114" t="s">
        <v>80</v>
      </c>
      <c r="D109" s="114"/>
      <c r="E109" s="117" t="s">
        <v>54</v>
      </c>
      <c r="F109" s="117"/>
      <c r="G109" s="125" t="s">
        <v>55</v>
      </c>
      <c r="H109" s="125"/>
    </row>
    <row r="110" spans="1:8" s="35" customFormat="1" hidden="1" x14ac:dyDescent="0.25">
      <c r="A110" s="175"/>
      <c r="B110" s="175"/>
      <c r="C110" s="119"/>
      <c r="D110" s="119"/>
      <c r="E110" s="182"/>
      <c r="F110" s="182"/>
      <c r="G110" s="190"/>
      <c r="H110" s="190"/>
    </row>
    <row r="111" spans="1:8" s="35" customFormat="1" hidden="1" x14ac:dyDescent="0.25">
      <c r="A111" s="175"/>
      <c r="B111" s="175"/>
      <c r="C111" s="119"/>
      <c r="D111" s="119"/>
      <c r="E111" s="182"/>
      <c r="F111" s="182"/>
      <c r="G111" s="190"/>
      <c r="H111" s="190"/>
    </row>
    <row r="112" spans="1:8" s="35" customFormat="1" hidden="1" x14ac:dyDescent="0.25">
      <c r="A112" s="115" t="s">
        <v>157</v>
      </c>
      <c r="B112" s="115"/>
      <c r="C112" s="114"/>
      <c r="D112" s="114"/>
      <c r="E112" s="117"/>
      <c r="F112" s="117"/>
      <c r="G112" s="125"/>
      <c r="H112" s="125"/>
    </row>
    <row r="113" spans="1:14" s="35" customFormat="1" x14ac:dyDescent="0.25">
      <c r="A113" s="115" t="s">
        <v>71</v>
      </c>
      <c r="B113" s="115"/>
      <c r="C113" s="115"/>
      <c r="D113" s="115"/>
      <c r="E113" s="115"/>
      <c r="F113" s="115"/>
      <c r="G113" s="115"/>
      <c r="H113" s="115"/>
    </row>
    <row r="114" spans="1:14" s="35" customFormat="1" ht="15.75" customHeight="1" x14ac:dyDescent="0.25">
      <c r="A114" s="125" t="s">
        <v>53</v>
      </c>
      <c r="B114" s="125"/>
      <c r="C114" s="114" t="s">
        <v>80</v>
      </c>
      <c r="D114" s="114"/>
      <c r="E114" s="117" t="s">
        <v>54</v>
      </c>
      <c r="F114" s="117"/>
      <c r="G114" s="125" t="s">
        <v>55</v>
      </c>
      <c r="H114" s="125"/>
    </row>
    <row r="115" spans="1:14" s="35" customFormat="1" x14ac:dyDescent="0.25">
      <c r="A115" s="175" t="s">
        <v>202</v>
      </c>
      <c r="B115" s="175"/>
      <c r="C115" s="119">
        <f>COUNT(D142:D144)+COUNT(D146:D149)*7+COUNT(D151:D153)</f>
        <v>34</v>
      </c>
      <c r="D115" s="119"/>
      <c r="E115" s="120">
        <f>SUM(D142:D144)+SUM(D146:D149)*7+SUM(D151:D153)</f>
        <v>17765.76672</v>
      </c>
      <c r="F115" s="120"/>
      <c r="G115" s="120">
        <f>SUM(F142:F144)+SUM(F146:F149)*7+SUM(F151:F153)</f>
        <v>27536.938415999997</v>
      </c>
      <c r="H115" s="120"/>
    </row>
    <row r="116" spans="1:14" s="35" customFormat="1" x14ac:dyDescent="0.25">
      <c r="A116" s="175" t="s">
        <v>217</v>
      </c>
      <c r="B116" s="175"/>
      <c r="C116" s="119">
        <f>COUNT(D164:D165)+COUNT(D175:D184)*29+COUNT(D186:D187,D191:D195)*4+COUNT(D197:D198,D201:D206)</f>
        <v>328</v>
      </c>
      <c r="D116" s="119"/>
      <c r="E116" s="120">
        <f>SUM(D164:D165)+SUM(D175:D184)*29+SUM(D186:D187,D191:D195)*4+SUM(D197:D198,D201:D206)</f>
        <v>180456.30720000004</v>
      </c>
      <c r="F116" s="120"/>
      <c r="G116" s="120">
        <f>SUM(F164:F165)+SUM(F175:F184)*29+SUM(F186:F187,F191:F195)*4+SUM(F197:F198,F201:F206)</f>
        <v>279707.27615999995</v>
      </c>
      <c r="H116" s="120"/>
    </row>
    <row r="117" spans="1:14" s="35" customFormat="1" x14ac:dyDescent="0.25">
      <c r="A117" s="115" t="s">
        <v>157</v>
      </c>
      <c r="B117" s="115"/>
      <c r="C117" s="114">
        <f>SUM(C115:C116)</f>
        <v>362</v>
      </c>
      <c r="D117" s="114"/>
      <c r="E117" s="116">
        <f>SUM(E115:E116)</f>
        <v>198222.07392000005</v>
      </c>
      <c r="F117" s="117"/>
      <c r="G117" s="125">
        <f>SUM(G115:G116)</f>
        <v>307244.21457599994</v>
      </c>
      <c r="H117" s="125"/>
    </row>
    <row r="118" spans="1:14" s="35" customFormat="1" ht="16.5" hidden="1" thickBot="1" x14ac:dyDescent="0.3">
      <c r="A118" s="183" t="s">
        <v>176</v>
      </c>
      <c r="B118" s="184"/>
      <c r="C118" s="185">
        <f>C112+C117</f>
        <v>362</v>
      </c>
      <c r="D118" s="185"/>
      <c r="E118" s="186">
        <f>E112+E117</f>
        <v>198222.07392000005</v>
      </c>
      <c r="F118" s="186"/>
      <c r="G118" s="187">
        <f>G112+G117</f>
        <v>307244.21457599994</v>
      </c>
      <c r="H118" s="188"/>
    </row>
    <row r="119" spans="1:14" s="34" customFormat="1" x14ac:dyDescent="0.25">
      <c r="A119" s="189" t="s">
        <v>56</v>
      </c>
      <c r="B119" s="189"/>
      <c r="C119" s="189"/>
      <c r="D119" s="189"/>
      <c r="E119" s="189"/>
      <c r="F119" s="189"/>
      <c r="G119" s="189"/>
      <c r="H119" s="189"/>
    </row>
    <row r="120" spans="1:14" x14ac:dyDescent="0.25">
      <c r="A120" s="112" t="s">
        <v>57</v>
      </c>
      <c r="B120" s="112"/>
      <c r="C120" s="112"/>
      <c r="D120" s="112"/>
      <c r="E120" s="112"/>
      <c r="F120" s="112"/>
      <c r="G120" s="112"/>
      <c r="H120" s="112"/>
    </row>
    <row r="121" spans="1:14" ht="47.25" hidden="1" customHeight="1" x14ac:dyDescent="0.25">
      <c r="A121" s="104" t="s">
        <v>123</v>
      </c>
      <c r="B121" s="104" t="s">
        <v>122</v>
      </c>
      <c r="C121" s="104" t="s">
        <v>58</v>
      </c>
      <c r="D121" s="104" t="s">
        <v>59</v>
      </c>
      <c r="E121" s="121" t="s">
        <v>163</v>
      </c>
      <c r="F121" s="43" t="s">
        <v>155</v>
      </c>
      <c r="G121" s="108" t="s">
        <v>61</v>
      </c>
      <c r="H121" s="123"/>
    </row>
    <row r="122" spans="1:14" s="37" customFormat="1" hidden="1" x14ac:dyDescent="0.25">
      <c r="A122" s="105"/>
      <c r="B122" s="105"/>
      <c r="C122" s="105"/>
      <c r="D122" s="105"/>
      <c r="E122" s="122"/>
      <c r="F122" s="13">
        <v>0.6</v>
      </c>
      <c r="G122" s="109"/>
      <c r="H122" s="124"/>
    </row>
    <row r="123" spans="1:14" s="37" customFormat="1" hidden="1" x14ac:dyDescent="0.25">
      <c r="A123" s="82" t="s">
        <v>120</v>
      </c>
      <c r="B123" s="83"/>
      <c r="C123" s="83"/>
      <c r="D123" s="83"/>
      <c r="E123" s="83"/>
      <c r="F123" s="83"/>
      <c r="G123" s="83"/>
      <c r="H123" s="84"/>
      <c r="J123" s="36"/>
    </row>
    <row r="124" spans="1:14" s="37" customFormat="1" hidden="1" x14ac:dyDescent="0.25">
      <c r="A124" s="82" t="s">
        <v>120</v>
      </c>
      <c r="B124" s="83"/>
      <c r="C124" s="83"/>
      <c r="D124" s="83"/>
      <c r="E124" s="83"/>
      <c r="F124" s="83"/>
      <c r="G124" s="83"/>
      <c r="H124" s="84"/>
      <c r="J124" s="36"/>
    </row>
    <row r="125" spans="1:14" s="37" customFormat="1" hidden="1" x14ac:dyDescent="0.25">
      <c r="A125" s="64">
        <v>1</v>
      </c>
      <c r="B125" s="65"/>
      <c r="C125" s="42"/>
      <c r="D125" s="42"/>
      <c r="E125" s="42">
        <v>0</v>
      </c>
      <c r="F125" s="42">
        <f>(D125+E125)*(($F$122)+1)</f>
        <v>0</v>
      </c>
      <c r="G125" s="64" t="str">
        <f>A124</f>
        <v>Ground Floor</v>
      </c>
      <c r="H125" s="65"/>
      <c r="I125" s="36"/>
      <c r="L125" s="66"/>
      <c r="M125" s="66"/>
      <c r="N125" s="36"/>
    </row>
    <row r="126" spans="1:14" s="37" customFormat="1" hidden="1" x14ac:dyDescent="0.25">
      <c r="A126" s="64">
        <f t="shared" ref="A126:A128" si="0">A125+1</f>
        <v>2</v>
      </c>
      <c r="B126" s="65"/>
      <c r="C126" s="42"/>
      <c r="D126" s="42"/>
      <c r="E126" s="42">
        <v>0</v>
      </c>
      <c r="F126" s="42">
        <f t="shared" ref="F126:F128" si="1">(D126+E126)*(($F$122)+1)</f>
        <v>0</v>
      </c>
      <c r="G126" s="64" t="str">
        <f t="shared" ref="G126:G128" si="2">G125</f>
        <v>Ground Floor</v>
      </c>
      <c r="H126" s="65"/>
      <c r="I126" s="36"/>
      <c r="L126" s="66"/>
      <c r="M126" s="66"/>
      <c r="N126" s="36"/>
    </row>
    <row r="127" spans="1:14" s="37" customFormat="1" hidden="1" x14ac:dyDescent="0.25">
      <c r="A127" s="64">
        <f t="shared" si="0"/>
        <v>3</v>
      </c>
      <c r="B127" s="65"/>
      <c r="C127" s="42"/>
      <c r="D127" s="42"/>
      <c r="E127" s="42">
        <v>0</v>
      </c>
      <c r="F127" s="42">
        <f t="shared" si="1"/>
        <v>0</v>
      </c>
      <c r="G127" s="64" t="str">
        <f t="shared" si="2"/>
        <v>Ground Floor</v>
      </c>
      <c r="H127" s="65"/>
      <c r="I127" s="36"/>
      <c r="L127" s="66"/>
      <c r="M127" s="66"/>
      <c r="N127" s="36"/>
    </row>
    <row r="128" spans="1:14" s="37" customFormat="1" hidden="1" x14ac:dyDescent="0.25">
      <c r="A128" s="64">
        <f t="shared" si="0"/>
        <v>4</v>
      </c>
      <c r="B128" s="65"/>
      <c r="C128" s="42"/>
      <c r="D128" s="42"/>
      <c r="E128" s="42">
        <v>0</v>
      </c>
      <c r="F128" s="42">
        <f t="shared" si="1"/>
        <v>0</v>
      </c>
      <c r="G128" s="64" t="str">
        <f t="shared" si="2"/>
        <v>Ground Floor</v>
      </c>
      <c r="H128" s="65"/>
      <c r="I128" s="36"/>
      <c r="L128" s="66"/>
      <c r="M128" s="66"/>
      <c r="N128" s="36"/>
    </row>
    <row r="129" spans="1:14" s="37" customFormat="1" hidden="1" x14ac:dyDescent="0.25">
      <c r="A129" s="64"/>
      <c r="B129" s="87"/>
      <c r="C129" s="87"/>
      <c r="D129" s="87"/>
      <c r="E129" s="87"/>
      <c r="F129" s="87"/>
      <c r="G129" s="87"/>
      <c r="H129" s="65"/>
      <c r="I129" s="36"/>
      <c r="N129" s="36"/>
    </row>
    <row r="130" spans="1:14" ht="47.25" customHeight="1" x14ac:dyDescent="0.25">
      <c r="A130" s="108" t="s">
        <v>124</v>
      </c>
      <c r="B130" s="108" t="s">
        <v>125</v>
      </c>
      <c r="C130" s="104" t="s">
        <v>58</v>
      </c>
      <c r="D130" s="104" t="s">
        <v>59</v>
      </c>
      <c r="E130" s="121" t="s">
        <v>60</v>
      </c>
      <c r="F130" s="43" t="s">
        <v>155</v>
      </c>
      <c r="G130" s="108" t="s">
        <v>61</v>
      </c>
      <c r="H130" s="123"/>
      <c r="I130" s="36"/>
    </row>
    <row r="131" spans="1:14" s="37" customFormat="1" x14ac:dyDescent="0.25">
      <c r="A131" s="109"/>
      <c r="B131" s="109"/>
      <c r="C131" s="105"/>
      <c r="D131" s="105"/>
      <c r="E131" s="122"/>
      <c r="F131" s="13">
        <v>0.55000000000000004</v>
      </c>
      <c r="G131" s="109"/>
      <c r="H131" s="124"/>
      <c r="I131" s="36"/>
    </row>
    <row r="132" spans="1:14" s="37" customFormat="1" x14ac:dyDescent="0.25">
      <c r="A132" s="82" t="s">
        <v>202</v>
      </c>
      <c r="B132" s="83"/>
      <c r="C132" s="83"/>
      <c r="D132" s="83"/>
      <c r="E132" s="83"/>
      <c r="F132" s="83"/>
      <c r="G132" s="83"/>
      <c r="H132" s="84"/>
      <c r="J132" s="36"/>
    </row>
    <row r="133" spans="1:14" s="37" customFormat="1" ht="15.75" customHeight="1" x14ac:dyDescent="0.25">
      <c r="A133" s="82" t="s">
        <v>204</v>
      </c>
      <c r="B133" s="83"/>
      <c r="C133" s="83"/>
      <c r="D133" s="83"/>
      <c r="E133" s="83"/>
      <c r="F133" s="83"/>
      <c r="G133" s="83"/>
      <c r="H133" s="84"/>
      <c r="J133" s="36"/>
    </row>
    <row r="134" spans="1:14" s="37" customFormat="1" ht="15.75" customHeight="1" x14ac:dyDescent="0.25">
      <c r="A134" s="82" t="s">
        <v>216</v>
      </c>
      <c r="B134" s="83"/>
      <c r="C134" s="83"/>
      <c r="D134" s="83"/>
      <c r="E134" s="83"/>
      <c r="F134" s="83"/>
      <c r="G134" s="83"/>
      <c r="H134" s="84"/>
      <c r="J134" s="36"/>
    </row>
    <row r="135" spans="1:14" s="37" customFormat="1" ht="15.75" customHeight="1" x14ac:dyDescent="0.25">
      <c r="A135" s="82" t="s">
        <v>205</v>
      </c>
      <c r="B135" s="83"/>
      <c r="C135" s="83"/>
      <c r="D135" s="83"/>
      <c r="E135" s="83"/>
      <c r="F135" s="83"/>
      <c r="G135" s="83"/>
      <c r="H135" s="84"/>
      <c r="J135" s="36"/>
    </row>
    <row r="136" spans="1:14" s="37" customFormat="1" ht="15.75" customHeight="1" x14ac:dyDescent="0.25">
      <c r="A136" s="82" t="s">
        <v>206</v>
      </c>
      <c r="B136" s="83"/>
      <c r="C136" s="83"/>
      <c r="D136" s="83"/>
      <c r="E136" s="83"/>
      <c r="F136" s="83"/>
      <c r="G136" s="83"/>
      <c r="H136" s="84"/>
      <c r="J136" s="36"/>
    </row>
    <row r="137" spans="1:14" s="37" customFormat="1" ht="15.75" customHeight="1" x14ac:dyDescent="0.25">
      <c r="A137" s="82" t="s">
        <v>207</v>
      </c>
      <c r="B137" s="83"/>
      <c r="C137" s="83"/>
      <c r="D137" s="83"/>
      <c r="E137" s="83"/>
      <c r="F137" s="83"/>
      <c r="G137" s="83"/>
      <c r="H137" s="84"/>
      <c r="J137" s="36"/>
    </row>
    <row r="138" spans="1:14" s="37" customFormat="1" ht="15.75" customHeight="1" x14ac:dyDescent="0.25">
      <c r="A138" s="82" t="s">
        <v>208</v>
      </c>
      <c r="B138" s="83"/>
      <c r="C138" s="83"/>
      <c r="D138" s="83"/>
      <c r="E138" s="83"/>
      <c r="F138" s="83"/>
      <c r="G138" s="83"/>
      <c r="H138" s="84"/>
      <c r="J138" s="36"/>
    </row>
    <row r="139" spans="1:14" s="37" customFormat="1" ht="15.75" customHeight="1" x14ac:dyDescent="0.25">
      <c r="A139" s="82" t="s">
        <v>209</v>
      </c>
      <c r="B139" s="83"/>
      <c r="C139" s="83"/>
      <c r="D139" s="83"/>
      <c r="E139" s="83"/>
      <c r="F139" s="83"/>
      <c r="G139" s="83"/>
      <c r="H139" s="84"/>
      <c r="J139" s="36"/>
    </row>
    <row r="140" spans="1:14" s="37" customFormat="1" ht="15.75" customHeight="1" x14ac:dyDescent="0.25">
      <c r="A140" s="82" t="s">
        <v>210</v>
      </c>
      <c r="B140" s="83"/>
      <c r="C140" s="83"/>
      <c r="D140" s="83"/>
      <c r="E140" s="83"/>
      <c r="F140" s="83"/>
      <c r="G140" s="83"/>
      <c r="H140" s="84"/>
      <c r="J140" s="55">
        <f>10.764</f>
        <v>10.763999999999999</v>
      </c>
    </row>
    <row r="141" spans="1:14" s="37" customFormat="1" ht="15.75" customHeight="1" x14ac:dyDescent="0.25">
      <c r="A141" s="64">
        <v>1</v>
      </c>
      <c r="B141" s="65"/>
      <c r="C141" s="64" t="s">
        <v>211</v>
      </c>
      <c r="D141" s="87"/>
      <c r="E141" s="87"/>
      <c r="F141" s="65"/>
      <c r="G141" s="73" t="str">
        <f>A140</f>
        <v>1st Floor For Part Podium &amp; Residential</v>
      </c>
      <c r="H141" s="74"/>
      <c r="I141" s="36"/>
      <c r="L141" s="66"/>
      <c r="M141" s="66"/>
      <c r="N141" s="36"/>
    </row>
    <row r="142" spans="1:14" s="37" customFormat="1" ht="15.75" customHeight="1" x14ac:dyDescent="0.25">
      <c r="A142" s="64">
        <f t="shared" ref="A142:A144" si="3">A141+1</f>
        <v>2</v>
      </c>
      <c r="B142" s="65"/>
      <c r="C142" s="53">
        <v>1</v>
      </c>
      <c r="D142" s="55">
        <f>(36.12)*(10.764)</f>
        <v>388.79567999999995</v>
      </c>
      <c r="E142" s="42">
        <v>0</v>
      </c>
      <c r="F142" s="42">
        <f>D142*(($F$131)+1)+(IF(E142&lt;101,E142,IF(E142&lt;201,E142/2,IF(E142&lt;=301,E142/3,E142/4))))</f>
        <v>602.63330399999995</v>
      </c>
      <c r="G142" s="75"/>
      <c r="H142" s="76"/>
      <c r="I142" s="36"/>
      <c r="L142" s="66"/>
      <c r="M142" s="66"/>
      <c r="N142" s="36"/>
    </row>
    <row r="143" spans="1:14" s="37" customFormat="1" ht="15.75" customHeight="1" x14ac:dyDescent="0.25">
      <c r="A143" s="64">
        <f t="shared" si="3"/>
        <v>3</v>
      </c>
      <c r="B143" s="65"/>
      <c r="C143" s="53">
        <v>1</v>
      </c>
      <c r="D143" s="55">
        <f>(36.12)*(10.764)</f>
        <v>388.79567999999995</v>
      </c>
      <c r="E143" s="42">
        <v>0</v>
      </c>
      <c r="F143" s="42">
        <f>D143*(($F$131)+1)+(IF(E143&lt;101,E143,IF(E143&lt;201,E143/2,IF(E143&lt;=301,E143/3,E143/4))))</f>
        <v>602.63330399999995</v>
      </c>
      <c r="G143" s="75"/>
      <c r="H143" s="76"/>
      <c r="I143" s="36"/>
      <c r="J143" s="37">
        <f>3.05*4.47+3.23*3.15+2.15*1.22+2.15*2.15+1.9*1.22+0.9*1.22</f>
        <v>34.469499999999996</v>
      </c>
      <c r="L143" s="66"/>
      <c r="M143" s="66"/>
      <c r="N143" s="36"/>
    </row>
    <row r="144" spans="1:14" s="37" customFormat="1" ht="15.75" customHeight="1" x14ac:dyDescent="0.25">
      <c r="A144" s="64">
        <f t="shared" si="3"/>
        <v>4</v>
      </c>
      <c r="B144" s="65"/>
      <c r="C144" s="53">
        <v>2</v>
      </c>
      <c r="D144" s="55">
        <f>(52.04)*(10.764)</f>
        <v>560.15855999999997</v>
      </c>
      <c r="E144" s="42">
        <v>0</v>
      </c>
      <c r="F144" s="42">
        <f>D144*(($F$131)+1)+(IF(E144&lt;101,E144,IF(E144&lt;201,E144/2,IF(E144&lt;=301,E144/3,E144/4))))</f>
        <v>868.245768</v>
      </c>
      <c r="G144" s="77"/>
      <c r="H144" s="78"/>
      <c r="I144" s="36"/>
      <c r="J144" s="37">
        <f>5.48*3.15+3.36*3.05+2.35*1.22+3.2*3.05+0.45*1.13+1.22*2.05+2.15*2.45+1.05*1.8</f>
        <v>50.303999999999995</v>
      </c>
      <c r="K144" s="54">
        <f>J144+J207</f>
        <v>50.303999999999995</v>
      </c>
      <c r="L144" s="66"/>
      <c r="M144" s="66"/>
      <c r="N144" s="36"/>
    </row>
    <row r="145" spans="1:14" s="37" customFormat="1" ht="15.75" customHeight="1" x14ac:dyDescent="0.25">
      <c r="A145" s="82" t="s">
        <v>212</v>
      </c>
      <c r="B145" s="83"/>
      <c r="C145" s="83"/>
      <c r="D145" s="83"/>
      <c r="E145" s="83"/>
      <c r="F145" s="83"/>
      <c r="G145" s="83"/>
      <c r="H145" s="84"/>
      <c r="J145" s="36">
        <f>1.55*0.9</f>
        <v>1.395</v>
      </c>
    </row>
    <row r="146" spans="1:14" s="37" customFormat="1" ht="15.75" customHeight="1" x14ac:dyDescent="0.25">
      <c r="A146" s="64">
        <v>1</v>
      </c>
      <c r="B146" s="65"/>
      <c r="C146" s="53">
        <v>3</v>
      </c>
      <c r="D146" s="55">
        <f>(73)*(10.764)</f>
        <v>785.77199999999993</v>
      </c>
      <c r="E146" s="42">
        <v>0</v>
      </c>
      <c r="F146" s="42">
        <f>D146*(($F$131)+1)+(IF(E146&lt;101,E146,IF(E146&lt;201,E146/2,IF(E146&lt;=301,E146/3,E146/4))))</f>
        <v>1217.9466</v>
      </c>
      <c r="G146" s="73" t="str">
        <f>A145</f>
        <v>2nd, 4th to 9th Floor For Residential</v>
      </c>
      <c r="H146" s="74"/>
      <c r="I146" s="36"/>
      <c r="L146" s="66"/>
      <c r="M146" s="66"/>
      <c r="N146" s="36"/>
    </row>
    <row r="147" spans="1:14" s="37" customFormat="1" ht="15.75" customHeight="1" x14ac:dyDescent="0.25">
      <c r="A147" s="64">
        <f t="shared" ref="A147:A149" si="4">A146+1</f>
        <v>2</v>
      </c>
      <c r="B147" s="65"/>
      <c r="C147" s="53">
        <v>1</v>
      </c>
      <c r="D147" s="55">
        <f>(36.12)*(10.764)</f>
        <v>388.79567999999995</v>
      </c>
      <c r="E147" s="42">
        <v>0</v>
      </c>
      <c r="F147" s="42">
        <f>D147*(($F$131)+1)+(IF(E147&lt;101,E147,IF(E147&lt;201,E147/2,IF(E147&lt;=301,E147/3,E147/4))))</f>
        <v>602.63330399999995</v>
      </c>
      <c r="G147" s="75"/>
      <c r="H147" s="76"/>
      <c r="I147" s="36"/>
      <c r="L147" s="66"/>
      <c r="M147" s="66"/>
      <c r="N147" s="36"/>
    </row>
    <row r="148" spans="1:14" s="37" customFormat="1" ht="15.75" customHeight="1" x14ac:dyDescent="0.25">
      <c r="A148" s="64">
        <f t="shared" si="4"/>
        <v>3</v>
      </c>
      <c r="B148" s="65"/>
      <c r="C148" s="53">
        <v>1</v>
      </c>
      <c r="D148" s="55">
        <f>(36.12)*(10.764)</f>
        <v>388.79567999999995</v>
      </c>
      <c r="E148" s="42">
        <v>0</v>
      </c>
      <c r="F148" s="42">
        <f>D148*(($F$131)+1)+(IF(E148&lt;101,E148,IF(E148&lt;201,E148/2,IF(E148&lt;=301,E148/3,E148/4))))</f>
        <v>602.63330399999995</v>
      </c>
      <c r="G148" s="75"/>
      <c r="H148" s="76"/>
      <c r="I148" s="36"/>
      <c r="L148" s="66"/>
      <c r="M148" s="66"/>
      <c r="N148" s="36"/>
    </row>
    <row r="149" spans="1:14" s="37" customFormat="1" ht="15.75" customHeight="1" x14ac:dyDescent="0.25">
      <c r="A149" s="64">
        <f t="shared" si="4"/>
        <v>4</v>
      </c>
      <c r="B149" s="65"/>
      <c r="C149" s="53">
        <v>2</v>
      </c>
      <c r="D149" s="55">
        <f>(52.04)*(10.764)</f>
        <v>560.15855999999997</v>
      </c>
      <c r="E149" s="42">
        <v>0</v>
      </c>
      <c r="F149" s="42">
        <f>D149*(($F$131)+1)+(IF(E149&lt;101,E149,IF(E149&lt;201,E149/2,IF(E149&lt;=301,E149/3,E149/4))))</f>
        <v>868.245768</v>
      </c>
      <c r="G149" s="77"/>
      <c r="H149" s="78"/>
      <c r="I149" s="36"/>
      <c r="L149" s="66"/>
      <c r="M149" s="66"/>
      <c r="N149" s="36"/>
    </row>
    <row r="150" spans="1:14" s="37" customFormat="1" ht="15.75" customHeight="1" x14ac:dyDescent="0.25">
      <c r="A150" s="82" t="s">
        <v>213</v>
      </c>
      <c r="B150" s="83"/>
      <c r="C150" s="83"/>
      <c r="D150" s="83"/>
      <c r="E150" s="83"/>
      <c r="F150" s="83"/>
      <c r="G150" s="83"/>
      <c r="H150" s="84"/>
      <c r="J150" s="36"/>
    </row>
    <row r="151" spans="1:14" s="37" customFormat="1" ht="15.75" customHeight="1" x14ac:dyDescent="0.25">
      <c r="A151" s="64">
        <v>1</v>
      </c>
      <c r="B151" s="65"/>
      <c r="C151" s="53">
        <v>3</v>
      </c>
      <c r="D151" s="55">
        <f>(73)*(10.764)</f>
        <v>785.77199999999993</v>
      </c>
      <c r="E151" s="42">
        <v>0</v>
      </c>
      <c r="F151" s="42">
        <f>D151*(($F$131)+1)+(IF(E151&lt;101,E151,IF(E151&lt;201,E151/2,IF(E151&lt;=301,E151/3,E151/4))))</f>
        <v>1217.9466</v>
      </c>
      <c r="G151" s="73" t="str">
        <f>A150</f>
        <v>3rd Floor (Part Refuge Area)</v>
      </c>
      <c r="H151" s="74"/>
      <c r="I151" s="36"/>
      <c r="L151" s="66"/>
      <c r="M151" s="66"/>
      <c r="N151" s="36"/>
    </row>
    <row r="152" spans="1:14" s="37" customFormat="1" ht="15.75" customHeight="1" x14ac:dyDescent="0.25">
      <c r="A152" s="64">
        <f t="shared" ref="A152:A154" si="5">A151+1</f>
        <v>2</v>
      </c>
      <c r="B152" s="65"/>
      <c r="C152" s="53">
        <v>1</v>
      </c>
      <c r="D152" s="55">
        <f>(36.12)*(10.764)</f>
        <v>388.79567999999995</v>
      </c>
      <c r="E152" s="42">
        <v>0</v>
      </c>
      <c r="F152" s="42">
        <f>D152*(($F$131)+1)+(IF(E152&lt;101,E152,IF(E152&lt;201,E152/2,IF(E152&lt;=301,E152/3,E152/4))))</f>
        <v>602.63330399999995</v>
      </c>
      <c r="G152" s="75"/>
      <c r="H152" s="76"/>
      <c r="I152" s="36"/>
      <c r="L152" s="66"/>
      <c r="M152" s="66"/>
      <c r="N152" s="36"/>
    </row>
    <row r="153" spans="1:14" s="37" customFormat="1" ht="15.75" customHeight="1" x14ac:dyDescent="0.25">
      <c r="A153" s="64">
        <f t="shared" si="5"/>
        <v>3</v>
      </c>
      <c r="B153" s="65"/>
      <c r="C153" s="53">
        <v>1</v>
      </c>
      <c r="D153" s="55">
        <f>(36.12)*(10.764)</f>
        <v>388.79567999999995</v>
      </c>
      <c r="E153" s="42">
        <v>0</v>
      </c>
      <c r="F153" s="42">
        <f>D153*(($F$131)+1)+(IF(E153&lt;101,E153,IF(E153&lt;201,E153/2,IF(E153&lt;=301,E153/3,E153/4))))</f>
        <v>602.63330399999995</v>
      </c>
      <c r="G153" s="75"/>
      <c r="H153" s="76"/>
      <c r="I153" s="36"/>
      <c r="L153" s="66"/>
      <c r="M153" s="66"/>
      <c r="N153" s="36"/>
    </row>
    <row r="154" spans="1:14" s="37" customFormat="1" ht="15.75" customHeight="1" x14ac:dyDescent="0.25">
      <c r="A154" s="64">
        <f t="shared" si="5"/>
        <v>4</v>
      </c>
      <c r="B154" s="65"/>
      <c r="C154" s="88" t="s">
        <v>214</v>
      </c>
      <c r="D154" s="89"/>
      <c r="E154" s="89"/>
      <c r="F154" s="90"/>
      <c r="G154" s="77"/>
      <c r="H154" s="78"/>
      <c r="I154" s="36"/>
      <c r="L154" s="66"/>
      <c r="M154" s="66"/>
      <c r="N154" s="36"/>
    </row>
    <row r="155" spans="1:14" s="37" customFormat="1" x14ac:dyDescent="0.25">
      <c r="A155" s="82" t="s">
        <v>217</v>
      </c>
      <c r="B155" s="83"/>
      <c r="C155" s="83"/>
      <c r="D155" s="83"/>
      <c r="E155" s="83"/>
      <c r="F155" s="83"/>
      <c r="G155" s="83"/>
      <c r="H155" s="84"/>
      <c r="J155" s="36"/>
    </row>
    <row r="156" spans="1:14" s="37" customFormat="1" ht="15.75" customHeight="1" x14ac:dyDescent="0.25">
      <c r="A156" s="82" t="s">
        <v>215</v>
      </c>
      <c r="B156" s="83"/>
      <c r="C156" s="83"/>
      <c r="D156" s="83"/>
      <c r="E156" s="83"/>
      <c r="F156" s="83"/>
      <c r="G156" s="83"/>
      <c r="H156" s="84"/>
      <c r="J156" s="36"/>
    </row>
    <row r="157" spans="1:14" s="37" customFormat="1" ht="15.75" customHeight="1" x14ac:dyDescent="0.25">
      <c r="A157" s="82" t="s">
        <v>203</v>
      </c>
      <c r="B157" s="83"/>
      <c r="C157" s="83"/>
      <c r="D157" s="83"/>
      <c r="E157" s="83"/>
      <c r="F157" s="83"/>
      <c r="G157" s="83"/>
      <c r="H157" s="84"/>
      <c r="J157" s="36"/>
    </row>
    <row r="158" spans="1:14" s="37" customFormat="1" ht="15.75" customHeight="1" x14ac:dyDescent="0.25">
      <c r="A158" s="82" t="s">
        <v>205</v>
      </c>
      <c r="B158" s="83"/>
      <c r="C158" s="83"/>
      <c r="D158" s="83"/>
      <c r="E158" s="83"/>
      <c r="F158" s="83"/>
      <c r="G158" s="83"/>
      <c r="H158" s="84"/>
      <c r="J158" s="36"/>
    </row>
    <row r="159" spans="1:14" s="37" customFormat="1" ht="15.75" customHeight="1" x14ac:dyDescent="0.25">
      <c r="A159" s="82" t="s">
        <v>206</v>
      </c>
      <c r="B159" s="83"/>
      <c r="C159" s="83"/>
      <c r="D159" s="83"/>
      <c r="E159" s="83"/>
      <c r="F159" s="83"/>
      <c r="G159" s="83"/>
      <c r="H159" s="84"/>
      <c r="J159" s="36"/>
    </row>
    <row r="160" spans="1:14" s="37" customFormat="1" ht="15.75" customHeight="1" x14ac:dyDescent="0.25">
      <c r="A160" s="82" t="s">
        <v>207</v>
      </c>
      <c r="B160" s="83"/>
      <c r="C160" s="83"/>
      <c r="D160" s="83"/>
      <c r="E160" s="83"/>
      <c r="F160" s="83"/>
      <c r="G160" s="83"/>
      <c r="H160" s="84"/>
      <c r="J160" s="36"/>
    </row>
    <row r="161" spans="1:14" s="37" customFormat="1" ht="15.75" customHeight="1" x14ac:dyDescent="0.25">
      <c r="A161" s="82" t="s">
        <v>208</v>
      </c>
      <c r="B161" s="83"/>
      <c r="C161" s="83"/>
      <c r="D161" s="83"/>
      <c r="E161" s="83"/>
      <c r="F161" s="83"/>
      <c r="G161" s="83"/>
      <c r="H161" s="84"/>
      <c r="J161" s="36"/>
    </row>
    <row r="162" spans="1:14" s="37" customFormat="1" ht="15.75" customHeight="1" x14ac:dyDescent="0.25">
      <c r="A162" s="82" t="s">
        <v>209</v>
      </c>
      <c r="B162" s="83"/>
      <c r="C162" s="83"/>
      <c r="D162" s="83"/>
      <c r="E162" s="83"/>
      <c r="F162" s="83"/>
      <c r="G162" s="83"/>
      <c r="H162" s="84"/>
      <c r="J162" s="36"/>
    </row>
    <row r="163" spans="1:14" s="37" customFormat="1" ht="15.75" customHeight="1" x14ac:dyDescent="0.25">
      <c r="A163" s="82" t="s">
        <v>218</v>
      </c>
      <c r="B163" s="83"/>
      <c r="C163" s="83"/>
      <c r="D163" s="83"/>
      <c r="E163" s="83"/>
      <c r="F163" s="83"/>
      <c r="G163" s="83"/>
      <c r="H163" s="84"/>
      <c r="J163" s="36"/>
    </row>
    <row r="164" spans="1:14" s="37" customFormat="1" ht="15.75" customHeight="1" x14ac:dyDescent="0.25">
      <c r="A164" s="64">
        <v>1</v>
      </c>
      <c r="B164" s="65"/>
      <c r="C164" s="53">
        <v>2</v>
      </c>
      <c r="D164" s="55">
        <f>(53.69)*(10.764)</f>
        <v>577.91915999999992</v>
      </c>
      <c r="E164" s="42">
        <v>0</v>
      </c>
      <c r="F164" s="42">
        <f>D164*(($F$131)+1)+(IF(E164&lt;101,E164,IF(E164&lt;201,E164/2,IF(E164&lt;=301,E164/3,E164/4))))</f>
        <v>895.77469799999994</v>
      </c>
      <c r="G164" s="73" t="str">
        <f>A163</f>
        <v>1st Floor For Part Podium Amenties &amp; Residential</v>
      </c>
      <c r="H164" s="74"/>
      <c r="I164" s="36"/>
      <c r="L164" s="66"/>
      <c r="M164" s="66"/>
      <c r="N164" s="36"/>
    </row>
    <row r="165" spans="1:14" s="37" customFormat="1" ht="15.75" customHeight="1" x14ac:dyDescent="0.25">
      <c r="A165" s="64">
        <f t="shared" ref="A165:A173" si="6">A164+1</f>
        <v>2</v>
      </c>
      <c r="B165" s="65"/>
      <c r="C165" s="53">
        <v>2</v>
      </c>
      <c r="D165" s="55">
        <f>(53.69)*(10.764)</f>
        <v>577.91915999999992</v>
      </c>
      <c r="E165" s="42">
        <v>0</v>
      </c>
      <c r="F165" s="42">
        <f>D165*(($F$131)+1)+(IF(E165&lt;101,E165,IF(E165&lt;201,E165/2,IF(E165&lt;=301,E165/3,E165/4))))</f>
        <v>895.77469799999994</v>
      </c>
      <c r="G165" s="75"/>
      <c r="H165" s="76"/>
      <c r="I165" s="36"/>
      <c r="L165" s="66"/>
      <c r="M165" s="66"/>
      <c r="N165" s="36"/>
    </row>
    <row r="166" spans="1:14" s="37" customFormat="1" ht="15.75" customHeight="1" x14ac:dyDescent="0.25">
      <c r="A166" s="64">
        <f t="shared" si="6"/>
        <v>3</v>
      </c>
      <c r="B166" s="65"/>
      <c r="C166" s="73" t="s">
        <v>219</v>
      </c>
      <c r="D166" s="85"/>
      <c r="E166" s="85"/>
      <c r="F166" s="74"/>
      <c r="G166" s="75"/>
      <c r="H166" s="76"/>
      <c r="I166" s="36"/>
      <c r="L166" s="66"/>
      <c r="M166" s="66"/>
      <c r="N166" s="36"/>
    </row>
    <row r="167" spans="1:14" s="37" customFormat="1" ht="15.75" customHeight="1" x14ac:dyDescent="0.25">
      <c r="A167" s="64">
        <f t="shared" si="6"/>
        <v>4</v>
      </c>
      <c r="B167" s="65"/>
      <c r="C167" s="77"/>
      <c r="D167" s="86"/>
      <c r="E167" s="86"/>
      <c r="F167" s="78"/>
      <c r="G167" s="75"/>
      <c r="H167" s="76"/>
      <c r="I167" s="36"/>
      <c r="L167" s="66"/>
      <c r="M167" s="66"/>
      <c r="N167" s="36"/>
    </row>
    <row r="168" spans="1:14" s="37" customFormat="1" ht="15.75" customHeight="1" x14ac:dyDescent="0.25">
      <c r="A168" s="64">
        <f t="shared" si="6"/>
        <v>5</v>
      </c>
      <c r="B168" s="65"/>
      <c r="C168" s="64" t="s">
        <v>211</v>
      </c>
      <c r="D168" s="87"/>
      <c r="E168" s="87"/>
      <c r="F168" s="65"/>
      <c r="G168" s="75"/>
      <c r="H168" s="76"/>
      <c r="I168" s="36"/>
      <c r="L168" s="66"/>
      <c r="M168" s="66"/>
      <c r="N168" s="36"/>
    </row>
    <row r="169" spans="1:14" s="37" customFormat="1" ht="15.75" customHeight="1" x14ac:dyDescent="0.25">
      <c r="A169" s="64">
        <f t="shared" si="6"/>
        <v>6</v>
      </c>
      <c r="B169" s="65"/>
      <c r="C169" s="64" t="s">
        <v>211</v>
      </c>
      <c r="D169" s="87"/>
      <c r="E169" s="87"/>
      <c r="F169" s="65"/>
      <c r="G169" s="75"/>
      <c r="H169" s="76"/>
      <c r="I169" s="36"/>
      <c r="L169" s="66"/>
      <c r="M169" s="66"/>
      <c r="N169" s="36"/>
    </row>
    <row r="170" spans="1:14" s="37" customFormat="1" ht="15.75" customHeight="1" x14ac:dyDescent="0.25">
      <c r="A170" s="64">
        <f t="shared" si="6"/>
        <v>7</v>
      </c>
      <c r="B170" s="65"/>
      <c r="C170" s="73" t="s">
        <v>219</v>
      </c>
      <c r="D170" s="85"/>
      <c r="E170" s="85"/>
      <c r="F170" s="74"/>
      <c r="G170" s="75"/>
      <c r="H170" s="76"/>
      <c r="I170" s="36"/>
      <c r="L170" s="66"/>
      <c r="M170" s="66"/>
      <c r="N170" s="36"/>
    </row>
    <row r="171" spans="1:14" s="37" customFormat="1" ht="15.75" customHeight="1" x14ac:dyDescent="0.25">
      <c r="A171" s="64">
        <f t="shared" si="6"/>
        <v>8</v>
      </c>
      <c r="B171" s="65"/>
      <c r="C171" s="77"/>
      <c r="D171" s="86"/>
      <c r="E171" s="86"/>
      <c r="F171" s="78"/>
      <c r="G171" s="75"/>
      <c r="H171" s="76"/>
      <c r="I171" s="36"/>
      <c r="L171" s="66"/>
      <c r="M171" s="66"/>
      <c r="N171" s="36"/>
    </row>
    <row r="172" spans="1:14" s="37" customFormat="1" ht="15.75" customHeight="1" x14ac:dyDescent="0.25">
      <c r="A172" s="64">
        <f t="shared" si="6"/>
        <v>9</v>
      </c>
      <c r="B172" s="65"/>
      <c r="C172" s="73" t="s">
        <v>220</v>
      </c>
      <c r="D172" s="85"/>
      <c r="E172" s="85"/>
      <c r="F172" s="74"/>
      <c r="G172" s="75"/>
      <c r="H172" s="76"/>
      <c r="I172" s="36"/>
      <c r="L172" s="66"/>
      <c r="M172" s="66"/>
      <c r="N172" s="36"/>
    </row>
    <row r="173" spans="1:14" s="37" customFormat="1" ht="15.75" customHeight="1" x14ac:dyDescent="0.25">
      <c r="A173" s="64">
        <f t="shared" si="6"/>
        <v>10</v>
      </c>
      <c r="B173" s="65"/>
      <c r="C173" s="77"/>
      <c r="D173" s="86"/>
      <c r="E173" s="86"/>
      <c r="F173" s="78"/>
      <c r="G173" s="77"/>
      <c r="H173" s="78"/>
      <c r="I173" s="36"/>
      <c r="L173" s="66"/>
      <c r="M173" s="66"/>
      <c r="N173" s="36"/>
    </row>
    <row r="174" spans="1:14" s="37" customFormat="1" ht="15.75" customHeight="1" x14ac:dyDescent="0.25">
      <c r="A174" s="82" t="s">
        <v>221</v>
      </c>
      <c r="B174" s="83"/>
      <c r="C174" s="83"/>
      <c r="D174" s="83"/>
      <c r="E174" s="83"/>
      <c r="F174" s="83"/>
      <c r="G174" s="83"/>
      <c r="H174" s="84"/>
      <c r="J174" s="36"/>
    </row>
    <row r="175" spans="1:14" s="37" customFormat="1" ht="15.75" customHeight="1" x14ac:dyDescent="0.25">
      <c r="A175" s="64">
        <v>1</v>
      </c>
      <c r="B175" s="65"/>
      <c r="C175" s="53">
        <v>2</v>
      </c>
      <c r="D175" s="55">
        <f>(53.69)*(10.764)</f>
        <v>577.91915999999992</v>
      </c>
      <c r="E175" s="42">
        <v>0</v>
      </c>
      <c r="F175" s="42">
        <f t="shared" ref="F175:F184" si="7">D175*(($F$131)+1)+(IF(E175&lt;101,E175,IF(E175&lt;201,E175/2,IF(E175&lt;=301,E175/3,E175/4))))</f>
        <v>895.77469799999994</v>
      </c>
      <c r="G175" s="73" t="str">
        <f>A174</f>
        <v>2nd, 4th to 9th, 11th to 16th, 18th to 23rd, 25th to 30th &amp; 32nd to 35th Floor For Residential</v>
      </c>
      <c r="H175" s="74"/>
      <c r="I175" s="36"/>
      <c r="L175" s="66"/>
      <c r="M175" s="66"/>
      <c r="N175" s="36"/>
    </row>
    <row r="176" spans="1:14" s="37" customFormat="1" ht="15.75" customHeight="1" x14ac:dyDescent="0.25">
      <c r="A176" s="64">
        <f t="shared" ref="A176:A184" si="8">A175+1</f>
        <v>2</v>
      </c>
      <c r="B176" s="65"/>
      <c r="C176" s="53">
        <v>2</v>
      </c>
      <c r="D176" s="55">
        <f>(53.69)*(10.764)</f>
        <v>577.91915999999992</v>
      </c>
      <c r="E176" s="42">
        <v>0</v>
      </c>
      <c r="F176" s="42">
        <f t="shared" si="7"/>
        <v>895.77469799999994</v>
      </c>
      <c r="G176" s="75"/>
      <c r="H176" s="76"/>
      <c r="I176" s="36"/>
      <c r="L176" s="66"/>
      <c r="M176" s="66"/>
      <c r="N176" s="36"/>
    </row>
    <row r="177" spans="1:14" s="37" customFormat="1" ht="15.75" customHeight="1" x14ac:dyDescent="0.25">
      <c r="A177" s="64">
        <f t="shared" si="8"/>
        <v>3</v>
      </c>
      <c r="B177" s="65"/>
      <c r="C177" s="53">
        <v>2</v>
      </c>
      <c r="D177" s="55">
        <f>(55.25)*(10.764)</f>
        <v>594.71100000000001</v>
      </c>
      <c r="E177" s="42">
        <v>0</v>
      </c>
      <c r="F177" s="42">
        <f t="shared" si="7"/>
        <v>921.80205000000001</v>
      </c>
      <c r="G177" s="75"/>
      <c r="H177" s="76"/>
      <c r="I177" s="36"/>
      <c r="L177" s="66"/>
      <c r="M177" s="66"/>
      <c r="N177" s="36"/>
    </row>
    <row r="178" spans="1:14" s="37" customFormat="1" ht="15.75" customHeight="1" x14ac:dyDescent="0.25">
      <c r="A178" s="64">
        <f t="shared" si="8"/>
        <v>4</v>
      </c>
      <c r="B178" s="65"/>
      <c r="C178" s="53">
        <v>2</v>
      </c>
      <c r="D178" s="55">
        <f>(55.25)*(10.764)</f>
        <v>594.71100000000001</v>
      </c>
      <c r="E178" s="42">
        <v>0</v>
      </c>
      <c r="F178" s="42">
        <f t="shared" si="7"/>
        <v>921.80205000000001</v>
      </c>
      <c r="G178" s="75"/>
      <c r="H178" s="76"/>
      <c r="I178" s="36"/>
      <c r="L178" s="66"/>
      <c r="M178" s="66"/>
      <c r="N178" s="36"/>
    </row>
    <row r="179" spans="1:14" s="37" customFormat="1" ht="15.75" customHeight="1" x14ac:dyDescent="0.25">
      <c r="A179" s="64">
        <f t="shared" si="8"/>
        <v>5</v>
      </c>
      <c r="B179" s="65"/>
      <c r="C179" s="53">
        <v>1</v>
      </c>
      <c r="D179" s="55">
        <f>(38.13)*(10.764)</f>
        <v>410.43132000000003</v>
      </c>
      <c r="E179" s="42">
        <v>0</v>
      </c>
      <c r="F179" s="42">
        <f t="shared" si="7"/>
        <v>636.16854600000011</v>
      </c>
      <c r="G179" s="75"/>
      <c r="H179" s="76"/>
      <c r="I179" s="36"/>
      <c r="L179" s="66"/>
      <c r="M179" s="66"/>
      <c r="N179" s="36"/>
    </row>
    <row r="180" spans="1:14" s="37" customFormat="1" ht="15.75" customHeight="1" x14ac:dyDescent="0.25">
      <c r="A180" s="64">
        <f t="shared" si="8"/>
        <v>6</v>
      </c>
      <c r="B180" s="65"/>
      <c r="C180" s="53">
        <v>2</v>
      </c>
      <c r="D180" s="55">
        <f>(52.55)*(10.764)</f>
        <v>565.64819999999997</v>
      </c>
      <c r="E180" s="42">
        <v>0</v>
      </c>
      <c r="F180" s="42">
        <f t="shared" si="7"/>
        <v>876.75470999999993</v>
      </c>
      <c r="G180" s="75"/>
      <c r="H180" s="76"/>
      <c r="I180" s="36"/>
      <c r="L180" s="66"/>
      <c r="M180" s="66"/>
      <c r="N180" s="36"/>
    </row>
    <row r="181" spans="1:14" s="37" customFormat="1" ht="15.75" customHeight="1" x14ac:dyDescent="0.25">
      <c r="A181" s="64">
        <f t="shared" si="8"/>
        <v>7</v>
      </c>
      <c r="B181" s="65"/>
      <c r="C181" s="53">
        <v>2</v>
      </c>
      <c r="D181" s="55">
        <f>(52.55)*(10.764)</f>
        <v>565.64819999999997</v>
      </c>
      <c r="E181" s="42">
        <v>0</v>
      </c>
      <c r="F181" s="42">
        <f t="shared" si="7"/>
        <v>876.75470999999993</v>
      </c>
      <c r="G181" s="75"/>
      <c r="H181" s="76"/>
      <c r="I181" s="36"/>
      <c r="L181" s="66"/>
      <c r="M181" s="66"/>
      <c r="N181" s="36"/>
    </row>
    <row r="182" spans="1:14" s="37" customFormat="1" ht="15.75" customHeight="1" x14ac:dyDescent="0.25">
      <c r="A182" s="64">
        <f t="shared" si="8"/>
        <v>8</v>
      </c>
      <c r="B182" s="65"/>
      <c r="C182" s="53">
        <v>1</v>
      </c>
      <c r="D182" s="55">
        <f>(39.05)*(10.764)</f>
        <v>420.33419999999995</v>
      </c>
      <c r="E182" s="42">
        <v>0</v>
      </c>
      <c r="F182" s="42">
        <f t="shared" si="7"/>
        <v>651.51800999999989</v>
      </c>
      <c r="G182" s="75"/>
      <c r="H182" s="76"/>
      <c r="I182" s="36"/>
      <c r="L182" s="66"/>
      <c r="M182" s="66"/>
      <c r="N182" s="36"/>
    </row>
    <row r="183" spans="1:14" s="37" customFormat="1" ht="15.75" customHeight="1" x14ac:dyDescent="0.25">
      <c r="A183" s="64">
        <f t="shared" si="8"/>
        <v>9</v>
      </c>
      <c r="B183" s="65"/>
      <c r="C183" s="53">
        <v>2</v>
      </c>
      <c r="D183" s="55">
        <f>(55.25)*(10.764)</f>
        <v>594.71100000000001</v>
      </c>
      <c r="E183" s="42">
        <v>0</v>
      </c>
      <c r="F183" s="42">
        <f t="shared" si="7"/>
        <v>921.80205000000001</v>
      </c>
      <c r="G183" s="75"/>
      <c r="H183" s="76"/>
      <c r="I183" s="36"/>
      <c r="L183" s="66"/>
      <c r="M183" s="66"/>
      <c r="N183" s="36"/>
    </row>
    <row r="184" spans="1:14" s="37" customFormat="1" ht="15.75" customHeight="1" x14ac:dyDescent="0.25">
      <c r="A184" s="64">
        <f t="shared" si="8"/>
        <v>10</v>
      </c>
      <c r="B184" s="65"/>
      <c r="C184" s="53">
        <v>2</v>
      </c>
      <c r="D184" s="55">
        <f>(55.25)*(10.764)</f>
        <v>594.71100000000001</v>
      </c>
      <c r="E184" s="42">
        <v>0</v>
      </c>
      <c r="F184" s="42">
        <f t="shared" si="7"/>
        <v>921.80205000000001</v>
      </c>
      <c r="G184" s="77"/>
      <c r="H184" s="78"/>
      <c r="I184" s="36"/>
      <c r="L184" s="66"/>
      <c r="M184" s="66"/>
      <c r="N184" s="36"/>
    </row>
    <row r="185" spans="1:14" s="37" customFormat="1" ht="15.75" customHeight="1" x14ac:dyDescent="0.25">
      <c r="A185" s="82" t="s">
        <v>222</v>
      </c>
      <c r="B185" s="83"/>
      <c r="C185" s="83"/>
      <c r="D185" s="83"/>
      <c r="E185" s="83"/>
      <c r="F185" s="83"/>
      <c r="G185" s="83"/>
      <c r="H185" s="84"/>
      <c r="J185" s="36"/>
    </row>
    <row r="186" spans="1:14" s="37" customFormat="1" ht="15.75" customHeight="1" x14ac:dyDescent="0.25">
      <c r="A186" s="64">
        <v>1</v>
      </c>
      <c r="B186" s="65"/>
      <c r="C186" s="53">
        <v>2</v>
      </c>
      <c r="D186" s="55">
        <f>(53.69)*(10.764)</f>
        <v>577.91915999999992</v>
      </c>
      <c r="E186" s="42">
        <v>0</v>
      </c>
      <c r="F186" s="42">
        <f>D186*(($F$131)+1)+(IF(E186&lt;101,E186,IF(E186&lt;201,E186/2,IF(E186&lt;=301,E186/3,E186/4))))</f>
        <v>895.77469799999994</v>
      </c>
      <c r="G186" s="73" t="str">
        <f>A185</f>
        <v>3rd, 10th, 17th &amp; 24th Floor (Part Refuge Area)</v>
      </c>
      <c r="H186" s="74"/>
      <c r="I186" s="36"/>
      <c r="L186" s="66"/>
      <c r="M186" s="66"/>
      <c r="N186" s="36"/>
    </row>
    <row r="187" spans="1:14" s="37" customFormat="1" ht="15.75" customHeight="1" x14ac:dyDescent="0.25">
      <c r="A187" s="64">
        <f t="shared" ref="A187:A195" si="9">A186+1</f>
        <v>2</v>
      </c>
      <c r="B187" s="65"/>
      <c r="C187" s="53">
        <v>2</v>
      </c>
      <c r="D187" s="55">
        <f>(53.69)*(10.764)</f>
        <v>577.91915999999992</v>
      </c>
      <c r="E187" s="42">
        <v>0</v>
      </c>
      <c r="F187" s="42">
        <f>D187*(($F$131)+1)+(IF(E187&lt;101,E187,IF(E187&lt;201,E187/2,IF(E187&lt;=301,E187/3,E187/4))))</f>
        <v>895.77469799999994</v>
      </c>
      <c r="G187" s="75"/>
      <c r="H187" s="76"/>
      <c r="I187" s="36"/>
      <c r="L187" s="66"/>
      <c r="M187" s="66"/>
      <c r="N187" s="36"/>
    </row>
    <row r="188" spans="1:14" s="37" customFormat="1" ht="15.75" customHeight="1" x14ac:dyDescent="0.25">
      <c r="A188" s="64">
        <f t="shared" si="9"/>
        <v>3</v>
      </c>
      <c r="B188" s="65"/>
      <c r="C188" s="67" t="s">
        <v>214</v>
      </c>
      <c r="D188" s="68"/>
      <c r="E188" s="68"/>
      <c r="F188" s="69"/>
      <c r="G188" s="75"/>
      <c r="H188" s="76"/>
      <c r="I188" s="36"/>
      <c r="K188" s="37">
        <f>25000/1.6</f>
        <v>15625</v>
      </c>
      <c r="L188" s="66"/>
      <c r="M188" s="66"/>
      <c r="N188" s="36"/>
    </row>
    <row r="189" spans="1:14" s="37" customFormat="1" ht="15.75" customHeight="1" x14ac:dyDescent="0.25">
      <c r="A189" s="64">
        <f t="shared" si="9"/>
        <v>4</v>
      </c>
      <c r="B189" s="65"/>
      <c r="C189" s="79"/>
      <c r="D189" s="80"/>
      <c r="E189" s="80"/>
      <c r="F189" s="81"/>
      <c r="G189" s="75"/>
      <c r="H189" s="76"/>
      <c r="I189" s="36"/>
      <c r="L189" s="66"/>
      <c r="M189" s="66"/>
      <c r="N189" s="36"/>
    </row>
    <row r="190" spans="1:14" s="37" customFormat="1" ht="15.75" customHeight="1" x14ac:dyDescent="0.25">
      <c r="A190" s="64">
        <f t="shared" si="9"/>
        <v>5</v>
      </c>
      <c r="B190" s="65"/>
      <c r="C190" s="70"/>
      <c r="D190" s="71"/>
      <c r="E190" s="71"/>
      <c r="F190" s="72"/>
      <c r="G190" s="75"/>
      <c r="H190" s="76"/>
      <c r="I190" s="36"/>
      <c r="L190" s="66"/>
      <c r="M190" s="66"/>
      <c r="N190" s="36"/>
    </row>
    <row r="191" spans="1:14" s="37" customFormat="1" ht="15.75" customHeight="1" x14ac:dyDescent="0.25">
      <c r="A191" s="64">
        <f t="shared" si="9"/>
        <v>6</v>
      </c>
      <c r="B191" s="65"/>
      <c r="C191" s="53">
        <v>2</v>
      </c>
      <c r="D191" s="55">
        <f>(52.55)*(10.764)</f>
        <v>565.64819999999997</v>
      </c>
      <c r="E191" s="42">
        <v>0</v>
      </c>
      <c r="F191" s="42">
        <f>D191*(($F$131)+1)+(IF(E191&lt;101,E191,IF(E191&lt;201,E191/2,IF(E191&lt;=301,E191/3,E191/4))))</f>
        <v>876.75470999999993</v>
      </c>
      <c r="G191" s="75"/>
      <c r="H191" s="76"/>
      <c r="I191" s="36"/>
      <c r="L191" s="56"/>
      <c r="M191" s="56"/>
      <c r="N191" s="36"/>
    </row>
    <row r="192" spans="1:14" s="37" customFormat="1" ht="15.75" customHeight="1" x14ac:dyDescent="0.25">
      <c r="A192" s="64">
        <f t="shared" si="9"/>
        <v>7</v>
      </c>
      <c r="B192" s="65"/>
      <c r="C192" s="53">
        <v>2</v>
      </c>
      <c r="D192" s="55">
        <f>(52.55)*(10.764)</f>
        <v>565.64819999999997</v>
      </c>
      <c r="E192" s="42">
        <v>0</v>
      </c>
      <c r="F192" s="42">
        <f>D192*(($F$131)+1)+(IF(E192&lt;101,E192,IF(E192&lt;201,E192/2,IF(E192&lt;=301,E192/3,E192/4))))</f>
        <v>876.75470999999993</v>
      </c>
      <c r="G192" s="75"/>
      <c r="H192" s="76"/>
      <c r="I192" s="36"/>
      <c r="J192" s="37">
        <f>11800000/F192</f>
        <v>13458.724390542482</v>
      </c>
      <c r="L192" s="56"/>
      <c r="M192" s="56"/>
      <c r="N192" s="36"/>
    </row>
    <row r="193" spans="1:14" s="37" customFormat="1" ht="15.75" customHeight="1" x14ac:dyDescent="0.25">
      <c r="A193" s="64">
        <f t="shared" si="9"/>
        <v>8</v>
      </c>
      <c r="B193" s="65"/>
      <c r="C193" s="53">
        <v>1</v>
      </c>
      <c r="D193" s="55">
        <f>(39.05)*(10.764)</f>
        <v>420.33419999999995</v>
      </c>
      <c r="E193" s="42">
        <v>0</v>
      </c>
      <c r="F193" s="42">
        <f>D193*(($F$131)+1)+(IF(E193&lt;101,E193,IF(E193&lt;201,E193/2,IF(E193&lt;=301,E193/3,E193/4))))</f>
        <v>651.51800999999989</v>
      </c>
      <c r="G193" s="75"/>
      <c r="H193" s="76"/>
      <c r="I193" s="36"/>
      <c r="J193" s="37">
        <f>8900000/F193</f>
        <v>13660.405182045546</v>
      </c>
      <c r="L193" s="56">
        <f>10000000/F193</f>
        <v>15348.769867466905</v>
      </c>
      <c r="M193" s="56"/>
      <c r="N193" s="36"/>
    </row>
    <row r="194" spans="1:14" s="37" customFormat="1" ht="15.75" customHeight="1" x14ac:dyDescent="0.25">
      <c r="A194" s="64">
        <f t="shared" si="9"/>
        <v>9</v>
      </c>
      <c r="B194" s="65"/>
      <c r="C194" s="53">
        <v>2</v>
      </c>
      <c r="D194" s="55">
        <f>(55.25)*(10.764)</f>
        <v>594.71100000000001</v>
      </c>
      <c r="E194" s="42">
        <v>0</v>
      </c>
      <c r="F194" s="42">
        <f>D194*(($F$131)+1)+(IF(E194&lt;101,E194,IF(E194&lt;201,E194/2,IF(E194&lt;=301,E194/3,E194/4))))</f>
        <v>921.80205000000001</v>
      </c>
      <c r="G194" s="75"/>
      <c r="H194" s="76"/>
      <c r="I194" s="36"/>
      <c r="J194" s="37">
        <f>12200000/F194</f>
        <v>13234.945615493045</v>
      </c>
      <c r="L194" s="56"/>
      <c r="M194" s="56"/>
      <c r="N194" s="36"/>
    </row>
    <row r="195" spans="1:14" s="37" customFormat="1" ht="15.75" customHeight="1" x14ac:dyDescent="0.25">
      <c r="A195" s="64">
        <f t="shared" si="9"/>
        <v>10</v>
      </c>
      <c r="B195" s="65"/>
      <c r="C195" s="53">
        <v>2</v>
      </c>
      <c r="D195" s="55">
        <f>(55.25)*(10.764)</f>
        <v>594.71100000000001</v>
      </c>
      <c r="E195" s="42">
        <v>0</v>
      </c>
      <c r="F195" s="42">
        <f>D195*(($F$131)+1)+(IF(E195&lt;101,E195,IF(E195&lt;201,E195/2,IF(E195&lt;=301,E195/3,E195/4))))</f>
        <v>921.80205000000001</v>
      </c>
      <c r="G195" s="77"/>
      <c r="H195" s="78"/>
      <c r="I195" s="36"/>
      <c r="L195" s="56"/>
      <c r="M195" s="56"/>
      <c r="N195" s="36"/>
    </row>
    <row r="196" spans="1:14" s="37" customFormat="1" ht="15.75" customHeight="1" x14ac:dyDescent="0.25">
      <c r="A196" s="82" t="s">
        <v>223</v>
      </c>
      <c r="B196" s="83"/>
      <c r="C196" s="83"/>
      <c r="D196" s="83"/>
      <c r="E196" s="83"/>
      <c r="F196" s="83"/>
      <c r="G196" s="83"/>
      <c r="H196" s="84"/>
      <c r="J196" s="36"/>
    </row>
    <row r="197" spans="1:14" s="37" customFormat="1" ht="15.75" customHeight="1" x14ac:dyDescent="0.25">
      <c r="A197" s="64">
        <v>1</v>
      </c>
      <c r="B197" s="65"/>
      <c r="C197" s="53">
        <v>2</v>
      </c>
      <c r="D197" s="55">
        <f>(53.69)*(10.764)</f>
        <v>577.91915999999992</v>
      </c>
      <c r="E197" s="42">
        <v>0</v>
      </c>
      <c r="F197" s="42">
        <f>D197*(($F$131)+1)+(IF(E197&lt;101,E197,IF(E197&lt;201,E197/2,IF(E197&lt;=301,E197/3,E197/4))))</f>
        <v>895.77469799999994</v>
      </c>
      <c r="G197" s="73" t="str">
        <f>A196</f>
        <v>31st Floor (Part Refuge Area)</v>
      </c>
      <c r="H197" s="74"/>
      <c r="I197" s="36"/>
      <c r="L197" s="66"/>
      <c r="M197" s="66"/>
      <c r="N197" s="36"/>
    </row>
    <row r="198" spans="1:14" s="37" customFormat="1" ht="15.75" customHeight="1" x14ac:dyDescent="0.25">
      <c r="A198" s="64">
        <f t="shared" ref="A198:A206" si="10">A197+1</f>
        <v>2</v>
      </c>
      <c r="B198" s="65"/>
      <c r="C198" s="53">
        <v>2</v>
      </c>
      <c r="D198" s="55">
        <f>(53.69)*(10.764)</f>
        <v>577.91915999999992</v>
      </c>
      <c r="E198" s="42">
        <v>0</v>
      </c>
      <c r="F198" s="42">
        <f>D198*(($F$131)+1)+(IF(E198&lt;101,E198,IF(E198&lt;201,E198/2,IF(E198&lt;=301,E198/3,E198/4))))</f>
        <v>895.77469799999994</v>
      </c>
      <c r="G198" s="75"/>
      <c r="H198" s="76"/>
      <c r="I198" s="36"/>
      <c r="L198" s="66"/>
      <c r="M198" s="66"/>
      <c r="N198" s="36"/>
    </row>
    <row r="199" spans="1:14" s="37" customFormat="1" ht="15.75" customHeight="1" x14ac:dyDescent="0.25">
      <c r="A199" s="64">
        <f t="shared" si="10"/>
        <v>3</v>
      </c>
      <c r="B199" s="65"/>
      <c r="C199" s="67" t="s">
        <v>214</v>
      </c>
      <c r="D199" s="68"/>
      <c r="E199" s="68"/>
      <c r="F199" s="69"/>
      <c r="G199" s="75"/>
      <c r="H199" s="76"/>
      <c r="I199" s="36"/>
      <c r="L199" s="66"/>
      <c r="M199" s="66"/>
      <c r="N199" s="36"/>
    </row>
    <row r="200" spans="1:14" s="37" customFormat="1" ht="15.75" customHeight="1" x14ac:dyDescent="0.25">
      <c r="A200" s="64">
        <f t="shared" si="10"/>
        <v>4</v>
      </c>
      <c r="B200" s="65"/>
      <c r="C200" s="70"/>
      <c r="D200" s="71"/>
      <c r="E200" s="71"/>
      <c r="F200" s="72"/>
      <c r="G200" s="75"/>
      <c r="H200" s="76"/>
      <c r="I200" s="36"/>
      <c r="L200" s="66"/>
      <c r="M200" s="66"/>
      <c r="N200" s="36"/>
    </row>
    <row r="201" spans="1:14" s="37" customFormat="1" ht="15.75" customHeight="1" x14ac:dyDescent="0.25">
      <c r="A201" s="64">
        <f t="shared" si="10"/>
        <v>5</v>
      </c>
      <c r="B201" s="65"/>
      <c r="C201" s="53">
        <v>1</v>
      </c>
      <c r="D201" s="55">
        <f>(38.13)*(10.764)</f>
        <v>410.43132000000003</v>
      </c>
      <c r="E201" s="42">
        <v>0</v>
      </c>
      <c r="F201" s="42">
        <f t="shared" ref="F201:F206" si="11">D201*(($F$131)+1)+(IF(E201&lt;101,E201,IF(E201&lt;201,E201/2,IF(E201&lt;=301,E201/3,E201/4))))</f>
        <v>636.16854600000011</v>
      </c>
      <c r="G201" s="75"/>
      <c r="H201" s="76"/>
      <c r="I201" s="36"/>
      <c r="L201" s="66"/>
      <c r="M201" s="66"/>
      <c r="N201" s="36"/>
    </row>
    <row r="202" spans="1:14" s="37" customFormat="1" ht="15.75" customHeight="1" x14ac:dyDescent="0.25">
      <c r="A202" s="64">
        <f t="shared" si="10"/>
        <v>6</v>
      </c>
      <c r="B202" s="65"/>
      <c r="C202" s="53">
        <v>2</v>
      </c>
      <c r="D202" s="55">
        <f>(52.55)*(10.764)</f>
        <v>565.64819999999997</v>
      </c>
      <c r="E202" s="42">
        <v>0</v>
      </c>
      <c r="F202" s="42">
        <f t="shared" si="11"/>
        <v>876.75470999999993</v>
      </c>
      <c r="G202" s="75"/>
      <c r="H202" s="76"/>
      <c r="I202" s="36"/>
      <c r="L202" s="66"/>
      <c r="M202" s="66"/>
      <c r="N202" s="36"/>
    </row>
    <row r="203" spans="1:14" s="37" customFormat="1" ht="15.75" customHeight="1" x14ac:dyDescent="0.25">
      <c r="A203" s="64">
        <f t="shared" si="10"/>
        <v>7</v>
      </c>
      <c r="B203" s="65"/>
      <c r="C203" s="53">
        <v>2</v>
      </c>
      <c r="D203" s="55">
        <f>(52.55)*(10.764)</f>
        <v>565.64819999999997</v>
      </c>
      <c r="E203" s="42">
        <v>0</v>
      </c>
      <c r="F203" s="42">
        <f t="shared" si="11"/>
        <v>876.75470999999993</v>
      </c>
      <c r="G203" s="75"/>
      <c r="H203" s="76"/>
      <c r="I203" s="36"/>
      <c r="L203" s="66"/>
      <c r="M203" s="66"/>
      <c r="N203" s="36"/>
    </row>
    <row r="204" spans="1:14" s="37" customFormat="1" ht="15.75" customHeight="1" x14ac:dyDescent="0.25">
      <c r="A204" s="64">
        <f t="shared" si="10"/>
        <v>8</v>
      </c>
      <c r="B204" s="65"/>
      <c r="C204" s="53">
        <v>1</v>
      </c>
      <c r="D204" s="55">
        <f>(39.05)*(10.764)</f>
        <v>420.33419999999995</v>
      </c>
      <c r="E204" s="42">
        <v>0</v>
      </c>
      <c r="F204" s="42">
        <f t="shared" si="11"/>
        <v>651.51800999999989</v>
      </c>
      <c r="G204" s="75"/>
      <c r="H204" s="76"/>
      <c r="I204" s="36"/>
      <c r="L204" s="66"/>
      <c r="M204" s="66"/>
      <c r="N204" s="36"/>
    </row>
    <row r="205" spans="1:14" s="37" customFormat="1" ht="15.75" customHeight="1" x14ac:dyDescent="0.25">
      <c r="A205" s="64">
        <f t="shared" si="10"/>
        <v>9</v>
      </c>
      <c r="B205" s="65"/>
      <c r="C205" s="53">
        <v>2</v>
      </c>
      <c r="D205" s="55">
        <f>(55.25)*(10.764)</f>
        <v>594.71100000000001</v>
      </c>
      <c r="E205" s="42">
        <v>0</v>
      </c>
      <c r="F205" s="42">
        <f t="shared" si="11"/>
        <v>921.80205000000001</v>
      </c>
      <c r="G205" s="75"/>
      <c r="H205" s="76"/>
      <c r="I205" s="36"/>
      <c r="L205" s="66"/>
      <c r="M205" s="66"/>
      <c r="N205" s="36"/>
    </row>
    <row r="206" spans="1:14" s="37" customFormat="1" ht="15.75" customHeight="1" x14ac:dyDescent="0.25">
      <c r="A206" s="64">
        <f t="shared" si="10"/>
        <v>10</v>
      </c>
      <c r="B206" s="65"/>
      <c r="C206" s="53">
        <v>2</v>
      </c>
      <c r="D206" s="55">
        <f>(55.25)*(10.764)</f>
        <v>594.71100000000001</v>
      </c>
      <c r="E206" s="42">
        <v>0</v>
      </c>
      <c r="F206" s="42">
        <f t="shared" si="11"/>
        <v>921.80205000000001</v>
      </c>
      <c r="G206" s="77"/>
      <c r="H206" s="78"/>
      <c r="I206" s="36"/>
      <c r="L206" s="66"/>
      <c r="M206" s="66"/>
      <c r="N206" s="36"/>
    </row>
    <row r="207" spans="1:14" s="37" customFormat="1" ht="15.75" hidden="1" customHeight="1" x14ac:dyDescent="0.25">
      <c r="A207" s="82" t="s">
        <v>120</v>
      </c>
      <c r="B207" s="83"/>
      <c r="C207" s="83"/>
      <c r="D207" s="83"/>
      <c r="E207" s="83"/>
      <c r="F207" s="83"/>
      <c r="G207" s="83"/>
      <c r="H207" s="84"/>
      <c r="J207" s="36"/>
    </row>
    <row r="208" spans="1:14" s="37" customFormat="1" hidden="1" x14ac:dyDescent="0.25">
      <c r="A208" s="64">
        <v>1</v>
      </c>
      <c r="B208" s="65"/>
      <c r="C208" s="53"/>
      <c r="D208" s="42"/>
      <c r="E208" s="42">
        <v>0</v>
      </c>
      <c r="F208" s="42">
        <f>D208*(($F$131)+1)+(IF(E208&lt;101,E208,IF(E208&lt;201,E208/2,IF(E208&lt;=301,E208/3,E208/4))))</f>
        <v>0</v>
      </c>
      <c r="G208" s="64" t="str">
        <f>A207</f>
        <v>Ground Floor</v>
      </c>
      <c r="H208" s="65"/>
      <c r="I208" s="36"/>
      <c r="L208" s="66"/>
      <c r="M208" s="66"/>
      <c r="N208" s="36"/>
    </row>
    <row r="209" spans="1:14" s="37" customFormat="1" hidden="1" x14ac:dyDescent="0.25">
      <c r="A209" s="64">
        <f t="shared" ref="A209:A211" si="12">A208+1</f>
        <v>2</v>
      </c>
      <c r="B209" s="65"/>
      <c r="C209" s="53"/>
      <c r="D209" s="42"/>
      <c r="E209" s="42">
        <v>0</v>
      </c>
      <c r="F209" s="42">
        <f>D209*(($F$131)+1)+(IF(E209&lt;101,E209,IF(E209&lt;201,E209/2,IF(E209&lt;=301,E209/3,E209/4))))</f>
        <v>0</v>
      </c>
      <c r="G209" s="64" t="str">
        <f t="shared" ref="G209:G211" si="13">G208</f>
        <v>Ground Floor</v>
      </c>
      <c r="H209" s="65"/>
      <c r="I209" s="36"/>
      <c r="L209" s="66"/>
      <c r="M209" s="66"/>
      <c r="N209" s="36"/>
    </row>
    <row r="210" spans="1:14" s="37" customFormat="1" hidden="1" x14ac:dyDescent="0.25">
      <c r="A210" s="64">
        <f t="shared" si="12"/>
        <v>3</v>
      </c>
      <c r="B210" s="65"/>
      <c r="C210" s="53"/>
      <c r="D210" s="42"/>
      <c r="E210" s="42">
        <v>0</v>
      </c>
      <c r="F210" s="42">
        <f>D210*(($F$131)+1)+(IF(E210&lt;101,E210,IF(E210&lt;201,E210/2,IF(E210&lt;=301,E210/3,E210/4))))</f>
        <v>0</v>
      </c>
      <c r="G210" s="64" t="str">
        <f t="shared" si="13"/>
        <v>Ground Floor</v>
      </c>
      <c r="H210" s="65"/>
      <c r="I210" s="36"/>
      <c r="L210" s="66"/>
      <c r="M210" s="66"/>
      <c r="N210" s="36"/>
    </row>
    <row r="211" spans="1:14" s="37" customFormat="1" hidden="1" x14ac:dyDescent="0.25">
      <c r="A211" s="64">
        <f t="shared" si="12"/>
        <v>4</v>
      </c>
      <c r="B211" s="65"/>
      <c r="C211" s="53"/>
      <c r="D211" s="42"/>
      <c r="E211" s="42">
        <v>0</v>
      </c>
      <c r="F211" s="42">
        <f>D211*(($F$131)+1)+(IF(E211&lt;101,E211,IF(E211&lt;201,E211/2,IF(E211&lt;=301,E211/3,E211/4))))</f>
        <v>0</v>
      </c>
      <c r="G211" s="64" t="str">
        <f t="shared" si="13"/>
        <v>Ground Floor</v>
      </c>
      <c r="H211" s="65"/>
      <c r="I211" s="36"/>
      <c r="L211" s="66"/>
      <c r="M211" s="66"/>
      <c r="N211" s="36"/>
    </row>
    <row r="212" spans="1:14" s="37" customFormat="1" hidden="1" x14ac:dyDescent="0.25">
      <c r="A212" s="174" t="s">
        <v>121</v>
      </c>
      <c r="B212" s="174"/>
      <c r="C212" s="174"/>
      <c r="D212" s="174"/>
      <c r="E212" s="174"/>
      <c r="F212" s="174"/>
      <c r="G212" s="174"/>
      <c r="H212" s="174"/>
      <c r="I212" s="36"/>
      <c r="L212" s="66"/>
      <c r="M212" s="66"/>
    </row>
    <row r="213" spans="1:14" s="37" customFormat="1" hidden="1" x14ac:dyDescent="0.25">
      <c r="A213" s="103">
        <f>LEFT(A212,SUM(LEN(A212)-LEN(SUBSTITUTE(A212,{"0","1","2","3","4","5","6","7","8","9"},""))))*100+1</f>
        <v>201</v>
      </c>
      <c r="B213" s="103"/>
      <c r="C213" s="53"/>
      <c r="D213" s="42"/>
      <c r="E213" s="42">
        <v>0</v>
      </c>
      <c r="F213" s="42">
        <f t="shared" ref="F213:F214" si="14">D213*(($F$131)+1)+(IF(E213&lt;101,E213,IF(E213&lt;201,E213/2,IF(E213&lt;=301,E213/3,E213/4))))</f>
        <v>0</v>
      </c>
      <c r="G213" s="103" t="str">
        <f>A212</f>
        <v>2nd Floor</v>
      </c>
      <c r="H213" s="103"/>
      <c r="I213" s="36"/>
      <c r="N213" s="36"/>
    </row>
    <row r="214" spans="1:14" s="37" customFormat="1" hidden="1" x14ac:dyDescent="0.25">
      <c r="A214" s="103">
        <f>A213+1</f>
        <v>202</v>
      </c>
      <c r="B214" s="103"/>
      <c r="C214" s="53"/>
      <c r="D214" s="42"/>
      <c r="E214" s="42">
        <v>0</v>
      </c>
      <c r="F214" s="42">
        <f t="shared" si="14"/>
        <v>0</v>
      </c>
      <c r="G214" s="103" t="str">
        <f>G213</f>
        <v>2nd Floor</v>
      </c>
      <c r="H214" s="103"/>
      <c r="I214" s="36"/>
      <c r="N214" s="36"/>
    </row>
    <row r="215" spans="1:14" s="37" customFormat="1" hidden="1" x14ac:dyDescent="0.25">
      <c r="A215" s="103">
        <f>A214+1</f>
        <v>203</v>
      </c>
      <c r="B215" s="103"/>
      <c r="C215" s="53"/>
      <c r="D215" s="42"/>
      <c r="E215" s="42">
        <v>0</v>
      </c>
      <c r="F215" s="42">
        <f>D215*(($F$131)+1)+(IF(E215&lt;101,E215,IF(E215&lt;201,E215/2,IF(E215&lt;=301,E215/3,E215/4))))</f>
        <v>0</v>
      </c>
      <c r="G215" s="103" t="str">
        <f>G214</f>
        <v>2nd Floor</v>
      </c>
      <c r="H215" s="103"/>
      <c r="I215" s="36"/>
      <c r="N215" s="36"/>
    </row>
    <row r="216" spans="1:14" s="37" customFormat="1" hidden="1" x14ac:dyDescent="0.25">
      <c r="A216" s="103">
        <f>A215+1</f>
        <v>204</v>
      </c>
      <c r="B216" s="103"/>
      <c r="C216" s="53"/>
      <c r="D216" s="42"/>
      <c r="E216" s="42">
        <v>0</v>
      </c>
      <c r="F216" s="42">
        <f>D216*(($F$131)+1)+(IF(E216&lt;101,E216,IF(E216&lt;201,E216/2,IF(E216&lt;=301,E216/3,E216/4))))</f>
        <v>0</v>
      </c>
      <c r="G216" s="103" t="str">
        <f>G215</f>
        <v>2nd Floor</v>
      </c>
      <c r="H216" s="103"/>
      <c r="I216" s="36"/>
      <c r="N216" s="36"/>
    </row>
    <row r="217" spans="1:14" s="37" customFormat="1" hidden="1" x14ac:dyDescent="0.25">
      <c r="A217" s="103">
        <f>A216+1</f>
        <v>205</v>
      </c>
      <c r="B217" s="103"/>
      <c r="C217" s="53"/>
      <c r="D217" s="42"/>
      <c r="E217" s="42">
        <v>0</v>
      </c>
      <c r="F217" s="42">
        <f>D217*(($F$131)+1)+(IF(E217&lt;101,E217,IF(E217&lt;201,E217/2,IF(E217&lt;=301,E217/3,E217/4))))</f>
        <v>0</v>
      </c>
      <c r="G217" s="103" t="str">
        <f>G216</f>
        <v>2nd Floor</v>
      </c>
      <c r="H217" s="103"/>
      <c r="I217" s="36"/>
      <c r="N217" s="36"/>
    </row>
    <row r="218" spans="1:14" s="37" customFormat="1" ht="15.75" hidden="1" customHeight="1" x14ac:dyDescent="0.25">
      <c r="A218" s="82" t="s">
        <v>156</v>
      </c>
      <c r="B218" s="83"/>
      <c r="C218" s="83"/>
      <c r="D218" s="83"/>
      <c r="E218" s="83"/>
      <c r="F218" s="83"/>
      <c r="G218" s="83"/>
      <c r="H218" s="84"/>
      <c r="I218" s="36"/>
    </row>
    <row r="219" spans="1:14" s="37" customFormat="1" hidden="1" x14ac:dyDescent="0.25">
      <c r="A219" s="64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10^ROW(INDIRECT("1:"&amp;LEN((LEFT(A218,SUM(LEN(A218)-LEN(SUBSTITUTE(A218,{"0","1","2"},""))))))))/10))*100+1&amp;""&amp;" ,..,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",LEN(A218))),LEN(A218)))))))/10))*100+1</f>
        <v>301 ,.., 1501</v>
      </c>
      <c r="B219" s="65"/>
      <c r="C219" s="53"/>
      <c r="D219" s="42"/>
      <c r="E219" s="42">
        <v>0</v>
      </c>
      <c r="F219" s="42">
        <f>D219*(($F$131)+1)+(IF(E219&lt;101,E219,IF(E219&lt;201,E219/2,IF(E219&lt;=301,E219/3,E219/4))))</f>
        <v>0</v>
      </c>
      <c r="G219" s="64" t="str">
        <f>A218</f>
        <v>3rd, 5th, 7th, 9th, 11th, 13th, 15th Floor</v>
      </c>
      <c r="H219" s="65"/>
      <c r="I219" s="36"/>
    </row>
    <row r="220" spans="1:14" s="37" customFormat="1" hidden="1" x14ac:dyDescent="0.25">
      <c r="A220" s="64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,..,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302 ,.., 1502</v>
      </c>
      <c r="B220" s="65"/>
      <c r="C220" s="53"/>
      <c r="D220" s="42"/>
      <c r="E220" s="42">
        <v>0</v>
      </c>
      <c r="F220" s="42">
        <f>D220*(($F$131)+1)+(IF(E220&lt;101,E220,IF(E220&lt;201,E220/2,IF(E220&lt;=301,E220/3,E220/4))))</f>
        <v>0</v>
      </c>
      <c r="G220" s="64" t="str">
        <f>G219</f>
        <v>3rd, 5th, 7th, 9th, 11th, 13th, 15th Floor</v>
      </c>
      <c r="H220" s="65"/>
      <c r="I220" s="36"/>
    </row>
    <row r="221" spans="1:14" s="37" customFormat="1" ht="15.75" hidden="1" customHeight="1" x14ac:dyDescent="0.25">
      <c r="A221" s="64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,..,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303 ,.., 1503</v>
      </c>
      <c r="B221" s="65"/>
      <c r="C221" s="53"/>
      <c r="D221" s="42"/>
      <c r="E221" s="42">
        <v>0</v>
      </c>
      <c r="F221" s="42">
        <f>D221*(($F$131)+1)+(IF(E221&lt;101,E221,IF(E221&lt;201,E221/2,IF(E221&lt;=301,E221/3,E221/4))))</f>
        <v>0</v>
      </c>
      <c r="G221" s="64" t="str">
        <f>G220</f>
        <v>3rd, 5th, 7th, 9th, 11th, 13th, 15th Floor</v>
      </c>
      <c r="H221" s="65"/>
      <c r="I221" s="36"/>
    </row>
    <row r="222" spans="1:14" s="37" customFormat="1" ht="15.75" hidden="1" customHeight="1" x14ac:dyDescent="0.25">
      <c r="A222" s="64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,..,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304 ,.., 1504</v>
      </c>
      <c r="B222" s="65"/>
      <c r="C222" s="53"/>
      <c r="D222" s="42"/>
      <c r="E222" s="42">
        <v>0</v>
      </c>
      <c r="F222" s="42">
        <f>D222*(($F$131)+1)+(IF(E222&lt;101,E222,IF(E222&lt;201,E222/2,IF(E222&lt;=301,E222/3,E222/4))))</f>
        <v>0</v>
      </c>
      <c r="G222" s="64" t="str">
        <f>G221</f>
        <v>3rd, 5th, 7th, 9th, 11th, 13th, 15th Floor</v>
      </c>
      <c r="H222" s="65"/>
      <c r="I222" s="36"/>
    </row>
    <row r="223" spans="1:14" s="37" customFormat="1" ht="15.75" hidden="1" customHeight="1" x14ac:dyDescent="0.25">
      <c r="A223" s="64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,..,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305 ,.., 1505</v>
      </c>
      <c r="B223" s="65"/>
      <c r="C223" s="53"/>
      <c r="D223" s="42"/>
      <c r="E223" s="42">
        <v>0</v>
      </c>
      <c r="F223" s="42">
        <f>D223*(($F$131)+1)+(IF(E223&lt;101,E223,IF(E223&lt;201,E223/2,IF(E223&lt;=301,E223/3,E223/4))))</f>
        <v>0</v>
      </c>
      <c r="G223" s="64" t="str">
        <f>G222</f>
        <v>3rd, 5th, 7th, 9th, 11th, 13th, 15th Floor</v>
      </c>
      <c r="H223" s="65"/>
      <c r="I223" s="36"/>
    </row>
    <row r="224" spans="1:14" s="37" customFormat="1" hidden="1" x14ac:dyDescent="0.25">
      <c r="A224" s="82" t="s">
        <v>150</v>
      </c>
      <c r="B224" s="83"/>
      <c r="C224" s="83"/>
      <c r="D224" s="83"/>
      <c r="E224" s="83"/>
      <c r="F224" s="83"/>
      <c r="G224" s="83"/>
      <c r="H224" s="84"/>
      <c r="I224" s="36"/>
    </row>
    <row r="225" spans="1:9" s="37" customFormat="1" hidden="1" x14ac:dyDescent="0.25">
      <c r="A225" s="64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to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201 to 501</v>
      </c>
      <c r="B225" s="65"/>
      <c r="C225" s="53"/>
      <c r="D225" s="42"/>
      <c r="E225" s="42">
        <v>0</v>
      </c>
      <c r="F225" s="42">
        <f>D225*(($F$131)+1)+(IF(E225&lt;101,E225,IF(E225&lt;201,E225/2,IF(E225&lt;=301,E225/3,E225/4))))</f>
        <v>0</v>
      </c>
      <c r="G225" s="64" t="str">
        <f>A224</f>
        <v>2nd to 5th Floor</v>
      </c>
      <c r="H225" s="65"/>
      <c r="I225" s="36"/>
    </row>
    <row r="226" spans="1:9" s="37" customFormat="1" hidden="1" x14ac:dyDescent="0.25">
      <c r="A226" s="64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to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202 to 502</v>
      </c>
      <c r="B226" s="65"/>
      <c r="C226" s="53"/>
      <c r="D226" s="42"/>
      <c r="E226" s="42">
        <v>0</v>
      </c>
      <c r="F226" s="42">
        <f>D226*(($F$131)+1)+(IF(E226&lt;101,E226,IF(E226&lt;201,E226/2,IF(E226&lt;=301,E226/3,E226/4))))</f>
        <v>0</v>
      </c>
      <c r="G226" s="64" t="str">
        <f>G225</f>
        <v>2nd to 5th Floor</v>
      </c>
      <c r="H226" s="65"/>
      <c r="I226" s="36"/>
    </row>
    <row r="227" spans="1:9" s="37" customFormat="1" hidden="1" x14ac:dyDescent="0.25">
      <c r="A227" s="64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to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203 to 503</v>
      </c>
      <c r="B227" s="65"/>
      <c r="C227" s="53"/>
      <c r="D227" s="42"/>
      <c r="E227" s="42">
        <v>0</v>
      </c>
      <c r="F227" s="42">
        <f>D227*(($F$131)+1)+(IF(E227&lt;101,E227,IF(E227&lt;201,E227/2,IF(E227&lt;=301,E227/3,E227/4))))</f>
        <v>0</v>
      </c>
      <c r="G227" s="64" t="str">
        <f>G226</f>
        <v>2nd to 5th Floor</v>
      </c>
      <c r="H227" s="65"/>
      <c r="I227" s="36"/>
    </row>
    <row r="228" spans="1:9" s="37" customFormat="1" hidden="1" x14ac:dyDescent="0.25">
      <c r="A228" s="64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to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204 to 504</v>
      </c>
      <c r="B228" s="65"/>
      <c r="C228" s="53"/>
      <c r="D228" s="42"/>
      <c r="E228" s="42">
        <v>0</v>
      </c>
      <c r="F228" s="42">
        <f>D228*(($F$131)+1)+(IF(E228&lt;101,E228,IF(E228&lt;201,E228/2,IF(E228&lt;=301,E228/3,E228/4))))</f>
        <v>0</v>
      </c>
      <c r="G228" s="64" t="str">
        <f>G227</f>
        <v>2nd to 5th Floor</v>
      </c>
      <c r="H228" s="65"/>
      <c r="I228" s="36"/>
    </row>
    <row r="229" spans="1:9" s="37" customFormat="1" hidden="1" x14ac:dyDescent="0.25">
      <c r="A229" s="64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to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205 to 505</v>
      </c>
      <c r="B229" s="65"/>
      <c r="C229" s="53"/>
      <c r="D229" s="42"/>
      <c r="E229" s="42">
        <v>0</v>
      </c>
      <c r="F229" s="42">
        <f>D229*(($F$131)+1)+(IF(E229&lt;101,E229,IF(E229&lt;201,E229/2,IF(E229&lt;=301,E229/3,E229/4))))</f>
        <v>0</v>
      </c>
      <c r="G229" s="64" t="str">
        <f>G228</f>
        <v>2nd to 5th Floor</v>
      </c>
      <c r="H229" s="65"/>
      <c r="I229" s="36"/>
    </row>
    <row r="230" spans="1:9" s="37" customFormat="1" hidden="1" x14ac:dyDescent="0.25">
      <c r="A230" s="82" t="s">
        <v>151</v>
      </c>
      <c r="B230" s="83"/>
      <c r="C230" s="83"/>
      <c r="D230" s="83"/>
      <c r="E230" s="83"/>
      <c r="F230" s="83"/>
      <c r="G230" s="83"/>
      <c r="H230" s="84"/>
      <c r="I230" s="36"/>
    </row>
    <row r="231" spans="1:9" s="37" customFormat="1" hidden="1" x14ac:dyDescent="0.25">
      <c r="A231" s="64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10^ROW(INDIRECT("1:"&amp;LEN((LEFT(A230,SUM(LEN(A230)-LEN(SUBSTITUTE(A230,{"0","1","2"},""))))))))/10))*100+1&amp;""&amp;" &amp;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201 &amp; 501</v>
      </c>
      <c r="B231" s="65"/>
      <c r="C231" s="53"/>
      <c r="D231" s="42"/>
      <c r="E231" s="42">
        <v>0</v>
      </c>
      <c r="F231" s="42">
        <f>D231*(($F$131)+1)+(IF(E231&lt;101,E231,IF(E231&lt;201,E231/2,IF(E231&lt;=301,E231/3,E231/4))))</f>
        <v>0</v>
      </c>
      <c r="G231" s="64" t="str">
        <f>A230</f>
        <v>2nd &amp; 5th Floor</v>
      </c>
      <c r="H231" s="65"/>
      <c r="I231" s="36"/>
    </row>
    <row r="232" spans="1:9" s="37" customFormat="1" hidden="1" x14ac:dyDescent="0.25">
      <c r="A232" s="64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&amp;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202 &amp; 502</v>
      </c>
      <c r="B232" s="65"/>
      <c r="C232" s="53"/>
      <c r="D232" s="42"/>
      <c r="E232" s="42">
        <v>0</v>
      </c>
      <c r="F232" s="42">
        <f>D232*(($F$131)+1)+(IF(E232&lt;101,E232,IF(E232&lt;201,E232/2,IF(E232&lt;=301,E232/3,E232/4))))</f>
        <v>0</v>
      </c>
      <c r="G232" s="64" t="str">
        <f t="shared" ref="G232:G235" si="15">G231</f>
        <v>2nd &amp; 5th Floor</v>
      </c>
      <c r="H232" s="65"/>
      <c r="I232" s="36"/>
    </row>
    <row r="233" spans="1:9" s="37" customFormat="1" hidden="1" x14ac:dyDescent="0.25">
      <c r="A233" s="64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&amp;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203 &amp; 503</v>
      </c>
      <c r="B233" s="65"/>
      <c r="C233" s="53"/>
      <c r="D233" s="42"/>
      <c r="E233" s="42">
        <v>0</v>
      </c>
      <c r="F233" s="42">
        <f>D233*(($F$131)+1)+(IF(E233&lt;101,E233,IF(E233&lt;201,E233/2,IF(E233&lt;=301,E233/3,E233/4))))</f>
        <v>0</v>
      </c>
      <c r="G233" s="64" t="str">
        <f t="shared" si="15"/>
        <v>2nd &amp; 5th Floor</v>
      </c>
      <c r="H233" s="65"/>
      <c r="I233" s="36"/>
    </row>
    <row r="234" spans="1:9" s="37" customFormat="1" hidden="1" x14ac:dyDescent="0.25">
      <c r="A234" s="64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204 &amp; 504</v>
      </c>
      <c r="B234" s="65"/>
      <c r="C234" s="53"/>
      <c r="D234" s="42"/>
      <c r="E234" s="42">
        <v>0</v>
      </c>
      <c r="F234" s="42">
        <f>D234*(($F$131)+1)+(IF(E234&lt;101,E234,IF(E234&lt;201,E234/2,IF(E234&lt;=301,E234/3,E234/4))))</f>
        <v>0</v>
      </c>
      <c r="G234" s="64" t="str">
        <f t="shared" si="15"/>
        <v>2nd &amp; 5th Floor</v>
      </c>
      <c r="H234" s="65"/>
      <c r="I234" s="36"/>
    </row>
    <row r="235" spans="1:9" s="37" customFormat="1" hidden="1" x14ac:dyDescent="0.25">
      <c r="A235" s="64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205 &amp; 505</v>
      </c>
      <c r="B235" s="65"/>
      <c r="C235" s="53"/>
      <c r="D235" s="42"/>
      <c r="E235" s="42">
        <v>0</v>
      </c>
      <c r="F235" s="42">
        <f>D235*(($F$131)+1)+(IF(E235&lt;101,E235,IF(E235&lt;201,E235/2,IF(E235&lt;=301,E235/3,E235/4))))</f>
        <v>0</v>
      </c>
      <c r="G235" s="64" t="str">
        <f t="shared" si="15"/>
        <v>2nd &amp; 5th Floor</v>
      </c>
      <c r="H235" s="65"/>
      <c r="I235" s="36"/>
    </row>
    <row r="236" spans="1:9" s="35" customFormat="1" x14ac:dyDescent="0.25">
      <c r="A236" s="113" t="s">
        <v>69</v>
      </c>
      <c r="B236" s="113"/>
      <c r="C236" s="113"/>
      <c r="D236" s="113"/>
      <c r="E236" s="113"/>
      <c r="F236" s="113"/>
      <c r="G236" s="113"/>
      <c r="H236" s="113"/>
    </row>
    <row r="237" spans="1:9" s="35" customFormat="1" x14ac:dyDescent="0.25">
      <c r="A237" s="47" t="s">
        <v>160</v>
      </c>
      <c r="B237" s="177" t="s">
        <v>245</v>
      </c>
      <c r="C237" s="178"/>
      <c r="D237" s="178"/>
      <c r="E237" s="178"/>
      <c r="F237" s="178"/>
      <c r="G237" s="178"/>
      <c r="H237" s="179"/>
    </row>
    <row r="238" spans="1:9" s="35" customFormat="1" x14ac:dyDescent="0.25">
      <c r="A238" s="47" t="s">
        <v>160</v>
      </c>
      <c r="B238" s="177" t="str">
        <f>(IF(F130="Saleable area Loading :","We have considered Saleable area of Flats as per our Calculation.","We considered Saleable area of Flat as per Builder area Sheet."))</f>
        <v>We have considered Saleable area of Flats as per our Calculation.</v>
      </c>
      <c r="C238" s="178"/>
      <c r="D238" s="178"/>
      <c r="E238" s="178"/>
      <c r="F238" s="178"/>
      <c r="G238" s="178"/>
      <c r="H238" s="179"/>
    </row>
    <row r="239" spans="1:9" s="35" customFormat="1" x14ac:dyDescent="0.25">
      <c r="A239" s="47" t="s">
        <v>160</v>
      </c>
      <c r="B239" s="177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9" s="178"/>
      <c r="D239" s="178"/>
      <c r="E239" s="178"/>
      <c r="F239" s="178"/>
      <c r="G239" s="178"/>
      <c r="H239" s="179"/>
    </row>
    <row r="240" spans="1:9" s="35" customFormat="1" x14ac:dyDescent="0.25">
      <c r="A240" s="47" t="s">
        <v>160</v>
      </c>
      <c r="B240" s="91" t="s">
        <v>127</v>
      </c>
      <c r="C240" s="92"/>
      <c r="D240" s="92"/>
      <c r="E240" s="92"/>
      <c r="F240" s="92"/>
      <c r="G240" s="92"/>
      <c r="H240" s="93"/>
    </row>
    <row r="241" spans="1:8" s="35" customFormat="1" x14ac:dyDescent="0.25">
      <c r="A241" s="47" t="s">
        <v>160</v>
      </c>
      <c r="B241" s="91" t="s">
        <v>224</v>
      </c>
      <c r="C241" s="92"/>
      <c r="D241" s="92"/>
      <c r="E241" s="92"/>
      <c r="F241" s="92"/>
      <c r="G241" s="92"/>
      <c r="H241" s="93"/>
    </row>
    <row r="242" spans="1:8" s="35" customFormat="1" x14ac:dyDescent="0.25">
      <c r="A242" s="47" t="s">
        <v>160</v>
      </c>
      <c r="B242" s="91" t="s">
        <v>159</v>
      </c>
      <c r="C242" s="92"/>
      <c r="D242" s="92"/>
      <c r="E242" s="92"/>
      <c r="F242" s="92"/>
      <c r="G242" s="92"/>
      <c r="H242" s="93"/>
    </row>
    <row r="243" spans="1:8" s="35" customFormat="1" x14ac:dyDescent="0.25">
      <c r="A243" s="47" t="s">
        <v>160</v>
      </c>
      <c r="B243" s="91" t="s">
        <v>128</v>
      </c>
      <c r="C243" s="92"/>
      <c r="D243" s="92"/>
      <c r="E243" s="92"/>
      <c r="F243" s="92"/>
      <c r="G243" s="92"/>
      <c r="H243" s="93"/>
    </row>
    <row r="244" spans="1:8" s="35" customFormat="1" ht="34.5" customHeight="1" x14ac:dyDescent="0.25">
      <c r="A244" s="47" t="s">
        <v>160</v>
      </c>
      <c r="B244" s="91" t="s">
        <v>161</v>
      </c>
      <c r="C244" s="92"/>
      <c r="D244" s="92"/>
      <c r="E244" s="92"/>
      <c r="F244" s="92"/>
      <c r="G244" s="92"/>
      <c r="H244" s="93"/>
    </row>
    <row r="245" spans="1:8" s="35" customFormat="1" x14ac:dyDescent="0.25">
      <c r="A245" s="61" t="s">
        <v>160</v>
      </c>
      <c r="B245" s="91" t="s">
        <v>129</v>
      </c>
      <c r="C245" s="92"/>
      <c r="D245" s="92"/>
      <c r="E245" s="92"/>
      <c r="F245" s="92"/>
      <c r="G245" s="92"/>
      <c r="H245" s="93"/>
    </row>
    <row r="246" spans="1:8" s="35" customFormat="1" x14ac:dyDescent="0.25">
      <c r="A246" s="47" t="s">
        <v>160</v>
      </c>
      <c r="B246" s="91" t="s">
        <v>242</v>
      </c>
      <c r="C246" s="92"/>
      <c r="D246" s="92"/>
      <c r="E246" s="92"/>
      <c r="F246" s="92"/>
      <c r="G246" s="92"/>
      <c r="H246" s="93"/>
    </row>
    <row r="247" spans="1:8" x14ac:dyDescent="0.25">
      <c r="A247" s="176" t="s">
        <v>62</v>
      </c>
      <c r="B247" s="176"/>
      <c r="C247" s="176"/>
      <c r="D247" s="176"/>
      <c r="E247" s="176"/>
      <c r="F247" s="176"/>
      <c r="G247" s="176"/>
      <c r="H247" s="176"/>
    </row>
    <row r="248" spans="1:8" x14ac:dyDescent="0.25">
      <c r="A248" s="102" t="s">
        <v>63</v>
      </c>
      <c r="B248" s="102"/>
      <c r="C248" s="102"/>
      <c r="D248" s="102"/>
      <c r="E248" s="102"/>
      <c r="F248" s="102"/>
      <c r="G248" s="102"/>
      <c r="H248" s="102"/>
    </row>
    <row r="249" spans="1:8" ht="15.75" customHeight="1" x14ac:dyDescent="0.25">
      <c r="A249" s="201" t="s">
        <v>64</v>
      </c>
      <c r="B249" s="201"/>
      <c r="C249" s="201"/>
      <c r="D249" s="201"/>
      <c r="E249" s="201"/>
      <c r="F249" s="201"/>
      <c r="G249" s="201"/>
      <c r="H249" s="201"/>
    </row>
    <row r="250" spans="1:8" x14ac:dyDescent="0.25">
      <c r="A250" s="102" t="s">
        <v>65</v>
      </c>
      <c r="B250" s="102"/>
      <c r="C250" s="102"/>
      <c r="D250" s="102"/>
      <c r="E250" s="102"/>
      <c r="F250" s="102"/>
      <c r="G250" s="102"/>
      <c r="H250" s="102"/>
    </row>
    <row r="251" spans="1:8" x14ac:dyDescent="0.25">
      <c r="A251" s="102" t="s">
        <v>66</v>
      </c>
      <c r="B251" s="102"/>
      <c r="C251" s="102"/>
      <c r="D251" s="102"/>
      <c r="E251" s="102"/>
      <c r="F251" s="102"/>
      <c r="G251" s="102"/>
      <c r="H251" s="102"/>
    </row>
    <row r="252" spans="1:8" x14ac:dyDescent="0.25">
      <c r="A252" s="102" t="s">
        <v>130</v>
      </c>
      <c r="B252" s="102"/>
      <c r="C252" s="102"/>
      <c r="D252" s="102"/>
      <c r="E252" s="102"/>
      <c r="F252" s="102"/>
      <c r="G252" s="102"/>
      <c r="H252" s="102"/>
    </row>
    <row r="253" spans="1:8" x14ac:dyDescent="0.25">
      <c r="A253" s="132" t="s">
        <v>131</v>
      </c>
      <c r="B253" s="132"/>
      <c r="C253" s="132"/>
      <c r="D253" s="132"/>
      <c r="E253" s="132"/>
      <c r="F253" s="132"/>
      <c r="G253" s="132"/>
      <c r="H253" s="132"/>
    </row>
    <row r="254" spans="1:8" x14ac:dyDescent="0.25">
      <c r="A254" s="173" t="s">
        <v>79</v>
      </c>
      <c r="B254" s="173"/>
      <c r="C254" s="173" t="s">
        <v>244</v>
      </c>
      <c r="D254" s="173"/>
      <c r="E254" s="173" t="s">
        <v>107</v>
      </c>
      <c r="F254" s="173"/>
      <c r="G254" s="173" t="s">
        <v>243</v>
      </c>
      <c r="H254" s="173"/>
    </row>
    <row r="255" spans="1:8" x14ac:dyDescent="0.25">
      <c r="A255" s="172" t="s">
        <v>81</v>
      </c>
      <c r="B255" s="172"/>
      <c r="C255" s="172"/>
      <c r="D255" s="172"/>
      <c r="E255" s="172"/>
      <c r="F255" s="172"/>
      <c r="G255" s="172"/>
      <c r="H255" s="172"/>
    </row>
    <row r="256" spans="1:8" x14ac:dyDescent="0.25">
      <c r="A256" s="172"/>
      <c r="B256" s="172"/>
      <c r="C256" s="172"/>
      <c r="D256" s="172"/>
      <c r="E256" s="172"/>
      <c r="F256" s="172"/>
      <c r="G256" s="172"/>
      <c r="H256" s="172"/>
    </row>
    <row r="257" spans="1:8" x14ac:dyDescent="0.25">
      <c r="A257" s="172"/>
      <c r="B257" s="172"/>
      <c r="C257" s="172"/>
      <c r="D257" s="172"/>
      <c r="E257" s="172"/>
      <c r="F257" s="172"/>
      <c r="G257" s="172"/>
      <c r="H257" s="172"/>
    </row>
    <row r="258" spans="1:8" x14ac:dyDescent="0.25">
      <c r="A258" s="172"/>
      <c r="B258" s="172"/>
      <c r="C258" s="172"/>
      <c r="D258" s="172"/>
      <c r="E258" s="172"/>
      <c r="F258" s="172"/>
      <c r="G258" s="172"/>
      <c r="H258" s="172"/>
    </row>
    <row r="259" spans="1:8" x14ac:dyDescent="0.25">
      <c r="A259" s="38" t="s">
        <v>67</v>
      </c>
      <c r="B259" s="39"/>
      <c r="C259" s="39"/>
      <c r="D259" s="38" t="str">
        <f>E8</f>
        <v>Integrated Ramicon</v>
      </c>
      <c r="F259" s="39"/>
      <c r="G259" s="39"/>
      <c r="H259" s="39"/>
    </row>
    <row r="260" spans="1:8" x14ac:dyDescent="0.25">
      <c r="A260" s="39"/>
      <c r="B260" s="39"/>
      <c r="C260" s="39"/>
      <c r="D260" s="39"/>
      <c r="E260" s="39"/>
      <c r="F260" s="39"/>
      <c r="G260" s="39"/>
      <c r="H260" s="39"/>
    </row>
    <row r="261" spans="1:8" x14ac:dyDescent="0.25">
      <c r="A261" s="39"/>
      <c r="B261" s="39"/>
      <c r="C261" s="39"/>
      <c r="D261" s="39"/>
      <c r="E261" s="39"/>
      <c r="F261" s="39"/>
      <c r="G261" s="39"/>
      <c r="H261" s="39"/>
    </row>
    <row r="262" spans="1:8" ht="15" customHeight="1" x14ac:dyDescent="0.25"/>
    <row r="284" spans="9:9" x14ac:dyDescent="0.25">
      <c r="I284" s="60"/>
    </row>
    <row r="299" spans="1:1" x14ac:dyDescent="0.25">
      <c r="A299" s="41" t="s">
        <v>174</v>
      </c>
    </row>
    <row r="341" spans="1:1" x14ac:dyDescent="0.25">
      <c r="A341" s="41" t="s">
        <v>68</v>
      </c>
    </row>
  </sheetData>
  <mergeCells count="490">
    <mergeCell ref="A252:H252"/>
    <mergeCell ref="A249:H249"/>
    <mergeCell ref="G228:H228"/>
    <mergeCell ref="A213:B213"/>
    <mergeCell ref="A114:B114"/>
    <mergeCell ref="D130:D131"/>
    <mergeCell ref="E130:E131"/>
    <mergeCell ref="G130:H131"/>
    <mergeCell ref="A88:B88"/>
    <mergeCell ref="A89:B89"/>
    <mergeCell ref="A90:B90"/>
    <mergeCell ref="F95:H95"/>
    <mergeCell ref="G110:H110"/>
    <mergeCell ref="A219:B219"/>
    <mergeCell ref="G211:H211"/>
    <mergeCell ref="A222:B222"/>
    <mergeCell ref="F104:H104"/>
    <mergeCell ref="E109:F109"/>
    <mergeCell ref="A55:C55"/>
    <mergeCell ref="D55:H55"/>
    <mergeCell ref="G52:H52"/>
    <mergeCell ref="C68:H68"/>
    <mergeCell ref="A69:B69"/>
    <mergeCell ref="A72:B72"/>
    <mergeCell ref="A68:B68"/>
    <mergeCell ref="B245:H245"/>
    <mergeCell ref="E41:H41"/>
    <mergeCell ref="A41:D41"/>
    <mergeCell ref="A80:B80"/>
    <mergeCell ref="C80:H80"/>
    <mergeCell ref="A75:B75"/>
    <mergeCell ref="G210:H210"/>
    <mergeCell ref="A66:B66"/>
    <mergeCell ref="A120:H120"/>
    <mergeCell ref="G109:H109"/>
    <mergeCell ref="A104:E104"/>
    <mergeCell ref="C110:D110"/>
    <mergeCell ref="E110:F110"/>
    <mergeCell ref="G214:H214"/>
    <mergeCell ref="B121:B122"/>
    <mergeCell ref="A121:A122"/>
    <mergeCell ref="C130:C131"/>
    <mergeCell ref="C117:D117"/>
    <mergeCell ref="A207:H207"/>
    <mergeCell ref="A118:B118"/>
    <mergeCell ref="C118:D118"/>
    <mergeCell ref="E118:F118"/>
    <mergeCell ref="G118:H118"/>
    <mergeCell ref="A119:H119"/>
    <mergeCell ref="G208:H208"/>
    <mergeCell ref="G117:H117"/>
    <mergeCell ref="C111:D111"/>
    <mergeCell ref="E111:F111"/>
    <mergeCell ref="G111:H111"/>
    <mergeCell ref="A112:B112"/>
    <mergeCell ref="B243:H243"/>
    <mergeCell ref="B239:H239"/>
    <mergeCell ref="A233:B233"/>
    <mergeCell ref="G233:H233"/>
    <mergeCell ref="G232:H232"/>
    <mergeCell ref="A230:H230"/>
    <mergeCell ref="A231:B231"/>
    <mergeCell ref="A232:B232"/>
    <mergeCell ref="A235:B235"/>
    <mergeCell ref="G235:H235"/>
    <mergeCell ref="A234:B234"/>
    <mergeCell ref="B240:H240"/>
    <mergeCell ref="B241:H241"/>
    <mergeCell ref="G231:H231"/>
    <mergeCell ref="G234:H234"/>
    <mergeCell ref="B237:H237"/>
    <mergeCell ref="B238:H238"/>
    <mergeCell ref="A255:H258"/>
    <mergeCell ref="A254:B254"/>
    <mergeCell ref="E254:F254"/>
    <mergeCell ref="C254:D254"/>
    <mergeCell ref="G254:H254"/>
    <mergeCell ref="A108:H108"/>
    <mergeCell ref="A106:E106"/>
    <mergeCell ref="F106:H106"/>
    <mergeCell ref="A107:E107"/>
    <mergeCell ref="F107:H107"/>
    <mergeCell ref="A212:H212"/>
    <mergeCell ref="A115:B115"/>
    <mergeCell ref="A221:B221"/>
    <mergeCell ref="A110:B110"/>
    <mergeCell ref="A250:H250"/>
    <mergeCell ref="A113:H113"/>
    <mergeCell ref="A253:H253"/>
    <mergeCell ref="A251:H251"/>
    <mergeCell ref="A247:H247"/>
    <mergeCell ref="A248:H248"/>
    <mergeCell ref="E114:F114"/>
    <mergeCell ref="B246:H246"/>
    <mergeCell ref="G127:H127"/>
    <mergeCell ref="G125:H125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C66:H66"/>
    <mergeCell ref="A74:B74"/>
    <mergeCell ref="A61:C61"/>
    <mergeCell ref="D61:H6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E70:F79"/>
    <mergeCell ref="G70:H79"/>
    <mergeCell ref="A71:B71"/>
    <mergeCell ref="A76:B76"/>
    <mergeCell ref="A79:B79"/>
    <mergeCell ref="A43:D43"/>
    <mergeCell ref="A45:D45"/>
    <mergeCell ref="A46:H46"/>
    <mergeCell ref="D56:H56"/>
    <mergeCell ref="A56:C56"/>
    <mergeCell ref="G49:H49"/>
    <mergeCell ref="A50:B51"/>
    <mergeCell ref="A60:C60"/>
    <mergeCell ref="D60:H60"/>
    <mergeCell ref="A48:B48"/>
    <mergeCell ref="C48:E48"/>
    <mergeCell ref="G48:H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C51:H51"/>
    <mergeCell ref="A37:B37"/>
    <mergeCell ref="C37:H37"/>
    <mergeCell ref="A44:D44"/>
    <mergeCell ref="A34:B34"/>
    <mergeCell ref="C34:E34"/>
    <mergeCell ref="A42:D42"/>
    <mergeCell ref="E42:H42"/>
    <mergeCell ref="E43:H43"/>
    <mergeCell ref="E44:H44"/>
    <mergeCell ref="A38:B38"/>
    <mergeCell ref="C38:H38"/>
    <mergeCell ref="E45:H45"/>
    <mergeCell ref="A77:B77"/>
    <mergeCell ref="C115:D115"/>
    <mergeCell ref="E115:F115"/>
    <mergeCell ref="G115:H115"/>
    <mergeCell ref="F101:H101"/>
    <mergeCell ref="A95:E95"/>
    <mergeCell ref="A124:H124"/>
    <mergeCell ref="E121:E122"/>
    <mergeCell ref="G121:H122"/>
    <mergeCell ref="A84:B84"/>
    <mergeCell ref="E84:F93"/>
    <mergeCell ref="A91:B91"/>
    <mergeCell ref="A92:B92"/>
    <mergeCell ref="A93:B93"/>
    <mergeCell ref="G116:H116"/>
    <mergeCell ref="C114:D114"/>
    <mergeCell ref="G114:H114"/>
    <mergeCell ref="C82:H82"/>
    <mergeCell ref="A83:B83"/>
    <mergeCell ref="E83:F83"/>
    <mergeCell ref="A78:B78"/>
    <mergeCell ref="A105:E105"/>
    <mergeCell ref="E112:F112"/>
    <mergeCell ref="G112:H112"/>
    <mergeCell ref="L209:M209"/>
    <mergeCell ref="C121:C122"/>
    <mergeCell ref="B130:B131"/>
    <mergeCell ref="G126:H126"/>
    <mergeCell ref="A117:B117"/>
    <mergeCell ref="E117:F117"/>
    <mergeCell ref="L144:M144"/>
    <mergeCell ref="L128:M128"/>
    <mergeCell ref="L127:M127"/>
    <mergeCell ref="L126:M126"/>
    <mergeCell ref="L146:M146"/>
    <mergeCell ref="L147:M147"/>
    <mergeCell ref="L141:M141"/>
    <mergeCell ref="L142:M142"/>
    <mergeCell ref="L143:M143"/>
    <mergeCell ref="A152:B152"/>
    <mergeCell ref="A208:B208"/>
    <mergeCell ref="A128:B128"/>
    <mergeCell ref="G128:H128"/>
    <mergeCell ref="A129:H129"/>
    <mergeCell ref="L208:M208"/>
    <mergeCell ref="L125:M125"/>
    <mergeCell ref="L210:M210"/>
    <mergeCell ref="G229:H229"/>
    <mergeCell ref="A236:H236"/>
    <mergeCell ref="A228:B228"/>
    <mergeCell ref="A229:B229"/>
    <mergeCell ref="G227:H227"/>
    <mergeCell ref="A226:B226"/>
    <mergeCell ref="A227:B227"/>
    <mergeCell ref="G225:H225"/>
    <mergeCell ref="A223:B223"/>
    <mergeCell ref="L212:M212"/>
    <mergeCell ref="A217:B217"/>
    <mergeCell ref="A214:B214"/>
    <mergeCell ref="A215:B215"/>
    <mergeCell ref="L211:M211"/>
    <mergeCell ref="G215:H215"/>
    <mergeCell ref="A225:B225"/>
    <mergeCell ref="G226:H226"/>
    <mergeCell ref="A220:B220"/>
    <mergeCell ref="A224:H224"/>
    <mergeCell ref="A218:H218"/>
    <mergeCell ref="A211:B211"/>
    <mergeCell ref="G221:H221"/>
    <mergeCell ref="G219:H219"/>
    <mergeCell ref="A216:B216"/>
    <mergeCell ref="G217:H217"/>
    <mergeCell ref="G223:H223"/>
    <mergeCell ref="G222:H222"/>
    <mergeCell ref="A132:H132"/>
    <mergeCell ref="A133:H133"/>
    <mergeCell ref="A134:H134"/>
    <mergeCell ref="A135:H135"/>
    <mergeCell ref="A136:H136"/>
    <mergeCell ref="A137:H137"/>
    <mergeCell ref="A138:H138"/>
    <mergeCell ref="A139:H139"/>
    <mergeCell ref="A144:B144"/>
    <mergeCell ref="A140:H140"/>
    <mergeCell ref="A141:B141"/>
    <mergeCell ref="A142:B142"/>
    <mergeCell ref="A143:B143"/>
    <mergeCell ref="A164:B164"/>
    <mergeCell ref="A173:B173"/>
    <mergeCell ref="A178:B178"/>
    <mergeCell ref="A184:B184"/>
    <mergeCell ref="A209:B209"/>
    <mergeCell ref="G209:H209"/>
    <mergeCell ref="A210:B210"/>
    <mergeCell ref="A130:A131"/>
    <mergeCell ref="G83:H83"/>
    <mergeCell ref="A100:E100"/>
    <mergeCell ref="F100:H100"/>
    <mergeCell ref="A101:E101"/>
    <mergeCell ref="A103:E103"/>
    <mergeCell ref="F97:H97"/>
    <mergeCell ref="A102:E102"/>
    <mergeCell ref="A97:E97"/>
    <mergeCell ref="A94:E94"/>
    <mergeCell ref="F98:H98"/>
    <mergeCell ref="A99:E99"/>
    <mergeCell ref="F94:H94"/>
    <mergeCell ref="F99:H99"/>
    <mergeCell ref="F102:H102"/>
    <mergeCell ref="F103:H103"/>
    <mergeCell ref="C109:D109"/>
    <mergeCell ref="F105:H105"/>
    <mergeCell ref="A116:B116"/>
    <mergeCell ref="C116:D116"/>
    <mergeCell ref="E116:F116"/>
    <mergeCell ref="C112:D112"/>
    <mergeCell ref="A109:B109"/>
    <mergeCell ref="A111:B111"/>
    <mergeCell ref="B244:H244"/>
    <mergeCell ref="A47:B47"/>
    <mergeCell ref="C47:H47"/>
    <mergeCell ref="B242:H242"/>
    <mergeCell ref="G84:H93"/>
    <mergeCell ref="A85:B85"/>
    <mergeCell ref="A86:B86"/>
    <mergeCell ref="A87:B87"/>
    <mergeCell ref="F96:H96"/>
    <mergeCell ref="A96:E96"/>
    <mergeCell ref="G220:H220"/>
    <mergeCell ref="G216:H216"/>
    <mergeCell ref="G213:H213"/>
    <mergeCell ref="D121:D122"/>
    <mergeCell ref="A98:E98"/>
    <mergeCell ref="A125:B125"/>
    <mergeCell ref="A126:B126"/>
    <mergeCell ref="A127:B127"/>
    <mergeCell ref="A82:B82"/>
    <mergeCell ref="A123:H123"/>
    <mergeCell ref="C141:F141"/>
    <mergeCell ref="A145:H145"/>
    <mergeCell ref="A146:B146"/>
    <mergeCell ref="A147:B147"/>
    <mergeCell ref="L152:M152"/>
    <mergeCell ref="A153:B153"/>
    <mergeCell ref="L153:M153"/>
    <mergeCell ref="A154:B154"/>
    <mergeCell ref="L154:M154"/>
    <mergeCell ref="C154:F154"/>
    <mergeCell ref="A148:B148"/>
    <mergeCell ref="L148:M148"/>
    <mergeCell ref="A149:B149"/>
    <mergeCell ref="L149:M149"/>
    <mergeCell ref="A150:H150"/>
    <mergeCell ref="A151:B151"/>
    <mergeCell ref="L151:M151"/>
    <mergeCell ref="L164:M164"/>
    <mergeCell ref="A165:B165"/>
    <mergeCell ref="L165:M165"/>
    <mergeCell ref="A166:B166"/>
    <mergeCell ref="L166:M166"/>
    <mergeCell ref="A155:H155"/>
    <mergeCell ref="A156:H156"/>
    <mergeCell ref="A157:H157"/>
    <mergeCell ref="A158:H158"/>
    <mergeCell ref="A159:H159"/>
    <mergeCell ref="A160:H160"/>
    <mergeCell ref="A161:H161"/>
    <mergeCell ref="A162:H162"/>
    <mergeCell ref="A163:H163"/>
    <mergeCell ref="L173:M173"/>
    <mergeCell ref="C166:F167"/>
    <mergeCell ref="C168:F168"/>
    <mergeCell ref="C169:F169"/>
    <mergeCell ref="C170:F171"/>
    <mergeCell ref="C172:F173"/>
    <mergeCell ref="A174:H174"/>
    <mergeCell ref="A170:B170"/>
    <mergeCell ref="L170:M170"/>
    <mergeCell ref="A171:B171"/>
    <mergeCell ref="L171:M171"/>
    <mergeCell ref="A172:B172"/>
    <mergeCell ref="L172:M172"/>
    <mergeCell ref="A167:B167"/>
    <mergeCell ref="L167:M167"/>
    <mergeCell ref="A168:B168"/>
    <mergeCell ref="L168:M168"/>
    <mergeCell ref="A169:B169"/>
    <mergeCell ref="L169:M169"/>
    <mergeCell ref="L178:M178"/>
    <mergeCell ref="A179:B179"/>
    <mergeCell ref="L179:M179"/>
    <mergeCell ref="A180:B180"/>
    <mergeCell ref="L180:M180"/>
    <mergeCell ref="A175:B175"/>
    <mergeCell ref="L175:M175"/>
    <mergeCell ref="A176:B176"/>
    <mergeCell ref="L176:M176"/>
    <mergeCell ref="A177:B177"/>
    <mergeCell ref="L177:M177"/>
    <mergeCell ref="L184:M184"/>
    <mergeCell ref="A185:H185"/>
    <mergeCell ref="A186:B186"/>
    <mergeCell ref="L186:M186"/>
    <mergeCell ref="A187:B187"/>
    <mergeCell ref="L187:M187"/>
    <mergeCell ref="A181:B181"/>
    <mergeCell ref="L181:M181"/>
    <mergeCell ref="A182:B182"/>
    <mergeCell ref="L182:M182"/>
    <mergeCell ref="A183:B183"/>
    <mergeCell ref="L183:M183"/>
    <mergeCell ref="L200:M200"/>
    <mergeCell ref="A201:B201"/>
    <mergeCell ref="L201:M201"/>
    <mergeCell ref="A194:B194"/>
    <mergeCell ref="A195:B195"/>
    <mergeCell ref="C188:F190"/>
    <mergeCell ref="A196:H196"/>
    <mergeCell ref="A197:B197"/>
    <mergeCell ref="L197:M197"/>
    <mergeCell ref="A191:B191"/>
    <mergeCell ref="A192:B192"/>
    <mergeCell ref="A193:B193"/>
    <mergeCell ref="A188:B188"/>
    <mergeCell ref="L188:M188"/>
    <mergeCell ref="A189:B189"/>
    <mergeCell ref="L189:M189"/>
    <mergeCell ref="A190:B190"/>
    <mergeCell ref="L190:M190"/>
    <mergeCell ref="I10:L10"/>
    <mergeCell ref="A205:B205"/>
    <mergeCell ref="L205:M205"/>
    <mergeCell ref="A206:B206"/>
    <mergeCell ref="L206:M206"/>
    <mergeCell ref="C199:F200"/>
    <mergeCell ref="G141:H144"/>
    <mergeCell ref="G146:H149"/>
    <mergeCell ref="G151:H154"/>
    <mergeCell ref="G164:H173"/>
    <mergeCell ref="G175:H184"/>
    <mergeCell ref="G186:H195"/>
    <mergeCell ref="G197:H206"/>
    <mergeCell ref="A202:B202"/>
    <mergeCell ref="L202:M202"/>
    <mergeCell ref="A203:B203"/>
    <mergeCell ref="L203:M203"/>
    <mergeCell ref="A204:B204"/>
    <mergeCell ref="L204:M204"/>
    <mergeCell ref="A198:B198"/>
    <mergeCell ref="L198:M198"/>
    <mergeCell ref="A199:B199"/>
    <mergeCell ref="L199:M199"/>
    <mergeCell ref="A200:B20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3" max="16383" man="1"/>
    <brk id="258" max="16383" man="1"/>
    <brk id="298" max="16383" man="1"/>
    <brk id="34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N9" sqref="N9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4" t="s">
        <v>108</v>
      </c>
      <c r="C3" s="204"/>
      <c r="D3" s="204"/>
      <c r="E3" s="204"/>
      <c r="F3" s="204"/>
      <c r="G3" s="204"/>
      <c r="H3" s="204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2025-09-15T12:40:56Z</cp:lastPrinted>
  <dcterms:created xsi:type="dcterms:W3CDTF">2019-07-16T09:29:46Z</dcterms:created>
  <dcterms:modified xsi:type="dcterms:W3CDTF">2025-09-15T12:41:47Z</dcterms:modified>
</cp:coreProperties>
</file>