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7155" windowHeight="610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A209" i="1"/>
  <c r="A210" i="1" s="1"/>
  <c r="A211" i="1" s="1"/>
  <c r="A212" i="1" s="1"/>
  <c r="A213" i="1" s="1"/>
  <c r="A214" i="1" s="1"/>
  <c r="A215" i="1" s="1"/>
  <c r="A216" i="1" s="1"/>
  <c r="G208" i="1"/>
  <c r="D208" i="1"/>
  <c r="F208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A198" i="1"/>
  <c r="A199" i="1" s="1"/>
  <c r="A200" i="1" s="1"/>
  <c r="A201" i="1" s="1"/>
  <c r="A202" i="1" s="1"/>
  <c r="A203" i="1" s="1"/>
  <c r="A204" i="1" s="1"/>
  <c r="A205" i="1" s="1"/>
  <c r="A206" i="1" s="1"/>
  <c r="G197" i="1"/>
  <c r="D197" i="1"/>
  <c r="F197" i="1" s="1"/>
  <c r="D195" i="1"/>
  <c r="F195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A188" i="1"/>
  <c r="A189" i="1" s="1"/>
  <c r="A190" i="1" s="1"/>
  <c r="A191" i="1" s="1"/>
  <c r="A192" i="1" s="1"/>
  <c r="A193" i="1" s="1"/>
  <c r="A194" i="1" s="1"/>
  <c r="A195" i="1" s="1"/>
  <c r="G187" i="1"/>
  <c r="D187" i="1"/>
  <c r="F187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A176" i="1"/>
  <c r="A177" i="1" s="1"/>
  <c r="A178" i="1" s="1"/>
  <c r="A179" i="1" s="1"/>
  <c r="A180" i="1" s="1"/>
  <c r="A181" i="1" s="1"/>
  <c r="A182" i="1" s="1"/>
  <c r="A183" i="1" s="1"/>
  <c r="G175" i="1"/>
  <c r="D175" i="1"/>
  <c r="F175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A165" i="1"/>
  <c r="A166" i="1" s="1"/>
  <c r="A167" i="1" s="1"/>
  <c r="A168" i="1" s="1"/>
  <c r="A169" i="1" s="1"/>
  <c r="A170" i="1" s="1"/>
  <c r="A171" i="1" s="1"/>
  <c r="A172" i="1" s="1"/>
  <c r="A173" i="1" s="1"/>
  <c r="G164" i="1"/>
  <c r="D164" i="1"/>
  <c r="F164" i="1" s="1"/>
  <c r="D162" i="1"/>
  <c r="F162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A155" i="1"/>
  <c r="A156" i="1" s="1"/>
  <c r="A157" i="1" s="1"/>
  <c r="A158" i="1" s="1"/>
  <c r="A159" i="1" s="1"/>
  <c r="A160" i="1" s="1"/>
  <c r="A161" i="1" s="1"/>
  <c r="A162" i="1" s="1"/>
  <c r="G154" i="1"/>
  <c r="D154" i="1"/>
  <c r="F154" i="1" s="1"/>
  <c r="D146" i="1"/>
  <c r="F146" i="1" s="1"/>
  <c r="D147" i="1"/>
  <c r="F147" i="1" s="1"/>
  <c r="D148" i="1"/>
  <c r="F148" i="1" s="1"/>
  <c r="D149" i="1"/>
  <c r="F149" i="1" s="1"/>
  <c r="D150" i="1"/>
  <c r="F150" i="1" s="1"/>
  <c r="D145" i="1"/>
  <c r="F145" i="1" s="1"/>
  <c r="D143" i="1"/>
  <c r="F143" i="1" s="1"/>
  <c r="D142" i="1"/>
  <c r="F142" i="1" s="1"/>
  <c r="D144" i="1"/>
  <c r="F144" i="1" s="1"/>
  <c r="A143" i="1"/>
  <c r="A144" i="1" s="1"/>
  <c r="A145" i="1" s="1"/>
  <c r="A146" i="1" s="1"/>
  <c r="A147" i="1" s="1"/>
  <c r="A148" i="1" s="1"/>
  <c r="A149" i="1" s="1"/>
  <c r="A150" i="1" s="1"/>
  <c r="G142" i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D134" i="1"/>
  <c r="D133" i="1"/>
  <c r="D132" i="1"/>
  <c r="D131" i="1"/>
  <c r="D129" i="1"/>
  <c r="F129" i="1" s="1"/>
  <c r="D127" i="1"/>
  <c r="F127" i="1" s="1"/>
  <c r="D126" i="1"/>
  <c r="F126" i="1" s="1"/>
  <c r="D125" i="1"/>
  <c r="F125" i="1" s="1"/>
  <c r="D124" i="1"/>
  <c r="D123" i="1"/>
  <c r="D122" i="1"/>
  <c r="D121" i="1"/>
  <c r="E109" i="1" l="1"/>
  <c r="G111" i="1"/>
  <c r="E111" i="1"/>
  <c r="G110" i="1"/>
  <c r="C109" i="1"/>
  <c r="C110" i="1"/>
  <c r="C111" i="1"/>
  <c r="E110" i="1"/>
  <c r="E28" i="1"/>
  <c r="E112" i="1" l="1"/>
  <c r="C112" i="1"/>
  <c r="F122" i="1"/>
  <c r="F123" i="1"/>
  <c r="F124" i="1"/>
  <c r="F121" i="1"/>
  <c r="I121" i="1" s="1"/>
  <c r="A122" i="1"/>
  <c r="A123" i="1" s="1"/>
  <c r="A124" i="1" s="1"/>
  <c r="A125" i="1" s="1"/>
  <c r="A126" i="1" s="1"/>
  <c r="A127" i="1" s="1"/>
  <c r="A128" i="1" s="1"/>
  <c r="A129" i="1" s="1"/>
  <c r="G121" i="1"/>
  <c r="F106" i="1" l="1"/>
  <c r="B219" i="1" l="1"/>
  <c r="C14" i="1" l="1"/>
  <c r="F135" i="1" l="1"/>
  <c r="F134" i="1"/>
  <c r="F132" i="1"/>
  <c r="F131" i="1"/>
  <c r="F133" i="1"/>
  <c r="G109" i="1" l="1"/>
  <c r="G11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0" i="1"/>
  <c r="G131" i="1"/>
  <c r="A132" i="1"/>
  <c r="A133" i="1" s="1"/>
  <c r="A134" i="1" s="1"/>
  <c r="A135" i="1" s="1"/>
  <c r="A136" i="1" s="1"/>
  <c r="A137" i="1" s="1"/>
  <c r="A138" i="1" s="1"/>
  <c r="A139" i="1" s="1"/>
  <c r="A140" i="1" s="1"/>
  <c r="J90" i="1"/>
  <c r="J89" i="1"/>
  <c r="J88" i="1"/>
  <c r="J87" i="1"/>
  <c r="C79" i="1"/>
  <c r="J76" i="1"/>
  <c r="J75" i="1"/>
  <c r="J74" i="1"/>
  <c r="J73" i="1"/>
  <c r="C65" i="1"/>
  <c r="D53" i="1"/>
  <c r="G48" i="1"/>
  <c r="C48" i="1"/>
  <c r="E41" i="1"/>
  <c r="E42" i="1" s="1"/>
  <c r="E25" i="1"/>
  <c r="E23" i="1"/>
  <c r="E7" i="1"/>
  <c r="H66" i="1"/>
  <c r="H80" i="1"/>
  <c r="D59" i="1" l="1"/>
  <c r="D78" i="1"/>
  <c r="D76" i="1"/>
  <c r="D75" i="1"/>
  <c r="D74" i="1"/>
  <c r="D72" i="1"/>
  <c r="J65" i="1"/>
  <c r="D77" i="1"/>
  <c r="D73" i="1"/>
  <c r="J69" i="1"/>
  <c r="J70" i="1"/>
  <c r="J68" i="1"/>
  <c r="J71" i="1"/>
  <c r="J72" i="1" s="1"/>
  <c r="J77" i="1" s="1"/>
  <c r="J78" i="1" s="1"/>
  <c r="J79" i="1"/>
  <c r="J83" i="1"/>
  <c r="D92" i="1"/>
  <c r="D90" i="1"/>
  <c r="D88" i="1"/>
  <c r="D86" i="1"/>
  <c r="J84" i="1"/>
  <c r="C83" i="1" s="1"/>
  <c r="J82" i="1"/>
  <c r="J85" i="1"/>
  <c r="D91" i="1"/>
  <c r="D89" i="1"/>
  <c r="D87" i="1"/>
  <c r="J86" i="1" l="1"/>
  <c r="C84" i="1" s="1"/>
  <c r="D85" i="1"/>
  <c r="J81" i="1"/>
  <c r="D83" i="1"/>
  <c r="D71" i="1"/>
  <c r="J67" i="1"/>
  <c r="E69" i="1"/>
  <c r="D70" i="1"/>
  <c r="G69" i="1"/>
  <c r="D69" i="1"/>
  <c r="J66" i="1" s="1"/>
  <c r="J91" i="1" l="1"/>
  <c r="I66" i="1"/>
  <c r="J92" i="1" l="1"/>
  <c r="E83" i="1"/>
  <c r="J80" i="1"/>
  <c r="D84" i="1"/>
  <c r="I80" i="1" s="1"/>
  <c r="I81" i="1" s="1"/>
  <c r="G83" i="1"/>
  <c r="D63" i="1" s="1"/>
  <c r="I67" i="1"/>
  <c r="I65" i="1" s="1"/>
  <c r="C67" i="1" s="1"/>
  <c r="D64" i="1" l="1"/>
  <c r="F64" i="1"/>
  <c r="I79" i="1"/>
  <c r="C81" i="1" s="1"/>
</calcChain>
</file>

<file path=xl/sharedStrings.xml><?xml version="1.0" encoding="utf-8"?>
<sst xmlns="http://schemas.openxmlformats.org/spreadsheetml/2006/main" count="385" uniqueCount="220">
  <si>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</si>
  <si>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</si>
  <si>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</si>
  <si>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</si>
  <si>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</si>
  <si>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</si>
  <si>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</si>
  <si>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</si>
  <si>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</si>
  <si>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</si>
  <si>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</si>
  <si>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</si>
  <si>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</si>
  <si>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</si>
  <si>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</si>
  <si>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</si>
  <si>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</si>
  <si>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</si>
  <si>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</si>
  <si>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</si>
  <si>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</si>
  <si>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</si>
  <si>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</si>
  <si>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</si>
  <si>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</si>
  <si>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</si>
  <si>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</si>
  <si>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</si>
  <si>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</si>
  <si>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</si>
  <si>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</si>
  <si>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</si>
  <si>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</si>
  <si>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</si>
  <si>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</si>
  <si>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</si>
  <si>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</si>
  <si>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</si>
  <si>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</si>
  <si>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</si>
  <si>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</si>
  <si>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</si>
  <si>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</si>
  <si>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</si>
  <si>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</si>
  <si>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</si>
  <si>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</si>
  <si>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</si>
  <si>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</si>
  <si>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</si>
  <si>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</si>
  <si>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</si>
  <si>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</si>
  <si>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</si>
  <si>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</si>
  <si>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</si>
  <si>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</si>
  <si>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</si>
  <si>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</si>
  <si>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</si>
  <si>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</si>
  <si>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</si>
  <si>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</si>
  <si>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</si>
  <si>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</si>
  <si>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</si>
  <si>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</si>
  <si>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</si>
  <si>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</si>
  <si>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</si>
  <si>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</si>
  <si>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</si>
  <si>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</si>
  <si>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</si>
  <si>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</si>
  <si>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</si>
  <si>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</si>
  <si>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</si>
  <si>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</si>
  <si>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</si>
  <si>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</si>
  <si>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</si>
  <si>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</si>
  <si>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</si>
  <si>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</si>
  <si>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</si>
  <si>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</si>
  <si>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</si>
  <si>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</si>
  <si>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</si>
  <si>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</si>
  <si>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</si>
  <si>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</si>
  <si>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</si>
  <si>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</si>
  <si>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</si>
  <si>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</si>
  <si>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</si>
  <si>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</si>
  <si>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</si>
  <si>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</si>
  <si>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</si>
  <si>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</si>
  <si>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</si>
  <si>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</si>
  <si>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</si>
  <si>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</si>
  <si>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</si>
  <si>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</si>
  <si>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</si>
  <si>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</si>
  <si>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</si>
  <si>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</si>
  <si>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</si>
  <si>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</si>
  <si>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</si>
  <si>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</si>
  <si>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</si>
  <si>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</si>
  <si>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</si>
  <si>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</si>
  <si>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</si>
  <si>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</si>
  <si>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</si>
  <si>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</si>
  <si>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</si>
  <si>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</si>
  <si>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</si>
  <si>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</si>
  <si>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</si>
  <si>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</si>
  <si>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</si>
  <si>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</si>
  <si>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</si>
  <si>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</si>
  <si>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</si>
  <si>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</si>
  <si>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</si>
  <si>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</si>
  <si>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</si>
  <si>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</si>
  <si>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</si>
  <si>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</si>
  <si>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</si>
  <si>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</si>
  <si>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</si>
  <si>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</si>
  <si>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</si>
  <si>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</si>
  <si>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</si>
  <si>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</si>
  <si>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</si>
  <si>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</si>
  <si>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</si>
  <si>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</si>
  <si>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</si>
  <si>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</si>
  <si>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</si>
  <si>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</si>
  <si>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</si>
  <si>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</si>
  <si>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</si>
  <si>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</si>
  <si>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</si>
  <si>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</si>
  <si>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</si>
  <si>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Ground Floor for Parking</t>
  </si>
  <si>
    <t>1st Floor for Residential</t>
  </si>
  <si>
    <t>1BHK</t>
  </si>
  <si>
    <t>Void</t>
  </si>
  <si>
    <t>2nd to 12th, 14th to 17th &amp; 19th to 22nd Floor</t>
  </si>
  <si>
    <t>13th, 18th &amp; 23rd Floor (Part Refuge Area)</t>
  </si>
  <si>
    <t>Wing B7</t>
  </si>
  <si>
    <t>Wing B8</t>
  </si>
  <si>
    <t>Wing B9</t>
  </si>
  <si>
    <t>Building No. 3</t>
  </si>
  <si>
    <t>Flats - 675</t>
  </si>
  <si>
    <t>Axis Sanpada</t>
  </si>
  <si>
    <t>Poddar Riviera Phase - III</t>
  </si>
  <si>
    <t>Mr.Vinod Thakkar – 8657561720</t>
  </si>
  <si>
    <t>Building No. 3 - Wing B7, B8 &amp; B9.</t>
  </si>
  <si>
    <t>Approved Plans, CC.</t>
  </si>
  <si>
    <t>P51700023296</t>
  </si>
  <si>
    <t>Survey No</t>
  </si>
  <si>
    <t>S.No.9 H.No.1B, 2, 3 &amp; S. No.10, 11 H.No.1, 2</t>
  </si>
  <si>
    <t>Bhiwandi - Murbad Road</t>
  </si>
  <si>
    <t>Mharal</t>
  </si>
  <si>
    <t>Shahad</t>
  </si>
  <si>
    <t>Thane</t>
  </si>
  <si>
    <t>Kalyan</t>
  </si>
  <si>
    <t>Poddar Big leap</t>
  </si>
  <si>
    <t>Open Plot</t>
  </si>
  <si>
    <t>3 wings</t>
  </si>
  <si>
    <t xml:space="preserve">Town Planning, Thane
</t>
  </si>
  <si>
    <t>BSP/RAKHANKAN/BP/M.MHAROL/
T.KALYAN/SSTN/2833</t>
  </si>
  <si>
    <t>MAHSUL/K-1/T-7/BP/MHAROL/KHU-KALYAN/SR-09/2021</t>
  </si>
  <si>
    <t>Building No. 3 (Wing B7, B8 &amp; B9) = G/st + 1st to 23rd Floor.</t>
  </si>
  <si>
    <t>As per RERA - 31/12/2026</t>
  </si>
  <si>
    <t>We considered Gross carpet area = Net carpet.</t>
  </si>
  <si>
    <t>2.5 Km from Shahad
Railway Station</t>
  </si>
  <si>
    <t>H + Pro</t>
  </si>
  <si>
    <t>99A</t>
  </si>
  <si>
    <t>Building No. 3 (Wing B7, B8 &amp; B9) = G/st + 1st to 23rd Floor</t>
  </si>
  <si>
    <t>Building No. 3 (Wing B7 &amp; B8) = G/st + 1st to 23rd Floor</t>
  </si>
  <si>
    <t>Building No. 3 (Wing B9) = G/st + 1st to 23rd Floor</t>
  </si>
  <si>
    <t>Project layout has changed as compared to previous layout Plan.</t>
  </si>
  <si>
    <t>On Site, we meet Mr. Shrvan patil (8652522056).</t>
  </si>
  <si>
    <t xml:space="preserve">1.Vitrified tiles flooring 2. Granite Kitchen Platform  3. Decorative Enternace  etc. 
</t>
  </si>
  <si>
    <t xml:space="preserve">Site Person - Contact Details ( Name &amp; Contact No.)
</t>
  </si>
  <si>
    <t xml:space="preserve">Office No. 1031, Wing J, Akshar Business Park, Plot No. 03 Sector 25, Near APMC Market, Vashi, Navi Mumbai, Maharashtra 400703 TEL: 022-46090378/79/8E mail : vsjcapf@gmail.com. Web site : www.vsjadon.com
</t>
  </si>
  <si>
    <t>Poddar Housing and Development Limited</t>
  </si>
  <si>
    <t>Location Link</t>
  </si>
  <si>
    <t>https://goo.gl/maps/mgdWyLntZQ5itkXh8</t>
  </si>
  <si>
    <t>Latitude &amp; Longitude</t>
  </si>
  <si>
    <t>19.2486978,73.1788268</t>
  </si>
  <si>
    <t>Since Wing B7 &amp; B8 have received CC on 25/03/2022, but as of construction work is not started.</t>
  </si>
  <si>
    <t>Wing B7 &amp; B8 = Construction work not yet started.
Wing B9 = Construction work was stopped at the time of visit. Work is same as last visit. (24/09/2022).</t>
  </si>
  <si>
    <t>Mr. Surendra : 7718922212</t>
  </si>
  <si>
    <t>Mangesh Laxman Bapardekar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</si>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</sst>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/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right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26" xfId="0" applyFont="1" applyBorder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3" xfId="0" applyFont="1" applyBorder="1"/>
    <xf numFmtId="0" fontId="25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28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284</xdr:row>
      <xdr:rowOff>19050</xdr:rowOff>
    </xdr:from>
    <xdr:to>
      <xdr:col>7</xdr:col>
      <xdr:colOff>165354</xdr:colOff>
      <xdr:row>301</xdr:row>
      <xdr:rowOff>148208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63179325"/>
          <a:ext cx="5632704" cy="352958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693420</xdr:colOff>
      <xdr:row>302</xdr:row>
      <xdr:rowOff>159127</xdr:rowOff>
    </xdr:from>
    <xdr:to>
      <xdr:col>7</xdr:col>
      <xdr:colOff>119634</xdr:colOff>
      <xdr:row>319</xdr:row>
      <xdr:rowOff>196846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3420" y="66919852"/>
          <a:ext cx="5541264" cy="34381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14515</xdr:colOff>
      <xdr:row>243</xdr:row>
      <xdr:rowOff>166914</xdr:rowOff>
    </xdr:from>
    <xdr:to>
      <xdr:col>17</xdr:col>
      <xdr:colOff>89035</xdr:colOff>
      <xdr:row>270</xdr:row>
      <xdr:rowOff>54055</xdr:rowOff>
    </xdr:to>
    <xdr:grpSp>
      <xdr:nvGrpSpPr>
        <xdr:cNvPr id="3" name="Group 2"/>
        <xdr:cNvGrpSpPr/>
      </xdr:nvGrpSpPr>
      <xdr:grpSpPr>
        <a:xfrm>
          <a:off x="7668133" y="50391679"/>
          <a:ext cx="5923990" cy="5333200"/>
          <a:chOff x="273050" y="48710850"/>
          <a:chExt cx="6175963" cy="5209348"/>
        </a:xfrm>
      </xdr:grpSpPr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2105" y="517601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1262" y="487108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82532" y="517601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3050" y="4871085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111578</xdr:colOff>
      <xdr:row>240</xdr:row>
      <xdr:rowOff>173944</xdr:rowOff>
    </xdr:from>
    <xdr:to>
      <xdr:col>7</xdr:col>
      <xdr:colOff>706334</xdr:colOff>
      <xdr:row>265</xdr:row>
      <xdr:rowOff>19051</xdr:rowOff>
    </xdr:to>
    <xdr:grpSp>
      <xdr:nvGrpSpPr>
        <xdr:cNvPr id="2" name="Group 1"/>
        <xdr:cNvGrpSpPr/>
      </xdr:nvGrpSpPr>
      <xdr:grpSpPr>
        <a:xfrm>
          <a:off x="111578" y="49804797"/>
          <a:ext cx="6253727" cy="4876548"/>
          <a:chOff x="97971" y="52575050"/>
          <a:chExt cx="6268935" cy="4934178"/>
        </a:xfrm>
      </xdr:grpSpPr>
      <xdr:pic>
        <xdr:nvPicPr>
          <xdr:cNvPr id="14" name="Picture 13" descr="https://vsjcllp.vsjadon.com/upload/insp-24661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9035" y="55027285"/>
            <a:ext cx="1855441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661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1" y="55030006"/>
            <a:ext cx="1855441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661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7971" y="52575050"/>
            <a:ext cx="3082142" cy="23134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661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4764" y="52591378"/>
            <a:ext cx="3082142" cy="23134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610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05050" y="55032728"/>
            <a:ext cx="1855441" cy="24765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94229</xdr:colOff>
      <xdr:row>14</xdr:row>
      <xdr:rowOff>0</xdr:rowOff>
    </xdr:from>
    <xdr:to>
      <xdr:col>6</xdr:col>
      <xdr:colOff>98795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935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639679</xdr:colOff>
      <xdr:row>14</xdr:row>
      <xdr:rowOff>0</xdr:rowOff>
    </xdr:from>
    <xdr:to>
      <xdr:col>15</xdr:col>
      <xdr:colOff>532187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944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7932</xdr:rowOff>
    </xdr:from>
    <xdr:to>
      <xdr:col>6</xdr:col>
      <xdr:colOff>4566</xdr:colOff>
      <xdr:row>53</xdr:row>
      <xdr:rowOff>178932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68663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gdWyLntZQ5itkXh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2"/>
  <sheetViews>
    <sheetView tabSelected="1" view="pageBreakPreview" zoomScale="85" zoomScaleNormal="100" zoomScaleSheetLayoutView="85" workbookViewId="0">
      <selection activeCell="J13" activeCellId="1" sqref="E8:H8 J13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5703125" style="36" customWidth="1"/>
    <col min="4" max="4" width="14.140625" style="36" customWidth="1"/>
    <col min="5" max="7" width="11.5703125" style="36" customWidth="1"/>
    <col min="8" max="8" width="12.42578125" style="36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5703125" style="18" customWidth="1"/>
    <col min="17" max="247" width="9.140625" style="18"/>
    <col min="248" max="248" width="8.5703125" style="18" customWidth="1"/>
    <col min="249" max="249" width="9.85546875" style="18" customWidth="1"/>
    <col min="250" max="250" width="14.42578125" style="18" customWidth="1"/>
    <col min="251" max="251" width="7.425781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5703125" style="18" customWidth="1"/>
    <col min="505" max="505" width="9.85546875" style="18" customWidth="1"/>
    <col min="506" max="506" width="14.42578125" style="18" customWidth="1"/>
    <col min="507" max="507" width="7.425781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5703125" style="18" customWidth="1"/>
    <col min="761" max="761" width="9.85546875" style="18" customWidth="1"/>
    <col min="762" max="762" width="14.42578125" style="18" customWidth="1"/>
    <col min="763" max="763" width="7.425781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5703125" style="18" customWidth="1"/>
    <col min="1017" max="1017" width="9.85546875" style="18" customWidth="1"/>
    <col min="1018" max="1018" width="14.42578125" style="18" customWidth="1"/>
    <col min="1019" max="1019" width="7.425781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5703125" style="18" customWidth="1"/>
    <col min="1273" max="1273" width="9.85546875" style="18" customWidth="1"/>
    <col min="1274" max="1274" width="14.42578125" style="18" customWidth="1"/>
    <col min="1275" max="1275" width="7.425781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5703125" style="18" customWidth="1"/>
    <col min="1529" max="1529" width="9.85546875" style="18" customWidth="1"/>
    <col min="1530" max="1530" width="14.42578125" style="18" customWidth="1"/>
    <col min="1531" max="1531" width="7.425781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5703125" style="18" customWidth="1"/>
    <col min="1785" max="1785" width="9.85546875" style="18" customWidth="1"/>
    <col min="1786" max="1786" width="14.42578125" style="18" customWidth="1"/>
    <col min="1787" max="1787" width="7.425781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5703125" style="18" customWidth="1"/>
    <col min="2041" max="2041" width="9.85546875" style="18" customWidth="1"/>
    <col min="2042" max="2042" width="14.42578125" style="18" customWidth="1"/>
    <col min="2043" max="2043" width="7.425781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5703125" style="18" customWidth="1"/>
    <col min="2297" max="2297" width="9.85546875" style="18" customWidth="1"/>
    <col min="2298" max="2298" width="14.42578125" style="18" customWidth="1"/>
    <col min="2299" max="2299" width="7.425781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5703125" style="18" customWidth="1"/>
    <col min="2553" max="2553" width="9.85546875" style="18" customWidth="1"/>
    <col min="2554" max="2554" width="14.42578125" style="18" customWidth="1"/>
    <col min="2555" max="2555" width="7.425781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5703125" style="18" customWidth="1"/>
    <col min="2809" max="2809" width="9.85546875" style="18" customWidth="1"/>
    <col min="2810" max="2810" width="14.42578125" style="18" customWidth="1"/>
    <col min="2811" max="2811" width="7.425781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5703125" style="18" customWidth="1"/>
    <col min="3065" max="3065" width="9.85546875" style="18" customWidth="1"/>
    <col min="3066" max="3066" width="14.42578125" style="18" customWidth="1"/>
    <col min="3067" max="3067" width="7.425781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5703125" style="18" customWidth="1"/>
    <col min="3321" max="3321" width="9.85546875" style="18" customWidth="1"/>
    <col min="3322" max="3322" width="14.42578125" style="18" customWidth="1"/>
    <col min="3323" max="3323" width="7.425781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5703125" style="18" customWidth="1"/>
    <col min="3577" max="3577" width="9.85546875" style="18" customWidth="1"/>
    <col min="3578" max="3578" width="14.42578125" style="18" customWidth="1"/>
    <col min="3579" max="3579" width="7.425781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5703125" style="18" customWidth="1"/>
    <col min="3833" max="3833" width="9.85546875" style="18" customWidth="1"/>
    <col min="3834" max="3834" width="14.42578125" style="18" customWidth="1"/>
    <col min="3835" max="3835" width="7.425781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5703125" style="18" customWidth="1"/>
    <col min="4089" max="4089" width="9.85546875" style="18" customWidth="1"/>
    <col min="4090" max="4090" width="14.42578125" style="18" customWidth="1"/>
    <col min="4091" max="4091" width="7.425781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5703125" style="18" customWidth="1"/>
    <col min="4345" max="4345" width="9.85546875" style="18" customWidth="1"/>
    <col min="4346" max="4346" width="14.42578125" style="18" customWidth="1"/>
    <col min="4347" max="4347" width="7.425781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5703125" style="18" customWidth="1"/>
    <col min="4601" max="4601" width="9.85546875" style="18" customWidth="1"/>
    <col min="4602" max="4602" width="14.42578125" style="18" customWidth="1"/>
    <col min="4603" max="4603" width="7.425781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5703125" style="18" customWidth="1"/>
    <col min="4857" max="4857" width="9.85546875" style="18" customWidth="1"/>
    <col min="4858" max="4858" width="14.42578125" style="18" customWidth="1"/>
    <col min="4859" max="4859" width="7.425781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5703125" style="18" customWidth="1"/>
    <col min="5113" max="5113" width="9.85546875" style="18" customWidth="1"/>
    <col min="5114" max="5114" width="14.42578125" style="18" customWidth="1"/>
    <col min="5115" max="5115" width="7.425781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5703125" style="18" customWidth="1"/>
    <col min="5369" max="5369" width="9.85546875" style="18" customWidth="1"/>
    <col min="5370" max="5370" width="14.42578125" style="18" customWidth="1"/>
    <col min="5371" max="5371" width="7.425781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5703125" style="18" customWidth="1"/>
    <col min="5625" max="5625" width="9.85546875" style="18" customWidth="1"/>
    <col min="5626" max="5626" width="14.42578125" style="18" customWidth="1"/>
    <col min="5627" max="5627" width="7.425781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5703125" style="18" customWidth="1"/>
    <col min="5881" max="5881" width="9.85546875" style="18" customWidth="1"/>
    <col min="5882" max="5882" width="14.42578125" style="18" customWidth="1"/>
    <col min="5883" max="5883" width="7.425781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5703125" style="18" customWidth="1"/>
    <col min="6137" max="6137" width="9.85546875" style="18" customWidth="1"/>
    <col min="6138" max="6138" width="14.42578125" style="18" customWidth="1"/>
    <col min="6139" max="6139" width="7.425781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5703125" style="18" customWidth="1"/>
    <col min="6393" max="6393" width="9.85546875" style="18" customWidth="1"/>
    <col min="6394" max="6394" width="14.42578125" style="18" customWidth="1"/>
    <col min="6395" max="6395" width="7.425781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5703125" style="18" customWidth="1"/>
    <col min="6649" max="6649" width="9.85546875" style="18" customWidth="1"/>
    <col min="6650" max="6650" width="14.42578125" style="18" customWidth="1"/>
    <col min="6651" max="6651" width="7.425781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5703125" style="18" customWidth="1"/>
    <col min="6905" max="6905" width="9.85546875" style="18" customWidth="1"/>
    <col min="6906" max="6906" width="14.42578125" style="18" customWidth="1"/>
    <col min="6907" max="6907" width="7.425781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5703125" style="18" customWidth="1"/>
    <col min="7161" max="7161" width="9.85546875" style="18" customWidth="1"/>
    <col min="7162" max="7162" width="14.42578125" style="18" customWidth="1"/>
    <col min="7163" max="7163" width="7.425781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5703125" style="18" customWidth="1"/>
    <col min="7417" max="7417" width="9.85546875" style="18" customWidth="1"/>
    <col min="7418" max="7418" width="14.42578125" style="18" customWidth="1"/>
    <col min="7419" max="7419" width="7.425781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5703125" style="18" customWidth="1"/>
    <col min="7673" max="7673" width="9.85546875" style="18" customWidth="1"/>
    <col min="7674" max="7674" width="14.42578125" style="18" customWidth="1"/>
    <col min="7675" max="7675" width="7.425781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5703125" style="18" customWidth="1"/>
    <col min="7929" max="7929" width="9.85546875" style="18" customWidth="1"/>
    <col min="7930" max="7930" width="14.42578125" style="18" customWidth="1"/>
    <col min="7931" max="7931" width="7.425781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5703125" style="18" customWidth="1"/>
    <col min="8185" max="8185" width="9.85546875" style="18" customWidth="1"/>
    <col min="8186" max="8186" width="14.42578125" style="18" customWidth="1"/>
    <col min="8187" max="8187" width="7.425781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5703125" style="18" customWidth="1"/>
    <col min="8441" max="8441" width="9.85546875" style="18" customWidth="1"/>
    <col min="8442" max="8442" width="14.42578125" style="18" customWidth="1"/>
    <col min="8443" max="8443" width="7.425781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5703125" style="18" customWidth="1"/>
    <col min="8697" max="8697" width="9.85546875" style="18" customWidth="1"/>
    <col min="8698" max="8698" width="14.42578125" style="18" customWidth="1"/>
    <col min="8699" max="8699" width="7.425781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5703125" style="18" customWidth="1"/>
    <col min="8953" max="8953" width="9.85546875" style="18" customWidth="1"/>
    <col min="8954" max="8954" width="14.42578125" style="18" customWidth="1"/>
    <col min="8955" max="8955" width="7.425781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5703125" style="18" customWidth="1"/>
    <col min="9209" max="9209" width="9.85546875" style="18" customWidth="1"/>
    <col min="9210" max="9210" width="14.42578125" style="18" customWidth="1"/>
    <col min="9211" max="9211" width="7.425781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5703125" style="18" customWidth="1"/>
    <col min="9465" max="9465" width="9.85546875" style="18" customWidth="1"/>
    <col min="9466" max="9466" width="14.42578125" style="18" customWidth="1"/>
    <col min="9467" max="9467" width="7.425781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5703125" style="18" customWidth="1"/>
    <col min="9721" max="9721" width="9.85546875" style="18" customWidth="1"/>
    <col min="9722" max="9722" width="14.42578125" style="18" customWidth="1"/>
    <col min="9723" max="9723" width="7.425781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5703125" style="18" customWidth="1"/>
    <col min="9977" max="9977" width="9.85546875" style="18" customWidth="1"/>
    <col min="9978" max="9978" width="14.42578125" style="18" customWidth="1"/>
    <col min="9979" max="9979" width="7.425781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5703125" style="18" customWidth="1"/>
    <col min="10233" max="10233" width="9.85546875" style="18" customWidth="1"/>
    <col min="10234" max="10234" width="14.42578125" style="18" customWidth="1"/>
    <col min="10235" max="10235" width="7.425781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5703125" style="18" customWidth="1"/>
    <col min="10489" max="10489" width="9.85546875" style="18" customWidth="1"/>
    <col min="10490" max="10490" width="14.42578125" style="18" customWidth="1"/>
    <col min="10491" max="10491" width="7.425781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5703125" style="18" customWidth="1"/>
    <col min="10745" max="10745" width="9.85546875" style="18" customWidth="1"/>
    <col min="10746" max="10746" width="14.42578125" style="18" customWidth="1"/>
    <col min="10747" max="10747" width="7.425781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5703125" style="18" customWidth="1"/>
    <col min="11001" max="11001" width="9.85546875" style="18" customWidth="1"/>
    <col min="11002" max="11002" width="14.42578125" style="18" customWidth="1"/>
    <col min="11003" max="11003" width="7.425781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5703125" style="18" customWidth="1"/>
    <col min="11257" max="11257" width="9.85546875" style="18" customWidth="1"/>
    <col min="11258" max="11258" width="14.42578125" style="18" customWidth="1"/>
    <col min="11259" max="11259" width="7.425781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5703125" style="18" customWidth="1"/>
    <col min="11513" max="11513" width="9.85546875" style="18" customWidth="1"/>
    <col min="11514" max="11514" width="14.42578125" style="18" customWidth="1"/>
    <col min="11515" max="11515" width="7.425781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5703125" style="18" customWidth="1"/>
    <col min="11769" max="11769" width="9.85546875" style="18" customWidth="1"/>
    <col min="11770" max="11770" width="14.42578125" style="18" customWidth="1"/>
    <col min="11771" max="11771" width="7.425781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5703125" style="18" customWidth="1"/>
    <col min="12025" max="12025" width="9.85546875" style="18" customWidth="1"/>
    <col min="12026" max="12026" width="14.42578125" style="18" customWidth="1"/>
    <col min="12027" max="12027" width="7.425781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5703125" style="18" customWidth="1"/>
    <col min="12281" max="12281" width="9.85546875" style="18" customWidth="1"/>
    <col min="12282" max="12282" width="14.42578125" style="18" customWidth="1"/>
    <col min="12283" max="12283" width="7.425781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5703125" style="18" customWidth="1"/>
    <col min="12537" max="12537" width="9.85546875" style="18" customWidth="1"/>
    <col min="12538" max="12538" width="14.42578125" style="18" customWidth="1"/>
    <col min="12539" max="12539" width="7.425781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5703125" style="18" customWidth="1"/>
    <col min="12793" max="12793" width="9.85546875" style="18" customWidth="1"/>
    <col min="12794" max="12794" width="14.42578125" style="18" customWidth="1"/>
    <col min="12795" max="12795" width="7.425781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5703125" style="18" customWidth="1"/>
    <col min="13049" max="13049" width="9.85546875" style="18" customWidth="1"/>
    <col min="13050" max="13050" width="14.42578125" style="18" customWidth="1"/>
    <col min="13051" max="13051" width="7.425781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5703125" style="18" customWidth="1"/>
    <col min="13305" max="13305" width="9.85546875" style="18" customWidth="1"/>
    <col min="13306" max="13306" width="14.42578125" style="18" customWidth="1"/>
    <col min="13307" max="13307" width="7.425781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5703125" style="18" customWidth="1"/>
    <col min="13561" max="13561" width="9.85546875" style="18" customWidth="1"/>
    <col min="13562" max="13562" width="14.42578125" style="18" customWidth="1"/>
    <col min="13563" max="13563" width="7.425781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5703125" style="18" customWidth="1"/>
    <col min="13817" max="13817" width="9.85546875" style="18" customWidth="1"/>
    <col min="13818" max="13818" width="14.42578125" style="18" customWidth="1"/>
    <col min="13819" max="13819" width="7.425781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5703125" style="18" customWidth="1"/>
    <col min="14073" max="14073" width="9.85546875" style="18" customWidth="1"/>
    <col min="14074" max="14074" width="14.42578125" style="18" customWidth="1"/>
    <col min="14075" max="14075" width="7.425781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5703125" style="18" customWidth="1"/>
    <col min="14329" max="14329" width="9.85546875" style="18" customWidth="1"/>
    <col min="14330" max="14330" width="14.42578125" style="18" customWidth="1"/>
    <col min="14331" max="14331" width="7.425781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5703125" style="18" customWidth="1"/>
    <col min="14585" max="14585" width="9.85546875" style="18" customWidth="1"/>
    <col min="14586" max="14586" width="14.42578125" style="18" customWidth="1"/>
    <col min="14587" max="14587" width="7.425781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5703125" style="18" customWidth="1"/>
    <col min="14841" max="14841" width="9.85546875" style="18" customWidth="1"/>
    <col min="14842" max="14842" width="14.42578125" style="18" customWidth="1"/>
    <col min="14843" max="14843" width="7.425781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5703125" style="18" customWidth="1"/>
    <col min="15097" max="15097" width="9.85546875" style="18" customWidth="1"/>
    <col min="15098" max="15098" width="14.42578125" style="18" customWidth="1"/>
    <col min="15099" max="15099" width="7.425781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5703125" style="18" customWidth="1"/>
    <col min="15353" max="15353" width="9.85546875" style="18" customWidth="1"/>
    <col min="15354" max="15354" width="14.42578125" style="18" customWidth="1"/>
    <col min="15355" max="15355" width="7.425781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5703125" style="18" customWidth="1"/>
    <col min="15609" max="15609" width="9.85546875" style="18" customWidth="1"/>
    <col min="15610" max="15610" width="14.42578125" style="18" customWidth="1"/>
    <col min="15611" max="15611" width="7.425781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5703125" style="18" customWidth="1"/>
    <col min="15865" max="15865" width="9.85546875" style="18" customWidth="1"/>
    <col min="15866" max="15866" width="14.42578125" style="18" customWidth="1"/>
    <col min="15867" max="15867" width="7.425781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5703125" style="18" customWidth="1"/>
    <col min="16121" max="16121" width="9.85546875" style="18" customWidth="1"/>
    <col min="16122" max="16122" width="14.42578125" style="18" customWidth="1"/>
    <col min="16123" max="16123" width="7.425781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42" t="s">
        <v>209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</row>
    <row r="3" spans="1:8" x14ac:dyDescent="0.25">
      <c r="A3" s="138" t="s">
        <v>1</v>
      </c>
      <c r="B3" s="138"/>
      <c r="C3" s="138"/>
      <c r="D3" s="138"/>
      <c r="E3" s="141" t="str">
        <f ca="1">TEXT(TODAY(),"DD/MM/YYYY")</f>
        <v>09/09/2025</v>
      </c>
      <c r="F3" s="138"/>
      <c r="G3" s="138"/>
      <c r="H3" s="138"/>
    </row>
    <row r="4" spans="1:8" ht="15" customHeight="1" x14ac:dyDescent="0.25">
      <c r="A4" s="138" t="s">
        <v>2</v>
      </c>
      <c r="B4" s="138"/>
      <c r="C4" s="138"/>
      <c r="D4" s="138"/>
      <c r="E4" s="138" t="s">
        <v>177</v>
      </c>
      <c r="F4" s="138"/>
      <c r="G4" s="138"/>
      <c r="H4" s="138"/>
    </row>
    <row r="5" spans="1:8" x14ac:dyDescent="0.25">
      <c r="A5" s="138" t="s">
        <v>3</v>
      </c>
      <c r="B5" s="138"/>
      <c r="C5" s="138"/>
      <c r="D5" s="138"/>
      <c r="E5" s="141">
        <v>45908</v>
      </c>
      <c r="F5" s="138"/>
      <c r="G5" s="138"/>
      <c r="H5" s="138"/>
    </row>
    <row r="6" spans="1:8" ht="16.5" customHeight="1" x14ac:dyDescent="0.25">
      <c r="A6" s="138" t="s">
        <v>4</v>
      </c>
      <c r="B6" s="138"/>
      <c r="C6" s="138"/>
      <c r="D6" s="138"/>
      <c r="E6" s="138" t="s">
        <v>210</v>
      </c>
      <c r="F6" s="138"/>
      <c r="G6" s="138"/>
      <c r="H6" s="138"/>
    </row>
    <row r="7" spans="1:8" ht="15" customHeight="1" x14ac:dyDescent="0.25">
      <c r="A7" s="138" t="s">
        <v>5</v>
      </c>
      <c r="B7" s="138"/>
      <c r="C7" s="138"/>
      <c r="D7" s="138"/>
      <c r="E7" s="138" t="str">
        <f>E6</f>
        <v>Poddar Housing and Development Limited</v>
      </c>
      <c r="F7" s="138"/>
      <c r="G7" s="138"/>
      <c r="H7" s="138"/>
    </row>
    <row r="8" spans="1:8" x14ac:dyDescent="0.25">
      <c r="A8" s="138" t="s">
        <v>6</v>
      </c>
      <c r="B8" s="138"/>
      <c r="C8" s="138"/>
      <c r="D8" s="138"/>
      <c r="E8" s="97" t="s">
        <v>178</v>
      </c>
      <c r="F8" s="97"/>
      <c r="G8" s="97"/>
      <c r="H8" s="97"/>
    </row>
    <row r="9" spans="1:8" x14ac:dyDescent="0.25">
      <c r="A9" s="138" t="s">
        <v>124</v>
      </c>
      <c r="B9" s="138"/>
      <c r="C9" s="138"/>
      <c r="D9" s="138"/>
      <c r="E9" s="138" t="s">
        <v>179</v>
      </c>
      <c r="F9" s="138"/>
      <c r="G9" s="138"/>
      <c r="H9" s="138"/>
    </row>
    <row r="10" spans="1:8" x14ac:dyDescent="0.25">
      <c r="A10" s="126" t="s">
        <v>208</v>
      </c>
      <c r="B10" s="138"/>
      <c r="C10" s="138"/>
      <c r="D10" s="138"/>
      <c r="E10" s="138" t="s">
        <v>217</v>
      </c>
      <c r="F10" s="138"/>
      <c r="G10" s="138"/>
      <c r="H10" s="138"/>
    </row>
    <row r="11" spans="1:8" x14ac:dyDescent="0.25">
      <c r="A11" s="138" t="s">
        <v>7</v>
      </c>
      <c r="B11" s="138"/>
      <c r="C11" s="138"/>
      <c r="D11" s="138"/>
      <c r="E11" s="138" t="s">
        <v>180</v>
      </c>
      <c r="F11" s="138"/>
      <c r="G11" s="138"/>
      <c r="H11" s="138"/>
    </row>
    <row r="12" spans="1:8" x14ac:dyDescent="0.25">
      <c r="A12" s="89" t="s">
        <v>8</v>
      </c>
      <c r="B12" s="89"/>
      <c r="C12" s="89"/>
      <c r="D12" s="89"/>
      <c r="E12" s="126" t="s">
        <v>181</v>
      </c>
      <c r="F12" s="126"/>
      <c r="G12" s="126"/>
      <c r="H12" s="126"/>
    </row>
    <row r="13" spans="1:8" x14ac:dyDescent="0.25">
      <c r="A13" s="89" t="s">
        <v>9</v>
      </c>
      <c r="B13" s="89"/>
      <c r="C13" s="89"/>
      <c r="D13" s="89"/>
      <c r="E13" s="126" t="s">
        <v>182</v>
      </c>
      <c r="F13" s="138"/>
      <c r="G13" s="138"/>
      <c r="H13" s="138"/>
    </row>
    <row r="14" spans="1:8" ht="48.75" customHeight="1" x14ac:dyDescent="0.25">
      <c r="A14" s="126" t="s">
        <v>10</v>
      </c>
      <c r="B14" s="126"/>
      <c r="C14" s="126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Poddar Riviera Phase - III, Survey No.S.No.9 H.No.1B, 2, 3 &amp; S. No.10, 11 H.No.1, 2, near Poddar Big leap, Bhiwandi - Murbad Road, Mharal, Shahad, Kalyan, Thane - 421103.</v>
      </c>
      <c r="D14" s="126"/>
      <c r="E14" s="126"/>
      <c r="F14" s="126"/>
      <c r="G14" s="126"/>
      <c r="H14" s="126"/>
    </row>
    <row r="15" spans="1:8" x14ac:dyDescent="0.25">
      <c r="A15" s="126" t="s">
        <v>183</v>
      </c>
      <c r="B15" s="126"/>
      <c r="C15" s="126" t="s">
        <v>184</v>
      </c>
      <c r="D15" s="126"/>
      <c r="E15" s="126"/>
      <c r="F15" s="126"/>
      <c r="G15" s="126"/>
      <c r="H15" s="126"/>
    </row>
    <row r="16" spans="1:8" ht="15.75" customHeight="1" x14ac:dyDescent="0.25">
      <c r="A16" s="126" t="s">
        <v>11</v>
      </c>
      <c r="B16" s="126"/>
      <c r="C16" s="138" t="s">
        <v>185</v>
      </c>
      <c r="D16" s="138"/>
      <c r="E16" s="126" t="s">
        <v>75</v>
      </c>
      <c r="F16" s="126"/>
      <c r="G16" s="126" t="s">
        <v>186</v>
      </c>
      <c r="H16" s="126"/>
    </row>
    <row r="17" spans="1:8" x14ac:dyDescent="0.25">
      <c r="A17" s="138" t="s">
        <v>13</v>
      </c>
      <c r="B17" s="138"/>
      <c r="C17" s="126" t="s">
        <v>187</v>
      </c>
      <c r="D17" s="126"/>
      <c r="E17" s="126" t="s">
        <v>12</v>
      </c>
      <c r="F17" s="126"/>
      <c r="G17" s="140" t="s">
        <v>188</v>
      </c>
      <c r="H17" s="140"/>
    </row>
    <row r="18" spans="1:8" x14ac:dyDescent="0.25">
      <c r="A18" s="138" t="s">
        <v>76</v>
      </c>
      <c r="B18" s="138"/>
      <c r="C18" s="126" t="s">
        <v>189</v>
      </c>
      <c r="D18" s="126"/>
      <c r="E18" s="126" t="s">
        <v>14</v>
      </c>
      <c r="F18" s="126"/>
      <c r="G18" s="126">
        <v>421103</v>
      </c>
      <c r="H18" s="126"/>
    </row>
    <row r="19" spans="1:8" ht="32.25" customHeight="1" x14ac:dyDescent="0.25">
      <c r="A19" s="138" t="s">
        <v>125</v>
      </c>
      <c r="B19" s="138"/>
      <c r="C19" s="126" t="s">
        <v>190</v>
      </c>
      <c r="D19" s="126"/>
      <c r="E19" s="126" t="s">
        <v>15</v>
      </c>
      <c r="F19" s="126"/>
      <c r="G19" s="126" t="s">
        <v>199</v>
      </c>
      <c r="H19" s="126"/>
    </row>
    <row r="20" spans="1:8" ht="15" customHeight="1" x14ac:dyDescent="0.25">
      <c r="A20" s="126" t="s">
        <v>78</v>
      </c>
      <c r="B20" s="126"/>
      <c r="C20" s="126"/>
      <c r="D20" s="126"/>
      <c r="E20" s="138" t="s">
        <v>16</v>
      </c>
      <c r="F20" s="138"/>
      <c r="G20" s="138"/>
      <c r="H20" s="138"/>
    </row>
    <row r="21" spans="1:8" ht="18.75" customHeight="1" x14ac:dyDescent="0.25">
      <c r="A21" s="126"/>
      <c r="B21" s="126"/>
      <c r="C21" s="126"/>
      <c r="D21" s="126"/>
      <c r="E21" s="138"/>
      <c r="F21" s="138"/>
      <c r="G21" s="138"/>
      <c r="H21" s="138"/>
    </row>
    <row r="22" spans="1:8" ht="15" customHeight="1" x14ac:dyDescent="0.25">
      <c r="A22" s="139" t="s">
        <v>17</v>
      </c>
      <c r="B22" s="139"/>
      <c r="C22" s="139"/>
      <c r="D22" s="139"/>
      <c r="E22" s="126" t="s">
        <v>18</v>
      </c>
      <c r="F22" s="126"/>
      <c r="G22" s="126"/>
      <c r="H22" s="126"/>
    </row>
    <row r="23" spans="1:8" ht="15" customHeight="1" x14ac:dyDescent="0.25">
      <c r="A23" s="89" t="s">
        <v>19</v>
      </c>
      <c r="B23" s="89"/>
      <c r="C23" s="89"/>
      <c r="D23" s="89"/>
      <c r="E23" s="126" t="str">
        <f>IF(AND(G17="Mumbai"),"Upper Class","Middle Class")</f>
        <v>Middle Class</v>
      </c>
      <c r="F23" s="126"/>
      <c r="G23" s="126"/>
      <c r="H23" s="126"/>
    </row>
    <row r="24" spans="1:8" x14ac:dyDescent="0.25">
      <c r="A24" s="89" t="s">
        <v>20</v>
      </c>
      <c r="B24" s="89"/>
      <c r="C24" s="89"/>
      <c r="D24" s="89"/>
      <c r="E24" s="126" t="s">
        <v>21</v>
      </c>
      <c r="F24" s="126"/>
      <c r="G24" s="126"/>
      <c r="H24" s="126"/>
    </row>
    <row r="25" spans="1:8" ht="15.75" customHeight="1" x14ac:dyDescent="0.25">
      <c r="A25" s="89" t="s">
        <v>22</v>
      </c>
      <c r="B25" s="89"/>
      <c r="C25" s="89"/>
      <c r="D25" s="89"/>
      <c r="E25" s="126" t="str">
        <f>IF(AND(G17="Mumbai"),"Developed","Developing")</f>
        <v>Developing</v>
      </c>
      <c r="F25" s="126"/>
      <c r="G25" s="126"/>
      <c r="H25" s="126"/>
    </row>
    <row r="26" spans="1:8" x14ac:dyDescent="0.25">
      <c r="A26" s="89" t="s">
        <v>23</v>
      </c>
      <c r="B26" s="89"/>
      <c r="C26" s="89"/>
      <c r="D26" s="89"/>
      <c r="E26" s="126" t="s">
        <v>24</v>
      </c>
      <c r="F26" s="126"/>
      <c r="G26" s="126"/>
      <c r="H26" s="126"/>
    </row>
    <row r="27" spans="1:8" ht="15.75" customHeight="1" x14ac:dyDescent="0.25">
      <c r="A27" s="89" t="s">
        <v>83</v>
      </c>
      <c r="B27" s="89"/>
      <c r="C27" s="89"/>
      <c r="D27" s="89"/>
      <c r="E27" s="126" t="s">
        <v>84</v>
      </c>
      <c r="F27" s="126"/>
      <c r="G27" s="126"/>
      <c r="H27" s="126"/>
    </row>
    <row r="28" spans="1:8" ht="15" customHeight="1" x14ac:dyDescent="0.25">
      <c r="A28" s="89" t="s">
        <v>33</v>
      </c>
      <c r="B28" s="89"/>
      <c r="C28" s="89"/>
      <c r="D28" s="89"/>
      <c r="E28" s="126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</v>
      </c>
      <c r="F28" s="126"/>
      <c r="G28" s="126"/>
      <c r="H28" s="126"/>
    </row>
    <row r="29" spans="1:8" ht="15.75" customHeight="1" x14ac:dyDescent="0.25">
      <c r="A29" s="89" t="s">
        <v>95</v>
      </c>
      <c r="B29" s="89"/>
      <c r="C29" s="89"/>
      <c r="D29" s="89"/>
      <c r="E29" s="126" t="s">
        <v>34</v>
      </c>
      <c r="F29" s="126"/>
      <c r="G29" s="126"/>
      <c r="H29" s="126"/>
    </row>
    <row r="30" spans="1:8" s="19" customFormat="1" x14ac:dyDescent="0.25">
      <c r="A30" s="122" t="s">
        <v>96</v>
      </c>
      <c r="B30" s="122"/>
      <c r="C30" s="120" t="s">
        <v>29</v>
      </c>
      <c r="D30" s="120"/>
      <c r="E30" s="120"/>
      <c r="F30" s="120" t="s">
        <v>31</v>
      </c>
      <c r="G30" s="120"/>
      <c r="H30" s="120"/>
    </row>
    <row r="31" spans="1:8" s="19" customFormat="1" x14ac:dyDescent="0.25">
      <c r="A31" s="121" t="s">
        <v>25</v>
      </c>
      <c r="B31" s="121" t="s">
        <v>30</v>
      </c>
      <c r="C31" s="119" t="s">
        <v>30</v>
      </c>
      <c r="D31" s="119"/>
      <c r="E31" s="119"/>
      <c r="F31" s="119" t="s">
        <v>191</v>
      </c>
      <c r="G31" s="119"/>
      <c r="H31" s="119"/>
    </row>
    <row r="32" spans="1:8" x14ac:dyDescent="0.25">
      <c r="A32" s="121" t="s">
        <v>26</v>
      </c>
      <c r="B32" s="121" t="s">
        <v>30</v>
      </c>
      <c r="C32" s="119" t="s">
        <v>30</v>
      </c>
      <c r="D32" s="119"/>
      <c r="E32" s="119"/>
      <c r="F32" s="119" t="s">
        <v>11</v>
      </c>
      <c r="G32" s="119"/>
      <c r="H32" s="119"/>
    </row>
    <row r="33" spans="1:10" s="19" customFormat="1" x14ac:dyDescent="0.25">
      <c r="A33" s="121" t="s">
        <v>28</v>
      </c>
      <c r="B33" s="121" t="s">
        <v>30</v>
      </c>
      <c r="C33" s="119" t="s">
        <v>30</v>
      </c>
      <c r="D33" s="119"/>
      <c r="E33" s="119"/>
      <c r="F33" s="119" t="s">
        <v>191</v>
      </c>
      <c r="G33" s="119"/>
      <c r="H33" s="119"/>
    </row>
    <row r="34" spans="1:10" x14ac:dyDescent="0.25">
      <c r="A34" s="121" t="s">
        <v>27</v>
      </c>
      <c r="B34" s="121" t="s">
        <v>30</v>
      </c>
      <c r="C34" s="119" t="s">
        <v>30</v>
      </c>
      <c r="D34" s="119"/>
      <c r="E34" s="119"/>
      <c r="F34" s="119" t="s">
        <v>191</v>
      </c>
      <c r="G34" s="119"/>
      <c r="H34" s="119"/>
    </row>
    <row r="35" spans="1:10" x14ac:dyDescent="0.25">
      <c r="A35" s="89" t="s">
        <v>32</v>
      </c>
      <c r="B35" s="89"/>
      <c r="C35" s="89"/>
      <c r="D35" s="89"/>
      <c r="E35" s="89"/>
      <c r="F35" s="89"/>
      <c r="G35" s="89"/>
      <c r="H35" s="89"/>
    </row>
    <row r="36" spans="1:10" ht="15.75" customHeight="1" x14ac:dyDescent="0.25">
      <c r="A36" s="79" t="s">
        <v>213</v>
      </c>
      <c r="B36" s="79"/>
      <c r="C36" s="125" t="s">
        <v>214</v>
      </c>
      <c r="D36" s="125"/>
      <c r="E36" s="125"/>
      <c r="F36" s="125"/>
      <c r="G36" s="125"/>
      <c r="H36" s="125"/>
    </row>
    <row r="37" spans="1:10" ht="15.75" customHeight="1" x14ac:dyDescent="0.25">
      <c r="A37" s="79" t="s">
        <v>211</v>
      </c>
      <c r="B37" s="79"/>
      <c r="C37" s="124" t="s">
        <v>212</v>
      </c>
      <c r="D37" s="125"/>
      <c r="E37" s="125"/>
      <c r="F37" s="125"/>
      <c r="G37" s="125"/>
      <c r="H37" s="125"/>
    </row>
    <row r="38" spans="1:10" x14ac:dyDescent="0.25">
      <c r="A38" s="123" t="s">
        <v>35</v>
      </c>
      <c r="B38" s="123"/>
      <c r="C38" s="123"/>
      <c r="D38" s="123"/>
      <c r="E38" s="123"/>
      <c r="F38" s="123"/>
      <c r="G38" s="123"/>
      <c r="H38" s="123"/>
    </row>
    <row r="39" spans="1:10" x14ac:dyDescent="0.25">
      <c r="A39" s="89" t="s">
        <v>36</v>
      </c>
      <c r="B39" s="89"/>
      <c r="C39" s="89"/>
      <c r="D39" s="89"/>
      <c r="E39" s="118">
        <v>63706.44</v>
      </c>
      <c r="F39" s="118"/>
      <c r="G39" s="118"/>
      <c r="H39" s="118"/>
      <c r="J39" s="42"/>
    </row>
    <row r="40" spans="1:10" x14ac:dyDescent="0.25">
      <c r="A40" s="89" t="s">
        <v>37</v>
      </c>
      <c r="B40" s="89"/>
      <c r="C40" s="89"/>
      <c r="D40" s="89"/>
      <c r="E40" s="144">
        <v>0.99</v>
      </c>
      <c r="F40" s="144"/>
      <c r="G40" s="144"/>
      <c r="H40" s="144"/>
      <c r="J40" s="42"/>
    </row>
    <row r="41" spans="1:10" x14ac:dyDescent="0.25">
      <c r="A41" s="89" t="s">
        <v>38</v>
      </c>
      <c r="B41" s="89"/>
      <c r="C41" s="89"/>
      <c r="D41" s="89"/>
      <c r="E41" s="144">
        <f>E43/E39-E40</f>
        <v>-1.6198607236568296E-2</v>
      </c>
      <c r="F41" s="144"/>
      <c r="G41" s="144"/>
      <c r="H41" s="144"/>
    </row>
    <row r="42" spans="1:10" x14ac:dyDescent="0.25">
      <c r="A42" s="89" t="s">
        <v>39</v>
      </c>
      <c r="B42" s="89"/>
      <c r="C42" s="89"/>
      <c r="D42" s="89"/>
      <c r="E42" s="144">
        <f>E40+E41</f>
        <v>0.97380139276343169</v>
      </c>
      <c r="F42" s="144"/>
      <c r="G42" s="144"/>
      <c r="H42" s="144"/>
    </row>
    <row r="43" spans="1:10" x14ac:dyDescent="0.25">
      <c r="A43" s="89" t="s">
        <v>94</v>
      </c>
      <c r="B43" s="89"/>
      <c r="C43" s="89"/>
      <c r="D43" s="89"/>
      <c r="E43" s="145">
        <v>62037.42</v>
      </c>
      <c r="F43" s="145"/>
      <c r="G43" s="145"/>
      <c r="H43" s="145"/>
    </row>
    <row r="44" spans="1:10" x14ac:dyDescent="0.25">
      <c r="A44" s="138" t="s">
        <v>40</v>
      </c>
      <c r="B44" s="138"/>
      <c r="C44" s="138"/>
      <c r="D44" s="138"/>
      <c r="E44" s="138" t="s">
        <v>192</v>
      </c>
      <c r="F44" s="138"/>
      <c r="G44" s="138"/>
      <c r="H44" s="138"/>
    </row>
    <row r="45" spans="1:10" x14ac:dyDescent="0.25">
      <c r="A45" s="97" t="s">
        <v>41</v>
      </c>
      <c r="B45" s="97"/>
      <c r="C45" s="97"/>
      <c r="D45" s="97"/>
      <c r="E45" s="97"/>
      <c r="F45" s="97"/>
      <c r="G45" s="97"/>
      <c r="H45" s="97"/>
    </row>
    <row r="46" spans="1:10" ht="33.75" customHeight="1" x14ac:dyDescent="0.25">
      <c r="A46" s="64" t="s">
        <v>154</v>
      </c>
      <c r="B46" s="65"/>
      <c r="C46" s="66" t="s">
        <v>193</v>
      </c>
      <c r="D46" s="67"/>
      <c r="E46" s="67"/>
      <c r="F46" s="67"/>
      <c r="G46" s="67"/>
      <c r="H46" s="68"/>
    </row>
    <row r="47" spans="1:10" ht="30.75" customHeight="1" x14ac:dyDescent="0.25">
      <c r="A47" s="64" t="s">
        <v>42</v>
      </c>
      <c r="B47" s="65"/>
      <c r="C47" s="64" t="s">
        <v>194</v>
      </c>
      <c r="D47" s="159"/>
      <c r="E47" s="65"/>
      <c r="F47" s="43" t="s">
        <v>43</v>
      </c>
      <c r="G47" s="149">
        <v>44561</v>
      </c>
      <c r="H47" s="65"/>
    </row>
    <row r="48" spans="1:10" ht="30.75" customHeight="1" x14ac:dyDescent="0.25">
      <c r="A48" s="64" t="s">
        <v>44</v>
      </c>
      <c r="B48" s="65"/>
      <c r="C48" s="64" t="str">
        <f>C47</f>
        <v>BSP/RAKHANKAN/BP/M.MHAROL/
T.KALYAN/SSTN/2833</v>
      </c>
      <c r="D48" s="159"/>
      <c r="E48" s="65"/>
      <c r="F48" s="43" t="s">
        <v>43</v>
      </c>
      <c r="G48" s="149">
        <f>G47</f>
        <v>44561</v>
      </c>
      <c r="H48" s="150"/>
    </row>
    <row r="49" spans="1:14" s="20" customFormat="1" ht="32.25" customHeight="1" x14ac:dyDescent="0.25">
      <c r="A49" s="151" t="s">
        <v>158</v>
      </c>
      <c r="B49" s="152"/>
      <c r="C49" s="128" t="s">
        <v>195</v>
      </c>
      <c r="D49" s="129"/>
      <c r="E49" s="130"/>
      <c r="F49" s="17" t="s">
        <v>43</v>
      </c>
      <c r="G49" s="157">
        <v>44645</v>
      </c>
      <c r="H49" s="158"/>
    </row>
    <row r="50" spans="1:14" s="20" customFormat="1" x14ac:dyDescent="0.25">
      <c r="A50" s="153"/>
      <c r="B50" s="154"/>
      <c r="C50" s="128" t="s">
        <v>196</v>
      </c>
      <c r="D50" s="129"/>
      <c r="E50" s="129"/>
      <c r="F50" s="129"/>
      <c r="G50" s="129"/>
      <c r="H50" s="130"/>
    </row>
    <row r="51" spans="1:14" x14ac:dyDescent="0.25">
      <c r="A51" s="160" t="s">
        <v>45</v>
      </c>
      <c r="B51" s="161"/>
      <c r="C51" s="160" t="s">
        <v>108</v>
      </c>
      <c r="D51" s="162"/>
      <c r="E51" s="161"/>
      <c r="F51" s="52" t="s">
        <v>43</v>
      </c>
      <c r="G51" s="155" t="s">
        <v>30</v>
      </c>
      <c r="H51" s="156"/>
    </row>
    <row r="52" spans="1:14" x14ac:dyDescent="0.25">
      <c r="A52" s="163" t="s">
        <v>47</v>
      </c>
      <c r="B52" s="163"/>
      <c r="C52" s="163"/>
      <c r="D52" s="163"/>
      <c r="E52" s="163"/>
      <c r="F52" s="163"/>
      <c r="G52" s="163"/>
      <c r="H52" s="163"/>
    </row>
    <row r="53" spans="1:14" x14ac:dyDescent="0.25">
      <c r="A53" s="139" t="s">
        <v>93</v>
      </c>
      <c r="B53" s="139"/>
      <c r="C53" s="139"/>
      <c r="D53" s="89">
        <f>E43</f>
        <v>62037.42</v>
      </c>
      <c r="E53" s="89"/>
      <c r="F53" s="89"/>
      <c r="G53" s="89"/>
      <c r="H53" s="89"/>
    </row>
    <row r="54" spans="1:14" x14ac:dyDescent="0.25">
      <c r="A54" s="126" t="s">
        <v>48</v>
      </c>
      <c r="B54" s="138"/>
      <c r="C54" s="138"/>
      <c r="D54" s="138" t="s">
        <v>176</v>
      </c>
      <c r="E54" s="138"/>
      <c r="F54" s="138"/>
      <c r="G54" s="138"/>
      <c r="H54" s="138"/>
      <c r="I54" s="21"/>
    </row>
    <row r="55" spans="1:14" x14ac:dyDescent="0.25">
      <c r="A55" s="131" t="s">
        <v>49</v>
      </c>
      <c r="B55" s="132"/>
      <c r="C55" s="148"/>
      <c r="D55" s="146" t="s">
        <v>202</v>
      </c>
      <c r="E55" s="147"/>
      <c r="F55" s="147"/>
      <c r="G55" s="147"/>
      <c r="H55" s="147"/>
    </row>
    <row r="56" spans="1:14" ht="15.75" customHeight="1" x14ac:dyDescent="0.25">
      <c r="A56" s="131" t="s">
        <v>91</v>
      </c>
      <c r="B56" s="132"/>
      <c r="C56" s="132"/>
      <c r="D56" s="135" t="s">
        <v>203</v>
      </c>
      <c r="E56" s="136"/>
      <c r="F56" s="136"/>
      <c r="G56" s="136"/>
      <c r="H56" s="137"/>
    </row>
    <row r="57" spans="1:14" ht="15.75" customHeight="1" x14ac:dyDescent="0.25">
      <c r="A57" s="133"/>
      <c r="B57" s="134"/>
      <c r="C57" s="134"/>
      <c r="D57" s="183" t="s">
        <v>204</v>
      </c>
      <c r="E57" s="184"/>
      <c r="F57" s="184"/>
      <c r="G57" s="184"/>
      <c r="H57" s="185"/>
    </row>
    <row r="58" spans="1:14" ht="15.75" customHeight="1" x14ac:dyDescent="0.25">
      <c r="A58" s="89" t="s">
        <v>46</v>
      </c>
      <c r="B58" s="89"/>
      <c r="C58" s="89"/>
      <c r="D58" s="127" t="s">
        <v>197</v>
      </c>
      <c r="E58" s="127"/>
      <c r="F58" s="127"/>
      <c r="G58" s="127"/>
      <c r="H58" s="127"/>
      <c r="J58" s="22"/>
      <c r="K58" s="21"/>
      <c r="N58" s="21"/>
    </row>
    <row r="59" spans="1:14" ht="15.75" customHeight="1" x14ac:dyDescent="0.25">
      <c r="A59" s="89" t="s">
        <v>89</v>
      </c>
      <c r="B59" s="89"/>
      <c r="C59" s="89"/>
      <c r="D59" s="143" t="str">
        <f>(IF(G51="NA","60 Years After Completion",IF(G51&lt;&gt;"NA",""&amp;60-ROUNDDOWN((E3-G51)/360,0)&amp;" Years"," ")))</f>
        <v>60 Years After Completion</v>
      </c>
      <c r="E59" s="143"/>
      <c r="F59" s="143"/>
      <c r="G59" s="143"/>
      <c r="H59" s="143"/>
      <c r="N59" s="21"/>
    </row>
    <row r="60" spans="1:14" ht="15.75" customHeight="1" x14ac:dyDescent="0.25">
      <c r="A60" s="89" t="s">
        <v>90</v>
      </c>
      <c r="B60" s="89"/>
      <c r="C60" s="89"/>
      <c r="D60" s="139" t="s">
        <v>24</v>
      </c>
      <c r="E60" s="139"/>
      <c r="F60" s="139"/>
      <c r="G60" s="139"/>
      <c r="H60" s="139"/>
      <c r="J60" s="23"/>
      <c r="K60" s="23"/>
    </row>
    <row r="61" spans="1:14" ht="30.75" customHeight="1" x14ac:dyDescent="0.25">
      <c r="A61" s="89" t="s">
        <v>77</v>
      </c>
      <c r="B61" s="89"/>
      <c r="C61" s="89"/>
      <c r="D61" s="126" t="s">
        <v>207</v>
      </c>
      <c r="E61" s="139"/>
      <c r="F61" s="139"/>
      <c r="G61" s="139"/>
      <c r="H61" s="139"/>
    </row>
    <row r="62" spans="1:14" x14ac:dyDescent="0.25">
      <c r="A62" s="139" t="s">
        <v>151</v>
      </c>
      <c r="B62" s="139"/>
      <c r="C62" s="139"/>
      <c r="D62" s="139" t="s">
        <v>30</v>
      </c>
      <c r="E62" s="139"/>
      <c r="F62" s="139"/>
      <c r="G62" s="139"/>
      <c r="H62" s="139"/>
      <c r="I62" s="24"/>
      <c r="J62" s="24"/>
      <c r="K62" s="24"/>
      <c r="L62" s="24"/>
      <c r="M62" s="24"/>
      <c r="N62" s="24"/>
    </row>
    <row r="63" spans="1:14" ht="15.75" customHeight="1" x14ac:dyDescent="0.25">
      <c r="A63" s="89" t="s">
        <v>88</v>
      </c>
      <c r="B63" s="89"/>
      <c r="C63" s="89"/>
      <c r="D63" s="126" t="str">
        <f ca="1">(IF(G83&gt;95%,"Nothing",IF(G83&gt;0%,"Cement, Aggregate, Steel, etc",IF(G83=0%,"Work not yet Started"))))</f>
        <v>Cement, Aggregate, Steel, etc</v>
      </c>
      <c r="E63" s="126"/>
      <c r="F63" s="126"/>
      <c r="G63" s="126"/>
      <c r="H63" s="126"/>
      <c r="J63" s="23"/>
    </row>
    <row r="64" spans="1:14" ht="33.75" customHeight="1" thickBot="1" x14ac:dyDescent="0.3">
      <c r="A64" s="139" t="s">
        <v>121</v>
      </c>
      <c r="B64" s="139"/>
      <c r="C64" s="139"/>
      <c r="D64" s="126" t="str">
        <f ca="1">(IF(D63="Nothing","Yes",IF(D63="Cement, Aggregate, Steel, etc","Under Construction",IF(D63="Work not yet Started","Work not yet Started"))))</f>
        <v>Under Construction</v>
      </c>
      <c r="E64" s="126"/>
      <c r="F64" s="126" t="str">
        <f ca="1">(IF(D63="Nothing","Yes",IF(D63="Cement, Aggregate, Steel, etc","Under Construction",IF(D63="Work not yet Started","Work not yet Started"))))</f>
        <v>Under Construction</v>
      </c>
      <c r="G64" s="126"/>
      <c r="H64" s="126"/>
    </row>
    <row r="65" spans="1:10" ht="15.75" customHeight="1" x14ac:dyDescent="0.25">
      <c r="A65" s="98" t="s">
        <v>143</v>
      </c>
      <c r="B65" s="98"/>
      <c r="C65" s="98" t="str">
        <f>D56</f>
        <v>Building No. 3 (Wing B7 &amp; B8) = G/st + 1st to 23rd Floor</v>
      </c>
      <c r="D65" s="98"/>
      <c r="E65" s="98"/>
      <c r="F65" s="98"/>
      <c r="G65" s="98"/>
      <c r="H65" s="98"/>
      <c r="I65" s="60" t="str">
        <f ca="1">IF(D78=100%,"All work Completed. Possession granted to the Building.",IF(D77=100%,"All work Completed, Waiting for OC",I66&amp;""&amp;I67&amp;""&amp;J66&amp;""&amp;J65&amp;" "&amp;J67))</f>
        <v xml:space="preserve">Work not yet Started. </v>
      </c>
      <c r="J65" s="3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25">
      <c r="A66" s="59" t="s">
        <v>145</v>
      </c>
      <c r="B66" s="59">
        <v>0</v>
      </c>
      <c r="C66" s="59" t="s">
        <v>74</v>
      </c>
      <c r="D66" s="59">
        <v>1</v>
      </c>
      <c r="E66" s="59" t="s">
        <v>73</v>
      </c>
      <c r="F66" s="59">
        <v>0</v>
      </c>
      <c r="G66" s="59" t="s">
        <v>82</v>
      </c>
      <c r="H66" s="59">
        <f ca="1">--TRIM(RIGHT(SUBSTITUTE(LEFT(C65,_xlfn.AGGREGATE(16,6,FIND({0,1,2,3,4,5,6,7,8,9},C65,ROW(INDIRECT("1:"&amp;LEN(C65)))),1))," ",REPT(" ",LEN(C65))),LEN(C65)))</f>
        <v>23</v>
      </c>
      <c r="I66" s="6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/>
      </c>
      <c r="J66" s="40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>Work not yet Started.</v>
      </c>
    </row>
    <row r="67" spans="1:10" x14ac:dyDescent="0.25">
      <c r="A67" s="97" t="s">
        <v>92</v>
      </c>
      <c r="B67" s="97"/>
      <c r="C67" s="98" t="str">
        <f ca="1">(IF($G$51="NA",I65,"All work Completed. OC Received."))</f>
        <v xml:space="preserve">Work not yet Started. </v>
      </c>
      <c r="D67" s="98"/>
      <c r="E67" s="98"/>
      <c r="F67" s="98"/>
      <c r="G67" s="98"/>
      <c r="H67" s="98"/>
      <c r="I67" s="61" t="str">
        <f ca="1">IF(I66&lt;&gt;""," Completed","")</f>
        <v/>
      </c>
      <c r="J67" s="40" t="str">
        <f ca="1">IF(J65&lt;&gt;"","Completed","")</f>
        <v/>
      </c>
    </row>
    <row r="68" spans="1:10" ht="15.75" customHeight="1" x14ac:dyDescent="0.25">
      <c r="A68" s="88" t="s">
        <v>50</v>
      </c>
      <c r="B68" s="88"/>
      <c r="C68" s="58" t="s">
        <v>142</v>
      </c>
      <c r="D68" s="58" t="s">
        <v>85</v>
      </c>
      <c r="E68" s="88" t="s">
        <v>87</v>
      </c>
      <c r="F68" s="88"/>
      <c r="G68" s="88" t="s">
        <v>86</v>
      </c>
      <c r="H68" s="88"/>
      <c r="I68" s="13" t="s">
        <v>144</v>
      </c>
      <c r="J68" s="25">
        <f ca="1">H66*25%</f>
        <v>5.75</v>
      </c>
    </row>
    <row r="69" spans="1:10" x14ac:dyDescent="0.25">
      <c r="A69" s="88" t="s">
        <v>131</v>
      </c>
      <c r="B69" s="88"/>
      <c r="C69" s="58">
        <v>0</v>
      </c>
      <c r="D69" s="44">
        <f ca="1">((100/H66)*C69)/100</f>
        <v>0</v>
      </c>
      <c r="E69" s="113">
        <f ca="1">(((C70/H66*10)+(40/(D66+F66+H66)*C71)+(7.5/(H66)*C72)+(7.5/(H66)*C73)+(10/H66*C74)+(10/H66*C75)+(5/H66*C76)+(5/H66*C77)+(5/H66*C78))/100)</f>
        <v>0</v>
      </c>
      <c r="F69" s="113"/>
      <c r="G69" s="113">
        <f ca="1">((((C69/H66)*20)+((C70/H66)*25)+(30/(H66+F66+D66)*C71)+(5/H66*C72)+(5/H66*C73)+(5/H66*C74)+(5/H66*C75)+(0/H66*C76)+(0/H66*C77)+(5/H66*C78))/100)</f>
        <v>0</v>
      </c>
      <c r="H69" s="113"/>
      <c r="I69" s="13" t="s">
        <v>103</v>
      </c>
      <c r="J69" s="26">
        <f ca="1">H66*50%</f>
        <v>11.5</v>
      </c>
    </row>
    <row r="70" spans="1:10" x14ac:dyDescent="0.25">
      <c r="A70" s="88" t="s">
        <v>51</v>
      </c>
      <c r="B70" s="88"/>
      <c r="C70" s="58">
        <v>0</v>
      </c>
      <c r="D70" s="44">
        <f ca="1">((100/H66)*C70)/100</f>
        <v>0</v>
      </c>
      <c r="E70" s="113"/>
      <c r="F70" s="113"/>
      <c r="G70" s="113"/>
      <c r="H70" s="113"/>
      <c r="I70" s="13" t="s">
        <v>104</v>
      </c>
      <c r="J70" s="26">
        <f ca="1">H66</f>
        <v>23</v>
      </c>
    </row>
    <row r="71" spans="1:10" ht="15.75" customHeight="1" x14ac:dyDescent="0.25">
      <c r="A71" s="88" t="s">
        <v>132</v>
      </c>
      <c r="B71" s="88"/>
      <c r="C71" s="58">
        <v>0</v>
      </c>
      <c r="D71" s="44">
        <f ca="1">((100/(D66+F66+H66))*C71)/100</f>
        <v>0</v>
      </c>
      <c r="E71" s="113"/>
      <c r="F71" s="113"/>
      <c r="G71" s="113"/>
      <c r="H71" s="113"/>
      <c r="I71" s="13" t="s">
        <v>105</v>
      </c>
      <c r="J71" s="27">
        <f ca="1">(IF(B66&gt;1,(H66/(B66+2)),H66/4))</f>
        <v>5.75</v>
      </c>
    </row>
    <row r="72" spans="1:10" ht="15.75" customHeight="1" x14ac:dyDescent="0.25">
      <c r="A72" s="88" t="s">
        <v>139</v>
      </c>
      <c r="B72" s="88" t="s">
        <v>133</v>
      </c>
      <c r="C72" s="58">
        <v>0</v>
      </c>
      <c r="D72" s="44">
        <f ca="1">((100/H66)*C72)/100</f>
        <v>0</v>
      </c>
      <c r="E72" s="113"/>
      <c r="F72" s="113"/>
      <c r="G72" s="113"/>
      <c r="H72" s="113"/>
      <c r="I72" s="13" t="s">
        <v>106</v>
      </c>
      <c r="J72" s="27">
        <f ca="1">(IF(B66&gt;1,(H66/(B66+2)+J71),H66/4+J71))</f>
        <v>11.5</v>
      </c>
    </row>
    <row r="73" spans="1:10" ht="15.75" customHeight="1" x14ac:dyDescent="0.25">
      <c r="A73" s="88" t="s">
        <v>140</v>
      </c>
      <c r="B73" s="88" t="s">
        <v>133</v>
      </c>
      <c r="C73" s="58">
        <v>0</v>
      </c>
      <c r="D73" s="44">
        <f ca="1">((100/H66)*C73)/100</f>
        <v>0</v>
      </c>
      <c r="E73" s="113"/>
      <c r="F73" s="113"/>
      <c r="G73" s="113"/>
      <c r="H73" s="113"/>
      <c r="I73" s="13" t="s">
        <v>149</v>
      </c>
      <c r="J73" s="27">
        <f>(IF(B66&gt;1,(H66/(B66+2)+J72),0))</f>
        <v>0</v>
      </c>
    </row>
    <row r="74" spans="1:10" ht="15" customHeight="1" x14ac:dyDescent="0.25">
      <c r="A74" s="88" t="s">
        <v>138</v>
      </c>
      <c r="B74" s="88" t="s">
        <v>135</v>
      </c>
      <c r="C74" s="58">
        <v>0</v>
      </c>
      <c r="D74" s="44">
        <f ca="1">((100/(H66))*C74)/100</f>
        <v>0</v>
      </c>
      <c r="E74" s="113"/>
      <c r="F74" s="113"/>
      <c r="G74" s="113"/>
      <c r="H74" s="113"/>
      <c r="I74" s="13" t="s">
        <v>146</v>
      </c>
      <c r="J74" s="27">
        <f>(IF(B66&gt;2,(H66/(B66+2)+J73),0))</f>
        <v>0</v>
      </c>
    </row>
    <row r="75" spans="1:10" ht="15.75" customHeight="1" x14ac:dyDescent="0.25">
      <c r="A75" s="88" t="s">
        <v>134</v>
      </c>
      <c r="B75" s="88" t="s">
        <v>134</v>
      </c>
      <c r="C75" s="58">
        <v>0</v>
      </c>
      <c r="D75" s="44">
        <f ca="1">((100/H66)*C75)/100</f>
        <v>0</v>
      </c>
      <c r="E75" s="113"/>
      <c r="F75" s="113"/>
      <c r="G75" s="113"/>
      <c r="H75" s="113"/>
      <c r="I75" s="13" t="s">
        <v>147</v>
      </c>
      <c r="J75" s="28">
        <f>(IF(B66&gt;3,(H66/(B66+2)+J74),0))</f>
        <v>0</v>
      </c>
    </row>
    <row r="76" spans="1:10" ht="15.75" customHeight="1" x14ac:dyDescent="0.25">
      <c r="A76" s="88" t="s">
        <v>141</v>
      </c>
      <c r="B76" s="88"/>
      <c r="C76" s="58">
        <v>0</v>
      </c>
      <c r="D76" s="44">
        <f ca="1">((100/H66)*C76)/100</f>
        <v>0</v>
      </c>
      <c r="E76" s="113"/>
      <c r="F76" s="113"/>
      <c r="G76" s="113"/>
      <c r="H76" s="113"/>
      <c r="I76" s="13" t="s">
        <v>148</v>
      </c>
      <c r="J76" s="27">
        <f>(IF(B66&gt;4,(H66/(B66+2)+J75),0))</f>
        <v>0</v>
      </c>
    </row>
    <row r="77" spans="1:10" ht="15.75" customHeight="1" x14ac:dyDescent="0.25">
      <c r="A77" s="88" t="s">
        <v>136</v>
      </c>
      <c r="B77" s="88" t="s">
        <v>136</v>
      </c>
      <c r="C77" s="58">
        <v>0</v>
      </c>
      <c r="D77" s="44">
        <f ca="1">((100/(H66))*C77)/100</f>
        <v>0</v>
      </c>
      <c r="E77" s="113"/>
      <c r="F77" s="113"/>
      <c r="G77" s="113"/>
      <c r="H77" s="113"/>
      <c r="I77" s="13" t="s">
        <v>150</v>
      </c>
      <c r="J77" s="27">
        <f ca="1">(IF(B66=1,(H66/(B66+3)+J72),IF(B66=0,(H66/4+J72),IF(B66&gt;1,0))))</f>
        <v>17.25</v>
      </c>
    </row>
    <row r="78" spans="1:10" ht="16.5" thickBot="1" x14ac:dyDescent="0.3">
      <c r="A78" s="88" t="s">
        <v>137</v>
      </c>
      <c r="B78" s="88"/>
      <c r="C78" s="58">
        <v>0</v>
      </c>
      <c r="D78" s="44">
        <f ca="1">((100/(H66))*C78)/100</f>
        <v>0</v>
      </c>
      <c r="E78" s="113"/>
      <c r="F78" s="113"/>
      <c r="G78" s="113"/>
      <c r="H78" s="113"/>
      <c r="I78" s="14" t="s">
        <v>107</v>
      </c>
      <c r="J78" s="29">
        <f ca="1">(IF(B66&gt;1.5,(H66/(B66+2)+J72+MAX(0,J73-J72)+MAX(0,J74-J73)+MAX(0,J75-J74)+MAX(0,J76-J75)+MAX(0,J77-J76)),IF(B66=1,(H66/(B66+3)+J77),IF(B66=0,H66/4+J77))))</f>
        <v>23</v>
      </c>
    </row>
    <row r="79" spans="1:10" ht="15.75" customHeight="1" x14ac:dyDescent="0.25">
      <c r="A79" s="91" t="s">
        <v>143</v>
      </c>
      <c r="B79" s="92"/>
      <c r="C79" s="93" t="str">
        <f>D57</f>
        <v>Building No. 3 (Wing B9) = G/st + 1st to 23rd Floor</v>
      </c>
      <c r="D79" s="94"/>
      <c r="E79" s="94"/>
      <c r="F79" s="94"/>
      <c r="G79" s="94"/>
      <c r="H79" s="95"/>
      <c r="I79" s="54" t="str">
        <f ca="1">IF(D92=100%,"All work Completed. Possession granted to the Building.",IF(D91=100%,"All work Completed, Waiting for OC",I80&amp;""&amp;I81&amp;""&amp;J80&amp;""&amp;J79&amp;" "&amp;J81))</f>
        <v xml:space="preserve">Excavation Completed, Footing work Completed </v>
      </c>
      <c r="J79" s="38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/>
      </c>
    </row>
    <row r="80" spans="1:10" x14ac:dyDescent="0.25">
      <c r="A80" s="15" t="s">
        <v>145</v>
      </c>
      <c r="B80" s="51">
        <v>0</v>
      </c>
      <c r="C80" s="51" t="s">
        <v>74</v>
      </c>
      <c r="D80" s="51">
        <v>1</v>
      </c>
      <c r="E80" s="51" t="s">
        <v>73</v>
      </c>
      <c r="F80" s="51">
        <v>0</v>
      </c>
      <c r="G80" s="51" t="s">
        <v>82</v>
      </c>
      <c r="H80" s="16">
        <f ca="1">--TRIM(RIGHT(SUBSTITUTE(LEFT(C79,_xlfn.AGGREGATE(16,6,FIND({0,1,2,3,4,5,6,7,8,9},C79,ROW(INDIRECT("1:"&amp;LEN(C79)))),1))," ",REPT(" ",LEN(C79))),LEN(C79)))</f>
        <v>23</v>
      </c>
      <c r="I80" s="39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</v>
      </c>
      <c r="J80" s="40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, Footing work Completed</v>
      </c>
    </row>
    <row r="81" spans="1:10" x14ac:dyDescent="0.25">
      <c r="A81" s="96" t="s">
        <v>92</v>
      </c>
      <c r="B81" s="97"/>
      <c r="C81" s="98" t="str">
        <f ca="1">(IF($G$51="NA",I79,"All work Completed. OC Received."))</f>
        <v xml:space="preserve">Excavation Completed, Footing work Completed </v>
      </c>
      <c r="D81" s="98"/>
      <c r="E81" s="98"/>
      <c r="F81" s="98"/>
      <c r="G81" s="98"/>
      <c r="H81" s="99"/>
      <c r="I81" s="39" t="str">
        <f ca="1">IF(I80&lt;&gt;""," Completed","")</f>
        <v xml:space="preserve"> Completed</v>
      </c>
      <c r="J81" s="40" t="str">
        <f ca="1">IF(J79&lt;&gt;"","Completed","")</f>
        <v/>
      </c>
    </row>
    <row r="82" spans="1:10" ht="15.75" customHeight="1" x14ac:dyDescent="0.25">
      <c r="A82" s="87" t="s">
        <v>50</v>
      </c>
      <c r="B82" s="88"/>
      <c r="C82" s="47" t="s">
        <v>142</v>
      </c>
      <c r="D82" s="47" t="s">
        <v>85</v>
      </c>
      <c r="E82" s="88" t="s">
        <v>87</v>
      </c>
      <c r="F82" s="88"/>
      <c r="G82" s="88" t="s">
        <v>86</v>
      </c>
      <c r="H82" s="100"/>
      <c r="I82" s="13" t="s">
        <v>144</v>
      </c>
      <c r="J82" s="25">
        <f ca="1">H80*25%</f>
        <v>5.75</v>
      </c>
    </row>
    <row r="83" spans="1:10" x14ac:dyDescent="0.25">
      <c r="A83" s="87" t="s">
        <v>131</v>
      </c>
      <c r="B83" s="88"/>
      <c r="C83" s="47">
        <f ca="1">J84</f>
        <v>23</v>
      </c>
      <c r="D83" s="44">
        <f ca="1">((100/H80)*C83)/100</f>
        <v>1</v>
      </c>
      <c r="E83" s="101">
        <f ca="1">(((C84/H80*10)+(40/(D80+F80+H80)*C85)+(7.5/(H80)*C86)+(7.5/(H80)*C87)+(10/H80*C88)+(10/H80*C89)+(5/H80*C90)+(5/H80*C91)+(5/H80*C92))/100)</f>
        <v>0.05</v>
      </c>
      <c r="F83" s="102"/>
      <c r="G83" s="101">
        <f ca="1">((((C83/H80)*20)+((C84/H80)*25)+(30/(H80+F80+D80)*C85)+(5/H80*C86)+(5/H80*C87)+(5/H80*C88)+(5/H80*C89)+(0/H80*C90)+(0/H80*C91)+(5/H80*C92))/100)</f>
        <v>0.32500000000000001</v>
      </c>
      <c r="H83" s="114"/>
      <c r="I83" s="13" t="s">
        <v>103</v>
      </c>
      <c r="J83" s="26">
        <f ca="1">H80*50%</f>
        <v>11.5</v>
      </c>
    </row>
    <row r="84" spans="1:10" x14ac:dyDescent="0.25">
      <c r="A84" s="87" t="s">
        <v>51</v>
      </c>
      <c r="B84" s="88"/>
      <c r="C84" s="55">
        <f ca="1">J86</f>
        <v>11.5</v>
      </c>
      <c r="D84" s="44">
        <f ca="1">((100/H80)*C84)/100</f>
        <v>0.5</v>
      </c>
      <c r="E84" s="103"/>
      <c r="F84" s="104"/>
      <c r="G84" s="103"/>
      <c r="H84" s="115"/>
      <c r="I84" s="13" t="s">
        <v>104</v>
      </c>
      <c r="J84" s="26">
        <f ca="1">H80</f>
        <v>23</v>
      </c>
    </row>
    <row r="85" spans="1:10" ht="15.75" customHeight="1" x14ac:dyDescent="0.25">
      <c r="A85" s="87" t="s">
        <v>132</v>
      </c>
      <c r="B85" s="88"/>
      <c r="C85" s="47">
        <v>0</v>
      </c>
      <c r="D85" s="44">
        <f ca="1">((100/(D80+F80+H80))*C85)/100</f>
        <v>0</v>
      </c>
      <c r="E85" s="103"/>
      <c r="F85" s="104"/>
      <c r="G85" s="103"/>
      <c r="H85" s="115"/>
      <c r="I85" s="13" t="s">
        <v>105</v>
      </c>
      <c r="J85" s="27">
        <f ca="1">(IF(B80&gt;1,(H80/(B80+2)),H80/4))</f>
        <v>5.75</v>
      </c>
    </row>
    <row r="86" spans="1:10" ht="15.75" customHeight="1" x14ac:dyDescent="0.25">
      <c r="A86" s="87" t="s">
        <v>139</v>
      </c>
      <c r="B86" s="88" t="s">
        <v>133</v>
      </c>
      <c r="C86" s="47">
        <v>0</v>
      </c>
      <c r="D86" s="44">
        <f ca="1">((100/H80)*C86)/100</f>
        <v>0</v>
      </c>
      <c r="E86" s="103"/>
      <c r="F86" s="104"/>
      <c r="G86" s="103"/>
      <c r="H86" s="115"/>
      <c r="I86" s="13" t="s">
        <v>106</v>
      </c>
      <c r="J86" s="27">
        <f ca="1">(IF(B80&gt;1,(H80/(B80+2)+J85),H80/4+J85))</f>
        <v>11.5</v>
      </c>
    </row>
    <row r="87" spans="1:10" ht="15.75" customHeight="1" x14ac:dyDescent="0.25">
      <c r="A87" s="87" t="s">
        <v>140</v>
      </c>
      <c r="B87" s="88" t="s">
        <v>133</v>
      </c>
      <c r="C87" s="47">
        <v>0</v>
      </c>
      <c r="D87" s="44">
        <f ca="1">((100/H80)*C87)/100</f>
        <v>0</v>
      </c>
      <c r="E87" s="103"/>
      <c r="F87" s="104"/>
      <c r="G87" s="103"/>
      <c r="H87" s="115"/>
      <c r="I87" s="13" t="s">
        <v>149</v>
      </c>
      <c r="J87" s="27">
        <f>(IF(B80&gt;1,(H80/(B80+2)+J86),0))</f>
        <v>0</v>
      </c>
    </row>
    <row r="88" spans="1:10" ht="15" customHeight="1" x14ac:dyDescent="0.25">
      <c r="A88" s="87" t="s">
        <v>138</v>
      </c>
      <c r="B88" s="88" t="s">
        <v>135</v>
      </c>
      <c r="C88" s="47">
        <v>0</v>
      </c>
      <c r="D88" s="44">
        <f ca="1">((100/(H80))*C88)/100</f>
        <v>0</v>
      </c>
      <c r="E88" s="103"/>
      <c r="F88" s="104"/>
      <c r="G88" s="103"/>
      <c r="H88" s="115"/>
      <c r="I88" s="13" t="s">
        <v>146</v>
      </c>
      <c r="J88" s="27">
        <f>(IF(B80&gt;2,(H80/(B80+2)+J87),0))</f>
        <v>0</v>
      </c>
    </row>
    <row r="89" spans="1:10" ht="15.75" customHeight="1" x14ac:dyDescent="0.25">
      <c r="A89" s="87" t="s">
        <v>134</v>
      </c>
      <c r="B89" s="88" t="s">
        <v>134</v>
      </c>
      <c r="C89" s="47">
        <v>0</v>
      </c>
      <c r="D89" s="44">
        <f ca="1">((100/H80)*C89)/100</f>
        <v>0</v>
      </c>
      <c r="E89" s="103"/>
      <c r="F89" s="104"/>
      <c r="G89" s="103"/>
      <c r="H89" s="115"/>
      <c r="I89" s="13" t="s">
        <v>147</v>
      </c>
      <c r="J89" s="28">
        <f>(IF(B80&gt;3,(H80/(B80+2)+J88),0))</f>
        <v>0</v>
      </c>
    </row>
    <row r="90" spans="1:10" ht="15.75" customHeight="1" x14ac:dyDescent="0.25">
      <c r="A90" s="87" t="s">
        <v>141</v>
      </c>
      <c r="B90" s="88"/>
      <c r="C90" s="47">
        <v>0</v>
      </c>
      <c r="D90" s="44">
        <f ca="1">((100/H80)*C90)/100</f>
        <v>0</v>
      </c>
      <c r="E90" s="103"/>
      <c r="F90" s="104"/>
      <c r="G90" s="103"/>
      <c r="H90" s="115"/>
      <c r="I90" s="13" t="s">
        <v>148</v>
      </c>
      <c r="J90" s="27">
        <f>(IF(B80&gt;4,(H80/(B80+2)+J89),0))</f>
        <v>0</v>
      </c>
    </row>
    <row r="91" spans="1:10" ht="15.75" customHeight="1" x14ac:dyDescent="0.25">
      <c r="A91" s="87" t="s">
        <v>136</v>
      </c>
      <c r="B91" s="88" t="s">
        <v>136</v>
      </c>
      <c r="C91" s="47">
        <v>0</v>
      </c>
      <c r="D91" s="44">
        <f ca="1">((100/(H80))*C91)/100</f>
        <v>0</v>
      </c>
      <c r="E91" s="103"/>
      <c r="F91" s="104"/>
      <c r="G91" s="103"/>
      <c r="H91" s="115"/>
      <c r="I91" s="13" t="s">
        <v>150</v>
      </c>
      <c r="J91" s="27">
        <f ca="1">(IF(B80=1,(H80/(B80+3)+J86),IF(B80=0,(H80/4+J86),IF(B80&gt;1,0))))</f>
        <v>17.25</v>
      </c>
    </row>
    <row r="92" spans="1:10" ht="16.5" thickBot="1" x14ac:dyDescent="0.3">
      <c r="A92" s="174" t="s">
        <v>137</v>
      </c>
      <c r="B92" s="175"/>
      <c r="C92" s="50">
        <v>0</v>
      </c>
      <c r="D92" s="45">
        <f ca="1">((100/(H80))*C92)/100</f>
        <v>0</v>
      </c>
      <c r="E92" s="105"/>
      <c r="F92" s="106"/>
      <c r="G92" s="105"/>
      <c r="H92" s="116"/>
      <c r="I92" s="14" t="s">
        <v>107</v>
      </c>
      <c r="J92" s="29">
        <f ca="1">(IF(B80&gt;1.5,(H80/(B80+2)+J86+MAX(0,J87-J86)+MAX(0,J88-J87)+MAX(0,J89-J88)+MAX(0,J90-J89)+MAX(0,J91-J90)),IF(B80=1,(H80/(B80+3)+J91),IF(B80=0,H80/4+J91))))</f>
        <v>23</v>
      </c>
    </row>
    <row r="93" spans="1:10" x14ac:dyDescent="0.25">
      <c r="A93" s="107" t="s">
        <v>159</v>
      </c>
      <c r="B93" s="107"/>
      <c r="C93" s="107"/>
      <c r="D93" s="107"/>
      <c r="E93" s="107"/>
      <c r="F93" s="117" t="s">
        <v>164</v>
      </c>
      <c r="G93" s="117"/>
      <c r="H93" s="117"/>
    </row>
    <row r="94" spans="1:10" x14ac:dyDescent="0.25">
      <c r="A94" s="89" t="s">
        <v>162</v>
      </c>
      <c r="B94" s="89"/>
      <c r="C94" s="89"/>
      <c r="D94" s="89"/>
      <c r="E94" s="89"/>
      <c r="F94" s="173">
        <v>6300</v>
      </c>
      <c r="G94" s="173"/>
      <c r="H94" s="173"/>
      <c r="I94" s="18">
        <v>6500</v>
      </c>
      <c r="J94" s="46" t="s">
        <v>200</v>
      </c>
    </row>
    <row r="95" spans="1:10" hidden="1" x14ac:dyDescent="0.25">
      <c r="A95" s="89" t="s">
        <v>161</v>
      </c>
      <c r="B95" s="89"/>
      <c r="C95" s="89"/>
      <c r="D95" s="89"/>
      <c r="E95" s="89"/>
      <c r="F95" s="90"/>
      <c r="G95" s="90"/>
      <c r="H95" s="90"/>
      <c r="I95" s="18">
        <v>6400</v>
      </c>
      <c r="J95" s="46" t="s">
        <v>201</v>
      </c>
    </row>
    <row r="96" spans="1:10" hidden="1" x14ac:dyDescent="0.25">
      <c r="A96" s="89" t="s">
        <v>163</v>
      </c>
      <c r="B96" s="89"/>
      <c r="C96" s="89"/>
      <c r="D96" s="89"/>
      <c r="E96" s="89"/>
      <c r="F96" s="90"/>
      <c r="G96" s="90"/>
      <c r="H96" s="90"/>
    </row>
    <row r="97" spans="1:8" s="30" customFormat="1" hidden="1" x14ac:dyDescent="0.25">
      <c r="A97" s="89" t="s">
        <v>160</v>
      </c>
      <c r="B97" s="89"/>
      <c r="C97" s="89"/>
      <c r="D97" s="89"/>
      <c r="E97" s="89"/>
      <c r="F97" s="90"/>
      <c r="G97" s="90"/>
      <c r="H97" s="90"/>
    </row>
    <row r="98" spans="1:8" s="30" customFormat="1" hidden="1" x14ac:dyDescent="0.25">
      <c r="A98" s="89" t="s">
        <v>97</v>
      </c>
      <c r="B98" s="89"/>
      <c r="C98" s="89"/>
      <c r="D98" s="89"/>
      <c r="E98" s="89"/>
      <c r="F98" s="90"/>
      <c r="G98" s="90"/>
      <c r="H98" s="90"/>
    </row>
    <row r="99" spans="1:8" s="30" customFormat="1" x14ac:dyDescent="0.25">
      <c r="A99" s="89" t="s">
        <v>98</v>
      </c>
      <c r="B99" s="89"/>
      <c r="C99" s="89"/>
      <c r="D99" s="89"/>
      <c r="E99" s="89"/>
      <c r="F99" s="90">
        <v>450000</v>
      </c>
      <c r="G99" s="90"/>
      <c r="H99" s="90"/>
    </row>
    <row r="100" spans="1:8" s="30" customFormat="1" hidden="1" x14ac:dyDescent="0.25">
      <c r="A100" s="89" t="s">
        <v>165</v>
      </c>
      <c r="B100" s="89"/>
      <c r="C100" s="89"/>
      <c r="D100" s="89"/>
      <c r="E100" s="89"/>
      <c r="F100" s="90"/>
      <c r="G100" s="90"/>
      <c r="H100" s="90"/>
    </row>
    <row r="101" spans="1:8" s="30" customFormat="1" hidden="1" x14ac:dyDescent="0.25">
      <c r="A101" s="89" t="s">
        <v>99</v>
      </c>
      <c r="B101" s="89"/>
      <c r="C101" s="89"/>
      <c r="D101" s="89"/>
      <c r="E101" s="89"/>
      <c r="F101" s="90"/>
      <c r="G101" s="90"/>
      <c r="H101" s="90"/>
    </row>
    <row r="102" spans="1:8" s="30" customFormat="1" hidden="1" x14ac:dyDescent="0.25">
      <c r="A102" s="89" t="s">
        <v>100</v>
      </c>
      <c r="B102" s="89"/>
      <c r="C102" s="89"/>
      <c r="D102" s="89"/>
      <c r="E102" s="89"/>
      <c r="F102" s="90"/>
      <c r="G102" s="90"/>
      <c r="H102" s="90"/>
    </row>
    <row r="103" spans="1:8" s="30" customFormat="1" hidden="1" x14ac:dyDescent="0.25">
      <c r="A103" s="89" t="s">
        <v>101</v>
      </c>
      <c r="B103" s="89"/>
      <c r="C103" s="89"/>
      <c r="D103" s="89"/>
      <c r="E103" s="89"/>
      <c r="F103" s="90"/>
      <c r="G103" s="90"/>
      <c r="H103" s="90"/>
    </row>
    <row r="104" spans="1:8" s="30" customFormat="1" hidden="1" x14ac:dyDescent="0.25">
      <c r="A104" s="89" t="s">
        <v>102</v>
      </c>
      <c r="B104" s="89"/>
      <c r="C104" s="89"/>
      <c r="D104" s="89"/>
      <c r="E104" s="89"/>
      <c r="F104" s="90"/>
      <c r="G104" s="90"/>
      <c r="H104" s="90"/>
    </row>
    <row r="105" spans="1:8" x14ac:dyDescent="0.25">
      <c r="A105" s="89" t="s">
        <v>52</v>
      </c>
      <c r="B105" s="89"/>
      <c r="C105" s="89"/>
      <c r="D105" s="89"/>
      <c r="E105" s="89"/>
      <c r="F105" s="90">
        <v>300000</v>
      </c>
      <c r="G105" s="90"/>
      <c r="H105" s="90"/>
    </row>
    <row r="106" spans="1:8" s="31" customFormat="1" x14ac:dyDescent="0.25">
      <c r="A106" s="123" t="s">
        <v>53</v>
      </c>
      <c r="B106" s="123"/>
      <c r="C106" s="123"/>
      <c r="D106" s="123"/>
      <c r="E106" s="123"/>
      <c r="F106" s="90">
        <f>F94*0.8</f>
        <v>5040</v>
      </c>
      <c r="G106" s="90"/>
      <c r="H106" s="90"/>
    </row>
    <row r="107" spans="1:8" s="32" customFormat="1" x14ac:dyDescent="0.25">
      <c r="A107" s="110" t="s">
        <v>72</v>
      </c>
      <c r="B107" s="110"/>
      <c r="C107" s="110"/>
      <c r="D107" s="110"/>
      <c r="E107" s="110"/>
      <c r="F107" s="110"/>
      <c r="G107" s="110"/>
      <c r="H107" s="110"/>
    </row>
    <row r="108" spans="1:8" s="32" customFormat="1" ht="15.75" customHeight="1" x14ac:dyDescent="0.25">
      <c r="A108" s="69" t="s">
        <v>54</v>
      </c>
      <c r="B108" s="69"/>
      <c r="C108" s="86" t="s">
        <v>80</v>
      </c>
      <c r="D108" s="86"/>
      <c r="E108" s="112" t="s">
        <v>55</v>
      </c>
      <c r="F108" s="112"/>
      <c r="G108" s="69" t="s">
        <v>56</v>
      </c>
      <c r="H108" s="69"/>
    </row>
    <row r="109" spans="1:8" s="32" customFormat="1" x14ac:dyDescent="0.25">
      <c r="A109" s="164" t="s">
        <v>175</v>
      </c>
      <c r="B109" s="41" t="s">
        <v>172</v>
      </c>
      <c r="C109" s="85">
        <f>COUNT(D121:D127,D129)+COUNT(D131:D140)*19+COUNT(D142:D150)*3</f>
        <v>225</v>
      </c>
      <c r="D109" s="85"/>
      <c r="E109" s="70">
        <f>SUM(D121:D127,D129)+SUM(D131:D140)*19+SUM(D142:D150)*3</f>
        <v>81929.324879999971</v>
      </c>
      <c r="F109" s="70"/>
      <c r="G109" s="70">
        <f>SUM(F121:F127,F129)+SUM(F131:F140)*19+SUM(F142:F150)*3</f>
        <v>122893.98731999999</v>
      </c>
      <c r="H109" s="70"/>
    </row>
    <row r="110" spans="1:8" s="32" customFormat="1" x14ac:dyDescent="0.25">
      <c r="A110" s="165"/>
      <c r="B110" s="41" t="s">
        <v>173</v>
      </c>
      <c r="C110" s="85">
        <f>COUNT(D154:D160,D162)+COUNT(D164:D173)*19+COUNT(D175:D183)*3</f>
        <v>225</v>
      </c>
      <c r="D110" s="85"/>
      <c r="E110" s="70">
        <f>SUM(D154:D160,D162)+SUM(D164:D173)*19+SUM(D175:D183)*3</f>
        <v>81929.324879999971</v>
      </c>
      <c r="F110" s="70"/>
      <c r="G110" s="70">
        <f>SUM(F154:F160,F162)+SUM(F164:F173)*19+SUM(F175:F183)*3</f>
        <v>122893.98731999999</v>
      </c>
      <c r="H110" s="70"/>
    </row>
    <row r="111" spans="1:8" s="32" customFormat="1" x14ac:dyDescent="0.25">
      <c r="A111" s="166"/>
      <c r="B111" s="41" t="s">
        <v>174</v>
      </c>
      <c r="C111" s="85">
        <f>COUNT(D187:D193,D195)+COUNT(D197:D206)*19+COUNT(D208:D216)*3</f>
        <v>225</v>
      </c>
      <c r="D111" s="85"/>
      <c r="E111" s="70">
        <f>SUM(D187:D193,D195)+SUM(D197:D206)*19+SUM(D208:D216)*3</f>
        <v>81929.324879999971</v>
      </c>
      <c r="F111" s="70"/>
      <c r="G111" s="70">
        <f>SUM(F187:F193,F195)+SUM(F197:F206)*19+SUM(F208:F216)*3</f>
        <v>122893.98731999999</v>
      </c>
      <c r="H111" s="70"/>
    </row>
    <row r="112" spans="1:8" s="32" customFormat="1" x14ac:dyDescent="0.25">
      <c r="A112" s="110" t="s">
        <v>153</v>
      </c>
      <c r="B112" s="110"/>
      <c r="C112" s="86">
        <f>SUM(C109:C111)</f>
        <v>675</v>
      </c>
      <c r="D112" s="86"/>
      <c r="E112" s="111">
        <f>SUM(E109:E111)</f>
        <v>245787.97463999991</v>
      </c>
      <c r="F112" s="112"/>
      <c r="G112" s="69">
        <f>SUM(G109:G111)</f>
        <v>368681.96195999999</v>
      </c>
      <c r="H112" s="69"/>
    </row>
    <row r="113" spans="1:14" s="31" customFormat="1" x14ac:dyDescent="0.25">
      <c r="A113" s="79" t="s">
        <v>57</v>
      </c>
      <c r="B113" s="79"/>
      <c r="C113" s="79"/>
      <c r="D113" s="79"/>
      <c r="E113" s="79"/>
      <c r="F113" s="79"/>
      <c r="G113" s="79"/>
      <c r="H113" s="79"/>
    </row>
    <row r="114" spans="1:14" x14ac:dyDescent="0.25">
      <c r="A114" s="79" t="s">
        <v>58</v>
      </c>
      <c r="B114" s="79"/>
      <c r="C114" s="79"/>
      <c r="D114" s="79"/>
      <c r="E114" s="79"/>
      <c r="F114" s="79"/>
      <c r="G114" s="79"/>
      <c r="H114" s="79"/>
    </row>
    <row r="115" spans="1:14" ht="47.25" customHeight="1" x14ac:dyDescent="0.25">
      <c r="A115" s="109" t="s">
        <v>122</v>
      </c>
      <c r="B115" s="109" t="s">
        <v>123</v>
      </c>
      <c r="C115" s="109" t="s">
        <v>59</v>
      </c>
      <c r="D115" s="109" t="s">
        <v>60</v>
      </c>
      <c r="E115" s="172" t="s">
        <v>61</v>
      </c>
      <c r="F115" s="62" t="s">
        <v>152</v>
      </c>
      <c r="G115" s="109" t="s">
        <v>62</v>
      </c>
      <c r="H115" s="109"/>
      <c r="I115" s="33"/>
    </row>
    <row r="116" spans="1:14" s="49" customFormat="1" x14ac:dyDescent="0.25">
      <c r="A116" s="109"/>
      <c r="B116" s="109"/>
      <c r="C116" s="109"/>
      <c r="D116" s="109"/>
      <c r="E116" s="172"/>
      <c r="F116" s="63">
        <v>0.5</v>
      </c>
      <c r="G116" s="109"/>
      <c r="H116" s="109"/>
      <c r="I116" s="33"/>
    </row>
    <row r="117" spans="1:14" x14ac:dyDescent="0.25">
      <c r="A117" s="79" t="s">
        <v>175</v>
      </c>
      <c r="B117" s="79"/>
      <c r="C117" s="79"/>
      <c r="D117" s="79"/>
      <c r="E117" s="79"/>
      <c r="F117" s="79"/>
      <c r="G117" s="79"/>
      <c r="H117" s="79"/>
    </row>
    <row r="118" spans="1:14" x14ac:dyDescent="0.25">
      <c r="A118" s="79" t="s">
        <v>172</v>
      </c>
      <c r="B118" s="79"/>
      <c r="C118" s="79"/>
      <c r="D118" s="79"/>
      <c r="E118" s="79"/>
      <c r="F118" s="79"/>
      <c r="G118" s="79"/>
      <c r="H118" s="79"/>
    </row>
    <row r="119" spans="1:14" s="49" customFormat="1" x14ac:dyDescent="0.25">
      <c r="A119" s="78" t="s">
        <v>166</v>
      </c>
      <c r="B119" s="78"/>
      <c r="C119" s="78"/>
      <c r="D119" s="78"/>
      <c r="E119" s="78"/>
      <c r="F119" s="78"/>
      <c r="G119" s="78"/>
      <c r="H119" s="78"/>
      <c r="I119" s="33"/>
      <c r="N119" s="33"/>
    </row>
    <row r="120" spans="1:14" s="49" customFormat="1" x14ac:dyDescent="0.25">
      <c r="A120" s="80" t="s">
        <v>167</v>
      </c>
      <c r="B120" s="81"/>
      <c r="C120" s="81"/>
      <c r="D120" s="81"/>
      <c r="E120" s="81"/>
      <c r="F120" s="81"/>
      <c r="G120" s="81"/>
      <c r="H120" s="82"/>
      <c r="J120" s="33"/>
    </row>
    <row r="121" spans="1:14" s="49" customFormat="1" ht="15.75" customHeight="1" x14ac:dyDescent="0.25">
      <c r="A121" s="83">
        <v>1</v>
      </c>
      <c r="B121" s="84"/>
      <c r="C121" s="48" t="s">
        <v>168</v>
      </c>
      <c r="D121" s="48">
        <f>(33.36)*10.764</f>
        <v>359.08703999999994</v>
      </c>
      <c r="E121" s="48">
        <v>0</v>
      </c>
      <c r="F121" s="48">
        <f t="shared" ref="F121:F127" si="0">D121*(($F$116)+1)+(IF(E121&lt;101,E121,IF(E121&lt;201,E121/2,IF(E121&lt;=301,E121/3,E121/4))))</f>
        <v>538.63055999999995</v>
      </c>
      <c r="G121" s="177" t="str">
        <f>A120</f>
        <v>1st Floor for Residential</v>
      </c>
      <c r="H121" s="178"/>
      <c r="I121" s="33">
        <f>(3699000-450000)/F121</f>
        <v>6031.9637266775217</v>
      </c>
      <c r="L121" s="108"/>
      <c r="M121" s="108"/>
      <c r="N121" s="33"/>
    </row>
    <row r="122" spans="1:14" s="49" customFormat="1" ht="15.75" customHeight="1" x14ac:dyDescent="0.25">
      <c r="A122" s="83">
        <f t="shared" ref="A122:A129" si="1">A121+1</f>
        <v>2</v>
      </c>
      <c r="B122" s="84"/>
      <c r="C122" s="48" t="s">
        <v>168</v>
      </c>
      <c r="D122" s="48">
        <f>(33.36)*10.764</f>
        <v>359.08703999999994</v>
      </c>
      <c r="E122" s="48">
        <v>0</v>
      </c>
      <c r="F122" s="48">
        <f t="shared" si="0"/>
        <v>538.63055999999995</v>
      </c>
      <c r="G122" s="179"/>
      <c r="H122" s="180"/>
      <c r="I122" s="33"/>
      <c r="L122" s="108"/>
      <c r="M122" s="108"/>
      <c r="N122" s="33"/>
    </row>
    <row r="123" spans="1:14" s="49" customFormat="1" ht="15.75" customHeight="1" x14ac:dyDescent="0.25">
      <c r="A123" s="83">
        <f t="shared" si="1"/>
        <v>3</v>
      </c>
      <c r="B123" s="84"/>
      <c r="C123" s="48" t="s">
        <v>168</v>
      </c>
      <c r="D123" s="48">
        <f>(35.87)*10.764</f>
        <v>386.10467999999997</v>
      </c>
      <c r="E123" s="48">
        <v>0</v>
      </c>
      <c r="F123" s="48">
        <f t="shared" si="0"/>
        <v>579.15701999999999</v>
      </c>
      <c r="G123" s="179"/>
      <c r="H123" s="180"/>
      <c r="I123" s="33"/>
      <c r="L123" s="108"/>
      <c r="M123" s="108"/>
      <c r="N123" s="33"/>
    </row>
    <row r="124" spans="1:14" s="49" customFormat="1" ht="15.75" customHeight="1" x14ac:dyDescent="0.25">
      <c r="A124" s="83">
        <f t="shared" si="1"/>
        <v>4</v>
      </c>
      <c r="B124" s="84"/>
      <c r="C124" s="48" t="s">
        <v>168</v>
      </c>
      <c r="D124" s="48">
        <f>(33.36)*10.764</f>
        <v>359.08703999999994</v>
      </c>
      <c r="E124" s="48">
        <v>0</v>
      </c>
      <c r="F124" s="48">
        <f t="shared" si="0"/>
        <v>538.63055999999995</v>
      </c>
      <c r="G124" s="179"/>
      <c r="H124" s="180"/>
      <c r="I124" s="33"/>
      <c r="L124" s="108"/>
      <c r="M124" s="108"/>
      <c r="N124" s="33"/>
    </row>
    <row r="125" spans="1:14" s="49" customFormat="1" ht="15.75" customHeight="1" x14ac:dyDescent="0.25">
      <c r="A125" s="83">
        <f t="shared" si="1"/>
        <v>5</v>
      </c>
      <c r="B125" s="84"/>
      <c r="C125" s="48" t="s">
        <v>168</v>
      </c>
      <c r="D125" s="48">
        <f>(33.36)*10.764</f>
        <v>359.08703999999994</v>
      </c>
      <c r="E125" s="48">
        <v>0</v>
      </c>
      <c r="F125" s="48">
        <f t="shared" si="0"/>
        <v>538.63055999999995</v>
      </c>
      <c r="G125" s="179"/>
      <c r="H125" s="180"/>
      <c r="I125" s="33"/>
      <c r="L125" s="108"/>
      <c r="M125" s="108"/>
      <c r="N125" s="33"/>
    </row>
    <row r="126" spans="1:14" s="49" customFormat="1" ht="15.75" customHeight="1" x14ac:dyDescent="0.25">
      <c r="A126" s="83">
        <f t="shared" si="1"/>
        <v>6</v>
      </c>
      <c r="B126" s="84"/>
      <c r="C126" s="48" t="s">
        <v>168</v>
      </c>
      <c r="D126" s="48">
        <f>(33.36)*10.764</f>
        <v>359.08703999999994</v>
      </c>
      <c r="E126" s="48">
        <v>0</v>
      </c>
      <c r="F126" s="48">
        <f t="shared" si="0"/>
        <v>538.63055999999995</v>
      </c>
      <c r="G126" s="179"/>
      <c r="H126" s="180"/>
      <c r="I126" s="33"/>
      <c r="L126" s="108"/>
      <c r="M126" s="108"/>
      <c r="N126" s="33"/>
    </row>
    <row r="127" spans="1:14" s="49" customFormat="1" ht="15.75" customHeight="1" x14ac:dyDescent="0.25">
      <c r="A127" s="83">
        <f t="shared" si="1"/>
        <v>7</v>
      </c>
      <c r="B127" s="84"/>
      <c r="C127" s="48" t="s">
        <v>168</v>
      </c>
      <c r="D127" s="48">
        <f>(33.36)*10.764</f>
        <v>359.08703999999994</v>
      </c>
      <c r="E127" s="48">
        <v>0</v>
      </c>
      <c r="F127" s="48">
        <f t="shared" si="0"/>
        <v>538.63055999999995</v>
      </c>
      <c r="G127" s="179"/>
      <c r="H127" s="180"/>
      <c r="I127" s="33"/>
      <c r="L127" s="108"/>
      <c r="M127" s="108"/>
      <c r="N127" s="33"/>
    </row>
    <row r="128" spans="1:14" s="49" customFormat="1" ht="15.75" customHeight="1" x14ac:dyDescent="0.25">
      <c r="A128" s="83">
        <f t="shared" si="1"/>
        <v>8</v>
      </c>
      <c r="B128" s="84"/>
      <c r="C128" s="83" t="s">
        <v>169</v>
      </c>
      <c r="D128" s="176"/>
      <c r="E128" s="176"/>
      <c r="F128" s="84"/>
      <c r="G128" s="179"/>
      <c r="H128" s="180"/>
      <c r="I128" s="33"/>
      <c r="L128" s="108"/>
      <c r="M128" s="108"/>
      <c r="N128" s="33"/>
    </row>
    <row r="129" spans="1:14" s="49" customFormat="1" ht="15.75" customHeight="1" x14ac:dyDescent="0.25">
      <c r="A129" s="83">
        <f t="shared" si="1"/>
        <v>9</v>
      </c>
      <c r="B129" s="84"/>
      <c r="C129" s="48" t="s">
        <v>168</v>
      </c>
      <c r="D129" s="48">
        <f>(33.36)*10.764</f>
        <v>359.08703999999994</v>
      </c>
      <c r="E129" s="48">
        <v>0</v>
      </c>
      <c r="F129" s="48">
        <f>D129*(($F$116)+1)+(IF(E129&lt;101,E129,IF(E129&lt;201,E129/2,IF(E129&lt;=301,E129/3,E129/4))))</f>
        <v>538.63055999999995</v>
      </c>
      <c r="G129" s="181"/>
      <c r="H129" s="182"/>
      <c r="I129" s="33"/>
      <c r="L129" s="108"/>
      <c r="M129" s="108"/>
      <c r="N129" s="33"/>
    </row>
    <row r="130" spans="1:14" s="49" customFormat="1" x14ac:dyDescent="0.25">
      <c r="A130" s="78" t="s">
        <v>170</v>
      </c>
      <c r="B130" s="78"/>
      <c r="C130" s="78"/>
      <c r="D130" s="78"/>
      <c r="E130" s="78"/>
      <c r="F130" s="78"/>
      <c r="G130" s="78"/>
      <c r="H130" s="78"/>
      <c r="I130" s="33"/>
      <c r="L130" s="108"/>
      <c r="M130" s="108"/>
    </row>
    <row r="131" spans="1:14" s="49" customFormat="1" ht="15.75" customHeight="1" x14ac:dyDescent="0.25">
      <c r="A131" s="77">
        <v>1</v>
      </c>
      <c r="B131" s="77"/>
      <c r="C131" s="48" t="s">
        <v>168</v>
      </c>
      <c r="D131" s="48">
        <f>(33.36)*10.764</f>
        <v>359.08703999999994</v>
      </c>
      <c r="E131" s="48">
        <v>0</v>
      </c>
      <c r="F131" s="48">
        <f t="shared" ref="F131:F132" si="2">D131*(($F$116)+1)+(IF(E131&lt;101,E131,IF(E131&lt;201,E131/2,IF(E131&lt;=301,E131/3,E131/4))))</f>
        <v>538.63055999999995</v>
      </c>
      <c r="G131" s="177" t="str">
        <f>A130</f>
        <v>2nd to 12th, 14th to 17th &amp; 19th to 22nd Floor</v>
      </c>
      <c r="H131" s="178"/>
      <c r="I131" s="33"/>
      <c r="N131" s="33"/>
    </row>
    <row r="132" spans="1:14" s="49" customFormat="1" ht="15.75" customHeight="1" x14ac:dyDescent="0.25">
      <c r="A132" s="77">
        <f t="shared" ref="A132:A140" si="3">A131+1</f>
        <v>2</v>
      </c>
      <c r="B132" s="77"/>
      <c r="C132" s="48" t="s">
        <v>168</v>
      </c>
      <c r="D132" s="48">
        <f>(33.36)*10.764</f>
        <v>359.08703999999994</v>
      </c>
      <c r="E132" s="48">
        <v>0</v>
      </c>
      <c r="F132" s="48">
        <f t="shared" si="2"/>
        <v>538.63055999999995</v>
      </c>
      <c r="G132" s="179"/>
      <c r="H132" s="180"/>
      <c r="I132" s="33"/>
      <c r="N132" s="33"/>
    </row>
    <row r="133" spans="1:14" s="49" customFormat="1" ht="15.75" customHeight="1" x14ac:dyDescent="0.25">
      <c r="A133" s="77">
        <f t="shared" si="3"/>
        <v>3</v>
      </c>
      <c r="B133" s="77"/>
      <c r="C133" s="48" t="s">
        <v>168</v>
      </c>
      <c r="D133" s="48">
        <f>(35.87)*10.764</f>
        <v>386.10467999999997</v>
      </c>
      <c r="E133" s="48">
        <v>0</v>
      </c>
      <c r="F133" s="48">
        <f t="shared" ref="F133:F140" si="4">D133*(($F$116)+1)+(IF(E133&lt;101,E133,IF(E133&lt;201,E133/2,IF(E133&lt;=301,E133/3,E133/4))))</f>
        <v>579.15701999999999</v>
      </c>
      <c r="G133" s="179"/>
      <c r="H133" s="180"/>
      <c r="I133" s="33"/>
      <c r="N133" s="33"/>
    </row>
    <row r="134" spans="1:14" s="49" customFormat="1" ht="15.75" customHeight="1" x14ac:dyDescent="0.25">
      <c r="A134" s="77">
        <f t="shared" si="3"/>
        <v>4</v>
      </c>
      <c r="B134" s="77"/>
      <c r="C134" s="48" t="s">
        <v>168</v>
      </c>
      <c r="D134" s="48">
        <f>(33.36)*10.764</f>
        <v>359.08703999999994</v>
      </c>
      <c r="E134" s="48">
        <v>0</v>
      </c>
      <c r="F134" s="48">
        <f t="shared" si="4"/>
        <v>538.63055999999995</v>
      </c>
      <c r="G134" s="179"/>
      <c r="H134" s="180"/>
      <c r="I134" s="33"/>
      <c r="N134" s="33"/>
    </row>
    <row r="135" spans="1:14" s="49" customFormat="1" ht="15.75" customHeight="1" x14ac:dyDescent="0.25">
      <c r="A135" s="77">
        <f t="shared" si="3"/>
        <v>5</v>
      </c>
      <c r="B135" s="77"/>
      <c r="C135" s="48" t="s">
        <v>168</v>
      </c>
      <c r="D135" s="48">
        <f>(33.36)*10.764</f>
        <v>359.08703999999994</v>
      </c>
      <c r="E135" s="48">
        <v>0</v>
      </c>
      <c r="F135" s="48">
        <f t="shared" si="4"/>
        <v>538.63055999999995</v>
      </c>
      <c r="G135" s="179"/>
      <c r="H135" s="180"/>
      <c r="I135" s="33"/>
      <c r="N135" s="33"/>
    </row>
    <row r="136" spans="1:14" s="49" customFormat="1" ht="15.75" customHeight="1" x14ac:dyDescent="0.25">
      <c r="A136" s="77">
        <f t="shared" si="3"/>
        <v>6</v>
      </c>
      <c r="B136" s="77"/>
      <c r="C136" s="48" t="s">
        <v>168</v>
      </c>
      <c r="D136" s="48">
        <f>(33.36)*10.764</f>
        <v>359.08703999999994</v>
      </c>
      <c r="E136" s="48">
        <v>0</v>
      </c>
      <c r="F136" s="48">
        <f t="shared" si="4"/>
        <v>538.63055999999995</v>
      </c>
      <c r="G136" s="179"/>
      <c r="H136" s="180"/>
      <c r="I136" s="33"/>
      <c r="N136" s="33"/>
    </row>
    <row r="137" spans="1:14" s="49" customFormat="1" ht="15.75" customHeight="1" x14ac:dyDescent="0.25">
      <c r="A137" s="77">
        <f t="shared" si="3"/>
        <v>7</v>
      </c>
      <c r="B137" s="77"/>
      <c r="C137" s="48" t="s">
        <v>168</v>
      </c>
      <c r="D137" s="48">
        <f>(33.36)*10.764</f>
        <v>359.08703999999994</v>
      </c>
      <c r="E137" s="48">
        <v>0</v>
      </c>
      <c r="F137" s="48">
        <f t="shared" si="4"/>
        <v>538.63055999999995</v>
      </c>
      <c r="G137" s="179"/>
      <c r="H137" s="180"/>
      <c r="I137" s="33"/>
      <c r="N137" s="33"/>
    </row>
    <row r="138" spans="1:14" s="49" customFormat="1" ht="15.75" customHeight="1" x14ac:dyDescent="0.25">
      <c r="A138" s="77">
        <f t="shared" si="3"/>
        <v>8</v>
      </c>
      <c r="B138" s="77"/>
      <c r="C138" s="48" t="s">
        <v>168</v>
      </c>
      <c r="D138" s="48">
        <f>(35.87)*10.764</f>
        <v>386.10467999999997</v>
      </c>
      <c r="E138" s="48">
        <v>0</v>
      </c>
      <c r="F138" s="48">
        <f t="shared" si="4"/>
        <v>579.15701999999999</v>
      </c>
      <c r="G138" s="179"/>
      <c r="H138" s="180"/>
      <c r="I138" s="33"/>
      <c r="N138" s="33"/>
    </row>
    <row r="139" spans="1:14" s="49" customFormat="1" ht="15.75" customHeight="1" x14ac:dyDescent="0.25">
      <c r="A139" s="77">
        <f t="shared" si="3"/>
        <v>9</v>
      </c>
      <c r="B139" s="77"/>
      <c r="C139" s="48" t="s">
        <v>168</v>
      </c>
      <c r="D139" s="48">
        <f>(33.36)*10.764</f>
        <v>359.08703999999994</v>
      </c>
      <c r="E139" s="48">
        <v>0</v>
      </c>
      <c r="F139" s="48">
        <f t="shared" si="4"/>
        <v>538.63055999999995</v>
      </c>
      <c r="G139" s="179"/>
      <c r="H139" s="180"/>
      <c r="I139" s="33"/>
      <c r="N139" s="33"/>
    </row>
    <row r="140" spans="1:14" s="49" customFormat="1" ht="15.75" customHeight="1" x14ac:dyDescent="0.25">
      <c r="A140" s="77">
        <f t="shared" si="3"/>
        <v>10</v>
      </c>
      <c r="B140" s="77"/>
      <c r="C140" s="48" t="s">
        <v>168</v>
      </c>
      <c r="D140" s="48">
        <f>(33.36)*10.764</f>
        <v>359.08703999999994</v>
      </c>
      <c r="E140" s="48">
        <v>0</v>
      </c>
      <c r="F140" s="48">
        <f t="shared" si="4"/>
        <v>538.63055999999995</v>
      </c>
      <c r="G140" s="181"/>
      <c r="H140" s="182"/>
      <c r="I140" s="33"/>
      <c r="N140" s="33"/>
    </row>
    <row r="141" spans="1:14" s="49" customFormat="1" x14ac:dyDescent="0.25">
      <c r="A141" s="78" t="s">
        <v>171</v>
      </c>
      <c r="B141" s="78"/>
      <c r="C141" s="78"/>
      <c r="D141" s="78"/>
      <c r="E141" s="78"/>
      <c r="F141" s="78"/>
      <c r="G141" s="78"/>
      <c r="H141" s="78"/>
      <c r="I141" s="33"/>
      <c r="L141" s="108"/>
      <c r="M141" s="108"/>
    </row>
    <row r="142" spans="1:14" s="49" customFormat="1" ht="15.75" customHeight="1" x14ac:dyDescent="0.25">
      <c r="A142" s="77">
        <v>1</v>
      </c>
      <c r="B142" s="77"/>
      <c r="C142" s="48" t="s">
        <v>168</v>
      </c>
      <c r="D142" s="48">
        <f>(33.36)*10.764</f>
        <v>359.08703999999994</v>
      </c>
      <c r="E142" s="48">
        <v>0</v>
      </c>
      <c r="F142" s="48">
        <f t="shared" ref="F142:F143" si="5">D142*(($F$116)+1)+(IF(E142&lt;101,E142,IF(E142&lt;201,E142/2,IF(E142&lt;=301,E142/3,E142/4))))</f>
        <v>538.63055999999995</v>
      </c>
      <c r="G142" s="177" t="str">
        <f>A141</f>
        <v>13th, 18th &amp; 23rd Floor (Part Refuge Area)</v>
      </c>
      <c r="H142" s="178"/>
      <c r="I142" s="33"/>
      <c r="N142" s="33"/>
    </row>
    <row r="143" spans="1:14" s="49" customFormat="1" ht="15.75" customHeight="1" x14ac:dyDescent="0.25">
      <c r="A143" s="77">
        <f t="shared" ref="A143:A150" si="6">A142+1</f>
        <v>2</v>
      </c>
      <c r="B143" s="77"/>
      <c r="C143" s="48" t="s">
        <v>168</v>
      </c>
      <c r="D143" s="48">
        <f>(33.36)*10.764</f>
        <v>359.08703999999994</v>
      </c>
      <c r="E143" s="48">
        <v>0</v>
      </c>
      <c r="F143" s="48">
        <f t="shared" si="5"/>
        <v>538.63055999999995</v>
      </c>
      <c r="G143" s="179"/>
      <c r="H143" s="180"/>
      <c r="I143" s="33"/>
      <c r="N143" s="33"/>
    </row>
    <row r="144" spans="1:14" s="49" customFormat="1" ht="15.75" customHeight="1" x14ac:dyDescent="0.25">
      <c r="A144" s="77">
        <f t="shared" si="6"/>
        <v>3</v>
      </c>
      <c r="B144" s="77"/>
      <c r="C144" s="48" t="s">
        <v>168</v>
      </c>
      <c r="D144" s="48">
        <f>(35.87)*10.764</f>
        <v>386.10467999999997</v>
      </c>
      <c r="E144" s="48">
        <v>0</v>
      </c>
      <c r="F144" s="48">
        <f t="shared" ref="F144:F150" si="7">D144*(($F$116)+1)+(IF(E144&lt;101,E144,IF(E144&lt;201,E144/2,IF(E144&lt;=301,E144/3,E144/4))))</f>
        <v>579.15701999999999</v>
      </c>
      <c r="G144" s="179"/>
      <c r="H144" s="180"/>
      <c r="I144" s="33"/>
      <c r="N144" s="33"/>
    </row>
    <row r="145" spans="1:14" s="49" customFormat="1" ht="15.75" customHeight="1" x14ac:dyDescent="0.25">
      <c r="A145" s="77">
        <f t="shared" si="6"/>
        <v>4</v>
      </c>
      <c r="B145" s="77"/>
      <c r="C145" s="48" t="s">
        <v>168</v>
      </c>
      <c r="D145" s="48">
        <f>(33.36)*10.764</f>
        <v>359.08703999999994</v>
      </c>
      <c r="E145" s="48">
        <v>0</v>
      </c>
      <c r="F145" s="48">
        <f t="shared" si="7"/>
        <v>538.63055999999995</v>
      </c>
      <c r="G145" s="179"/>
      <c r="H145" s="180"/>
      <c r="I145" s="33"/>
      <c r="N145" s="33"/>
    </row>
    <row r="146" spans="1:14" s="49" customFormat="1" ht="15.75" customHeight="1" x14ac:dyDescent="0.25">
      <c r="A146" s="77">
        <f t="shared" si="6"/>
        <v>5</v>
      </c>
      <c r="B146" s="77"/>
      <c r="C146" s="48" t="s">
        <v>168</v>
      </c>
      <c r="D146" s="48">
        <f t="shared" ref="D146:D150" si="8">(33.36)*10.764</f>
        <v>359.08703999999994</v>
      </c>
      <c r="E146" s="48">
        <v>0</v>
      </c>
      <c r="F146" s="48">
        <f t="shared" si="7"/>
        <v>538.63055999999995</v>
      </c>
      <c r="G146" s="179"/>
      <c r="H146" s="180"/>
      <c r="I146" s="33"/>
      <c r="N146" s="33"/>
    </row>
    <row r="147" spans="1:14" s="49" customFormat="1" ht="15.75" customHeight="1" x14ac:dyDescent="0.25">
      <c r="A147" s="77">
        <f t="shared" si="6"/>
        <v>6</v>
      </c>
      <c r="B147" s="77"/>
      <c r="C147" s="48" t="s">
        <v>168</v>
      </c>
      <c r="D147" s="48">
        <f t="shared" si="8"/>
        <v>359.08703999999994</v>
      </c>
      <c r="E147" s="48">
        <v>0</v>
      </c>
      <c r="F147" s="48">
        <f t="shared" si="7"/>
        <v>538.63055999999995</v>
      </c>
      <c r="G147" s="179"/>
      <c r="H147" s="180"/>
      <c r="I147" s="33"/>
      <c r="N147" s="33"/>
    </row>
    <row r="148" spans="1:14" s="49" customFormat="1" ht="15.75" customHeight="1" x14ac:dyDescent="0.25">
      <c r="A148" s="77">
        <f t="shared" si="6"/>
        <v>7</v>
      </c>
      <c r="B148" s="77"/>
      <c r="C148" s="48" t="s">
        <v>168</v>
      </c>
      <c r="D148" s="48">
        <f t="shared" si="8"/>
        <v>359.08703999999994</v>
      </c>
      <c r="E148" s="48">
        <v>0</v>
      </c>
      <c r="F148" s="48">
        <f t="shared" si="7"/>
        <v>538.63055999999995</v>
      </c>
      <c r="G148" s="179"/>
      <c r="H148" s="180"/>
      <c r="I148" s="33"/>
      <c r="N148" s="33"/>
    </row>
    <row r="149" spans="1:14" s="49" customFormat="1" ht="15.75" customHeight="1" x14ac:dyDescent="0.25">
      <c r="A149" s="77">
        <f t="shared" si="6"/>
        <v>8</v>
      </c>
      <c r="B149" s="77"/>
      <c r="C149" s="48" t="s">
        <v>168</v>
      </c>
      <c r="D149" s="48">
        <f t="shared" si="8"/>
        <v>359.08703999999994</v>
      </c>
      <c r="E149" s="48">
        <v>0</v>
      </c>
      <c r="F149" s="48">
        <f t="shared" si="7"/>
        <v>538.63055999999995</v>
      </c>
      <c r="G149" s="179"/>
      <c r="H149" s="180"/>
      <c r="I149" s="33"/>
      <c r="N149" s="33"/>
    </row>
    <row r="150" spans="1:14" s="49" customFormat="1" ht="15.75" customHeight="1" x14ac:dyDescent="0.25">
      <c r="A150" s="77">
        <f t="shared" si="6"/>
        <v>9</v>
      </c>
      <c r="B150" s="77"/>
      <c r="C150" s="48" t="s">
        <v>168</v>
      </c>
      <c r="D150" s="48">
        <f t="shared" si="8"/>
        <v>359.08703999999994</v>
      </c>
      <c r="E150" s="48">
        <v>0</v>
      </c>
      <c r="F150" s="48">
        <f t="shared" si="7"/>
        <v>538.63055999999995</v>
      </c>
      <c r="G150" s="181"/>
      <c r="H150" s="182"/>
      <c r="I150" s="33"/>
      <c r="N150" s="33"/>
    </row>
    <row r="151" spans="1:14" x14ac:dyDescent="0.25">
      <c r="A151" s="79" t="s">
        <v>173</v>
      </c>
      <c r="B151" s="79"/>
      <c r="C151" s="79"/>
      <c r="D151" s="79"/>
      <c r="E151" s="79"/>
      <c r="F151" s="79"/>
      <c r="G151" s="79"/>
      <c r="H151" s="79"/>
    </row>
    <row r="152" spans="1:14" s="49" customFormat="1" x14ac:dyDescent="0.25">
      <c r="A152" s="78" t="s">
        <v>166</v>
      </c>
      <c r="B152" s="78"/>
      <c r="C152" s="78"/>
      <c r="D152" s="78"/>
      <c r="E152" s="78"/>
      <c r="F152" s="78"/>
      <c r="G152" s="78"/>
      <c r="H152" s="78"/>
      <c r="I152" s="33"/>
      <c r="N152" s="33"/>
    </row>
    <row r="153" spans="1:14" s="49" customFormat="1" x14ac:dyDescent="0.25">
      <c r="A153" s="78" t="s">
        <v>167</v>
      </c>
      <c r="B153" s="78"/>
      <c r="C153" s="78"/>
      <c r="D153" s="78"/>
      <c r="E153" s="78"/>
      <c r="F153" s="78"/>
      <c r="G153" s="78"/>
      <c r="H153" s="78"/>
      <c r="J153" s="33"/>
    </row>
    <row r="154" spans="1:14" s="49" customFormat="1" ht="15.75" customHeight="1" x14ac:dyDescent="0.25">
      <c r="A154" s="77">
        <v>1</v>
      </c>
      <c r="B154" s="77"/>
      <c r="C154" s="57" t="s">
        <v>168</v>
      </c>
      <c r="D154" s="57">
        <f>(33.36)*10.764</f>
        <v>359.08703999999994</v>
      </c>
      <c r="E154" s="57">
        <v>0</v>
      </c>
      <c r="F154" s="57">
        <f t="shared" ref="F154:F160" si="9">D154*(($F$116)+1)+(IF(E154&lt;101,E154,IF(E154&lt;201,E154/2,IF(E154&lt;=301,E154/3,E154/4))))</f>
        <v>538.63055999999995</v>
      </c>
      <c r="G154" s="77" t="str">
        <f>A153</f>
        <v>1st Floor for Residential</v>
      </c>
      <c r="H154" s="77"/>
      <c r="I154" s="33"/>
      <c r="L154" s="108"/>
      <c r="M154" s="108"/>
      <c r="N154" s="33"/>
    </row>
    <row r="155" spans="1:14" s="49" customFormat="1" ht="15.75" customHeight="1" x14ac:dyDescent="0.25">
      <c r="A155" s="77">
        <f t="shared" ref="A155:A162" si="10">A154+1</f>
        <v>2</v>
      </c>
      <c r="B155" s="77"/>
      <c r="C155" s="57" t="s">
        <v>168</v>
      </c>
      <c r="D155" s="57">
        <f>(33.36)*10.764</f>
        <v>359.08703999999994</v>
      </c>
      <c r="E155" s="57">
        <v>0</v>
      </c>
      <c r="F155" s="57">
        <f t="shared" si="9"/>
        <v>538.63055999999995</v>
      </c>
      <c r="G155" s="77"/>
      <c r="H155" s="77"/>
      <c r="I155" s="33"/>
      <c r="L155" s="108"/>
      <c r="M155" s="108"/>
      <c r="N155" s="33"/>
    </row>
    <row r="156" spans="1:14" s="49" customFormat="1" ht="15.75" customHeight="1" x14ac:dyDescent="0.25">
      <c r="A156" s="77">
        <f t="shared" si="10"/>
        <v>3</v>
      </c>
      <c r="B156" s="77"/>
      <c r="C156" s="57" t="s">
        <v>168</v>
      </c>
      <c r="D156" s="57">
        <f>(35.87)*10.764</f>
        <v>386.10467999999997</v>
      </c>
      <c r="E156" s="57">
        <v>0</v>
      </c>
      <c r="F156" s="57">
        <f t="shared" si="9"/>
        <v>579.15701999999999</v>
      </c>
      <c r="G156" s="77"/>
      <c r="H156" s="77"/>
      <c r="I156" s="33"/>
      <c r="L156" s="108"/>
      <c r="M156" s="108"/>
      <c r="N156" s="33"/>
    </row>
    <row r="157" spans="1:14" s="49" customFormat="1" ht="15.75" customHeight="1" x14ac:dyDescent="0.25">
      <c r="A157" s="77">
        <f t="shared" si="10"/>
        <v>4</v>
      </c>
      <c r="B157" s="77"/>
      <c r="C157" s="57" t="s">
        <v>168</v>
      </c>
      <c r="D157" s="57">
        <f>(33.36)*10.764</f>
        <v>359.08703999999994</v>
      </c>
      <c r="E157" s="57">
        <v>0</v>
      </c>
      <c r="F157" s="57">
        <f t="shared" si="9"/>
        <v>538.63055999999995</v>
      </c>
      <c r="G157" s="77"/>
      <c r="H157" s="77"/>
      <c r="I157" s="33"/>
      <c r="L157" s="108"/>
      <c r="M157" s="108"/>
      <c r="N157" s="33"/>
    </row>
    <row r="158" spans="1:14" s="49" customFormat="1" ht="15.75" customHeight="1" x14ac:dyDescent="0.25">
      <c r="A158" s="77">
        <f t="shared" si="10"/>
        <v>5</v>
      </c>
      <c r="B158" s="77"/>
      <c r="C158" s="57" t="s">
        <v>168</v>
      </c>
      <c r="D158" s="57">
        <f>(33.36)*10.764</f>
        <v>359.08703999999994</v>
      </c>
      <c r="E158" s="57">
        <v>0</v>
      </c>
      <c r="F158" s="57">
        <f t="shared" si="9"/>
        <v>538.63055999999995</v>
      </c>
      <c r="G158" s="77"/>
      <c r="H158" s="77"/>
      <c r="I158" s="33"/>
      <c r="L158" s="108"/>
      <c r="M158" s="108"/>
      <c r="N158" s="33"/>
    </row>
    <row r="159" spans="1:14" s="49" customFormat="1" ht="15.75" customHeight="1" x14ac:dyDescent="0.25">
      <c r="A159" s="77">
        <f t="shared" si="10"/>
        <v>6</v>
      </c>
      <c r="B159" s="77"/>
      <c r="C159" s="57" t="s">
        <v>168</v>
      </c>
      <c r="D159" s="57">
        <f>(33.36)*10.764</f>
        <v>359.08703999999994</v>
      </c>
      <c r="E159" s="57">
        <v>0</v>
      </c>
      <c r="F159" s="57">
        <f t="shared" si="9"/>
        <v>538.63055999999995</v>
      </c>
      <c r="G159" s="77"/>
      <c r="H159" s="77"/>
      <c r="I159" s="33"/>
      <c r="L159" s="108"/>
      <c r="M159" s="108"/>
      <c r="N159" s="33"/>
    </row>
    <row r="160" spans="1:14" s="49" customFormat="1" ht="15.75" customHeight="1" x14ac:dyDescent="0.25">
      <c r="A160" s="77">
        <f t="shared" si="10"/>
        <v>7</v>
      </c>
      <c r="B160" s="77"/>
      <c r="C160" s="57" t="s">
        <v>168</v>
      </c>
      <c r="D160" s="57">
        <f>(33.36)*10.764</f>
        <v>359.08703999999994</v>
      </c>
      <c r="E160" s="57">
        <v>0</v>
      </c>
      <c r="F160" s="57">
        <f t="shared" si="9"/>
        <v>538.63055999999995</v>
      </c>
      <c r="G160" s="77"/>
      <c r="H160" s="77"/>
      <c r="I160" s="33"/>
      <c r="L160" s="108"/>
      <c r="M160" s="108"/>
      <c r="N160" s="33"/>
    </row>
    <row r="161" spans="1:14" s="49" customFormat="1" ht="15.75" customHeight="1" x14ac:dyDescent="0.25">
      <c r="A161" s="77">
        <f t="shared" si="10"/>
        <v>8</v>
      </c>
      <c r="B161" s="77"/>
      <c r="C161" s="77" t="s">
        <v>169</v>
      </c>
      <c r="D161" s="77"/>
      <c r="E161" s="77"/>
      <c r="F161" s="77"/>
      <c r="G161" s="77"/>
      <c r="H161" s="77"/>
      <c r="I161" s="33"/>
      <c r="L161" s="108"/>
      <c r="M161" s="108"/>
      <c r="N161" s="33"/>
    </row>
    <row r="162" spans="1:14" s="49" customFormat="1" ht="15.75" customHeight="1" x14ac:dyDescent="0.25">
      <c r="A162" s="77">
        <f t="shared" si="10"/>
        <v>9</v>
      </c>
      <c r="B162" s="77"/>
      <c r="C162" s="57" t="s">
        <v>168</v>
      </c>
      <c r="D162" s="57">
        <f>(33.36)*10.764</f>
        <v>359.08703999999994</v>
      </c>
      <c r="E162" s="57">
        <v>0</v>
      </c>
      <c r="F162" s="57">
        <f>D162*(($F$116)+1)+(IF(E162&lt;101,E162,IF(E162&lt;201,E162/2,IF(E162&lt;=301,E162/3,E162/4))))</f>
        <v>538.63055999999995</v>
      </c>
      <c r="G162" s="77"/>
      <c r="H162" s="77"/>
      <c r="I162" s="33"/>
      <c r="L162" s="108"/>
      <c r="M162" s="108"/>
      <c r="N162" s="33"/>
    </row>
    <row r="163" spans="1:14" s="49" customFormat="1" x14ac:dyDescent="0.25">
      <c r="A163" s="78" t="s">
        <v>170</v>
      </c>
      <c r="B163" s="78"/>
      <c r="C163" s="78"/>
      <c r="D163" s="78"/>
      <c r="E163" s="78"/>
      <c r="F163" s="78"/>
      <c r="G163" s="78"/>
      <c r="H163" s="78"/>
      <c r="I163" s="33"/>
      <c r="L163" s="108"/>
      <c r="M163" s="108"/>
    </row>
    <row r="164" spans="1:14" s="49" customFormat="1" ht="15.75" customHeight="1" x14ac:dyDescent="0.25">
      <c r="A164" s="77">
        <v>1</v>
      </c>
      <c r="B164" s="77"/>
      <c r="C164" s="48" t="s">
        <v>168</v>
      </c>
      <c r="D164" s="48">
        <f>(33.36)*10.764</f>
        <v>359.08703999999994</v>
      </c>
      <c r="E164" s="48">
        <v>0</v>
      </c>
      <c r="F164" s="48">
        <f t="shared" ref="F164:F165" si="11">D164*(($F$116)+1)+(IF(E164&lt;101,E164,IF(E164&lt;201,E164/2,IF(E164&lt;=301,E164/3,E164/4))))</f>
        <v>538.63055999999995</v>
      </c>
      <c r="G164" s="177" t="str">
        <f>A163</f>
        <v>2nd to 12th, 14th to 17th &amp; 19th to 22nd Floor</v>
      </c>
      <c r="H164" s="178"/>
      <c r="I164" s="33"/>
      <c r="N164" s="33"/>
    </row>
    <row r="165" spans="1:14" s="49" customFormat="1" ht="15.75" customHeight="1" x14ac:dyDescent="0.25">
      <c r="A165" s="77">
        <f t="shared" ref="A165:A173" si="12">A164+1</f>
        <v>2</v>
      </c>
      <c r="B165" s="77"/>
      <c r="C165" s="48" t="s">
        <v>168</v>
      </c>
      <c r="D165" s="48">
        <f>(33.36)*10.764</f>
        <v>359.08703999999994</v>
      </c>
      <c r="E165" s="48">
        <v>0</v>
      </c>
      <c r="F165" s="48">
        <f t="shared" si="11"/>
        <v>538.63055999999995</v>
      </c>
      <c r="G165" s="179"/>
      <c r="H165" s="180"/>
      <c r="I165" s="33"/>
      <c r="N165" s="33"/>
    </row>
    <row r="166" spans="1:14" s="49" customFormat="1" ht="15.75" customHeight="1" x14ac:dyDescent="0.25">
      <c r="A166" s="77">
        <f t="shared" si="12"/>
        <v>3</v>
      </c>
      <c r="B166" s="77"/>
      <c r="C166" s="48" t="s">
        <v>168</v>
      </c>
      <c r="D166" s="48">
        <f>(35.87)*10.764</f>
        <v>386.10467999999997</v>
      </c>
      <c r="E166" s="48">
        <v>0</v>
      </c>
      <c r="F166" s="48">
        <f t="shared" ref="F166:F173" si="13">D166*(($F$116)+1)+(IF(E166&lt;101,E166,IF(E166&lt;201,E166/2,IF(E166&lt;=301,E166/3,E166/4))))</f>
        <v>579.15701999999999</v>
      </c>
      <c r="G166" s="179"/>
      <c r="H166" s="180"/>
      <c r="I166" s="33"/>
      <c r="N166" s="33"/>
    </row>
    <row r="167" spans="1:14" s="49" customFormat="1" ht="15.75" customHeight="1" x14ac:dyDescent="0.25">
      <c r="A167" s="77">
        <f t="shared" si="12"/>
        <v>4</v>
      </c>
      <c r="B167" s="77"/>
      <c r="C167" s="48" t="s">
        <v>168</v>
      </c>
      <c r="D167" s="48">
        <f>(33.36)*10.764</f>
        <v>359.08703999999994</v>
      </c>
      <c r="E167" s="48">
        <v>0</v>
      </c>
      <c r="F167" s="48">
        <f t="shared" si="13"/>
        <v>538.63055999999995</v>
      </c>
      <c r="G167" s="179"/>
      <c r="H167" s="180"/>
      <c r="I167" s="33"/>
      <c r="N167" s="33"/>
    </row>
    <row r="168" spans="1:14" s="49" customFormat="1" ht="15.75" customHeight="1" x14ac:dyDescent="0.25">
      <c r="A168" s="77">
        <f t="shared" si="12"/>
        <v>5</v>
      </c>
      <c r="B168" s="77"/>
      <c r="C168" s="48" t="s">
        <v>168</v>
      </c>
      <c r="D168" s="48">
        <f>(33.36)*10.764</f>
        <v>359.08703999999994</v>
      </c>
      <c r="E168" s="48">
        <v>0</v>
      </c>
      <c r="F168" s="48">
        <f t="shared" si="13"/>
        <v>538.63055999999995</v>
      </c>
      <c r="G168" s="179"/>
      <c r="H168" s="180"/>
      <c r="I168" s="33"/>
      <c r="N168" s="33"/>
    </row>
    <row r="169" spans="1:14" s="49" customFormat="1" ht="15.75" customHeight="1" x14ac:dyDescent="0.25">
      <c r="A169" s="77">
        <f t="shared" si="12"/>
        <v>6</v>
      </c>
      <c r="B169" s="77"/>
      <c r="C169" s="48" t="s">
        <v>168</v>
      </c>
      <c r="D169" s="48">
        <f>(33.36)*10.764</f>
        <v>359.08703999999994</v>
      </c>
      <c r="E169" s="48">
        <v>0</v>
      </c>
      <c r="F169" s="48">
        <f t="shared" si="13"/>
        <v>538.63055999999995</v>
      </c>
      <c r="G169" s="179"/>
      <c r="H169" s="180"/>
      <c r="I169" s="33"/>
      <c r="N169" s="33"/>
    </row>
    <row r="170" spans="1:14" s="49" customFormat="1" ht="15.75" customHeight="1" x14ac:dyDescent="0.25">
      <c r="A170" s="77">
        <f t="shared" si="12"/>
        <v>7</v>
      </c>
      <c r="B170" s="77"/>
      <c r="C170" s="48" t="s">
        <v>168</v>
      </c>
      <c r="D170" s="48">
        <f>(33.36)*10.764</f>
        <v>359.08703999999994</v>
      </c>
      <c r="E170" s="48">
        <v>0</v>
      </c>
      <c r="F170" s="48">
        <f t="shared" si="13"/>
        <v>538.63055999999995</v>
      </c>
      <c r="G170" s="179"/>
      <c r="H170" s="180"/>
      <c r="I170" s="33"/>
      <c r="N170" s="33"/>
    </row>
    <row r="171" spans="1:14" s="49" customFormat="1" ht="15.75" customHeight="1" x14ac:dyDescent="0.25">
      <c r="A171" s="77">
        <f t="shared" si="12"/>
        <v>8</v>
      </c>
      <c r="B171" s="77"/>
      <c r="C171" s="48" t="s">
        <v>168</v>
      </c>
      <c r="D171" s="48">
        <f>(35.87)*10.764</f>
        <v>386.10467999999997</v>
      </c>
      <c r="E171" s="48">
        <v>0</v>
      </c>
      <c r="F171" s="48">
        <f t="shared" si="13"/>
        <v>579.15701999999999</v>
      </c>
      <c r="G171" s="179"/>
      <c r="H171" s="180"/>
      <c r="I171" s="33"/>
      <c r="N171" s="33"/>
    </row>
    <row r="172" spans="1:14" s="49" customFormat="1" ht="15.75" customHeight="1" x14ac:dyDescent="0.25">
      <c r="A172" s="77">
        <f t="shared" si="12"/>
        <v>9</v>
      </c>
      <c r="B172" s="77"/>
      <c r="C172" s="48" t="s">
        <v>168</v>
      </c>
      <c r="D172" s="48">
        <f>(33.36)*10.764</f>
        <v>359.08703999999994</v>
      </c>
      <c r="E172" s="48">
        <v>0</v>
      </c>
      <c r="F172" s="48">
        <f t="shared" si="13"/>
        <v>538.63055999999995</v>
      </c>
      <c r="G172" s="179"/>
      <c r="H172" s="180"/>
      <c r="I172" s="33"/>
      <c r="N172" s="33"/>
    </row>
    <row r="173" spans="1:14" s="49" customFormat="1" ht="15.75" customHeight="1" x14ac:dyDescent="0.25">
      <c r="A173" s="77">
        <f t="shared" si="12"/>
        <v>10</v>
      </c>
      <c r="B173" s="77"/>
      <c r="C173" s="48" t="s">
        <v>168</v>
      </c>
      <c r="D173" s="48">
        <f>(33.36)*10.764</f>
        <v>359.08703999999994</v>
      </c>
      <c r="E173" s="48">
        <v>0</v>
      </c>
      <c r="F173" s="48">
        <f t="shared" si="13"/>
        <v>538.63055999999995</v>
      </c>
      <c r="G173" s="181"/>
      <c r="H173" s="182"/>
      <c r="I173" s="33"/>
      <c r="N173" s="33"/>
    </row>
    <row r="174" spans="1:14" s="49" customFormat="1" x14ac:dyDescent="0.25">
      <c r="A174" s="78" t="s">
        <v>171</v>
      </c>
      <c r="B174" s="78"/>
      <c r="C174" s="78"/>
      <c r="D174" s="78"/>
      <c r="E174" s="78"/>
      <c r="F174" s="78"/>
      <c r="G174" s="78"/>
      <c r="H174" s="78"/>
      <c r="I174" s="33"/>
      <c r="L174" s="108"/>
      <c r="M174" s="108"/>
    </row>
    <row r="175" spans="1:14" s="49" customFormat="1" ht="15.75" customHeight="1" x14ac:dyDescent="0.25">
      <c r="A175" s="77">
        <v>1</v>
      </c>
      <c r="B175" s="77"/>
      <c r="C175" s="48" t="s">
        <v>168</v>
      </c>
      <c r="D175" s="48">
        <f>(33.36)*10.764</f>
        <v>359.08703999999994</v>
      </c>
      <c r="E175" s="48">
        <v>0</v>
      </c>
      <c r="F175" s="48">
        <f t="shared" ref="F175:F176" si="14">D175*(($F$116)+1)+(IF(E175&lt;101,E175,IF(E175&lt;201,E175/2,IF(E175&lt;=301,E175/3,E175/4))))</f>
        <v>538.63055999999995</v>
      </c>
      <c r="G175" s="177" t="str">
        <f>A174</f>
        <v>13th, 18th &amp; 23rd Floor (Part Refuge Area)</v>
      </c>
      <c r="H175" s="178"/>
      <c r="I175" s="33"/>
      <c r="N175" s="33"/>
    </row>
    <row r="176" spans="1:14" s="49" customFormat="1" ht="15.75" customHeight="1" x14ac:dyDescent="0.25">
      <c r="A176" s="77">
        <f t="shared" ref="A176:A183" si="15">A175+1</f>
        <v>2</v>
      </c>
      <c r="B176" s="77"/>
      <c r="C176" s="48" t="s">
        <v>168</v>
      </c>
      <c r="D176" s="48">
        <f>(33.36)*10.764</f>
        <v>359.08703999999994</v>
      </c>
      <c r="E176" s="48">
        <v>0</v>
      </c>
      <c r="F176" s="48">
        <f t="shared" si="14"/>
        <v>538.63055999999995</v>
      </c>
      <c r="G176" s="179"/>
      <c r="H176" s="180"/>
      <c r="I176" s="33"/>
      <c r="N176" s="33"/>
    </row>
    <row r="177" spans="1:14" s="49" customFormat="1" ht="15.75" customHeight="1" x14ac:dyDescent="0.25">
      <c r="A177" s="77">
        <f t="shared" si="15"/>
        <v>3</v>
      </c>
      <c r="B177" s="77"/>
      <c r="C177" s="48" t="s">
        <v>168</v>
      </c>
      <c r="D177" s="48">
        <f>(35.87)*10.764</f>
        <v>386.10467999999997</v>
      </c>
      <c r="E177" s="48">
        <v>0</v>
      </c>
      <c r="F177" s="48">
        <f t="shared" ref="F177:F183" si="16">D177*(($F$116)+1)+(IF(E177&lt;101,E177,IF(E177&lt;201,E177/2,IF(E177&lt;=301,E177/3,E177/4))))</f>
        <v>579.15701999999999</v>
      </c>
      <c r="G177" s="179"/>
      <c r="H177" s="180"/>
      <c r="I177" s="33"/>
      <c r="N177" s="33"/>
    </row>
    <row r="178" spans="1:14" s="49" customFormat="1" ht="15.75" customHeight="1" x14ac:dyDescent="0.25">
      <c r="A178" s="77">
        <f t="shared" si="15"/>
        <v>4</v>
      </c>
      <c r="B178" s="77"/>
      <c r="C178" s="48" t="s">
        <v>168</v>
      </c>
      <c r="D178" s="48">
        <f>(33.36)*10.764</f>
        <v>359.08703999999994</v>
      </c>
      <c r="E178" s="48">
        <v>0</v>
      </c>
      <c r="F178" s="48">
        <f t="shared" si="16"/>
        <v>538.63055999999995</v>
      </c>
      <c r="G178" s="179"/>
      <c r="H178" s="180"/>
      <c r="I178" s="33"/>
      <c r="N178" s="33"/>
    </row>
    <row r="179" spans="1:14" s="49" customFormat="1" ht="15.75" customHeight="1" x14ac:dyDescent="0.25">
      <c r="A179" s="77">
        <f t="shared" si="15"/>
        <v>5</v>
      </c>
      <c r="B179" s="77"/>
      <c r="C179" s="48" t="s">
        <v>168</v>
      </c>
      <c r="D179" s="48">
        <f t="shared" ref="D179:D183" si="17">(33.36)*10.764</f>
        <v>359.08703999999994</v>
      </c>
      <c r="E179" s="48">
        <v>0</v>
      </c>
      <c r="F179" s="48">
        <f t="shared" si="16"/>
        <v>538.63055999999995</v>
      </c>
      <c r="G179" s="179"/>
      <c r="H179" s="180"/>
      <c r="I179" s="33"/>
      <c r="N179" s="33"/>
    </row>
    <row r="180" spans="1:14" s="49" customFormat="1" ht="15.75" customHeight="1" x14ac:dyDescent="0.25">
      <c r="A180" s="77">
        <f t="shared" si="15"/>
        <v>6</v>
      </c>
      <c r="B180" s="77"/>
      <c r="C180" s="48" t="s">
        <v>168</v>
      </c>
      <c r="D180" s="48">
        <f t="shared" si="17"/>
        <v>359.08703999999994</v>
      </c>
      <c r="E180" s="48">
        <v>0</v>
      </c>
      <c r="F180" s="48">
        <f t="shared" si="16"/>
        <v>538.63055999999995</v>
      </c>
      <c r="G180" s="179"/>
      <c r="H180" s="180"/>
      <c r="I180" s="33"/>
      <c r="N180" s="33"/>
    </row>
    <row r="181" spans="1:14" s="49" customFormat="1" ht="15.75" customHeight="1" x14ac:dyDescent="0.25">
      <c r="A181" s="77">
        <f t="shared" si="15"/>
        <v>7</v>
      </c>
      <c r="B181" s="77"/>
      <c r="C181" s="48" t="s">
        <v>168</v>
      </c>
      <c r="D181" s="48">
        <f t="shared" si="17"/>
        <v>359.08703999999994</v>
      </c>
      <c r="E181" s="48">
        <v>0</v>
      </c>
      <c r="F181" s="48">
        <f t="shared" si="16"/>
        <v>538.63055999999995</v>
      </c>
      <c r="G181" s="179"/>
      <c r="H181" s="180"/>
      <c r="I181" s="33"/>
      <c r="N181" s="33"/>
    </row>
    <row r="182" spans="1:14" s="49" customFormat="1" ht="15.75" customHeight="1" x14ac:dyDescent="0.25">
      <c r="A182" s="77">
        <f t="shared" si="15"/>
        <v>8</v>
      </c>
      <c r="B182" s="77"/>
      <c r="C182" s="48" t="s">
        <v>168</v>
      </c>
      <c r="D182" s="48">
        <f t="shared" si="17"/>
        <v>359.08703999999994</v>
      </c>
      <c r="E182" s="48">
        <v>0</v>
      </c>
      <c r="F182" s="48">
        <f t="shared" si="16"/>
        <v>538.63055999999995</v>
      </c>
      <c r="G182" s="179"/>
      <c r="H182" s="180"/>
      <c r="I182" s="33"/>
      <c r="N182" s="33"/>
    </row>
    <row r="183" spans="1:14" s="49" customFormat="1" ht="15.75" customHeight="1" x14ac:dyDescent="0.25">
      <c r="A183" s="77">
        <f t="shared" si="15"/>
        <v>9</v>
      </c>
      <c r="B183" s="77"/>
      <c r="C183" s="48" t="s">
        <v>168</v>
      </c>
      <c r="D183" s="48">
        <f t="shared" si="17"/>
        <v>359.08703999999994</v>
      </c>
      <c r="E183" s="48">
        <v>0</v>
      </c>
      <c r="F183" s="48">
        <f t="shared" si="16"/>
        <v>538.63055999999995</v>
      </c>
      <c r="G183" s="181"/>
      <c r="H183" s="182"/>
      <c r="I183" s="33"/>
      <c r="N183" s="33"/>
    </row>
    <row r="184" spans="1:14" x14ac:dyDescent="0.25">
      <c r="A184" s="79" t="s">
        <v>174</v>
      </c>
      <c r="B184" s="79"/>
      <c r="C184" s="79"/>
      <c r="D184" s="79"/>
      <c r="E184" s="79"/>
      <c r="F184" s="79"/>
      <c r="G184" s="79"/>
      <c r="H184" s="79"/>
    </row>
    <row r="185" spans="1:14" s="49" customFormat="1" x14ac:dyDescent="0.25">
      <c r="A185" s="80" t="s">
        <v>166</v>
      </c>
      <c r="B185" s="81"/>
      <c r="C185" s="81"/>
      <c r="D185" s="81"/>
      <c r="E185" s="81"/>
      <c r="F185" s="81"/>
      <c r="G185" s="81"/>
      <c r="H185" s="82"/>
      <c r="I185" s="33"/>
      <c r="N185" s="33"/>
    </row>
    <row r="186" spans="1:14" s="49" customFormat="1" x14ac:dyDescent="0.25">
      <c r="A186" s="80" t="s">
        <v>167</v>
      </c>
      <c r="B186" s="81"/>
      <c r="C186" s="81"/>
      <c r="D186" s="81"/>
      <c r="E186" s="81"/>
      <c r="F186" s="81"/>
      <c r="G186" s="81"/>
      <c r="H186" s="82"/>
      <c r="J186" s="33"/>
    </row>
    <row r="187" spans="1:14" s="49" customFormat="1" ht="15.75" customHeight="1" x14ac:dyDescent="0.25">
      <c r="A187" s="83">
        <v>1</v>
      </c>
      <c r="B187" s="84"/>
      <c r="C187" s="48" t="s">
        <v>168</v>
      </c>
      <c r="D187" s="48">
        <f>(33.36)*10.764</f>
        <v>359.08703999999994</v>
      </c>
      <c r="E187" s="48">
        <v>0</v>
      </c>
      <c r="F187" s="48">
        <f t="shared" ref="F187:F193" si="18">D187*(($F$116)+1)+(IF(E187&lt;101,E187,IF(E187&lt;201,E187/2,IF(E187&lt;=301,E187/3,E187/4))))</f>
        <v>538.63055999999995</v>
      </c>
      <c r="G187" s="177" t="str">
        <f>A186</f>
        <v>1st Floor for Residential</v>
      </c>
      <c r="H187" s="178"/>
      <c r="I187" s="33"/>
      <c r="L187" s="108"/>
      <c r="M187" s="108"/>
      <c r="N187" s="33"/>
    </row>
    <row r="188" spans="1:14" s="49" customFormat="1" ht="15.75" customHeight="1" x14ac:dyDescent="0.25">
      <c r="A188" s="83">
        <f t="shared" ref="A188:A195" si="19">A187+1</f>
        <v>2</v>
      </c>
      <c r="B188" s="84"/>
      <c r="C188" s="48" t="s">
        <v>168</v>
      </c>
      <c r="D188" s="48">
        <f>(33.36)*10.764</f>
        <v>359.08703999999994</v>
      </c>
      <c r="E188" s="48">
        <v>0</v>
      </c>
      <c r="F188" s="48">
        <f t="shared" si="18"/>
        <v>538.63055999999995</v>
      </c>
      <c r="G188" s="179"/>
      <c r="H188" s="180"/>
      <c r="I188" s="33"/>
      <c r="L188" s="108"/>
      <c r="M188" s="108"/>
      <c r="N188" s="33"/>
    </row>
    <row r="189" spans="1:14" s="49" customFormat="1" ht="15.75" customHeight="1" x14ac:dyDescent="0.25">
      <c r="A189" s="83">
        <f t="shared" si="19"/>
        <v>3</v>
      </c>
      <c r="B189" s="84"/>
      <c r="C189" s="48" t="s">
        <v>168</v>
      </c>
      <c r="D189" s="48">
        <f>(35.87)*10.764</f>
        <v>386.10467999999997</v>
      </c>
      <c r="E189" s="48">
        <v>0</v>
      </c>
      <c r="F189" s="48">
        <f t="shared" si="18"/>
        <v>579.15701999999999</v>
      </c>
      <c r="G189" s="179"/>
      <c r="H189" s="180"/>
      <c r="I189" s="33"/>
      <c r="L189" s="108"/>
      <c r="M189" s="108"/>
      <c r="N189" s="33"/>
    </row>
    <row r="190" spans="1:14" s="49" customFormat="1" ht="15.75" customHeight="1" x14ac:dyDescent="0.25">
      <c r="A190" s="83">
        <f t="shared" si="19"/>
        <v>4</v>
      </c>
      <c r="B190" s="84"/>
      <c r="C190" s="48" t="s">
        <v>168</v>
      </c>
      <c r="D190" s="48">
        <f>(33.36)*10.764</f>
        <v>359.08703999999994</v>
      </c>
      <c r="E190" s="48">
        <v>0</v>
      </c>
      <c r="F190" s="48">
        <f t="shared" si="18"/>
        <v>538.63055999999995</v>
      </c>
      <c r="G190" s="179"/>
      <c r="H190" s="180"/>
      <c r="I190" s="33"/>
      <c r="L190" s="108"/>
      <c r="M190" s="108"/>
      <c r="N190" s="33"/>
    </row>
    <row r="191" spans="1:14" s="49" customFormat="1" ht="15.75" customHeight="1" x14ac:dyDescent="0.25">
      <c r="A191" s="83">
        <f t="shared" si="19"/>
        <v>5</v>
      </c>
      <c r="B191" s="84"/>
      <c r="C191" s="48" t="s">
        <v>168</v>
      </c>
      <c r="D191" s="48">
        <f>(33.36)*10.764</f>
        <v>359.08703999999994</v>
      </c>
      <c r="E191" s="48">
        <v>0</v>
      </c>
      <c r="F191" s="48">
        <f t="shared" si="18"/>
        <v>538.63055999999995</v>
      </c>
      <c r="G191" s="179"/>
      <c r="H191" s="180"/>
      <c r="I191" s="33"/>
      <c r="L191" s="108"/>
      <c r="M191" s="108"/>
      <c r="N191" s="33"/>
    </row>
    <row r="192" spans="1:14" s="49" customFormat="1" ht="15.75" customHeight="1" x14ac:dyDescent="0.25">
      <c r="A192" s="83">
        <f t="shared" si="19"/>
        <v>6</v>
      </c>
      <c r="B192" s="84"/>
      <c r="C192" s="48" t="s">
        <v>168</v>
      </c>
      <c r="D192" s="48">
        <f>(33.36)*10.764</f>
        <v>359.08703999999994</v>
      </c>
      <c r="E192" s="48">
        <v>0</v>
      </c>
      <c r="F192" s="48">
        <f t="shared" si="18"/>
        <v>538.63055999999995</v>
      </c>
      <c r="G192" s="179"/>
      <c r="H192" s="180"/>
      <c r="I192" s="33"/>
      <c r="L192" s="108"/>
      <c r="M192" s="108"/>
      <c r="N192" s="33"/>
    </row>
    <row r="193" spans="1:14" s="49" customFormat="1" ht="15.75" customHeight="1" x14ac:dyDescent="0.25">
      <c r="A193" s="83">
        <f t="shared" si="19"/>
        <v>7</v>
      </c>
      <c r="B193" s="84"/>
      <c r="C193" s="48" t="s">
        <v>168</v>
      </c>
      <c r="D193" s="48">
        <f>(33.36)*10.764</f>
        <v>359.08703999999994</v>
      </c>
      <c r="E193" s="48">
        <v>0</v>
      </c>
      <c r="F193" s="48">
        <f t="shared" si="18"/>
        <v>538.63055999999995</v>
      </c>
      <c r="G193" s="179"/>
      <c r="H193" s="180"/>
      <c r="I193" s="33"/>
      <c r="L193" s="108"/>
      <c r="M193" s="108"/>
      <c r="N193" s="33"/>
    </row>
    <row r="194" spans="1:14" s="49" customFormat="1" ht="15.75" customHeight="1" x14ac:dyDescent="0.25">
      <c r="A194" s="83">
        <f t="shared" si="19"/>
        <v>8</v>
      </c>
      <c r="B194" s="84"/>
      <c r="C194" s="83" t="s">
        <v>169</v>
      </c>
      <c r="D194" s="176"/>
      <c r="E194" s="176"/>
      <c r="F194" s="84"/>
      <c r="G194" s="179"/>
      <c r="H194" s="180"/>
      <c r="I194" s="33"/>
      <c r="L194" s="108"/>
      <c r="M194" s="108"/>
      <c r="N194" s="33"/>
    </row>
    <row r="195" spans="1:14" s="49" customFormat="1" ht="15.75" customHeight="1" x14ac:dyDescent="0.25">
      <c r="A195" s="83">
        <f t="shared" si="19"/>
        <v>9</v>
      </c>
      <c r="B195" s="84"/>
      <c r="C195" s="48" t="s">
        <v>168</v>
      </c>
      <c r="D195" s="48">
        <f>(33.36)*10.764</f>
        <v>359.08703999999994</v>
      </c>
      <c r="E195" s="48">
        <v>0</v>
      </c>
      <c r="F195" s="48">
        <f>D195*(($F$116)+1)+(IF(E195&lt;101,E195,IF(E195&lt;201,E195/2,IF(E195&lt;=301,E195/3,E195/4))))</f>
        <v>538.63055999999995</v>
      </c>
      <c r="G195" s="181"/>
      <c r="H195" s="182"/>
      <c r="I195" s="33"/>
      <c r="L195" s="108"/>
      <c r="M195" s="108"/>
      <c r="N195" s="33"/>
    </row>
    <row r="196" spans="1:14" s="49" customFormat="1" x14ac:dyDescent="0.25">
      <c r="A196" s="78" t="s">
        <v>170</v>
      </c>
      <c r="B196" s="78"/>
      <c r="C196" s="78"/>
      <c r="D196" s="78"/>
      <c r="E196" s="78"/>
      <c r="F196" s="78"/>
      <c r="G196" s="78"/>
      <c r="H196" s="78"/>
      <c r="I196" s="33"/>
      <c r="L196" s="108"/>
      <c r="M196" s="108"/>
    </row>
    <row r="197" spans="1:14" s="49" customFormat="1" ht="15.75" customHeight="1" x14ac:dyDescent="0.25">
      <c r="A197" s="77">
        <v>1</v>
      </c>
      <c r="B197" s="77"/>
      <c r="C197" s="56" t="s">
        <v>168</v>
      </c>
      <c r="D197" s="56">
        <f>(33.36)*10.764</f>
        <v>359.08703999999994</v>
      </c>
      <c r="E197" s="56">
        <v>0</v>
      </c>
      <c r="F197" s="56">
        <f t="shared" ref="F197:F198" si="20">D197*(($F$116)+1)+(IF(E197&lt;101,E197,IF(E197&lt;201,E197/2,IF(E197&lt;=301,E197/3,E197/4))))</f>
        <v>538.63055999999995</v>
      </c>
      <c r="G197" s="77" t="str">
        <f>A196</f>
        <v>2nd to 12th, 14th to 17th &amp; 19th to 22nd Floor</v>
      </c>
      <c r="H197" s="77"/>
      <c r="I197" s="33"/>
      <c r="N197" s="33"/>
    </row>
    <row r="198" spans="1:14" s="49" customFormat="1" ht="15.75" customHeight="1" x14ac:dyDescent="0.25">
      <c r="A198" s="77">
        <f t="shared" ref="A198:A206" si="21">A197+1</f>
        <v>2</v>
      </c>
      <c r="B198" s="77"/>
      <c r="C198" s="56" t="s">
        <v>168</v>
      </c>
      <c r="D198" s="56">
        <f>(33.36)*10.764</f>
        <v>359.08703999999994</v>
      </c>
      <c r="E198" s="56">
        <v>0</v>
      </c>
      <c r="F198" s="56">
        <f t="shared" si="20"/>
        <v>538.63055999999995</v>
      </c>
      <c r="G198" s="77"/>
      <c r="H198" s="77"/>
      <c r="I198" s="33"/>
      <c r="N198" s="33"/>
    </row>
    <row r="199" spans="1:14" s="49" customFormat="1" ht="15.75" customHeight="1" x14ac:dyDescent="0.25">
      <c r="A199" s="77">
        <f t="shared" si="21"/>
        <v>3</v>
      </c>
      <c r="B199" s="77"/>
      <c r="C199" s="56" t="s">
        <v>168</v>
      </c>
      <c r="D199" s="56">
        <f>(35.87)*10.764</f>
        <v>386.10467999999997</v>
      </c>
      <c r="E199" s="56">
        <v>0</v>
      </c>
      <c r="F199" s="56">
        <f t="shared" ref="F199:F206" si="22">D199*(($F$116)+1)+(IF(E199&lt;101,E199,IF(E199&lt;201,E199/2,IF(E199&lt;=301,E199/3,E199/4))))</f>
        <v>579.15701999999999</v>
      </c>
      <c r="G199" s="77"/>
      <c r="H199" s="77"/>
      <c r="I199" s="33"/>
      <c r="N199" s="33"/>
    </row>
    <row r="200" spans="1:14" s="49" customFormat="1" ht="15.75" customHeight="1" x14ac:dyDescent="0.25">
      <c r="A200" s="77">
        <f t="shared" si="21"/>
        <v>4</v>
      </c>
      <c r="B200" s="77"/>
      <c r="C200" s="56" t="s">
        <v>168</v>
      </c>
      <c r="D200" s="56">
        <f>(33.36)*10.764</f>
        <v>359.08703999999994</v>
      </c>
      <c r="E200" s="56">
        <v>0</v>
      </c>
      <c r="F200" s="56">
        <f t="shared" si="22"/>
        <v>538.63055999999995</v>
      </c>
      <c r="G200" s="77"/>
      <c r="H200" s="77"/>
      <c r="I200" s="33"/>
      <c r="N200" s="33"/>
    </row>
    <row r="201" spans="1:14" s="49" customFormat="1" ht="15.75" customHeight="1" x14ac:dyDescent="0.25">
      <c r="A201" s="77">
        <f t="shared" si="21"/>
        <v>5</v>
      </c>
      <c r="B201" s="77"/>
      <c r="C201" s="56" t="s">
        <v>168</v>
      </c>
      <c r="D201" s="56">
        <f>(33.36)*10.764</f>
        <v>359.08703999999994</v>
      </c>
      <c r="E201" s="56">
        <v>0</v>
      </c>
      <c r="F201" s="56">
        <f t="shared" si="22"/>
        <v>538.63055999999995</v>
      </c>
      <c r="G201" s="77"/>
      <c r="H201" s="77"/>
      <c r="I201" s="33"/>
      <c r="N201" s="33"/>
    </row>
    <row r="202" spans="1:14" s="49" customFormat="1" ht="15.75" customHeight="1" x14ac:dyDescent="0.25">
      <c r="A202" s="77">
        <f t="shared" si="21"/>
        <v>6</v>
      </c>
      <c r="B202" s="77"/>
      <c r="C202" s="56" t="s">
        <v>168</v>
      </c>
      <c r="D202" s="56">
        <f>(33.36)*10.764</f>
        <v>359.08703999999994</v>
      </c>
      <c r="E202" s="56">
        <v>0</v>
      </c>
      <c r="F202" s="56">
        <f t="shared" si="22"/>
        <v>538.63055999999995</v>
      </c>
      <c r="G202" s="77"/>
      <c r="H202" s="77"/>
      <c r="I202" s="33"/>
      <c r="N202" s="33"/>
    </row>
    <row r="203" spans="1:14" s="49" customFormat="1" ht="15.75" customHeight="1" x14ac:dyDescent="0.25">
      <c r="A203" s="77">
        <f t="shared" si="21"/>
        <v>7</v>
      </c>
      <c r="B203" s="77"/>
      <c r="C203" s="56" t="s">
        <v>168</v>
      </c>
      <c r="D203" s="56">
        <f>(33.36)*10.764</f>
        <v>359.08703999999994</v>
      </c>
      <c r="E203" s="56">
        <v>0</v>
      </c>
      <c r="F203" s="56">
        <f t="shared" si="22"/>
        <v>538.63055999999995</v>
      </c>
      <c r="G203" s="77"/>
      <c r="H203" s="77"/>
      <c r="I203" s="33"/>
      <c r="N203" s="33"/>
    </row>
    <row r="204" spans="1:14" s="49" customFormat="1" ht="15.75" customHeight="1" x14ac:dyDescent="0.25">
      <c r="A204" s="77">
        <f t="shared" si="21"/>
        <v>8</v>
      </c>
      <c r="B204" s="77"/>
      <c r="C204" s="56" t="s">
        <v>168</v>
      </c>
      <c r="D204" s="56">
        <f>(35.87)*10.764</f>
        <v>386.10467999999997</v>
      </c>
      <c r="E204" s="56">
        <v>0</v>
      </c>
      <c r="F204" s="56">
        <f t="shared" si="22"/>
        <v>579.15701999999999</v>
      </c>
      <c r="G204" s="77"/>
      <c r="H204" s="77"/>
      <c r="I204" s="33"/>
      <c r="N204" s="33"/>
    </row>
    <row r="205" spans="1:14" s="49" customFormat="1" ht="15.75" customHeight="1" x14ac:dyDescent="0.25">
      <c r="A205" s="77">
        <f t="shared" si="21"/>
        <v>9</v>
      </c>
      <c r="B205" s="77"/>
      <c r="C205" s="56" t="s">
        <v>168</v>
      </c>
      <c r="D205" s="56">
        <f>(33.36)*10.764</f>
        <v>359.08703999999994</v>
      </c>
      <c r="E205" s="56">
        <v>0</v>
      </c>
      <c r="F205" s="56">
        <f t="shared" si="22"/>
        <v>538.63055999999995</v>
      </c>
      <c r="G205" s="77"/>
      <c r="H205" s="77"/>
      <c r="I205" s="33"/>
      <c r="N205" s="33"/>
    </row>
    <row r="206" spans="1:14" s="49" customFormat="1" ht="15.75" customHeight="1" x14ac:dyDescent="0.25">
      <c r="A206" s="77">
        <f t="shared" si="21"/>
        <v>10</v>
      </c>
      <c r="B206" s="77"/>
      <c r="C206" s="56" t="s">
        <v>168</v>
      </c>
      <c r="D206" s="56">
        <f>(33.36)*10.764</f>
        <v>359.08703999999994</v>
      </c>
      <c r="E206" s="56">
        <v>0</v>
      </c>
      <c r="F206" s="56">
        <f t="shared" si="22"/>
        <v>538.63055999999995</v>
      </c>
      <c r="G206" s="77"/>
      <c r="H206" s="77"/>
      <c r="I206" s="33"/>
      <c r="N206" s="33"/>
    </row>
    <row r="207" spans="1:14" s="49" customFormat="1" x14ac:dyDescent="0.25">
      <c r="A207" s="78" t="s">
        <v>171</v>
      </c>
      <c r="B207" s="78"/>
      <c r="C207" s="78"/>
      <c r="D207" s="78"/>
      <c r="E207" s="78"/>
      <c r="F207" s="78"/>
      <c r="G207" s="78"/>
      <c r="H207" s="78"/>
      <c r="I207" s="33"/>
      <c r="L207" s="108"/>
      <c r="M207" s="108"/>
    </row>
    <row r="208" spans="1:14" s="49" customFormat="1" ht="15.75" customHeight="1" x14ac:dyDescent="0.25">
      <c r="A208" s="77">
        <v>1</v>
      </c>
      <c r="B208" s="77"/>
      <c r="C208" s="48" t="s">
        <v>168</v>
      </c>
      <c r="D208" s="48">
        <f>(33.36)*10.764</f>
        <v>359.08703999999994</v>
      </c>
      <c r="E208" s="48">
        <v>0</v>
      </c>
      <c r="F208" s="48">
        <f t="shared" ref="F208:F209" si="23">D208*(($F$116)+1)+(IF(E208&lt;101,E208,IF(E208&lt;201,E208/2,IF(E208&lt;=301,E208/3,E208/4))))</f>
        <v>538.63055999999995</v>
      </c>
      <c r="G208" s="177" t="str">
        <f>A207</f>
        <v>13th, 18th &amp; 23rd Floor (Part Refuge Area)</v>
      </c>
      <c r="H208" s="178"/>
      <c r="I208" s="33"/>
      <c r="N208" s="33"/>
    </row>
    <row r="209" spans="1:14" s="49" customFormat="1" ht="15.75" customHeight="1" x14ac:dyDescent="0.25">
      <c r="A209" s="77">
        <f t="shared" ref="A209:A216" si="24">A208+1</f>
        <v>2</v>
      </c>
      <c r="B209" s="77"/>
      <c r="C209" s="48" t="s">
        <v>168</v>
      </c>
      <c r="D209" s="48">
        <f>(33.36)*10.764</f>
        <v>359.08703999999994</v>
      </c>
      <c r="E209" s="48">
        <v>0</v>
      </c>
      <c r="F209" s="48">
        <f t="shared" si="23"/>
        <v>538.63055999999995</v>
      </c>
      <c r="G209" s="179"/>
      <c r="H209" s="180"/>
      <c r="I209" s="33"/>
      <c r="N209" s="33"/>
    </row>
    <row r="210" spans="1:14" s="49" customFormat="1" ht="15.75" customHeight="1" x14ac:dyDescent="0.25">
      <c r="A210" s="77">
        <f t="shared" si="24"/>
        <v>3</v>
      </c>
      <c r="B210" s="77"/>
      <c r="C210" s="48" t="s">
        <v>168</v>
      </c>
      <c r="D210" s="48">
        <f>(35.87)*10.764</f>
        <v>386.10467999999997</v>
      </c>
      <c r="E210" s="48">
        <v>0</v>
      </c>
      <c r="F210" s="48">
        <f t="shared" ref="F210:F216" si="25">D210*(($F$116)+1)+(IF(E210&lt;101,E210,IF(E210&lt;201,E210/2,IF(E210&lt;=301,E210/3,E210/4))))</f>
        <v>579.15701999999999</v>
      </c>
      <c r="G210" s="179"/>
      <c r="H210" s="180"/>
      <c r="I210" s="33"/>
      <c r="N210" s="33"/>
    </row>
    <row r="211" spans="1:14" s="49" customFormat="1" ht="15.75" customHeight="1" x14ac:dyDescent="0.25">
      <c r="A211" s="77">
        <f t="shared" si="24"/>
        <v>4</v>
      </c>
      <c r="B211" s="77"/>
      <c r="C211" s="48" t="s">
        <v>168</v>
      </c>
      <c r="D211" s="48">
        <f>(33.36)*10.764</f>
        <v>359.08703999999994</v>
      </c>
      <c r="E211" s="48">
        <v>0</v>
      </c>
      <c r="F211" s="48">
        <f t="shared" si="25"/>
        <v>538.63055999999995</v>
      </c>
      <c r="G211" s="179"/>
      <c r="H211" s="180"/>
      <c r="I211" s="33"/>
      <c r="N211" s="33"/>
    </row>
    <row r="212" spans="1:14" s="49" customFormat="1" ht="15.75" customHeight="1" x14ac:dyDescent="0.25">
      <c r="A212" s="77">
        <f t="shared" si="24"/>
        <v>5</v>
      </c>
      <c r="B212" s="77"/>
      <c r="C212" s="48" t="s">
        <v>168</v>
      </c>
      <c r="D212" s="48">
        <f t="shared" ref="D212:D216" si="26">(33.36)*10.764</f>
        <v>359.08703999999994</v>
      </c>
      <c r="E212" s="48">
        <v>0</v>
      </c>
      <c r="F212" s="48">
        <f t="shared" si="25"/>
        <v>538.63055999999995</v>
      </c>
      <c r="G212" s="179"/>
      <c r="H212" s="180"/>
      <c r="I212" s="33"/>
      <c r="N212" s="33"/>
    </row>
    <row r="213" spans="1:14" s="49" customFormat="1" ht="15.75" customHeight="1" x14ac:dyDescent="0.25">
      <c r="A213" s="77">
        <f t="shared" si="24"/>
        <v>6</v>
      </c>
      <c r="B213" s="77"/>
      <c r="C213" s="48" t="s">
        <v>168</v>
      </c>
      <c r="D213" s="48">
        <f t="shared" si="26"/>
        <v>359.08703999999994</v>
      </c>
      <c r="E213" s="48">
        <v>0</v>
      </c>
      <c r="F213" s="48">
        <f t="shared" si="25"/>
        <v>538.63055999999995</v>
      </c>
      <c r="G213" s="179"/>
      <c r="H213" s="180"/>
      <c r="I213" s="33"/>
      <c r="N213" s="33"/>
    </row>
    <row r="214" spans="1:14" s="49" customFormat="1" ht="15.75" customHeight="1" x14ac:dyDescent="0.25">
      <c r="A214" s="77">
        <f t="shared" si="24"/>
        <v>7</v>
      </c>
      <c r="B214" s="77"/>
      <c r="C214" s="48" t="s">
        <v>168</v>
      </c>
      <c r="D214" s="48">
        <f t="shared" si="26"/>
        <v>359.08703999999994</v>
      </c>
      <c r="E214" s="48">
        <v>0</v>
      </c>
      <c r="F214" s="48">
        <f t="shared" si="25"/>
        <v>538.63055999999995</v>
      </c>
      <c r="G214" s="179"/>
      <c r="H214" s="180"/>
      <c r="I214" s="33"/>
      <c r="N214" s="33"/>
    </row>
    <row r="215" spans="1:14" s="49" customFormat="1" ht="15.75" customHeight="1" x14ac:dyDescent="0.25">
      <c r="A215" s="77">
        <f t="shared" si="24"/>
        <v>8</v>
      </c>
      <c r="B215" s="77"/>
      <c r="C215" s="48" t="s">
        <v>168</v>
      </c>
      <c r="D215" s="48">
        <f t="shared" si="26"/>
        <v>359.08703999999994</v>
      </c>
      <c r="E215" s="48">
        <v>0</v>
      </c>
      <c r="F215" s="48">
        <f t="shared" si="25"/>
        <v>538.63055999999995</v>
      </c>
      <c r="G215" s="179"/>
      <c r="H215" s="180"/>
      <c r="I215" s="33"/>
      <c r="N215" s="33"/>
    </row>
    <row r="216" spans="1:14" s="49" customFormat="1" ht="15.75" customHeight="1" x14ac:dyDescent="0.25">
      <c r="A216" s="77">
        <f t="shared" si="24"/>
        <v>9</v>
      </c>
      <c r="B216" s="77"/>
      <c r="C216" s="48" t="s">
        <v>168</v>
      </c>
      <c r="D216" s="48">
        <f t="shared" si="26"/>
        <v>359.08703999999994</v>
      </c>
      <c r="E216" s="48">
        <v>0</v>
      </c>
      <c r="F216" s="48">
        <f t="shared" si="25"/>
        <v>538.63055999999995</v>
      </c>
      <c r="G216" s="181"/>
      <c r="H216" s="182"/>
      <c r="I216" s="33"/>
      <c r="N216" s="33"/>
    </row>
    <row r="217" spans="1:14" s="32" customFormat="1" x14ac:dyDescent="0.25">
      <c r="A217" s="169" t="s">
        <v>70</v>
      </c>
      <c r="B217" s="169"/>
      <c r="C217" s="169"/>
      <c r="D217" s="169"/>
      <c r="E217" s="169"/>
      <c r="F217" s="169"/>
      <c r="G217" s="169"/>
      <c r="H217" s="169"/>
    </row>
    <row r="218" spans="1:14" s="32" customFormat="1" ht="47.1" customHeight="1" x14ac:dyDescent="0.25">
      <c r="A218" s="53" t="s">
        <v>156</v>
      </c>
      <c r="B218" s="71" t="s">
        <v>216</v>
      </c>
      <c r="C218" s="72"/>
      <c r="D218" s="72"/>
      <c r="E218" s="72"/>
      <c r="F218" s="72"/>
      <c r="G218" s="72"/>
      <c r="H218" s="73"/>
    </row>
    <row r="219" spans="1:14" s="32" customFormat="1" x14ac:dyDescent="0.25">
      <c r="A219" s="53" t="s">
        <v>156</v>
      </c>
      <c r="B219" s="71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219" s="72"/>
      <c r="D219" s="72"/>
      <c r="E219" s="72"/>
      <c r="F219" s="72"/>
      <c r="G219" s="72"/>
      <c r="H219" s="73"/>
    </row>
    <row r="220" spans="1:14" s="32" customFormat="1" x14ac:dyDescent="0.25">
      <c r="A220" s="41" t="s">
        <v>156</v>
      </c>
      <c r="B220" s="74" t="s">
        <v>126</v>
      </c>
      <c r="C220" s="75"/>
      <c r="D220" s="75"/>
      <c r="E220" s="75"/>
      <c r="F220" s="75"/>
      <c r="G220" s="75"/>
      <c r="H220" s="76"/>
    </row>
    <row r="221" spans="1:14" s="32" customFormat="1" x14ac:dyDescent="0.25">
      <c r="A221" s="41" t="s">
        <v>156</v>
      </c>
      <c r="B221" s="74" t="s">
        <v>198</v>
      </c>
      <c r="C221" s="75"/>
      <c r="D221" s="75"/>
      <c r="E221" s="75"/>
      <c r="F221" s="75"/>
      <c r="G221" s="75"/>
      <c r="H221" s="76"/>
    </row>
    <row r="222" spans="1:14" s="32" customFormat="1" x14ac:dyDescent="0.25">
      <c r="A222" s="41" t="s">
        <v>156</v>
      </c>
      <c r="B222" s="74" t="s">
        <v>155</v>
      </c>
      <c r="C222" s="75"/>
      <c r="D222" s="75"/>
      <c r="E222" s="75"/>
      <c r="F222" s="75"/>
      <c r="G222" s="75"/>
      <c r="H222" s="76"/>
    </row>
    <row r="223" spans="1:14" s="32" customFormat="1" x14ac:dyDescent="0.25">
      <c r="A223" s="41" t="s">
        <v>156</v>
      </c>
      <c r="B223" s="74" t="s">
        <v>127</v>
      </c>
      <c r="C223" s="75"/>
      <c r="D223" s="75"/>
      <c r="E223" s="75"/>
      <c r="F223" s="75"/>
      <c r="G223" s="75"/>
      <c r="H223" s="76"/>
    </row>
    <row r="224" spans="1:14" s="32" customFormat="1" ht="32.25" customHeight="1" x14ac:dyDescent="0.25">
      <c r="A224" s="41" t="s">
        <v>156</v>
      </c>
      <c r="B224" s="74" t="s">
        <v>157</v>
      </c>
      <c r="C224" s="75"/>
      <c r="D224" s="75"/>
      <c r="E224" s="75"/>
      <c r="F224" s="75"/>
      <c r="G224" s="75"/>
      <c r="H224" s="76"/>
    </row>
    <row r="225" spans="1:8" s="32" customFormat="1" x14ac:dyDescent="0.25">
      <c r="A225" s="41" t="s">
        <v>156</v>
      </c>
      <c r="B225" s="74" t="s">
        <v>128</v>
      </c>
      <c r="C225" s="75"/>
      <c r="D225" s="75"/>
      <c r="E225" s="75"/>
      <c r="F225" s="75"/>
      <c r="G225" s="75"/>
      <c r="H225" s="76"/>
    </row>
    <row r="226" spans="1:8" s="32" customFormat="1" hidden="1" x14ac:dyDescent="0.25">
      <c r="A226" s="53" t="s">
        <v>156</v>
      </c>
      <c r="B226" s="71" t="s">
        <v>206</v>
      </c>
      <c r="C226" s="72"/>
      <c r="D226" s="72"/>
      <c r="E226" s="72"/>
      <c r="F226" s="72"/>
      <c r="G226" s="72"/>
      <c r="H226" s="73"/>
    </row>
    <row r="227" spans="1:8" s="32" customFormat="1" x14ac:dyDescent="0.25">
      <c r="A227" s="53" t="s">
        <v>156</v>
      </c>
      <c r="B227" s="71" t="s">
        <v>205</v>
      </c>
      <c r="C227" s="72"/>
      <c r="D227" s="72"/>
      <c r="E227" s="72"/>
      <c r="F227" s="72"/>
      <c r="G227" s="72"/>
      <c r="H227" s="73"/>
    </row>
    <row r="228" spans="1:8" s="32" customFormat="1" ht="30.95" customHeight="1" x14ac:dyDescent="0.25">
      <c r="A228" s="53" t="s">
        <v>156</v>
      </c>
      <c r="B228" s="71" t="s">
        <v>215</v>
      </c>
      <c r="C228" s="72"/>
      <c r="D228" s="72"/>
      <c r="E228" s="72"/>
      <c r="F228" s="72"/>
      <c r="G228" s="72"/>
      <c r="H228" s="73"/>
    </row>
    <row r="229" spans="1:8" x14ac:dyDescent="0.25">
      <c r="A229" s="170" t="s">
        <v>63</v>
      </c>
      <c r="B229" s="170"/>
      <c r="C229" s="170"/>
      <c r="D229" s="170"/>
      <c r="E229" s="170"/>
      <c r="F229" s="170"/>
      <c r="G229" s="170"/>
      <c r="H229" s="170"/>
    </row>
    <row r="230" spans="1:8" x14ac:dyDescent="0.25">
      <c r="A230" s="138" t="s">
        <v>64</v>
      </c>
      <c r="B230" s="138"/>
      <c r="C230" s="138"/>
      <c r="D230" s="138"/>
      <c r="E230" s="138"/>
      <c r="F230" s="138"/>
      <c r="G230" s="138"/>
      <c r="H230" s="138"/>
    </row>
    <row r="231" spans="1:8" ht="15.75" customHeight="1" x14ac:dyDescent="0.25">
      <c r="A231" s="171" t="s">
        <v>65</v>
      </c>
      <c r="B231" s="171"/>
      <c r="C231" s="171"/>
      <c r="D231" s="171"/>
      <c r="E231" s="171"/>
      <c r="F231" s="171"/>
      <c r="G231" s="171"/>
      <c r="H231" s="171"/>
    </row>
    <row r="232" spans="1:8" x14ac:dyDescent="0.25">
      <c r="A232" s="89" t="s">
        <v>66</v>
      </c>
      <c r="B232" s="89"/>
      <c r="C232" s="89"/>
      <c r="D232" s="89"/>
      <c r="E232" s="89"/>
      <c r="F232" s="89"/>
      <c r="G232" s="89"/>
      <c r="H232" s="89"/>
    </row>
    <row r="233" spans="1:8" x14ac:dyDescent="0.25">
      <c r="A233" s="89" t="s">
        <v>67</v>
      </c>
      <c r="B233" s="89"/>
      <c r="C233" s="89"/>
      <c r="D233" s="89"/>
      <c r="E233" s="89"/>
      <c r="F233" s="89"/>
      <c r="G233" s="89"/>
      <c r="H233" s="89"/>
    </row>
    <row r="234" spans="1:8" x14ac:dyDescent="0.25">
      <c r="A234" s="89" t="s">
        <v>129</v>
      </c>
      <c r="B234" s="89"/>
      <c r="C234" s="89"/>
      <c r="D234" s="89"/>
      <c r="E234" s="89"/>
      <c r="F234" s="89"/>
      <c r="G234" s="89"/>
      <c r="H234" s="89"/>
    </row>
    <row r="235" spans="1:8" hidden="1" x14ac:dyDescent="0.25">
      <c r="A235" s="139" t="s">
        <v>130</v>
      </c>
      <c r="B235" s="139"/>
      <c r="C235" s="139"/>
      <c r="D235" s="139"/>
      <c r="E235" s="139"/>
      <c r="F235" s="139"/>
      <c r="G235" s="139"/>
      <c r="H235" s="139"/>
    </row>
    <row r="236" spans="1:8" x14ac:dyDescent="0.25">
      <c r="A236" s="168" t="s">
        <v>79</v>
      </c>
      <c r="B236" s="168"/>
      <c r="C236" s="168" t="s">
        <v>218</v>
      </c>
      <c r="D236" s="168"/>
      <c r="E236" s="168" t="s">
        <v>109</v>
      </c>
      <c r="F236" s="168"/>
      <c r="G236" s="168" t="s">
        <v>219</v>
      </c>
      <c r="H236" s="168"/>
    </row>
    <row r="237" spans="1:8" x14ac:dyDescent="0.25">
      <c r="A237" s="167" t="s">
        <v>81</v>
      </c>
      <c r="B237" s="167"/>
      <c r="C237" s="167"/>
      <c r="D237" s="167"/>
      <c r="E237" s="167"/>
      <c r="F237" s="167"/>
      <c r="G237" s="167"/>
      <c r="H237" s="167"/>
    </row>
    <row r="238" spans="1:8" x14ac:dyDescent="0.25">
      <c r="A238" s="167"/>
      <c r="B238" s="167"/>
      <c r="C238" s="167"/>
      <c r="D238" s="167"/>
      <c r="E238" s="167"/>
      <c r="F238" s="167"/>
      <c r="G238" s="167"/>
      <c r="H238" s="167"/>
    </row>
    <row r="239" spans="1:8" x14ac:dyDescent="0.25">
      <c r="A239" s="167"/>
      <c r="B239" s="167"/>
      <c r="C239" s="167"/>
      <c r="D239" s="167"/>
      <c r="E239" s="167"/>
      <c r="F239" s="167"/>
      <c r="G239" s="167"/>
      <c r="H239" s="167"/>
    </row>
    <row r="240" spans="1:8" x14ac:dyDescent="0.25">
      <c r="A240" s="34" t="s">
        <v>68</v>
      </c>
      <c r="B240" s="35"/>
      <c r="C240" s="35"/>
      <c r="D240" s="34" t="str">
        <f>E8</f>
        <v>Poddar Riviera Phase - III</v>
      </c>
      <c r="F240" s="35"/>
      <c r="G240" s="35"/>
      <c r="H240" s="35"/>
    </row>
    <row r="241" spans="1:16" x14ac:dyDescent="0.25">
      <c r="A241" s="35"/>
      <c r="B241" s="35"/>
      <c r="C241" s="35"/>
      <c r="D241" s="35"/>
      <c r="E241" s="35"/>
      <c r="F241" s="35"/>
      <c r="G241" s="35"/>
      <c r="H241" s="35"/>
    </row>
    <row r="242" spans="1:16" x14ac:dyDescent="0.25">
      <c r="A242" s="35"/>
      <c r="B242" s="35"/>
      <c r="C242" s="35"/>
      <c r="D242" s="35"/>
      <c r="E242" s="35"/>
      <c r="F242" s="35"/>
      <c r="G242" s="35"/>
      <c r="H242" s="35"/>
    </row>
    <row r="243" spans="1:16" ht="15" customHeight="1" x14ac:dyDescent="0.25"/>
    <row r="251" spans="1:16" x14ac:dyDescent="0.25">
      <c r="P251"/>
    </row>
    <row r="282" spans="1:1" x14ac:dyDescent="0.25">
      <c r="A282" s="37" t="s">
        <v>69</v>
      </c>
    </row>
  </sheetData>
  <mergeCells count="397">
    <mergeCell ref="B228:H228"/>
    <mergeCell ref="C50:H50"/>
    <mergeCell ref="A212:B212"/>
    <mergeCell ref="A213:B213"/>
    <mergeCell ref="A214:B214"/>
    <mergeCell ref="A215:B215"/>
    <mergeCell ref="A202:B202"/>
    <mergeCell ref="A203:B203"/>
    <mergeCell ref="A204:B204"/>
    <mergeCell ref="A205:B205"/>
    <mergeCell ref="A206:B206"/>
    <mergeCell ref="A197:B197"/>
    <mergeCell ref="A198:B198"/>
    <mergeCell ref="A201:B201"/>
    <mergeCell ref="A194:B194"/>
    <mergeCell ref="C194:F194"/>
    <mergeCell ref="G121:H129"/>
    <mergeCell ref="G131:H140"/>
    <mergeCell ref="A140:B140"/>
    <mergeCell ref="A141:H141"/>
    <mergeCell ref="A125:B125"/>
    <mergeCell ref="A119:H119"/>
    <mergeCell ref="D57:H57"/>
    <mergeCell ref="A180:B180"/>
    <mergeCell ref="L207:M207"/>
    <mergeCell ref="A208:B208"/>
    <mergeCell ref="A209:B209"/>
    <mergeCell ref="A210:B210"/>
    <mergeCell ref="A211:B211"/>
    <mergeCell ref="L196:M196"/>
    <mergeCell ref="A191:B191"/>
    <mergeCell ref="L191:M191"/>
    <mergeCell ref="A192:B192"/>
    <mergeCell ref="L192:M192"/>
    <mergeCell ref="A193:B193"/>
    <mergeCell ref="L193:M193"/>
    <mergeCell ref="A199:B199"/>
    <mergeCell ref="A200:B200"/>
    <mergeCell ref="G197:H206"/>
    <mergeCell ref="G208:H216"/>
    <mergeCell ref="L194:M194"/>
    <mergeCell ref="A195:B195"/>
    <mergeCell ref="L195:M195"/>
    <mergeCell ref="G187:H195"/>
    <mergeCell ref="L189:M189"/>
    <mergeCell ref="A190:B190"/>
    <mergeCell ref="L190:M190"/>
    <mergeCell ref="A181:B181"/>
    <mergeCell ref="A182:B182"/>
    <mergeCell ref="G175:H183"/>
    <mergeCell ref="L187:M187"/>
    <mergeCell ref="A188:B188"/>
    <mergeCell ref="L188:M188"/>
    <mergeCell ref="L163:M163"/>
    <mergeCell ref="A164:B164"/>
    <mergeCell ref="A165:B165"/>
    <mergeCell ref="A166:B166"/>
    <mergeCell ref="A169:B169"/>
    <mergeCell ref="A170:B170"/>
    <mergeCell ref="A171:B171"/>
    <mergeCell ref="A167:B167"/>
    <mergeCell ref="A168:B168"/>
    <mergeCell ref="G164:H173"/>
    <mergeCell ref="L174:M174"/>
    <mergeCell ref="L154:M154"/>
    <mergeCell ref="A155:B155"/>
    <mergeCell ref="L155:M155"/>
    <mergeCell ref="L141:M141"/>
    <mergeCell ref="A142:B142"/>
    <mergeCell ref="A143:B143"/>
    <mergeCell ref="A144:B144"/>
    <mergeCell ref="L127:M127"/>
    <mergeCell ref="A128:B128"/>
    <mergeCell ref="L128:M128"/>
    <mergeCell ref="A129:B129"/>
    <mergeCell ref="L129:M129"/>
    <mergeCell ref="G142:H150"/>
    <mergeCell ref="G154:H162"/>
    <mergeCell ref="L156:M156"/>
    <mergeCell ref="A157:B157"/>
    <mergeCell ref="L157:M157"/>
    <mergeCell ref="L158:M158"/>
    <mergeCell ref="L159:M159"/>
    <mergeCell ref="L160:M160"/>
    <mergeCell ref="C161:F161"/>
    <mergeCell ref="L161:M161"/>
    <mergeCell ref="L162:M162"/>
    <mergeCell ref="E40:H40"/>
    <mergeCell ref="A40:D40"/>
    <mergeCell ref="A234:H234"/>
    <mergeCell ref="A231:H231"/>
    <mergeCell ref="A131:B131"/>
    <mergeCell ref="A108:B108"/>
    <mergeCell ref="D115:D116"/>
    <mergeCell ref="E115:E116"/>
    <mergeCell ref="G115:H116"/>
    <mergeCell ref="A89:B89"/>
    <mergeCell ref="A74:B74"/>
    <mergeCell ref="F94:H94"/>
    <mergeCell ref="G109:H109"/>
    <mergeCell ref="A92:B92"/>
    <mergeCell ref="A47:B47"/>
    <mergeCell ref="C47:E47"/>
    <mergeCell ref="G47:H47"/>
    <mergeCell ref="C128:F128"/>
    <mergeCell ref="A136:B136"/>
    <mergeCell ref="A137:B137"/>
    <mergeCell ref="A138:B138"/>
    <mergeCell ref="A139:B139"/>
    <mergeCell ref="A60:C60"/>
    <mergeCell ref="A177:B177"/>
    <mergeCell ref="D60:H60"/>
    <mergeCell ref="A237:H239"/>
    <mergeCell ref="A236:B236"/>
    <mergeCell ref="E236:F236"/>
    <mergeCell ref="C236:D236"/>
    <mergeCell ref="G236:H236"/>
    <mergeCell ref="A105:E105"/>
    <mergeCell ref="F105:H105"/>
    <mergeCell ref="A106:E106"/>
    <mergeCell ref="F106:H106"/>
    <mergeCell ref="A130:H130"/>
    <mergeCell ref="A160:B160"/>
    <mergeCell ref="A232:H232"/>
    <mergeCell ref="A107:H107"/>
    <mergeCell ref="A235:H235"/>
    <mergeCell ref="A233:H233"/>
    <mergeCell ref="A217:H217"/>
    <mergeCell ref="B115:B116"/>
    <mergeCell ref="A163:H163"/>
    <mergeCell ref="A229:H229"/>
    <mergeCell ref="A230:H230"/>
    <mergeCell ref="E108:F108"/>
    <mergeCell ref="A159:B159"/>
    <mergeCell ref="A114:H114"/>
    <mergeCell ref="C115:C116"/>
    <mergeCell ref="A61:C61"/>
    <mergeCell ref="D61:H61"/>
    <mergeCell ref="A64:C64"/>
    <mergeCell ref="D64:H64"/>
    <mergeCell ref="A62:C62"/>
    <mergeCell ref="D62:H62"/>
    <mergeCell ref="A63:C63"/>
    <mergeCell ref="D63:H63"/>
    <mergeCell ref="G68:H68"/>
    <mergeCell ref="A68:B68"/>
    <mergeCell ref="A67:B67"/>
    <mergeCell ref="A65:B65"/>
    <mergeCell ref="C65:H65"/>
    <mergeCell ref="E68:F68"/>
    <mergeCell ref="C67:H67"/>
    <mergeCell ref="A109:A111"/>
    <mergeCell ref="A69:B69"/>
    <mergeCell ref="G69:H78"/>
    <mergeCell ref="A77:B77"/>
    <mergeCell ref="A78:B78"/>
    <mergeCell ref="A75:B75"/>
    <mergeCell ref="A71:B71"/>
    <mergeCell ref="A73:B73"/>
    <mergeCell ref="D59:H59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53:C53"/>
    <mergeCell ref="A54:C54"/>
    <mergeCell ref="D54:H54"/>
    <mergeCell ref="G51:H51"/>
    <mergeCell ref="G49:H49"/>
    <mergeCell ref="C48:E48"/>
    <mergeCell ref="A51:B51"/>
    <mergeCell ref="C51:E51"/>
    <mergeCell ref="A48:B48"/>
    <mergeCell ref="A52:H52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D58:H58"/>
    <mergeCell ref="D53:H53"/>
    <mergeCell ref="C49:E49"/>
    <mergeCell ref="A56:C57"/>
    <mergeCell ref="D56:H56"/>
    <mergeCell ref="A39:D3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58:C58"/>
    <mergeCell ref="A59:C59"/>
    <mergeCell ref="A104:E104"/>
    <mergeCell ref="G83:H92"/>
    <mergeCell ref="A102:E102"/>
    <mergeCell ref="A101:E101"/>
    <mergeCell ref="F101:H101"/>
    <mergeCell ref="F104:H104"/>
    <mergeCell ref="F102:H102"/>
    <mergeCell ref="A103:E103"/>
    <mergeCell ref="A85:B85"/>
    <mergeCell ref="F95:H95"/>
    <mergeCell ref="A95:E95"/>
    <mergeCell ref="A97:E97"/>
    <mergeCell ref="A98:E98"/>
    <mergeCell ref="F103:H103"/>
    <mergeCell ref="A91:B91"/>
    <mergeCell ref="A96:E96"/>
    <mergeCell ref="A100:E100"/>
    <mergeCell ref="F100:H100"/>
    <mergeCell ref="A94:E94"/>
    <mergeCell ref="F93:H93"/>
    <mergeCell ref="A70:B70"/>
    <mergeCell ref="A72:B72"/>
    <mergeCell ref="A118:H118"/>
    <mergeCell ref="A145:B145"/>
    <mergeCell ref="A120:H120"/>
    <mergeCell ref="A121:B121"/>
    <mergeCell ref="A76:B76"/>
    <mergeCell ref="L130:M130"/>
    <mergeCell ref="A115:A116"/>
    <mergeCell ref="L124:M124"/>
    <mergeCell ref="L121:M121"/>
    <mergeCell ref="A122:B122"/>
    <mergeCell ref="L122:M122"/>
    <mergeCell ref="A123:B123"/>
    <mergeCell ref="L123:M123"/>
    <mergeCell ref="L125:M125"/>
    <mergeCell ref="L126:M126"/>
    <mergeCell ref="A124:B124"/>
    <mergeCell ref="A126:B126"/>
    <mergeCell ref="A117:H117"/>
    <mergeCell ref="A127:B127"/>
    <mergeCell ref="A113:H113"/>
    <mergeCell ref="A112:B112"/>
    <mergeCell ref="E112:F112"/>
    <mergeCell ref="C112:D112"/>
    <mergeCell ref="E69:F78"/>
    <mergeCell ref="B223:H223"/>
    <mergeCell ref="B218:H218"/>
    <mergeCell ref="B219:H219"/>
    <mergeCell ref="B220:H220"/>
    <mergeCell ref="B221:H221"/>
    <mergeCell ref="A135:B135"/>
    <mergeCell ref="A132:B132"/>
    <mergeCell ref="A133:B133"/>
    <mergeCell ref="A134:B134"/>
    <mergeCell ref="A162:B162"/>
    <mergeCell ref="B222:H222"/>
    <mergeCell ref="A189:B189"/>
    <mergeCell ref="A175:B175"/>
    <mergeCell ref="A176:B176"/>
    <mergeCell ref="A148:B148"/>
    <mergeCell ref="A149:B149"/>
    <mergeCell ref="A150:B150"/>
    <mergeCell ref="A151:H151"/>
    <mergeCell ref="A152:H152"/>
    <mergeCell ref="A153:H153"/>
    <mergeCell ref="A154:B154"/>
    <mergeCell ref="A146:B146"/>
    <mergeCell ref="A178:B178"/>
    <mergeCell ref="A179:B179"/>
    <mergeCell ref="A79:B79"/>
    <mergeCell ref="C79:H79"/>
    <mergeCell ref="A81:B81"/>
    <mergeCell ref="C81:H81"/>
    <mergeCell ref="A82:B82"/>
    <mergeCell ref="E82:F82"/>
    <mergeCell ref="F98:H98"/>
    <mergeCell ref="F97:H97"/>
    <mergeCell ref="G82:H82"/>
    <mergeCell ref="A83:B83"/>
    <mergeCell ref="E83:F92"/>
    <mergeCell ref="A84:B84"/>
    <mergeCell ref="A93:E93"/>
    <mergeCell ref="F96:H96"/>
    <mergeCell ref="A86:B86"/>
    <mergeCell ref="A87:B87"/>
    <mergeCell ref="A88:B88"/>
    <mergeCell ref="E111:F111"/>
    <mergeCell ref="G111:H111"/>
    <mergeCell ref="C110:D110"/>
    <mergeCell ref="E110:F110"/>
    <mergeCell ref="C108:D108"/>
    <mergeCell ref="G108:H108"/>
    <mergeCell ref="C109:D109"/>
    <mergeCell ref="E109:F109"/>
    <mergeCell ref="A90:B90"/>
    <mergeCell ref="A99:E99"/>
    <mergeCell ref="F99:H99"/>
    <mergeCell ref="A46:B46"/>
    <mergeCell ref="C46:H46"/>
    <mergeCell ref="G112:H112"/>
    <mergeCell ref="G110:H110"/>
    <mergeCell ref="B227:H227"/>
    <mergeCell ref="B224:H224"/>
    <mergeCell ref="A147:B147"/>
    <mergeCell ref="B225:H225"/>
    <mergeCell ref="B226:H226"/>
    <mergeCell ref="A161:B161"/>
    <mergeCell ref="A158:B158"/>
    <mergeCell ref="A156:B156"/>
    <mergeCell ref="A172:B172"/>
    <mergeCell ref="A173:B173"/>
    <mergeCell ref="A174:H174"/>
    <mergeCell ref="A183:B183"/>
    <mergeCell ref="A184:H184"/>
    <mergeCell ref="A185:H185"/>
    <mergeCell ref="A186:H186"/>
    <mergeCell ref="A187:B187"/>
    <mergeCell ref="A196:H196"/>
    <mergeCell ref="A216:B216"/>
    <mergeCell ref="A207:H207"/>
    <mergeCell ref="C111:D111"/>
  </mergeCell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4" max="16383" man="1"/>
    <brk id="239" max="16383" man="1"/>
    <brk id="2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1" zoomScale="85" zoomScaleNormal="85" workbookViewId="0">
      <selection activeCell="G47" sqref="G47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6" t="s">
        <v>110</v>
      </c>
      <c r="C3" s="186"/>
      <c r="D3" s="186"/>
      <c r="E3" s="186"/>
      <c r="F3" s="186"/>
      <c r="G3" s="186"/>
      <c r="H3" s="186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2025-06-11T06:24:32Z</cp:lastPrinted>
  <dcterms:created xsi:type="dcterms:W3CDTF">2019-07-16T09:29:46Z</dcterms:created>
  <dcterms:modified xsi:type="dcterms:W3CDTF">2025-09-09T13:07:27Z</dcterms:modified>
</cp:coreProperties>
</file>