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Sept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E3" i="1" l="1"/>
  <c r="G133" i="1"/>
  <c r="A134" i="1"/>
  <c r="A135" i="1" s="1"/>
  <c r="A136" i="1" s="1"/>
  <c r="A116" i="1"/>
  <c r="A117" i="1" s="1"/>
  <c r="A118" i="1" s="1"/>
  <c r="A119" i="1" s="1"/>
  <c r="D136" i="1"/>
  <c r="F136" i="1" s="1"/>
  <c r="D135" i="1"/>
  <c r="F135" i="1" s="1"/>
  <c r="F134" i="1"/>
  <c r="F133" i="1"/>
  <c r="G128" i="1"/>
  <c r="A129" i="1"/>
  <c r="A130" i="1" s="1"/>
  <c r="A131" i="1" s="1"/>
  <c r="G123" i="1"/>
  <c r="A110" i="1"/>
  <c r="A111" i="1" s="1"/>
  <c r="A112" i="1" s="1"/>
  <c r="A113" i="1" s="1"/>
  <c r="D131" i="1"/>
  <c r="F131" i="1" s="1"/>
  <c r="D130" i="1"/>
  <c r="F130" i="1" s="1"/>
  <c r="D128" i="1"/>
  <c r="F128" i="1" s="1"/>
  <c r="A124" i="1"/>
  <c r="A125" i="1" s="1"/>
  <c r="A126" i="1" s="1"/>
  <c r="D126" i="1"/>
  <c r="F126" i="1" s="1"/>
  <c r="D125" i="1"/>
  <c r="F125" i="1" s="1"/>
  <c r="D124" i="1"/>
  <c r="F124" i="1" s="1"/>
  <c r="J124" i="1" s="1"/>
  <c r="D123" i="1"/>
  <c r="F123" i="1" s="1"/>
  <c r="J123" i="1" s="1"/>
  <c r="E93" i="1" l="1"/>
  <c r="G93" i="1"/>
  <c r="C93" i="1"/>
  <c r="D119" i="1"/>
  <c r="D115" i="1"/>
  <c r="D113" i="1"/>
  <c r="D112" i="1"/>
  <c r="D109" i="1"/>
  <c r="D107" i="1"/>
  <c r="D106" i="1"/>
  <c r="D105" i="1"/>
  <c r="D104" i="1"/>
  <c r="D103" i="1"/>
  <c r="C92" i="1" l="1"/>
  <c r="C94" i="1" s="1"/>
  <c r="E92" i="1"/>
  <c r="E94" i="1" s="1"/>
  <c r="B139" i="1"/>
  <c r="C13" i="1" l="1"/>
  <c r="E27" i="1" l="1"/>
  <c r="F119" i="1" l="1"/>
  <c r="F115" i="1"/>
  <c r="F113" i="1"/>
  <c r="F112" i="1"/>
  <c r="F109" i="1"/>
  <c r="F107" i="1"/>
  <c r="F106" i="1"/>
  <c r="F104" i="1"/>
  <c r="I104" i="1" s="1"/>
  <c r="F103" i="1"/>
  <c r="F105" i="1"/>
  <c r="J103" i="1" l="1"/>
  <c r="G92" i="1"/>
  <c r="G94" i="1" s="1"/>
  <c r="I103" i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0" i="1"/>
  <c r="G115" i="1"/>
  <c r="G109" i="1"/>
  <c r="G103" i="1"/>
  <c r="A104" i="1"/>
  <c r="A105" i="1" s="1"/>
  <c r="A106" i="1" s="1"/>
  <c r="A107" i="1" s="1"/>
  <c r="F89" i="1"/>
  <c r="J75" i="1"/>
  <c r="J74" i="1"/>
  <c r="J73" i="1"/>
  <c r="J72" i="1"/>
  <c r="D52" i="1"/>
  <c r="G47" i="1"/>
  <c r="C47" i="1"/>
  <c r="E40" i="1"/>
  <c r="E41" i="1" s="1"/>
  <c r="E24" i="1"/>
  <c r="E22" i="1"/>
  <c r="E7" i="1"/>
  <c r="D58" i="1"/>
  <c r="H65" i="1"/>
  <c r="D70" i="1" l="1"/>
  <c r="J68" i="1"/>
  <c r="D77" i="1"/>
  <c r="D75" i="1"/>
  <c r="D73" i="1"/>
  <c r="D71" i="1"/>
  <c r="J69" i="1"/>
  <c r="C68" i="1" s="1"/>
  <c r="D68" i="1" s="1"/>
  <c r="J67" i="1"/>
  <c r="J70" i="1"/>
  <c r="J71" i="1" s="1"/>
  <c r="J76" i="1" s="1"/>
  <c r="D76" i="1"/>
  <c r="D72" i="1"/>
  <c r="D74" i="1"/>
  <c r="J77" i="1" l="1"/>
  <c r="E68" i="1"/>
  <c r="I64" i="1" l="1"/>
  <c r="C66" i="1" s="1"/>
  <c r="G68" i="1"/>
  <c r="D62" i="1" s="1"/>
  <c r="F63" i="1" s="1"/>
  <c r="D69" i="1"/>
  <c r="D63" i="1" l="1"/>
</calcChain>
</file>

<file path=xl/sharedStrings.xml><?xml version="1.0" encoding="utf-8"?>
<sst xmlns="http://schemas.openxmlformats.org/spreadsheetml/2006/main" count="279" uniqueCount="219">
  <si>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</si>
  <si>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</si>
  <si>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</si>
  <si>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</si>
  <si>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</si>
  <si>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</si>
  <si>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</si>
  <si>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</si>
  <si>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</si>
  <si>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</si>
  <si>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</si>
  <si>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</si>
  <si>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</si>
  <si>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</si>
  <si>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</si>
  <si>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</si>
  <si>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</si>
  <si>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</si>
  <si>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</si>
  <si>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</si>
  <si>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</si>
  <si>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</si>
  <si>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</si>
  <si>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</si>
  <si>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</si>
  <si>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</si>
  <si>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</si>
  <si>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</si>
  <si>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</si>
  <si>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</si>
  <si>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</si>
  <si>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</si>
  <si>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</si>
  <si>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</si>
  <si>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</si>
  <si>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</si>
  <si>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</si>
  <si>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</si>
  <si>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</si>
  <si>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</si>
  <si>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</si>
  <si>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</si>
  <si>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</si>
  <si>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</si>
  <si>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</si>
  <si>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</si>
  <si>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</si>
  <si>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</si>
  <si>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</si>
  <si>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</si>
  <si>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</si>
  <si>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</si>
  <si>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</si>
  <si>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</si>
  <si>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</si>
  <si>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</si>
  <si>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</si>
  <si>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</si>
  <si>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</si>
  <si>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</si>
  <si>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</si>
  <si>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</si>
  <si>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</si>
  <si>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</si>
  <si>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</si>
  <si>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</si>
  <si>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</si>
  <si>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</si>
  <si>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</si>
  <si>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</si>
  <si>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</si>
  <si>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</si>
  <si>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</si>
  <si>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</si>
  <si>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</si>
  <si>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</si>
  <si>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</si>
  <si>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</si>
  <si>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</si>
  <si>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</si>
  <si>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</si>
  <si>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</si>
  <si>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</si>
  <si>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</si>
  <si>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</si>
  <si>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</si>
  <si>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</si>
  <si>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</si>
  <si>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</si>
  <si>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</si>
  <si>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</si>
  <si>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</si>
  <si>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</si>
  <si>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</si>
  <si>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</si>
  <si>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</si>
  <si>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</si>
  <si>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</si>
  <si>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</si>
  <si>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</si>
  <si>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</si>
  <si>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</si>
  <si>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</si>
  <si>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</si>
  <si>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</si>
  <si>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</si>
  <si>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</si>
  <si>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</si>
  <si>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</si>
  <si>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</si>
  <si>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</si>
  <si>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</si>
  <si>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</si>
  <si>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</si>
  <si>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</si>
  <si>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</si>
  <si>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</si>
  <si>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</si>
  <si>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</si>
  <si>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</si>
  <si>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</si>
  <si>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</si>
  <si>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</si>
  <si>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</si>
  <si>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</si>
  <si>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</si>
  <si>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</si>
  <si>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</si>
  <si>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</si>
  <si>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</si>
  <si>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</si>
  <si>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</si>
  <si>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</si>
  <si>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</si>
  <si>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</si>
  <si>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</si>
  <si>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</si>
  <si>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</si>
  <si>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</si>
  <si>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</si>
  <si>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</si>
  <si>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</si>
  <si>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</si>
  <si>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</si>
  <si>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</si>
  <si>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</si>
  <si>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</si>
  <si>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</si>
  <si>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</si>
  <si>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</si>
  <si>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</si>
  <si>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</si>
  <si>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</si>
  <si>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</si>
  <si>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</si>
  <si>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</si>
  <si>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</si>
  <si>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</si>
  <si>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</si>
  <si>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</si>
  <si>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</si>
  <si>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</si>
  <si>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</si>
  <si>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</si>
  <si>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should be considered as all inclusive rate if other charges are not mentioned. (Excluding GST &amp; other government Taxes)</t>
  </si>
  <si>
    <t>Ground Floor for Parking</t>
  </si>
  <si>
    <t>1st to 7th, 9th to 14th, 16th to 21st Floor for Ressidential</t>
  </si>
  <si>
    <t>A &amp; B Wing</t>
  </si>
  <si>
    <t>1BHK</t>
  </si>
  <si>
    <t>1.5BHK</t>
  </si>
  <si>
    <t>2BHK</t>
  </si>
  <si>
    <t>8th &amp; 15th Floor (Part Refuge Floor)</t>
  </si>
  <si>
    <t>Refuge Area</t>
  </si>
  <si>
    <t>22nd Floor (Part Terrace Area)</t>
  </si>
  <si>
    <t>Terrace Area</t>
  </si>
  <si>
    <t>Flats - 187</t>
  </si>
  <si>
    <t>A Wing = G + 1st to 22nd Floor
B Wing = G + 1st to 22nd Floor</t>
  </si>
  <si>
    <t>MHADA/823/2021</t>
  </si>
  <si>
    <t>Maharashtra Housing &amp; Area Development Authority (MHADA)</t>
  </si>
  <si>
    <t>2 Wings</t>
  </si>
  <si>
    <t xml:space="preserve">We considered Gross carpet area = Net carpet </t>
  </si>
  <si>
    <t>Axis Goregaon</t>
  </si>
  <si>
    <t>Puneet Shivalaya</t>
  </si>
  <si>
    <t>P51800029659</t>
  </si>
  <si>
    <t>B Wing = G + 1st to 23rd Floor</t>
  </si>
  <si>
    <t>A Wing = G + 1st to 23rd Floor</t>
  </si>
  <si>
    <t>C.T.S No</t>
  </si>
  <si>
    <t>351(pt), Re-Devlopment Building No.28</t>
  </si>
  <si>
    <t>Tagore Nagar</t>
  </si>
  <si>
    <t>Kurla</t>
  </si>
  <si>
    <t>Mumbai</t>
  </si>
  <si>
    <t>Vikhroli</t>
  </si>
  <si>
    <t>Puneet Sanjivani Tower</t>
  </si>
  <si>
    <t>Internal Road</t>
  </si>
  <si>
    <t xml:space="preserve">Intelligentia Sigma </t>
  </si>
  <si>
    <t>Ambika Coop HSG Soc.</t>
  </si>
  <si>
    <t>Sanmitra C.H.S. Bldg No. 28</t>
  </si>
  <si>
    <t>0.850 KM from Vikhroli Railway Station</t>
  </si>
  <si>
    <t>M/s.Puneet Edifice Pvt Ltd</t>
  </si>
  <si>
    <t>Approved Plans, CC, Cost Sheet</t>
  </si>
  <si>
    <t>A Wing</t>
  </si>
  <si>
    <t>B Wing</t>
  </si>
  <si>
    <t>Total</t>
  </si>
  <si>
    <t xml:space="preserve">1.Vitrified tiles flooring 2. Granite Kitchen Platform  3. Decorative Enternace  etc. 
</t>
  </si>
  <si>
    <t>Location Link</t>
  </si>
  <si>
    <t>https://goo.gl/maps/ncbpsvHHx6ETAmRYA</t>
  </si>
  <si>
    <t>A &amp; B Wing = G + 1st to 23rd Floor</t>
  </si>
  <si>
    <t>Office No. 1031, Wing J, Akshar Business Park, Plot No. 03 Sector 25, Near APMC Market, Vashi, Navi Mumbai, Maharashtra 400703 TEL: 022-46090378/79/80                                                                                             E mail : vsjcapf@gmail.com. Web site : www.vsjadon.com</t>
  </si>
  <si>
    <t>We have updated latest C.C taken from Mhada Site (on 13/09/2023).</t>
  </si>
  <si>
    <t>Latitude,Longitude</t>
  </si>
  <si>
    <t>19.1143794,72.9329722</t>
  </si>
  <si>
    <t>MH/EE/(BP)/GM/MHADA-8/823/2024/FCC/2/Amend</t>
  </si>
  <si>
    <t>Valid Up to: This C.C. is now re-endorsed &amp; further extended from 22nd (pt.) floor to 23rd upper residential floors of wing A &amp; B” (i.e. building comprising of wing A &amp; B is consists of Ground floor partly use for Entrance lobby, Meter room &amp; Stilt for car parking + 1st to 23rd upper floor for residential user with total building height 69.99 mt. from AGL as per last approved Amended plans issued on dtd. 13.09.2023.</t>
  </si>
  <si>
    <t>We have updated latest CC from Mhada site (On 14/06/2024).</t>
  </si>
  <si>
    <t>Provide latest approved plan.</t>
  </si>
  <si>
    <t>Nainesh Tambe</t>
  </si>
  <si>
    <t>As per RERA -  31/12/2025</t>
  </si>
  <si>
    <t>Shruti Tathare</t>
  </si>
  <si>
    <t>Finishing work is in process at the time of Visit. Internal visit was not allowed.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</si>
</sst>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5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6" fillId="0" borderId="16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1" fontId="6" fillId="2" borderId="1" xfId="1" applyNumberFormat="1" applyFont="1" applyFill="1" applyBorder="1" applyAlignment="1" applyProtection="1">
      <alignment horizontal="left" vertical="top" wrapText="1"/>
      <protection locked="0"/>
    </xf>
    <xf numFmtId="164" fontId="12" fillId="2" borderId="1" xfId="1" applyNumberFormat="1" applyFont="1" applyFill="1" applyBorder="1" applyAlignment="1" applyProtection="1">
      <alignment horizontal="left" vertical="top"/>
      <protection locked="0"/>
    </xf>
    <xf numFmtId="2" fontId="12" fillId="2" borderId="1" xfId="1" applyNumberFormat="1" applyFont="1" applyFill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12" fillId="2" borderId="2" xfId="1" applyFont="1" applyFill="1" applyBorder="1" applyAlignment="1" applyProtection="1">
      <alignment horizontal="left" vertical="top" wrapText="1"/>
      <protection locked="0"/>
    </xf>
    <xf numFmtId="0" fontId="12" fillId="2" borderId="2" xfId="1" applyFont="1" applyFill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center" vertical="top"/>
      <protection locked="0"/>
    </xf>
    <xf numFmtId="167" fontId="12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center"/>
      <protection locked="0"/>
    </xf>
    <xf numFmtId="0" fontId="13" fillId="2" borderId="1" xfId="1" applyFont="1" applyFill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24" fillId="2" borderId="1" xfId="10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2" borderId="1" xfId="1" applyFont="1" applyFill="1" applyBorder="1" applyAlignment="1" applyProtection="1">
      <alignment horizontal="center" vertical="top"/>
      <protection locked="0"/>
    </xf>
    <xf numFmtId="0" fontId="13" fillId="2" borderId="1" xfId="1" applyFont="1" applyFill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/>
      <protection locked="0"/>
    </xf>
    <xf numFmtId="167" fontId="12" fillId="2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vertical="top"/>
      <protection locked="0"/>
    </xf>
    <xf numFmtId="167" fontId="13" fillId="2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8" fontId="13" fillId="2" borderId="1" xfId="9" applyNumberFormat="1" applyFont="1" applyFill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618392</xdr:colOff>
      <xdr:row>221</xdr:row>
      <xdr:rowOff>148349</xdr:rowOff>
    </xdr:from>
    <xdr:to>
      <xdr:col>7</xdr:col>
      <xdr:colOff>384739</xdr:colOff>
      <xdr:row>239</xdr:row>
      <xdr:rowOff>147898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18392" y="47902303"/>
          <a:ext cx="5616162" cy="35868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571500</xdr:colOff>
      <xdr:row>203</xdr:row>
      <xdr:rowOff>19050</xdr:rowOff>
    </xdr:from>
    <xdr:to>
      <xdr:col>7</xdr:col>
      <xdr:colOff>337847</xdr:colOff>
      <xdr:row>221</xdr:row>
      <xdr:rowOff>18600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71500" y="45510450"/>
          <a:ext cx="588139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161925</xdr:colOff>
      <xdr:row>42</xdr:row>
      <xdr:rowOff>67548</xdr:rowOff>
    </xdr:from>
    <xdr:to>
      <xdr:col>15</xdr:col>
      <xdr:colOff>227861</xdr:colOff>
      <xdr:row>53</xdr:row>
      <xdr:rowOff>132761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48450" y="9259173"/>
          <a:ext cx="5685686" cy="4522913"/>
        </a:xfrm>
        <a:prstGeom prst="rect">
          <a:avLst/>
        </a:prstGeom>
      </xdr:spPr>
    </xdr:pic>
    <xdr:clientData/>
  </xdr:twoCellAnchor>
  <xdr:twoCellAnchor>
    <xdr:from>
      <xdr:col>0</xdr:col>
      <xdr:colOff>100853</xdr:colOff>
      <xdr:row>160</xdr:row>
      <xdr:rowOff>71718</xdr:rowOff>
    </xdr:from>
    <xdr:to>
      <xdr:col>7</xdr:col>
      <xdr:colOff>772720</xdr:colOff>
      <xdr:row>198</xdr:row>
      <xdr:rowOff>198971</xdr:rowOff>
    </xdr:to>
    <xdr:grpSp>
      <xdr:nvGrpSpPr>
        <xdr:cNvPr id="6" name="Group 5"/>
        <xdr:cNvGrpSpPr/>
      </xdr:nvGrpSpPr>
      <xdr:grpSpPr>
        <a:xfrm>
          <a:off x="100853" y="35238018"/>
          <a:ext cx="6329717" cy="7718678"/>
          <a:chOff x="100853" y="35852100"/>
          <a:chExt cx="6330838" cy="7780871"/>
        </a:xfrm>
      </xdr:grpSpPr>
      <xdr:pic>
        <xdr:nvPicPr>
          <xdr:cNvPr id="34" name="Picture 33" descr="https://vsjcllp.vsjadon.com/upload/insp-246612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90999" y="41472971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612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47899" y="38655812"/>
            <a:ext cx="2041226" cy="271406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612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90465" y="35861064"/>
            <a:ext cx="2037856" cy="270958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36" descr="https://vsjcllp.vsjadon.com/upload/insp-246612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90465" y="38658054"/>
            <a:ext cx="2041226" cy="271406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8" name="Picture 37" descr="https://vsjcllp.vsjadon.com/upload/insp-246612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00853" y="35852100"/>
            <a:ext cx="2037856" cy="270958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Picture 38" descr="https://vsjcllp.vsjadon.com/upload/insp-246612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3265" y="38660295"/>
            <a:ext cx="2041226" cy="271406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39" descr="https://vsjcllp.vsjadon.com/upload/insp-246612-87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54624" y="35854340"/>
            <a:ext cx="2037856" cy="270958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Picture 41" descr="https://vsjcllp.vsjadon.com/upload/insp-246612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40640" y="41470729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42" descr="https://vsjcllp.vsjadon.com/upload/insp-246612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717177" y="41472970"/>
            <a:ext cx="1624519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ncbpsvHHx6ETAmRYA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03"/>
  <sheetViews>
    <sheetView tabSelected="1" view="pageBreakPreview" zoomScaleNormal="100" zoomScaleSheetLayoutView="100" workbookViewId="0">
      <selection activeCell="J91" sqref="J91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5703125" style="11" customWidth="1"/>
    <col min="4" max="4" width="14.140625" style="11" customWidth="1"/>
    <col min="5" max="7" width="11.5703125" style="11" customWidth="1"/>
    <col min="8" max="8" width="12.42578125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5703125" style="3" customWidth="1"/>
    <col min="17" max="247" width="9.140625" style="3"/>
    <col min="248" max="248" width="8.5703125" style="3" customWidth="1"/>
    <col min="249" max="249" width="9.85546875" style="3" customWidth="1"/>
    <col min="250" max="250" width="14.42578125" style="3" customWidth="1"/>
    <col min="251" max="251" width="7.425781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5703125" style="3" customWidth="1"/>
    <col min="505" max="505" width="9.85546875" style="3" customWidth="1"/>
    <col min="506" max="506" width="14.42578125" style="3" customWidth="1"/>
    <col min="507" max="507" width="7.425781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5703125" style="3" customWidth="1"/>
    <col min="761" max="761" width="9.85546875" style="3" customWidth="1"/>
    <col min="762" max="762" width="14.42578125" style="3" customWidth="1"/>
    <col min="763" max="763" width="7.425781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5703125" style="3" customWidth="1"/>
    <col min="1017" max="1017" width="9.85546875" style="3" customWidth="1"/>
    <col min="1018" max="1018" width="14.42578125" style="3" customWidth="1"/>
    <col min="1019" max="1019" width="7.425781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5703125" style="3" customWidth="1"/>
    <col min="1273" max="1273" width="9.85546875" style="3" customWidth="1"/>
    <col min="1274" max="1274" width="14.42578125" style="3" customWidth="1"/>
    <col min="1275" max="1275" width="7.425781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5703125" style="3" customWidth="1"/>
    <col min="1529" max="1529" width="9.85546875" style="3" customWidth="1"/>
    <col min="1530" max="1530" width="14.42578125" style="3" customWidth="1"/>
    <col min="1531" max="1531" width="7.425781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5703125" style="3" customWidth="1"/>
    <col min="1785" max="1785" width="9.85546875" style="3" customWidth="1"/>
    <col min="1786" max="1786" width="14.42578125" style="3" customWidth="1"/>
    <col min="1787" max="1787" width="7.425781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5703125" style="3" customWidth="1"/>
    <col min="2041" max="2041" width="9.85546875" style="3" customWidth="1"/>
    <col min="2042" max="2042" width="14.42578125" style="3" customWidth="1"/>
    <col min="2043" max="2043" width="7.425781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5703125" style="3" customWidth="1"/>
    <col min="2297" max="2297" width="9.85546875" style="3" customWidth="1"/>
    <col min="2298" max="2298" width="14.42578125" style="3" customWidth="1"/>
    <col min="2299" max="2299" width="7.425781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5703125" style="3" customWidth="1"/>
    <col min="2553" max="2553" width="9.85546875" style="3" customWidth="1"/>
    <col min="2554" max="2554" width="14.42578125" style="3" customWidth="1"/>
    <col min="2555" max="2555" width="7.425781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5703125" style="3" customWidth="1"/>
    <col min="2809" max="2809" width="9.85546875" style="3" customWidth="1"/>
    <col min="2810" max="2810" width="14.42578125" style="3" customWidth="1"/>
    <col min="2811" max="2811" width="7.425781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5703125" style="3" customWidth="1"/>
    <col min="3065" max="3065" width="9.85546875" style="3" customWidth="1"/>
    <col min="3066" max="3066" width="14.42578125" style="3" customWidth="1"/>
    <col min="3067" max="3067" width="7.425781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5703125" style="3" customWidth="1"/>
    <col min="3321" max="3321" width="9.85546875" style="3" customWidth="1"/>
    <col min="3322" max="3322" width="14.42578125" style="3" customWidth="1"/>
    <col min="3323" max="3323" width="7.425781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5703125" style="3" customWidth="1"/>
    <col min="3577" max="3577" width="9.85546875" style="3" customWidth="1"/>
    <col min="3578" max="3578" width="14.42578125" style="3" customWidth="1"/>
    <col min="3579" max="3579" width="7.425781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5703125" style="3" customWidth="1"/>
    <col min="3833" max="3833" width="9.85546875" style="3" customWidth="1"/>
    <col min="3834" max="3834" width="14.42578125" style="3" customWidth="1"/>
    <col min="3835" max="3835" width="7.425781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5703125" style="3" customWidth="1"/>
    <col min="4089" max="4089" width="9.85546875" style="3" customWidth="1"/>
    <col min="4090" max="4090" width="14.42578125" style="3" customWidth="1"/>
    <col min="4091" max="4091" width="7.425781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5703125" style="3" customWidth="1"/>
    <col min="4345" max="4345" width="9.85546875" style="3" customWidth="1"/>
    <col min="4346" max="4346" width="14.42578125" style="3" customWidth="1"/>
    <col min="4347" max="4347" width="7.425781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5703125" style="3" customWidth="1"/>
    <col min="4601" max="4601" width="9.85546875" style="3" customWidth="1"/>
    <col min="4602" max="4602" width="14.42578125" style="3" customWidth="1"/>
    <col min="4603" max="4603" width="7.425781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5703125" style="3" customWidth="1"/>
    <col min="4857" max="4857" width="9.85546875" style="3" customWidth="1"/>
    <col min="4858" max="4858" width="14.42578125" style="3" customWidth="1"/>
    <col min="4859" max="4859" width="7.425781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5703125" style="3" customWidth="1"/>
    <col min="5113" max="5113" width="9.85546875" style="3" customWidth="1"/>
    <col min="5114" max="5114" width="14.42578125" style="3" customWidth="1"/>
    <col min="5115" max="5115" width="7.425781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5703125" style="3" customWidth="1"/>
    <col min="5369" max="5369" width="9.85546875" style="3" customWidth="1"/>
    <col min="5370" max="5370" width="14.42578125" style="3" customWidth="1"/>
    <col min="5371" max="5371" width="7.425781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5703125" style="3" customWidth="1"/>
    <col min="5625" max="5625" width="9.85546875" style="3" customWidth="1"/>
    <col min="5626" max="5626" width="14.42578125" style="3" customWidth="1"/>
    <col min="5627" max="5627" width="7.425781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5703125" style="3" customWidth="1"/>
    <col min="5881" max="5881" width="9.85546875" style="3" customWidth="1"/>
    <col min="5882" max="5882" width="14.42578125" style="3" customWidth="1"/>
    <col min="5883" max="5883" width="7.425781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5703125" style="3" customWidth="1"/>
    <col min="6137" max="6137" width="9.85546875" style="3" customWidth="1"/>
    <col min="6138" max="6138" width="14.42578125" style="3" customWidth="1"/>
    <col min="6139" max="6139" width="7.425781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5703125" style="3" customWidth="1"/>
    <col min="6393" max="6393" width="9.85546875" style="3" customWidth="1"/>
    <col min="6394" max="6394" width="14.42578125" style="3" customWidth="1"/>
    <col min="6395" max="6395" width="7.425781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5703125" style="3" customWidth="1"/>
    <col min="6649" max="6649" width="9.85546875" style="3" customWidth="1"/>
    <col min="6650" max="6650" width="14.42578125" style="3" customWidth="1"/>
    <col min="6651" max="6651" width="7.425781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5703125" style="3" customWidth="1"/>
    <col min="6905" max="6905" width="9.85546875" style="3" customWidth="1"/>
    <col min="6906" max="6906" width="14.42578125" style="3" customWidth="1"/>
    <col min="6907" max="6907" width="7.425781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5703125" style="3" customWidth="1"/>
    <col min="7161" max="7161" width="9.85546875" style="3" customWidth="1"/>
    <col min="7162" max="7162" width="14.42578125" style="3" customWidth="1"/>
    <col min="7163" max="7163" width="7.425781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5703125" style="3" customWidth="1"/>
    <col min="7417" max="7417" width="9.85546875" style="3" customWidth="1"/>
    <col min="7418" max="7418" width="14.42578125" style="3" customWidth="1"/>
    <col min="7419" max="7419" width="7.425781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5703125" style="3" customWidth="1"/>
    <col min="7673" max="7673" width="9.85546875" style="3" customWidth="1"/>
    <col min="7674" max="7674" width="14.42578125" style="3" customWidth="1"/>
    <col min="7675" max="7675" width="7.425781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5703125" style="3" customWidth="1"/>
    <col min="7929" max="7929" width="9.85546875" style="3" customWidth="1"/>
    <col min="7930" max="7930" width="14.42578125" style="3" customWidth="1"/>
    <col min="7931" max="7931" width="7.425781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5703125" style="3" customWidth="1"/>
    <col min="8185" max="8185" width="9.85546875" style="3" customWidth="1"/>
    <col min="8186" max="8186" width="14.42578125" style="3" customWidth="1"/>
    <col min="8187" max="8187" width="7.425781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5703125" style="3" customWidth="1"/>
    <col min="8441" max="8441" width="9.85546875" style="3" customWidth="1"/>
    <col min="8442" max="8442" width="14.42578125" style="3" customWidth="1"/>
    <col min="8443" max="8443" width="7.425781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5703125" style="3" customWidth="1"/>
    <col min="8697" max="8697" width="9.85546875" style="3" customWidth="1"/>
    <col min="8698" max="8698" width="14.42578125" style="3" customWidth="1"/>
    <col min="8699" max="8699" width="7.425781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5703125" style="3" customWidth="1"/>
    <col min="8953" max="8953" width="9.85546875" style="3" customWidth="1"/>
    <col min="8954" max="8954" width="14.42578125" style="3" customWidth="1"/>
    <col min="8955" max="8955" width="7.425781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5703125" style="3" customWidth="1"/>
    <col min="9209" max="9209" width="9.85546875" style="3" customWidth="1"/>
    <col min="9210" max="9210" width="14.42578125" style="3" customWidth="1"/>
    <col min="9211" max="9211" width="7.425781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5703125" style="3" customWidth="1"/>
    <col min="9465" max="9465" width="9.85546875" style="3" customWidth="1"/>
    <col min="9466" max="9466" width="14.42578125" style="3" customWidth="1"/>
    <col min="9467" max="9467" width="7.425781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5703125" style="3" customWidth="1"/>
    <col min="9721" max="9721" width="9.85546875" style="3" customWidth="1"/>
    <col min="9722" max="9722" width="14.42578125" style="3" customWidth="1"/>
    <col min="9723" max="9723" width="7.425781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5703125" style="3" customWidth="1"/>
    <col min="9977" max="9977" width="9.85546875" style="3" customWidth="1"/>
    <col min="9978" max="9978" width="14.42578125" style="3" customWidth="1"/>
    <col min="9979" max="9979" width="7.425781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5703125" style="3" customWidth="1"/>
    <col min="10233" max="10233" width="9.85546875" style="3" customWidth="1"/>
    <col min="10234" max="10234" width="14.42578125" style="3" customWidth="1"/>
    <col min="10235" max="10235" width="7.425781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5703125" style="3" customWidth="1"/>
    <col min="10489" max="10489" width="9.85546875" style="3" customWidth="1"/>
    <col min="10490" max="10490" width="14.42578125" style="3" customWidth="1"/>
    <col min="10491" max="10491" width="7.425781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5703125" style="3" customWidth="1"/>
    <col min="10745" max="10745" width="9.85546875" style="3" customWidth="1"/>
    <col min="10746" max="10746" width="14.42578125" style="3" customWidth="1"/>
    <col min="10747" max="10747" width="7.425781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5703125" style="3" customWidth="1"/>
    <col min="11001" max="11001" width="9.85546875" style="3" customWidth="1"/>
    <col min="11002" max="11002" width="14.42578125" style="3" customWidth="1"/>
    <col min="11003" max="11003" width="7.425781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5703125" style="3" customWidth="1"/>
    <col min="11257" max="11257" width="9.85546875" style="3" customWidth="1"/>
    <col min="11258" max="11258" width="14.42578125" style="3" customWidth="1"/>
    <col min="11259" max="11259" width="7.425781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5703125" style="3" customWidth="1"/>
    <col min="11513" max="11513" width="9.85546875" style="3" customWidth="1"/>
    <col min="11514" max="11514" width="14.42578125" style="3" customWidth="1"/>
    <col min="11515" max="11515" width="7.425781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5703125" style="3" customWidth="1"/>
    <col min="11769" max="11769" width="9.85546875" style="3" customWidth="1"/>
    <col min="11770" max="11770" width="14.42578125" style="3" customWidth="1"/>
    <col min="11771" max="11771" width="7.425781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5703125" style="3" customWidth="1"/>
    <col min="12025" max="12025" width="9.85546875" style="3" customWidth="1"/>
    <col min="12026" max="12026" width="14.42578125" style="3" customWidth="1"/>
    <col min="12027" max="12027" width="7.425781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5703125" style="3" customWidth="1"/>
    <col min="12281" max="12281" width="9.85546875" style="3" customWidth="1"/>
    <col min="12282" max="12282" width="14.42578125" style="3" customWidth="1"/>
    <col min="12283" max="12283" width="7.425781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5703125" style="3" customWidth="1"/>
    <col min="12537" max="12537" width="9.85546875" style="3" customWidth="1"/>
    <col min="12538" max="12538" width="14.42578125" style="3" customWidth="1"/>
    <col min="12539" max="12539" width="7.425781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5703125" style="3" customWidth="1"/>
    <col min="12793" max="12793" width="9.85546875" style="3" customWidth="1"/>
    <col min="12794" max="12794" width="14.42578125" style="3" customWidth="1"/>
    <col min="12795" max="12795" width="7.425781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5703125" style="3" customWidth="1"/>
    <col min="13049" max="13049" width="9.85546875" style="3" customWidth="1"/>
    <col min="13050" max="13050" width="14.42578125" style="3" customWidth="1"/>
    <col min="13051" max="13051" width="7.425781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5703125" style="3" customWidth="1"/>
    <col min="13305" max="13305" width="9.85546875" style="3" customWidth="1"/>
    <col min="13306" max="13306" width="14.42578125" style="3" customWidth="1"/>
    <col min="13307" max="13307" width="7.425781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5703125" style="3" customWidth="1"/>
    <col min="13561" max="13561" width="9.85546875" style="3" customWidth="1"/>
    <col min="13562" max="13562" width="14.42578125" style="3" customWidth="1"/>
    <col min="13563" max="13563" width="7.425781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5703125" style="3" customWidth="1"/>
    <col min="13817" max="13817" width="9.85546875" style="3" customWidth="1"/>
    <col min="13818" max="13818" width="14.42578125" style="3" customWidth="1"/>
    <col min="13819" max="13819" width="7.425781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5703125" style="3" customWidth="1"/>
    <col min="14073" max="14073" width="9.85546875" style="3" customWidth="1"/>
    <col min="14074" max="14074" width="14.42578125" style="3" customWidth="1"/>
    <col min="14075" max="14075" width="7.425781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5703125" style="3" customWidth="1"/>
    <col min="14329" max="14329" width="9.85546875" style="3" customWidth="1"/>
    <col min="14330" max="14330" width="14.42578125" style="3" customWidth="1"/>
    <col min="14331" max="14331" width="7.425781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5703125" style="3" customWidth="1"/>
    <col min="14585" max="14585" width="9.85546875" style="3" customWidth="1"/>
    <col min="14586" max="14586" width="14.42578125" style="3" customWidth="1"/>
    <col min="14587" max="14587" width="7.425781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5703125" style="3" customWidth="1"/>
    <col min="14841" max="14841" width="9.85546875" style="3" customWidth="1"/>
    <col min="14842" max="14842" width="14.42578125" style="3" customWidth="1"/>
    <col min="14843" max="14843" width="7.425781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5703125" style="3" customWidth="1"/>
    <col min="15097" max="15097" width="9.85546875" style="3" customWidth="1"/>
    <col min="15098" max="15098" width="14.42578125" style="3" customWidth="1"/>
    <col min="15099" max="15099" width="7.425781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5703125" style="3" customWidth="1"/>
    <col min="15353" max="15353" width="9.85546875" style="3" customWidth="1"/>
    <col min="15354" max="15354" width="14.42578125" style="3" customWidth="1"/>
    <col min="15355" max="15355" width="7.425781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5703125" style="3" customWidth="1"/>
    <col min="15609" max="15609" width="9.85546875" style="3" customWidth="1"/>
    <col min="15610" max="15610" width="14.42578125" style="3" customWidth="1"/>
    <col min="15611" max="15611" width="7.425781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5703125" style="3" customWidth="1"/>
    <col min="15865" max="15865" width="9.85546875" style="3" customWidth="1"/>
    <col min="15866" max="15866" width="14.42578125" style="3" customWidth="1"/>
    <col min="15867" max="15867" width="7.425781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5703125" style="3" customWidth="1"/>
    <col min="16121" max="16121" width="9.85546875" style="3" customWidth="1"/>
    <col min="16122" max="16122" width="14.42578125" style="3" customWidth="1"/>
    <col min="16123" max="16123" width="7.425781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8" ht="46.5" customHeight="1" x14ac:dyDescent="0.25">
      <c r="A1" s="97" t="s">
        <v>207</v>
      </c>
      <c r="B1" s="97"/>
      <c r="C1" s="97"/>
      <c r="D1" s="97"/>
      <c r="E1" s="97"/>
      <c r="F1" s="97"/>
      <c r="G1" s="97"/>
      <c r="H1" s="97"/>
    </row>
    <row r="2" spans="1:8" ht="16.5" customHeight="1" x14ac:dyDescent="0.25">
      <c r="A2" s="98" t="s">
        <v>0</v>
      </c>
      <c r="B2" s="98"/>
      <c r="C2" s="98"/>
      <c r="D2" s="98"/>
      <c r="E2" s="98"/>
      <c r="F2" s="98"/>
      <c r="G2" s="98"/>
      <c r="H2" s="98"/>
    </row>
    <row r="3" spans="1:8" x14ac:dyDescent="0.25">
      <c r="A3" s="94" t="s">
        <v>1</v>
      </c>
      <c r="B3" s="94"/>
      <c r="C3" s="94"/>
      <c r="D3" s="94"/>
      <c r="E3" s="96" t="str">
        <f ca="1">TEXT(TODAY(),"DD/MM/YYYY")</f>
        <v>15/09/2025</v>
      </c>
      <c r="F3" s="96"/>
      <c r="G3" s="96"/>
      <c r="H3" s="96"/>
    </row>
    <row r="4" spans="1:8" ht="15" customHeight="1" x14ac:dyDescent="0.25">
      <c r="A4" s="94" t="s">
        <v>2</v>
      </c>
      <c r="B4" s="94"/>
      <c r="C4" s="94"/>
      <c r="D4" s="94"/>
      <c r="E4" s="99" t="s">
        <v>181</v>
      </c>
      <c r="F4" s="99"/>
      <c r="G4" s="99"/>
      <c r="H4" s="99"/>
    </row>
    <row r="5" spans="1:8" x14ac:dyDescent="0.25">
      <c r="A5" s="94" t="s">
        <v>3</v>
      </c>
      <c r="B5" s="94"/>
      <c r="C5" s="94"/>
      <c r="D5" s="94"/>
      <c r="E5" s="96">
        <v>45910</v>
      </c>
      <c r="F5" s="96"/>
      <c r="G5" s="96"/>
      <c r="H5" s="96"/>
    </row>
    <row r="6" spans="1:8" ht="16.5" customHeight="1" x14ac:dyDescent="0.25">
      <c r="A6" s="94" t="s">
        <v>4</v>
      </c>
      <c r="B6" s="94"/>
      <c r="C6" s="94"/>
      <c r="D6" s="94"/>
      <c r="E6" s="75" t="s">
        <v>198</v>
      </c>
      <c r="F6" s="75"/>
      <c r="G6" s="75"/>
      <c r="H6" s="75"/>
    </row>
    <row r="7" spans="1:8" ht="15" customHeight="1" x14ac:dyDescent="0.25">
      <c r="A7" s="94" t="s">
        <v>5</v>
      </c>
      <c r="B7" s="94"/>
      <c r="C7" s="94"/>
      <c r="D7" s="94"/>
      <c r="E7" s="75" t="str">
        <f>E6</f>
        <v>M/s.Puneet Edifice Pvt Ltd</v>
      </c>
      <c r="F7" s="75"/>
      <c r="G7" s="75"/>
      <c r="H7" s="75"/>
    </row>
    <row r="8" spans="1:8" x14ac:dyDescent="0.25">
      <c r="A8" s="94" t="s">
        <v>6</v>
      </c>
      <c r="B8" s="94"/>
      <c r="C8" s="94"/>
      <c r="D8" s="94"/>
      <c r="E8" s="77" t="s">
        <v>182</v>
      </c>
      <c r="F8" s="77"/>
      <c r="G8" s="77"/>
      <c r="H8" s="77"/>
    </row>
    <row r="9" spans="1:8" x14ac:dyDescent="0.25">
      <c r="A9" s="94" t="s">
        <v>130</v>
      </c>
      <c r="B9" s="94"/>
      <c r="C9" s="94"/>
      <c r="D9" s="94"/>
      <c r="E9" s="94">
        <v>7710080801</v>
      </c>
      <c r="F9" s="94"/>
      <c r="G9" s="94"/>
      <c r="H9" s="94"/>
    </row>
    <row r="10" spans="1:8" x14ac:dyDescent="0.25">
      <c r="A10" s="61" t="s">
        <v>7</v>
      </c>
      <c r="B10" s="61"/>
      <c r="C10" s="61"/>
      <c r="D10" s="61"/>
      <c r="E10" s="61" t="s">
        <v>167</v>
      </c>
      <c r="F10" s="61"/>
      <c r="G10" s="61"/>
      <c r="H10" s="61"/>
    </row>
    <row r="11" spans="1:8" x14ac:dyDescent="0.25">
      <c r="A11" s="94" t="s">
        <v>8</v>
      </c>
      <c r="B11" s="94"/>
      <c r="C11" s="94"/>
      <c r="D11" s="94"/>
      <c r="E11" s="63" t="s">
        <v>199</v>
      </c>
      <c r="F11" s="63"/>
      <c r="G11" s="63"/>
      <c r="H11" s="63"/>
    </row>
    <row r="12" spans="1:8" x14ac:dyDescent="0.25">
      <c r="A12" s="94" t="s">
        <v>9</v>
      </c>
      <c r="B12" s="94"/>
      <c r="C12" s="94"/>
      <c r="D12" s="94"/>
      <c r="E12" s="63" t="s">
        <v>183</v>
      </c>
      <c r="F12" s="61"/>
      <c r="G12" s="61"/>
      <c r="H12" s="61"/>
    </row>
    <row r="13" spans="1:8" ht="31.35" customHeight="1" x14ac:dyDescent="0.25">
      <c r="A13" s="75" t="s">
        <v>10</v>
      </c>
      <c r="B13" s="75"/>
      <c r="C13" s="63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Puneet Shivalaya, C.T.S No.351(pt), Re-Devlopment Building No.28, near Puneet Sanjivani Tower, Internal Road, Tagore Nagar, Vikhroli, Kurla, Mumbai - 400083.</v>
      </c>
      <c r="D13" s="63"/>
      <c r="E13" s="63"/>
      <c r="F13" s="63"/>
      <c r="G13" s="63"/>
      <c r="H13" s="63"/>
    </row>
    <row r="14" spans="1:8" x14ac:dyDescent="0.25">
      <c r="A14" s="75" t="s">
        <v>186</v>
      </c>
      <c r="B14" s="75"/>
      <c r="C14" s="63" t="s">
        <v>187</v>
      </c>
      <c r="D14" s="63"/>
      <c r="E14" s="63"/>
      <c r="F14" s="63"/>
      <c r="G14" s="63"/>
      <c r="H14" s="63"/>
    </row>
    <row r="15" spans="1:8" ht="15.75" customHeight="1" x14ac:dyDescent="0.25">
      <c r="A15" s="75" t="s">
        <v>11</v>
      </c>
      <c r="B15" s="75"/>
      <c r="C15" s="61" t="s">
        <v>193</v>
      </c>
      <c r="D15" s="61"/>
      <c r="E15" s="63" t="s">
        <v>78</v>
      </c>
      <c r="F15" s="63"/>
      <c r="G15" s="63" t="s">
        <v>188</v>
      </c>
      <c r="H15" s="63"/>
    </row>
    <row r="16" spans="1:8" x14ac:dyDescent="0.25">
      <c r="A16" s="94" t="s">
        <v>13</v>
      </c>
      <c r="B16" s="94"/>
      <c r="C16" s="63" t="s">
        <v>191</v>
      </c>
      <c r="D16" s="63"/>
      <c r="E16" s="63" t="s">
        <v>12</v>
      </c>
      <c r="F16" s="63"/>
      <c r="G16" s="95" t="s">
        <v>190</v>
      </c>
      <c r="H16" s="95"/>
    </row>
    <row r="17" spans="1:8" x14ac:dyDescent="0.25">
      <c r="A17" s="94" t="s">
        <v>79</v>
      </c>
      <c r="B17" s="94"/>
      <c r="C17" s="63" t="s">
        <v>189</v>
      </c>
      <c r="D17" s="63"/>
      <c r="E17" s="63" t="s">
        <v>14</v>
      </c>
      <c r="F17" s="63"/>
      <c r="G17" s="63">
        <v>400083</v>
      </c>
      <c r="H17" s="63"/>
    </row>
    <row r="18" spans="1:8" ht="32.25" customHeight="1" x14ac:dyDescent="0.25">
      <c r="A18" s="94" t="s">
        <v>132</v>
      </c>
      <c r="B18" s="94"/>
      <c r="C18" s="63" t="s">
        <v>192</v>
      </c>
      <c r="D18" s="63"/>
      <c r="E18" s="63" t="s">
        <v>15</v>
      </c>
      <c r="F18" s="63"/>
      <c r="G18" s="63" t="s">
        <v>197</v>
      </c>
      <c r="H18" s="63"/>
    </row>
    <row r="19" spans="1:8" ht="15" customHeight="1" x14ac:dyDescent="0.25">
      <c r="A19" s="89" t="s">
        <v>81</v>
      </c>
      <c r="B19" s="89"/>
      <c r="C19" s="89"/>
      <c r="D19" s="89"/>
      <c r="E19" s="93" t="s">
        <v>16</v>
      </c>
      <c r="F19" s="93"/>
      <c r="G19" s="93"/>
      <c r="H19" s="93"/>
    </row>
    <row r="20" spans="1:8" ht="18.75" customHeight="1" x14ac:dyDescent="0.25">
      <c r="A20" s="89"/>
      <c r="B20" s="89"/>
      <c r="C20" s="89"/>
      <c r="D20" s="89"/>
      <c r="E20" s="93"/>
      <c r="F20" s="93"/>
      <c r="G20" s="93"/>
      <c r="H20" s="93"/>
    </row>
    <row r="21" spans="1:8" ht="15" customHeight="1" x14ac:dyDescent="0.25">
      <c r="A21" s="89" t="s">
        <v>17</v>
      </c>
      <c r="B21" s="89"/>
      <c r="C21" s="89"/>
      <c r="D21" s="89"/>
      <c r="E21" s="87" t="s">
        <v>18</v>
      </c>
      <c r="F21" s="87"/>
      <c r="G21" s="87"/>
      <c r="H21" s="87"/>
    </row>
    <row r="22" spans="1:8" ht="15" customHeight="1" x14ac:dyDescent="0.25">
      <c r="A22" s="60" t="s">
        <v>19</v>
      </c>
      <c r="B22" s="60"/>
      <c r="C22" s="60"/>
      <c r="D22" s="60"/>
      <c r="E22" s="87" t="str">
        <f>IF(AND(G16="Mumbai"),"Upper Class","Middle Class")</f>
        <v>Upper Class</v>
      </c>
      <c r="F22" s="87"/>
      <c r="G22" s="87"/>
      <c r="H22" s="87"/>
    </row>
    <row r="23" spans="1:8" x14ac:dyDescent="0.25">
      <c r="A23" s="60" t="s">
        <v>20</v>
      </c>
      <c r="B23" s="60"/>
      <c r="C23" s="60"/>
      <c r="D23" s="60"/>
      <c r="E23" s="87" t="s">
        <v>21</v>
      </c>
      <c r="F23" s="87"/>
      <c r="G23" s="87"/>
      <c r="H23" s="87"/>
    </row>
    <row r="24" spans="1:8" ht="15.75" customHeight="1" x14ac:dyDescent="0.25">
      <c r="A24" s="60" t="s">
        <v>22</v>
      </c>
      <c r="B24" s="60"/>
      <c r="C24" s="60"/>
      <c r="D24" s="60"/>
      <c r="E24" s="87" t="str">
        <f>IF(AND(G16="Mumbai"),"Developed","Developing")</f>
        <v>Developed</v>
      </c>
      <c r="F24" s="87"/>
      <c r="G24" s="87"/>
      <c r="H24" s="87"/>
    </row>
    <row r="25" spans="1:8" x14ac:dyDescent="0.25">
      <c r="A25" s="60" t="s">
        <v>23</v>
      </c>
      <c r="B25" s="60"/>
      <c r="C25" s="60"/>
      <c r="D25" s="60"/>
      <c r="E25" s="87" t="s">
        <v>24</v>
      </c>
      <c r="F25" s="87"/>
      <c r="G25" s="87"/>
      <c r="H25" s="87"/>
    </row>
    <row r="26" spans="1:8" x14ac:dyDescent="0.25">
      <c r="A26" s="60" t="s">
        <v>86</v>
      </c>
      <c r="B26" s="60"/>
      <c r="C26" s="60"/>
      <c r="D26" s="60"/>
      <c r="E26" s="87" t="s">
        <v>87</v>
      </c>
      <c r="F26" s="87"/>
      <c r="G26" s="87"/>
      <c r="H26" s="87"/>
    </row>
    <row r="27" spans="1:8" ht="15" customHeight="1" x14ac:dyDescent="0.25">
      <c r="A27" s="89" t="s">
        <v>33</v>
      </c>
      <c r="B27" s="89"/>
      <c r="C27" s="89"/>
      <c r="D27" s="89"/>
      <c r="E27" s="90" t="str">
        <f>IF(ISNUMBER(SEARCH("Shop",D53)),"Residential + Commercial",IF(ISNUMBER(SEARCH("Office",D53)),"Residential + Commercial",IF(SEARCH("Flats",D53),"Residential","")))</f>
        <v>Residential</v>
      </c>
      <c r="F27" s="90"/>
      <c r="G27" s="90"/>
      <c r="H27" s="90"/>
    </row>
    <row r="28" spans="1:8" x14ac:dyDescent="0.25">
      <c r="A28" s="89" t="s">
        <v>98</v>
      </c>
      <c r="B28" s="89"/>
      <c r="C28" s="89"/>
      <c r="D28" s="89"/>
      <c r="E28" s="89" t="s">
        <v>34</v>
      </c>
      <c r="F28" s="89"/>
      <c r="G28" s="89"/>
      <c r="H28" s="89"/>
    </row>
    <row r="29" spans="1:8" s="6" customFormat="1" x14ac:dyDescent="0.25">
      <c r="A29" s="92" t="s">
        <v>99</v>
      </c>
      <c r="B29" s="92"/>
      <c r="C29" s="91" t="s">
        <v>29</v>
      </c>
      <c r="D29" s="91"/>
      <c r="E29" s="91"/>
      <c r="F29" s="91" t="s">
        <v>31</v>
      </c>
      <c r="G29" s="91"/>
      <c r="H29" s="91"/>
    </row>
    <row r="30" spans="1:8" s="6" customFormat="1" x14ac:dyDescent="0.25">
      <c r="A30" s="85" t="s">
        <v>25</v>
      </c>
      <c r="B30" s="85" t="s">
        <v>30</v>
      </c>
      <c r="C30" s="83" t="s">
        <v>30</v>
      </c>
      <c r="D30" s="83"/>
      <c r="E30" s="83"/>
      <c r="F30" s="83" t="s">
        <v>196</v>
      </c>
      <c r="G30" s="83"/>
      <c r="H30" s="83"/>
    </row>
    <row r="31" spans="1:8" x14ac:dyDescent="0.25">
      <c r="A31" s="85" t="s">
        <v>26</v>
      </c>
      <c r="B31" s="85" t="s">
        <v>30</v>
      </c>
      <c r="C31" s="83" t="s">
        <v>30</v>
      </c>
      <c r="D31" s="83"/>
      <c r="E31" s="83"/>
      <c r="F31" s="83" t="s">
        <v>195</v>
      </c>
      <c r="G31" s="83"/>
      <c r="H31" s="83"/>
    </row>
    <row r="32" spans="1:8" s="6" customFormat="1" x14ac:dyDescent="0.25">
      <c r="A32" s="85" t="s">
        <v>28</v>
      </c>
      <c r="B32" s="85" t="s">
        <v>30</v>
      </c>
      <c r="C32" s="83" t="s">
        <v>30</v>
      </c>
      <c r="D32" s="83"/>
      <c r="E32" s="83"/>
      <c r="F32" s="83" t="s">
        <v>194</v>
      </c>
      <c r="G32" s="83"/>
      <c r="H32" s="83"/>
    </row>
    <row r="33" spans="1:8" x14ac:dyDescent="0.25">
      <c r="A33" s="85" t="s">
        <v>27</v>
      </c>
      <c r="B33" s="85" t="s">
        <v>30</v>
      </c>
      <c r="C33" s="83" t="s">
        <v>30</v>
      </c>
      <c r="D33" s="83"/>
      <c r="E33" s="83"/>
      <c r="F33" s="83" t="s">
        <v>192</v>
      </c>
      <c r="G33" s="83"/>
      <c r="H33" s="83"/>
    </row>
    <row r="34" spans="1:8" x14ac:dyDescent="0.25">
      <c r="A34" s="61" t="s">
        <v>32</v>
      </c>
      <c r="B34" s="61"/>
      <c r="C34" s="61"/>
      <c r="D34" s="61"/>
      <c r="E34" s="61"/>
      <c r="F34" s="61"/>
      <c r="G34" s="61"/>
      <c r="H34" s="61"/>
    </row>
    <row r="35" spans="1:8" ht="15.75" customHeight="1" x14ac:dyDescent="0.25">
      <c r="A35" s="61" t="s">
        <v>209</v>
      </c>
      <c r="B35" s="61"/>
      <c r="C35" s="86" t="s">
        <v>210</v>
      </c>
      <c r="D35" s="86"/>
      <c r="E35" s="86"/>
      <c r="F35" s="86"/>
      <c r="G35" s="86"/>
      <c r="H35" s="86"/>
    </row>
    <row r="36" spans="1:8" ht="15.75" customHeight="1" x14ac:dyDescent="0.25">
      <c r="A36" s="61" t="s">
        <v>204</v>
      </c>
      <c r="B36" s="61"/>
      <c r="C36" s="88" t="s">
        <v>205</v>
      </c>
      <c r="D36" s="61"/>
      <c r="E36" s="61"/>
      <c r="F36" s="61"/>
      <c r="G36" s="61"/>
      <c r="H36" s="61"/>
    </row>
    <row r="37" spans="1:8" x14ac:dyDescent="0.25">
      <c r="A37" s="77" t="s">
        <v>35</v>
      </c>
      <c r="B37" s="77"/>
      <c r="C37" s="77"/>
      <c r="D37" s="77"/>
      <c r="E37" s="77"/>
      <c r="F37" s="77"/>
      <c r="G37" s="77"/>
      <c r="H37" s="77"/>
    </row>
    <row r="38" spans="1:8" x14ac:dyDescent="0.25">
      <c r="A38" s="61" t="s">
        <v>36</v>
      </c>
      <c r="B38" s="61"/>
      <c r="C38" s="61"/>
      <c r="D38" s="61"/>
      <c r="E38" s="62">
        <v>907.28</v>
      </c>
      <c r="F38" s="62"/>
      <c r="G38" s="62"/>
      <c r="H38" s="62"/>
    </row>
    <row r="39" spans="1:8" x14ac:dyDescent="0.25">
      <c r="A39" s="61" t="s">
        <v>37</v>
      </c>
      <c r="B39" s="61"/>
      <c r="C39" s="61"/>
      <c r="D39" s="61"/>
      <c r="E39" s="73">
        <v>1</v>
      </c>
      <c r="F39" s="73"/>
      <c r="G39" s="73"/>
      <c r="H39" s="73"/>
    </row>
    <row r="40" spans="1:8" x14ac:dyDescent="0.25">
      <c r="A40" s="61" t="s">
        <v>38</v>
      </c>
      <c r="B40" s="61"/>
      <c r="C40" s="61"/>
      <c r="D40" s="61"/>
      <c r="E40" s="73">
        <f>E42/E38-E39</f>
        <v>8.6886407724186583</v>
      </c>
      <c r="F40" s="73"/>
      <c r="G40" s="73"/>
      <c r="H40" s="73"/>
    </row>
    <row r="41" spans="1:8" x14ac:dyDescent="0.25">
      <c r="A41" s="61" t="s">
        <v>39</v>
      </c>
      <c r="B41" s="61"/>
      <c r="C41" s="61"/>
      <c r="D41" s="61"/>
      <c r="E41" s="73">
        <f>E39+E40</f>
        <v>9.6886407724186583</v>
      </c>
      <c r="F41" s="73"/>
      <c r="G41" s="73"/>
      <c r="H41" s="73"/>
    </row>
    <row r="42" spans="1:8" x14ac:dyDescent="0.25">
      <c r="A42" s="61" t="s">
        <v>97</v>
      </c>
      <c r="B42" s="61"/>
      <c r="C42" s="61"/>
      <c r="D42" s="61"/>
      <c r="E42" s="74">
        <v>8790.31</v>
      </c>
      <c r="F42" s="74"/>
      <c r="G42" s="74"/>
      <c r="H42" s="74"/>
    </row>
    <row r="43" spans="1:8" x14ac:dyDescent="0.25">
      <c r="A43" s="61" t="s">
        <v>40</v>
      </c>
      <c r="B43" s="61"/>
      <c r="C43" s="61"/>
      <c r="D43" s="61"/>
      <c r="E43" s="61" t="s">
        <v>179</v>
      </c>
      <c r="F43" s="61"/>
      <c r="G43" s="61"/>
      <c r="H43" s="61"/>
    </row>
    <row r="44" spans="1:8" x14ac:dyDescent="0.25">
      <c r="A44" s="77" t="s">
        <v>41</v>
      </c>
      <c r="B44" s="77"/>
      <c r="C44" s="77"/>
      <c r="D44" s="77"/>
      <c r="E44" s="77"/>
      <c r="F44" s="77"/>
      <c r="G44" s="77"/>
      <c r="H44" s="77"/>
    </row>
    <row r="45" spans="1:8" ht="33.75" customHeight="1" x14ac:dyDescent="0.25">
      <c r="A45" s="75" t="s">
        <v>160</v>
      </c>
      <c r="B45" s="75"/>
      <c r="C45" s="76" t="s">
        <v>178</v>
      </c>
      <c r="D45" s="76"/>
      <c r="E45" s="76"/>
      <c r="F45" s="76"/>
      <c r="G45" s="76"/>
      <c r="H45" s="76"/>
    </row>
    <row r="46" spans="1:8" x14ac:dyDescent="0.25">
      <c r="A46" s="75" t="s">
        <v>42</v>
      </c>
      <c r="B46" s="75"/>
      <c r="C46" s="63" t="s">
        <v>177</v>
      </c>
      <c r="D46" s="63"/>
      <c r="E46" s="63"/>
      <c r="F46" s="53" t="s">
        <v>43</v>
      </c>
      <c r="G46" s="84">
        <v>44319</v>
      </c>
      <c r="H46" s="84"/>
    </row>
    <row r="47" spans="1:8" x14ac:dyDescent="0.25">
      <c r="A47" s="94" t="s">
        <v>44</v>
      </c>
      <c r="B47" s="94"/>
      <c r="C47" s="63" t="str">
        <f>C46</f>
        <v>MHADA/823/2021</v>
      </c>
      <c r="D47" s="63"/>
      <c r="E47" s="63"/>
      <c r="F47" s="53" t="s">
        <v>43</v>
      </c>
      <c r="G47" s="84">
        <f>G46</f>
        <v>44319</v>
      </c>
      <c r="H47" s="84"/>
    </row>
    <row r="48" spans="1:8" s="5" customFormat="1" ht="32.25" customHeight="1" x14ac:dyDescent="0.25">
      <c r="A48" s="63" t="s">
        <v>45</v>
      </c>
      <c r="B48" s="63"/>
      <c r="C48" s="63" t="s">
        <v>211</v>
      </c>
      <c r="D48" s="61"/>
      <c r="E48" s="61"/>
      <c r="F48" s="8" t="s">
        <v>43</v>
      </c>
      <c r="G48" s="84">
        <v>45407</v>
      </c>
      <c r="H48" s="84"/>
    </row>
    <row r="49" spans="1:14" s="5" customFormat="1" ht="159" customHeight="1" x14ac:dyDescent="0.25">
      <c r="A49" s="63"/>
      <c r="B49" s="63"/>
      <c r="C49" s="63" t="s">
        <v>212</v>
      </c>
      <c r="D49" s="61"/>
      <c r="E49" s="61"/>
      <c r="F49" s="33" t="s">
        <v>131</v>
      </c>
      <c r="G49" s="84">
        <v>46179</v>
      </c>
      <c r="H49" s="84"/>
    </row>
    <row r="50" spans="1:14" x14ac:dyDescent="0.25">
      <c r="A50" s="101" t="s">
        <v>46</v>
      </c>
      <c r="B50" s="101"/>
      <c r="C50" s="102" t="s">
        <v>114</v>
      </c>
      <c r="D50" s="76"/>
      <c r="E50" s="76" t="s">
        <v>47</v>
      </c>
      <c r="F50" s="54" t="s">
        <v>43</v>
      </c>
      <c r="G50" s="104" t="s">
        <v>30</v>
      </c>
      <c r="H50" s="104"/>
    </row>
    <row r="51" spans="1:14" x14ac:dyDescent="0.25">
      <c r="A51" s="103" t="s">
        <v>49</v>
      </c>
      <c r="B51" s="103"/>
      <c r="C51" s="103"/>
      <c r="D51" s="103"/>
      <c r="E51" s="103"/>
      <c r="F51" s="103"/>
      <c r="G51" s="103"/>
      <c r="H51" s="103"/>
    </row>
    <row r="52" spans="1:14" x14ac:dyDescent="0.25">
      <c r="A52" s="89" t="s">
        <v>96</v>
      </c>
      <c r="B52" s="89"/>
      <c r="C52" s="89"/>
      <c r="D52" s="60">
        <f>E42</f>
        <v>8790.31</v>
      </c>
      <c r="E52" s="60"/>
      <c r="F52" s="60"/>
      <c r="G52" s="60"/>
      <c r="H52" s="60"/>
    </row>
    <row r="53" spans="1:14" x14ac:dyDescent="0.25">
      <c r="A53" s="87" t="s">
        <v>50</v>
      </c>
      <c r="B53" s="93"/>
      <c r="C53" s="93"/>
      <c r="D53" s="61" t="s">
        <v>175</v>
      </c>
      <c r="E53" s="61"/>
      <c r="F53" s="61"/>
      <c r="G53" s="61"/>
      <c r="H53" s="61"/>
      <c r="I53" s="36"/>
    </row>
    <row r="54" spans="1:14" ht="32.25" customHeight="1" x14ac:dyDescent="0.25">
      <c r="A54" s="80" t="s">
        <v>51</v>
      </c>
      <c r="B54" s="81"/>
      <c r="C54" s="82"/>
      <c r="D54" s="78" t="s">
        <v>176</v>
      </c>
      <c r="E54" s="79"/>
      <c r="F54" s="79"/>
      <c r="G54" s="79"/>
      <c r="H54" s="79"/>
    </row>
    <row r="55" spans="1:14" ht="15.75" customHeight="1" x14ac:dyDescent="0.25">
      <c r="A55" s="80" t="s">
        <v>94</v>
      </c>
      <c r="B55" s="81"/>
      <c r="C55" s="81"/>
      <c r="D55" s="61" t="s">
        <v>185</v>
      </c>
      <c r="E55" s="61"/>
      <c r="F55" s="61"/>
      <c r="G55" s="61"/>
      <c r="H55" s="61"/>
    </row>
    <row r="56" spans="1:14" ht="15.75" customHeight="1" x14ac:dyDescent="0.25">
      <c r="A56" s="105"/>
      <c r="B56" s="106"/>
      <c r="C56" s="106"/>
      <c r="D56" s="61" t="s">
        <v>184</v>
      </c>
      <c r="E56" s="61"/>
      <c r="F56" s="61"/>
      <c r="G56" s="61"/>
      <c r="H56" s="61"/>
    </row>
    <row r="57" spans="1:14" ht="15.75" customHeight="1" x14ac:dyDescent="0.25">
      <c r="A57" s="60" t="s">
        <v>48</v>
      </c>
      <c r="B57" s="60"/>
      <c r="C57" s="60"/>
      <c r="D57" s="63" t="s">
        <v>216</v>
      </c>
      <c r="E57" s="63"/>
      <c r="F57" s="63"/>
      <c r="G57" s="63"/>
      <c r="H57" s="63"/>
      <c r="J57" s="35"/>
      <c r="K57" s="36"/>
      <c r="N57" s="36"/>
    </row>
    <row r="58" spans="1:14" ht="15.75" customHeight="1" x14ac:dyDescent="0.25">
      <c r="A58" s="60" t="s">
        <v>92</v>
      </c>
      <c r="B58" s="60"/>
      <c r="C58" s="60"/>
      <c r="D58" s="72" t="str">
        <f>(IF(G50="NA","60 Years After Completion",IF(G50&lt;&gt;"NA",""&amp;60-ROUNDDOWN((E3-G50)/360,0)&amp;" Years"," ")))</f>
        <v>60 Years After Completion</v>
      </c>
      <c r="E58" s="72"/>
      <c r="F58" s="72"/>
      <c r="G58" s="72"/>
      <c r="H58" s="72"/>
      <c r="N58" s="36"/>
    </row>
    <row r="59" spans="1:14" ht="15.75" customHeight="1" x14ac:dyDescent="0.25">
      <c r="A59" s="60" t="s">
        <v>93</v>
      </c>
      <c r="B59" s="60"/>
      <c r="C59" s="60"/>
      <c r="D59" s="75" t="s">
        <v>24</v>
      </c>
      <c r="E59" s="75"/>
      <c r="F59" s="75"/>
      <c r="G59" s="75"/>
      <c r="H59" s="75"/>
      <c r="J59" s="13"/>
      <c r="K59" s="13"/>
    </row>
    <row r="60" spans="1:14" ht="30.75" customHeight="1" x14ac:dyDescent="0.25">
      <c r="A60" s="60" t="s">
        <v>80</v>
      </c>
      <c r="B60" s="60"/>
      <c r="C60" s="60"/>
      <c r="D60" s="63" t="s">
        <v>203</v>
      </c>
      <c r="E60" s="75"/>
      <c r="F60" s="75"/>
      <c r="G60" s="75"/>
      <c r="H60" s="75"/>
    </row>
    <row r="61" spans="1:14" x14ac:dyDescent="0.25">
      <c r="A61" s="89" t="s">
        <v>158</v>
      </c>
      <c r="B61" s="89"/>
      <c r="C61" s="89"/>
      <c r="D61" s="75" t="s">
        <v>30</v>
      </c>
      <c r="E61" s="75"/>
      <c r="F61" s="75"/>
      <c r="G61" s="75"/>
      <c r="H61" s="75"/>
      <c r="I61" s="43"/>
      <c r="J61" s="43"/>
      <c r="K61" s="43"/>
      <c r="L61" s="43"/>
      <c r="M61" s="43"/>
      <c r="N61" s="43"/>
    </row>
    <row r="62" spans="1:14" ht="15.75" customHeight="1" x14ac:dyDescent="0.25">
      <c r="A62" s="60" t="s">
        <v>91</v>
      </c>
      <c r="B62" s="60"/>
      <c r="C62" s="60"/>
      <c r="D62" s="63" t="str">
        <f ca="1">(IF(G68&gt;95%,"Nothing",IF(G68&gt;0%,"Cement, Aggregate, Steel, etc",IF(G68=0%,"Work not yet Started"))))</f>
        <v>Cement, Aggregate, Steel, etc</v>
      </c>
      <c r="E62" s="63"/>
      <c r="F62" s="63"/>
      <c r="G62" s="63"/>
      <c r="H62" s="63"/>
      <c r="J62" s="13"/>
    </row>
    <row r="63" spans="1:14" ht="33.75" customHeight="1" thickBot="1" x14ac:dyDescent="0.3">
      <c r="A63" s="89" t="s">
        <v>127</v>
      </c>
      <c r="B63" s="89"/>
      <c r="C63" s="89"/>
      <c r="D63" s="63" t="str">
        <f ca="1">(IF(D62="Nothing","Yes",IF(D62="Cement, Aggregate, Steel, etc","Under Construction",IF(D62="Work not yet Started","Work not yet Started"))))</f>
        <v>Under Construction</v>
      </c>
      <c r="E63" s="63"/>
      <c r="F63" s="63" t="str">
        <f ca="1">(IF(D62="Nothing","Yes",IF(D62="Cement, Aggregate, Steel, etc","Under Construction",IF(D62="Work not yet Started","Work not yet Started"))))</f>
        <v>Under Construction</v>
      </c>
      <c r="G63" s="63"/>
      <c r="H63" s="63"/>
    </row>
    <row r="64" spans="1:14" ht="15.75" customHeight="1" x14ac:dyDescent="0.25">
      <c r="A64" s="100" t="s">
        <v>150</v>
      </c>
      <c r="B64" s="100"/>
      <c r="C64" s="100" t="s">
        <v>206</v>
      </c>
      <c r="D64" s="100"/>
      <c r="E64" s="100"/>
      <c r="F64" s="100"/>
      <c r="G64" s="100"/>
      <c r="H64" s="100"/>
      <c r="I64" s="38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Plinth, RCC, Brick, Plaster, Flooring, Painting work Completed. Finishing work is in process.</v>
      </c>
      <c r="J64" s="15"/>
    </row>
    <row r="65" spans="1:10" x14ac:dyDescent="0.25">
      <c r="A65" s="45" t="s">
        <v>152</v>
      </c>
      <c r="B65" s="45">
        <v>0</v>
      </c>
      <c r="C65" s="45" t="s">
        <v>77</v>
      </c>
      <c r="D65" s="45">
        <v>1</v>
      </c>
      <c r="E65" s="45" t="s">
        <v>76</v>
      </c>
      <c r="F65" s="45">
        <v>0</v>
      </c>
      <c r="G65" s="45" t="s">
        <v>85</v>
      </c>
      <c r="H65" s="45">
        <f ca="1">--TRIM(RIGHT(SUBSTITUTE(LEFT(C64,_xlfn.AGGREGATE(16,6,FIND({0,1,2,3,4,5,6,7,8,9},C64,ROW(INDIRECT("1:"&amp;LEN(C64)))),1))," ",REPT(" ",LEN(C64))),LEN(C64)))</f>
        <v>23</v>
      </c>
      <c r="I65" s="13"/>
      <c r="J65" s="16"/>
    </row>
    <row r="66" spans="1:10" ht="34.5" customHeight="1" x14ac:dyDescent="0.25">
      <c r="A66" s="134" t="s">
        <v>95</v>
      </c>
      <c r="B66" s="134"/>
      <c r="C66" s="100" t="str">
        <f ca="1">(IF($G$50="NA",I64,"All work Completed. OC Received."))</f>
        <v>Plinth, RCC, Brick, Plaster, Flooring, Painting work Completed. Finishing work is in process.</v>
      </c>
      <c r="D66" s="100"/>
      <c r="E66" s="100"/>
      <c r="F66" s="100"/>
      <c r="G66" s="100"/>
      <c r="H66" s="100"/>
      <c r="I66" s="13" t="s">
        <v>113</v>
      </c>
      <c r="J66" s="16"/>
    </row>
    <row r="67" spans="1:10" ht="15.75" customHeight="1" x14ac:dyDescent="0.25">
      <c r="A67" s="68" t="s">
        <v>52</v>
      </c>
      <c r="B67" s="69"/>
      <c r="C67" s="47" t="s">
        <v>149</v>
      </c>
      <c r="D67" s="47" t="s">
        <v>88</v>
      </c>
      <c r="E67" s="69" t="s">
        <v>90</v>
      </c>
      <c r="F67" s="69"/>
      <c r="G67" s="69" t="s">
        <v>89</v>
      </c>
      <c r="H67" s="133"/>
      <c r="I67" s="34" t="s">
        <v>151</v>
      </c>
      <c r="J67" s="17">
        <f ca="1">H65*25%</f>
        <v>5.75</v>
      </c>
    </row>
    <row r="68" spans="1:10" x14ac:dyDescent="0.25">
      <c r="A68" s="68" t="s">
        <v>138</v>
      </c>
      <c r="B68" s="69"/>
      <c r="C68" s="48">
        <f ca="1">J69</f>
        <v>23</v>
      </c>
      <c r="D68" s="49">
        <f ca="1">((100/H65)*C68)/100</f>
        <v>1</v>
      </c>
      <c r="E68" s="64">
        <f ca="1">(((C69/H65*10)+(40/(D65+F65+H65)*C70)+(7.5/(H65)*C71)+(7.5/(H65)*C72)+(10/H65*C73)+(10/H65*C74)+(5/H65*C75)+(5/H65*C76)+(5/H65*C77))/100)</f>
        <v>0.90869565217391302</v>
      </c>
      <c r="F68" s="64"/>
      <c r="G68" s="64">
        <f ca="1">((((C68/H65)*20)+((C69/H65)*25)+(30/(H65+F65+D65)*C70)+(5/H65*C71)+(5/H65*C72)+(5/H65*C73)+(5/H65*C74)+(0/H65*C75)+(0/H65*C76)+(5/H65*C77))/100)</f>
        <v>0.94782608695652171</v>
      </c>
      <c r="H68" s="66"/>
      <c r="I68" s="34" t="s">
        <v>108</v>
      </c>
      <c r="J68" s="37">
        <f ca="1">H65*50%</f>
        <v>11.5</v>
      </c>
    </row>
    <row r="69" spans="1:10" x14ac:dyDescent="0.25">
      <c r="A69" s="68" t="s">
        <v>53</v>
      </c>
      <c r="B69" s="69"/>
      <c r="C69" s="50">
        <v>23</v>
      </c>
      <c r="D69" s="49">
        <f ca="1">((100/H65)*C69)/100</f>
        <v>1</v>
      </c>
      <c r="E69" s="64"/>
      <c r="F69" s="64"/>
      <c r="G69" s="64"/>
      <c r="H69" s="66"/>
      <c r="I69" s="34" t="s">
        <v>109</v>
      </c>
      <c r="J69" s="37">
        <f ca="1">H65</f>
        <v>23</v>
      </c>
    </row>
    <row r="70" spans="1:10" ht="15.75" customHeight="1" x14ac:dyDescent="0.25">
      <c r="A70" s="68" t="s">
        <v>139</v>
      </c>
      <c r="B70" s="69"/>
      <c r="C70" s="50">
        <v>24</v>
      </c>
      <c r="D70" s="49">
        <f ca="1">((100/(D65+F65+H65))*C70)/100</f>
        <v>1</v>
      </c>
      <c r="E70" s="64"/>
      <c r="F70" s="64"/>
      <c r="G70" s="64"/>
      <c r="H70" s="66"/>
      <c r="I70" s="34" t="s">
        <v>110</v>
      </c>
      <c r="J70" s="40">
        <f ca="1">(IF(B65&gt;1,(H65/(B65+2)),H65/4))</f>
        <v>5.75</v>
      </c>
    </row>
    <row r="71" spans="1:10" ht="15.75" customHeight="1" x14ac:dyDescent="0.25">
      <c r="A71" s="68" t="s">
        <v>146</v>
      </c>
      <c r="B71" s="69" t="s">
        <v>140</v>
      </c>
      <c r="C71" s="50">
        <f>C70-1</f>
        <v>23</v>
      </c>
      <c r="D71" s="49">
        <f ca="1">((100/H65)*C71)/100</f>
        <v>1</v>
      </c>
      <c r="E71" s="64"/>
      <c r="F71" s="64"/>
      <c r="G71" s="64"/>
      <c r="H71" s="66"/>
      <c r="I71" s="34" t="s">
        <v>111</v>
      </c>
      <c r="J71" s="40">
        <f ca="1">(IF(B65&gt;1,(H65/(B65+2)+J70),H65/4+J70))</f>
        <v>11.5</v>
      </c>
    </row>
    <row r="72" spans="1:10" ht="15.75" customHeight="1" x14ac:dyDescent="0.25">
      <c r="A72" s="68" t="s">
        <v>147</v>
      </c>
      <c r="B72" s="69" t="s">
        <v>140</v>
      </c>
      <c r="C72" s="50">
        <v>23</v>
      </c>
      <c r="D72" s="49">
        <f ca="1">((100/H65)*C72)/100</f>
        <v>1</v>
      </c>
      <c r="E72" s="64"/>
      <c r="F72" s="64"/>
      <c r="G72" s="64"/>
      <c r="H72" s="66"/>
      <c r="I72" s="34" t="s">
        <v>156</v>
      </c>
      <c r="J72" s="40">
        <f>(IF(B65&gt;1,(H65/(B65+2)+J71),0))</f>
        <v>0</v>
      </c>
    </row>
    <row r="73" spans="1:10" ht="15" customHeight="1" x14ac:dyDescent="0.25">
      <c r="A73" s="68" t="s">
        <v>145</v>
      </c>
      <c r="B73" s="69" t="s">
        <v>142</v>
      </c>
      <c r="C73" s="50">
        <v>23</v>
      </c>
      <c r="D73" s="49">
        <f ca="1">((100/(H65))*C73)/100</f>
        <v>1</v>
      </c>
      <c r="E73" s="64"/>
      <c r="F73" s="64"/>
      <c r="G73" s="64"/>
      <c r="H73" s="66"/>
      <c r="I73" s="34" t="s">
        <v>153</v>
      </c>
      <c r="J73" s="40">
        <f>(IF(B65&gt;2,(H65/(B65+2)+J72),0))</f>
        <v>0</v>
      </c>
    </row>
    <row r="74" spans="1:10" ht="15.75" customHeight="1" x14ac:dyDescent="0.25">
      <c r="A74" s="68" t="s">
        <v>141</v>
      </c>
      <c r="B74" s="69" t="s">
        <v>141</v>
      </c>
      <c r="C74" s="48">
        <v>22</v>
      </c>
      <c r="D74" s="49">
        <f ca="1">((100/H65)*C74)/100</f>
        <v>0.9565217391304347</v>
      </c>
      <c r="E74" s="64"/>
      <c r="F74" s="64"/>
      <c r="G74" s="64"/>
      <c r="H74" s="66"/>
      <c r="I74" s="34" t="s">
        <v>154</v>
      </c>
      <c r="J74" s="41">
        <f>(IF(B65&gt;3,(H65/(B65+2)+J73),0))</f>
        <v>0</v>
      </c>
    </row>
    <row r="75" spans="1:10" ht="15.75" customHeight="1" x14ac:dyDescent="0.25">
      <c r="A75" s="68" t="s">
        <v>148</v>
      </c>
      <c r="B75" s="69"/>
      <c r="C75" s="48">
        <v>21</v>
      </c>
      <c r="D75" s="49">
        <f ca="1">((100/H65)*C75)/100</f>
        <v>0.91304347826086951</v>
      </c>
      <c r="E75" s="64"/>
      <c r="F75" s="64"/>
      <c r="G75" s="64"/>
      <c r="H75" s="66"/>
      <c r="I75" s="34" t="s">
        <v>155</v>
      </c>
      <c r="J75" s="40">
        <f>(IF(B65&gt;4,(H65/(B65+2)+J74),0))</f>
        <v>0</v>
      </c>
    </row>
    <row r="76" spans="1:10" ht="15.75" customHeight="1" x14ac:dyDescent="0.25">
      <c r="A76" s="68" t="s">
        <v>143</v>
      </c>
      <c r="B76" s="69" t="s">
        <v>143</v>
      </c>
      <c r="C76" s="48">
        <v>8</v>
      </c>
      <c r="D76" s="49">
        <f ca="1">((100/(H65))*C76)/100</f>
        <v>0.34782608695652173</v>
      </c>
      <c r="E76" s="64"/>
      <c r="F76" s="64"/>
      <c r="G76" s="64"/>
      <c r="H76" s="66"/>
      <c r="I76" s="34" t="s">
        <v>157</v>
      </c>
      <c r="J76" s="40">
        <f ca="1">(IF(B65=1,(H65/(B65+3)+J71),IF(B65=0,(H65/4+J71),IF(B65&gt;1,0))))</f>
        <v>17.25</v>
      </c>
    </row>
    <row r="77" spans="1:10" ht="16.5" thickBot="1" x14ac:dyDescent="0.3">
      <c r="A77" s="70" t="s">
        <v>144</v>
      </c>
      <c r="B77" s="71"/>
      <c r="C77" s="51">
        <v>0</v>
      </c>
      <c r="D77" s="52">
        <f ca="1">((100/(H65))*C77)/100</f>
        <v>0</v>
      </c>
      <c r="E77" s="65"/>
      <c r="F77" s="65"/>
      <c r="G77" s="65"/>
      <c r="H77" s="67"/>
      <c r="I77" s="39" t="s">
        <v>112</v>
      </c>
      <c r="J77" s="42">
        <f ca="1">(IF(B65&gt;1.5,(H65/(B65+2)+J71+MAX(0,J72-J71)+MAX(0,J73-J72)+MAX(0,J74-J73)+MAX(0,J75-J74)+MAX(0,J76-J75)),IF(B65=1,(H65/(B65+3)+J76),IF(B65=0,H65/4+J76))))</f>
        <v>23</v>
      </c>
    </row>
    <row r="78" spans="1:10" x14ac:dyDescent="0.25">
      <c r="A78" s="109" t="s">
        <v>54</v>
      </c>
      <c r="B78" s="109"/>
      <c r="C78" s="109"/>
      <c r="D78" s="109"/>
      <c r="E78" s="109"/>
      <c r="F78" s="109"/>
      <c r="G78" s="109"/>
      <c r="H78" s="109"/>
    </row>
    <row r="79" spans="1:10" x14ac:dyDescent="0.25">
      <c r="A79" s="60" t="s">
        <v>163</v>
      </c>
      <c r="B79" s="60"/>
      <c r="C79" s="60"/>
      <c r="D79" s="60"/>
      <c r="E79" s="60"/>
      <c r="F79" s="142">
        <v>14000</v>
      </c>
      <c r="G79" s="142"/>
      <c r="H79" s="142"/>
    </row>
    <row r="80" spans="1:10" s="7" customFormat="1" hidden="1" x14ac:dyDescent="0.25">
      <c r="A80" s="60" t="s">
        <v>100</v>
      </c>
      <c r="B80" s="60"/>
      <c r="C80" s="60"/>
      <c r="D80" s="60"/>
      <c r="E80" s="60"/>
      <c r="F80" s="59"/>
      <c r="G80" s="59"/>
      <c r="H80" s="59"/>
    </row>
    <row r="81" spans="1:8" s="7" customFormat="1" hidden="1" x14ac:dyDescent="0.25">
      <c r="A81" s="60" t="s">
        <v>101</v>
      </c>
      <c r="B81" s="60"/>
      <c r="C81" s="60"/>
      <c r="D81" s="60"/>
      <c r="E81" s="60"/>
      <c r="F81" s="59"/>
      <c r="G81" s="59"/>
      <c r="H81" s="59"/>
    </row>
    <row r="82" spans="1:8" s="7" customFormat="1" hidden="1" x14ac:dyDescent="0.25">
      <c r="A82" s="60" t="s">
        <v>102</v>
      </c>
      <c r="B82" s="60"/>
      <c r="C82" s="60"/>
      <c r="D82" s="60"/>
      <c r="E82" s="60"/>
      <c r="F82" s="59"/>
      <c r="G82" s="59"/>
      <c r="H82" s="59"/>
    </row>
    <row r="83" spans="1:8" s="7" customFormat="1" hidden="1" x14ac:dyDescent="0.25">
      <c r="A83" s="60" t="s">
        <v>103</v>
      </c>
      <c r="B83" s="60"/>
      <c r="C83" s="60"/>
      <c r="D83" s="60"/>
      <c r="E83" s="60"/>
      <c r="F83" s="59"/>
      <c r="G83" s="59"/>
      <c r="H83" s="59"/>
    </row>
    <row r="84" spans="1:8" s="7" customFormat="1" hidden="1" x14ac:dyDescent="0.25">
      <c r="A84" s="60" t="s">
        <v>104</v>
      </c>
      <c r="B84" s="60"/>
      <c r="C84" s="60"/>
      <c r="D84" s="60"/>
      <c r="E84" s="60"/>
      <c r="F84" s="59"/>
      <c r="G84" s="59"/>
      <c r="H84" s="59"/>
    </row>
    <row r="85" spans="1:8" s="7" customFormat="1" hidden="1" x14ac:dyDescent="0.25">
      <c r="A85" s="60" t="s">
        <v>105</v>
      </c>
      <c r="B85" s="60"/>
      <c r="C85" s="60"/>
      <c r="D85" s="60"/>
      <c r="E85" s="60"/>
      <c r="F85" s="59"/>
      <c r="G85" s="59"/>
      <c r="H85" s="59"/>
    </row>
    <row r="86" spans="1:8" s="7" customFormat="1" hidden="1" x14ac:dyDescent="0.25">
      <c r="A86" s="60" t="s">
        <v>106</v>
      </c>
      <c r="B86" s="60"/>
      <c r="C86" s="60"/>
      <c r="D86" s="60"/>
      <c r="E86" s="60"/>
      <c r="F86" s="59"/>
      <c r="G86" s="59"/>
      <c r="H86" s="59"/>
    </row>
    <row r="87" spans="1:8" s="7" customFormat="1" hidden="1" x14ac:dyDescent="0.25">
      <c r="A87" s="60" t="s">
        <v>107</v>
      </c>
      <c r="B87" s="60"/>
      <c r="C87" s="60"/>
      <c r="D87" s="60"/>
      <c r="E87" s="60"/>
      <c r="F87" s="59"/>
      <c r="G87" s="59"/>
      <c r="H87" s="59"/>
    </row>
    <row r="88" spans="1:8" x14ac:dyDescent="0.25">
      <c r="A88" s="60" t="s">
        <v>55</v>
      </c>
      <c r="B88" s="60"/>
      <c r="C88" s="60"/>
      <c r="D88" s="60"/>
      <c r="E88" s="60"/>
      <c r="F88" s="59">
        <v>700000</v>
      </c>
      <c r="G88" s="59"/>
      <c r="H88" s="59"/>
    </row>
    <row r="89" spans="1:8" s="4" customFormat="1" x14ac:dyDescent="0.25">
      <c r="A89" s="109" t="s">
        <v>56</v>
      </c>
      <c r="B89" s="109"/>
      <c r="C89" s="109"/>
      <c r="D89" s="109"/>
      <c r="E89" s="109"/>
      <c r="F89" s="59">
        <f>F79*0.8</f>
        <v>11200</v>
      </c>
      <c r="G89" s="59"/>
      <c r="H89" s="59"/>
    </row>
    <row r="90" spans="1:8" s="1" customFormat="1" x14ac:dyDescent="0.25">
      <c r="A90" s="112" t="s">
        <v>75</v>
      </c>
      <c r="B90" s="112"/>
      <c r="C90" s="112"/>
      <c r="D90" s="112"/>
      <c r="E90" s="112"/>
      <c r="F90" s="112"/>
      <c r="G90" s="112"/>
      <c r="H90" s="112"/>
    </row>
    <row r="91" spans="1:8" s="1" customFormat="1" ht="15.75" customHeight="1" x14ac:dyDescent="0.25">
      <c r="A91" s="131" t="s">
        <v>57</v>
      </c>
      <c r="B91" s="131"/>
      <c r="C91" s="129" t="s">
        <v>83</v>
      </c>
      <c r="D91" s="129"/>
      <c r="E91" s="128" t="s">
        <v>58</v>
      </c>
      <c r="F91" s="128"/>
      <c r="G91" s="131" t="s">
        <v>59</v>
      </c>
      <c r="H91" s="131"/>
    </row>
    <row r="92" spans="1:8" s="1" customFormat="1" ht="15.75" customHeight="1" x14ac:dyDescent="0.25">
      <c r="A92" s="111" t="s">
        <v>200</v>
      </c>
      <c r="B92" s="111"/>
      <c r="C92" s="119">
        <f>COUNT(D103:D107)*19+COUNT(D109,D112:D113)*2+COUNT(D115,D119)</f>
        <v>103</v>
      </c>
      <c r="D92" s="119"/>
      <c r="E92" s="120">
        <f>SUM(D103:D107)*19+SUM(D109,D112:D113)*2+SUM(D115,D119)</f>
        <v>43476.764759999991</v>
      </c>
      <c r="F92" s="120"/>
      <c r="G92" s="120">
        <f>SUM(F103:F107)*19+SUM(F109,F112:F113)*2+SUM(F115,F119)</f>
        <v>67388.985377999998</v>
      </c>
      <c r="H92" s="120"/>
    </row>
    <row r="93" spans="1:8" s="1" customFormat="1" x14ac:dyDescent="0.25">
      <c r="A93" s="111" t="s">
        <v>201</v>
      </c>
      <c r="B93" s="111"/>
      <c r="C93" s="119">
        <f>COUNT(D123:D126)*19+COUNT(D128,D130:D131)*2+COUNT(D135:D136)</f>
        <v>84</v>
      </c>
      <c r="D93" s="119"/>
      <c r="E93" s="120">
        <f>SUM(D123:D126)*19+SUM(D128,D130:D131)*2+SUM(D135:D136)</f>
        <v>40311.610560000001</v>
      </c>
      <c r="F93" s="120"/>
      <c r="G93" s="120">
        <f>SUM(F123:F126)*19+SUM(F128,F130:F131)*2+SUM(F135:F136)</f>
        <v>62482.996367999986</v>
      </c>
      <c r="H93" s="120"/>
    </row>
    <row r="94" spans="1:8" s="1" customFormat="1" x14ac:dyDescent="0.25">
      <c r="A94" s="112" t="s">
        <v>202</v>
      </c>
      <c r="B94" s="112"/>
      <c r="C94" s="129">
        <f>SUM(C92:D93)</f>
        <v>187</v>
      </c>
      <c r="D94" s="129"/>
      <c r="E94" s="130">
        <f>SUM(E92:F93)</f>
        <v>83788.375319999992</v>
      </c>
      <c r="F94" s="130"/>
      <c r="G94" s="130">
        <f>SUM(G92:H93)</f>
        <v>129871.98174599998</v>
      </c>
      <c r="H94" s="130"/>
    </row>
    <row r="95" spans="1:8" s="4" customFormat="1" x14ac:dyDescent="0.25">
      <c r="A95" s="98" t="s">
        <v>60</v>
      </c>
      <c r="B95" s="98"/>
      <c r="C95" s="98"/>
      <c r="D95" s="98"/>
      <c r="E95" s="98"/>
      <c r="F95" s="98"/>
      <c r="G95" s="98"/>
      <c r="H95" s="98"/>
    </row>
    <row r="96" spans="1:8" x14ac:dyDescent="0.25">
      <c r="A96" s="98" t="s">
        <v>61</v>
      </c>
      <c r="B96" s="98"/>
      <c r="C96" s="98"/>
      <c r="D96" s="98"/>
      <c r="E96" s="98"/>
      <c r="F96" s="98"/>
      <c r="G96" s="98"/>
      <c r="H96" s="98"/>
    </row>
    <row r="97" spans="1:14" s="2" customFormat="1" x14ac:dyDescent="0.25">
      <c r="A97" s="124"/>
      <c r="B97" s="125"/>
      <c r="C97" s="125"/>
      <c r="D97" s="125"/>
      <c r="E97" s="125"/>
      <c r="F97" s="125"/>
      <c r="G97" s="125"/>
      <c r="H97" s="126"/>
      <c r="I97" s="31"/>
      <c r="N97" s="31"/>
    </row>
    <row r="98" spans="1:14" ht="47.25" customHeight="1" x14ac:dyDescent="0.25">
      <c r="A98" s="114" t="s">
        <v>128</v>
      </c>
      <c r="B98" s="114" t="s">
        <v>129</v>
      </c>
      <c r="C98" s="136" t="s">
        <v>62</v>
      </c>
      <c r="D98" s="136" t="s">
        <v>63</v>
      </c>
      <c r="E98" s="138" t="s">
        <v>64</v>
      </c>
      <c r="F98" s="32" t="s">
        <v>159</v>
      </c>
      <c r="G98" s="114" t="s">
        <v>65</v>
      </c>
      <c r="H98" s="140"/>
      <c r="I98" s="31"/>
    </row>
    <row r="99" spans="1:14" s="2" customFormat="1" x14ac:dyDescent="0.25">
      <c r="A99" s="115"/>
      <c r="B99" s="115"/>
      <c r="C99" s="137"/>
      <c r="D99" s="137"/>
      <c r="E99" s="139"/>
      <c r="F99" s="30">
        <v>0.55000000000000004</v>
      </c>
      <c r="G99" s="115"/>
      <c r="H99" s="141"/>
      <c r="I99" s="31"/>
    </row>
    <row r="100" spans="1:14" s="4" customFormat="1" x14ac:dyDescent="0.25">
      <c r="A100" s="98" t="s">
        <v>200</v>
      </c>
      <c r="B100" s="98"/>
      <c r="C100" s="98"/>
      <c r="D100" s="98"/>
      <c r="E100" s="98"/>
      <c r="F100" s="98"/>
      <c r="G100" s="98"/>
      <c r="H100" s="98"/>
    </row>
    <row r="101" spans="1:14" s="4" customFormat="1" x14ac:dyDescent="0.25">
      <c r="A101" s="98" t="s">
        <v>165</v>
      </c>
      <c r="B101" s="98"/>
      <c r="C101" s="98"/>
      <c r="D101" s="98"/>
      <c r="E101" s="98"/>
      <c r="F101" s="98"/>
      <c r="G101" s="98"/>
      <c r="H101" s="98"/>
    </row>
    <row r="102" spans="1:14" s="2" customFormat="1" x14ac:dyDescent="0.25">
      <c r="A102" s="110" t="s">
        <v>166</v>
      </c>
      <c r="B102" s="110"/>
      <c r="C102" s="110"/>
      <c r="D102" s="110"/>
      <c r="E102" s="110"/>
      <c r="F102" s="110"/>
      <c r="G102" s="110"/>
      <c r="H102" s="110"/>
      <c r="I102" s="31"/>
      <c r="L102" s="143"/>
      <c r="M102" s="143"/>
    </row>
    <row r="103" spans="1:14" s="2" customFormat="1" ht="15.75" customHeight="1" x14ac:dyDescent="0.25">
      <c r="A103" s="55">
        <v>1</v>
      </c>
      <c r="B103" s="55">
        <v>1</v>
      </c>
      <c r="C103" s="14" t="s">
        <v>169</v>
      </c>
      <c r="D103" s="14">
        <f>(40.42)*10.764</f>
        <v>435.08087999999998</v>
      </c>
      <c r="E103" s="14">
        <v>0</v>
      </c>
      <c r="F103" s="14">
        <f t="shared" ref="F103:F104" si="0">D103*(($F$99)+1)+(IF(E103&lt;101,E103,IF(E103&lt;201,E103/2,IF(E103&lt;=301,E103/3,E103/4))))</f>
        <v>674.37536399999999</v>
      </c>
      <c r="G103" s="144" t="str">
        <f>A102</f>
        <v>1st to 7th, 9th to 14th, 16th to 21st Floor for Ressidential</v>
      </c>
      <c r="H103" s="145"/>
      <c r="I103" s="31">
        <f>7983734/F103</f>
        <v>11838.709457957008</v>
      </c>
      <c r="J103" s="2">
        <f>9200000/F103</f>
        <v>13642.253989574863</v>
      </c>
      <c r="N103" s="31"/>
    </row>
    <row r="104" spans="1:14" s="2" customFormat="1" ht="15.75" customHeight="1" x14ac:dyDescent="0.25">
      <c r="A104" s="55">
        <f t="shared" ref="A104:A107" si="1">A103+1</f>
        <v>2</v>
      </c>
      <c r="B104" s="55">
        <v>2</v>
      </c>
      <c r="C104" s="14" t="s">
        <v>169</v>
      </c>
      <c r="D104" s="14">
        <f>(41.73)*10.764</f>
        <v>449.18171999999993</v>
      </c>
      <c r="E104" s="14">
        <v>0</v>
      </c>
      <c r="F104" s="14">
        <f t="shared" si="0"/>
        <v>696.2316659999999</v>
      </c>
      <c r="G104" s="146"/>
      <c r="H104" s="147"/>
      <c r="I104" s="31">
        <f>8248410/F104</f>
        <v>11847.220404939182</v>
      </c>
      <c r="N104" s="31"/>
    </row>
    <row r="105" spans="1:14" s="2" customFormat="1" ht="15.75" customHeight="1" x14ac:dyDescent="0.25">
      <c r="A105" s="55">
        <f t="shared" si="1"/>
        <v>3</v>
      </c>
      <c r="B105" s="55">
        <v>3</v>
      </c>
      <c r="C105" s="14" t="s">
        <v>168</v>
      </c>
      <c r="D105" s="14">
        <f>(35.26)*10.764</f>
        <v>379.53863999999993</v>
      </c>
      <c r="E105" s="14">
        <v>0</v>
      </c>
      <c r="F105" s="14">
        <f>D105*(($F$99)+1)+(IF(E105&lt;101,E105,IF(E105&lt;201,E105/2,IF(E105&lt;=301,E105/3,E105/4))))</f>
        <v>588.2848919999999</v>
      </c>
      <c r="G105" s="146"/>
      <c r="H105" s="147"/>
      <c r="I105" s="31"/>
      <c r="N105" s="31"/>
    </row>
    <row r="106" spans="1:14" s="2" customFormat="1" ht="15.75" customHeight="1" x14ac:dyDescent="0.25">
      <c r="A106" s="55">
        <f t="shared" si="1"/>
        <v>4</v>
      </c>
      <c r="B106" s="55">
        <v>4</v>
      </c>
      <c r="C106" s="14" t="s">
        <v>168</v>
      </c>
      <c r="D106" s="14">
        <f>(38.84)*10.764</f>
        <v>418.07375999999999</v>
      </c>
      <c r="E106" s="14">
        <v>0</v>
      </c>
      <c r="F106" s="14">
        <f>D106*(($F$99)+1)+(IF(E106&lt;101,E106,IF(E106&lt;201,E106/2,IF(E106&lt;=301,E106/3,E106/4))))</f>
        <v>648.01432799999998</v>
      </c>
      <c r="G106" s="146"/>
      <c r="H106" s="147"/>
      <c r="I106" s="31"/>
      <c r="N106" s="31"/>
    </row>
    <row r="107" spans="1:14" s="2" customFormat="1" ht="15.75" customHeight="1" x14ac:dyDescent="0.25">
      <c r="A107" s="55">
        <f t="shared" si="1"/>
        <v>5</v>
      </c>
      <c r="B107" s="55">
        <v>5</v>
      </c>
      <c r="C107" s="14" t="s">
        <v>168</v>
      </c>
      <c r="D107" s="14">
        <f>(37.4)*10.764</f>
        <v>402.57359999999994</v>
      </c>
      <c r="E107" s="14">
        <v>0</v>
      </c>
      <c r="F107" s="14">
        <f>D107*(($F$99)+1)+(IF(E107&lt;101,E107,IF(E107&lt;201,E107/2,IF(E107&lt;=301,E107/3,E107/4))))</f>
        <v>623.98907999999994</v>
      </c>
      <c r="G107" s="148"/>
      <c r="H107" s="149"/>
      <c r="I107" s="31"/>
      <c r="N107" s="31"/>
    </row>
    <row r="108" spans="1:14" s="2" customFormat="1" ht="15.75" customHeight="1" x14ac:dyDescent="0.25">
      <c r="A108" s="110" t="s">
        <v>171</v>
      </c>
      <c r="B108" s="110"/>
      <c r="C108" s="110"/>
      <c r="D108" s="110"/>
      <c r="E108" s="110"/>
      <c r="F108" s="110"/>
      <c r="G108" s="110"/>
      <c r="H108" s="110"/>
      <c r="I108" s="31"/>
    </row>
    <row r="109" spans="1:14" s="2" customFormat="1" ht="15.75" customHeight="1" x14ac:dyDescent="0.25">
      <c r="A109" s="58">
        <v>1</v>
      </c>
      <c r="B109" s="58">
        <v>1</v>
      </c>
      <c r="C109" s="14" t="s">
        <v>169</v>
      </c>
      <c r="D109" s="14">
        <f>(40.42)*10.764</f>
        <v>435.08087999999998</v>
      </c>
      <c r="E109" s="14">
        <v>0</v>
      </c>
      <c r="F109" s="14">
        <f>D109*(($F$99)+1)+(IF(E109&lt;101,E109,IF(E109&lt;201,E109/2,IF(E109&lt;=301,E109/3,E109/4))))</f>
        <v>674.37536399999999</v>
      </c>
      <c r="G109" s="132" t="str">
        <f>A108</f>
        <v>8th &amp; 15th Floor (Part Refuge Floor)</v>
      </c>
      <c r="H109" s="132"/>
      <c r="I109" s="31"/>
    </row>
    <row r="110" spans="1:14" s="2" customFormat="1" ht="15.75" customHeight="1" x14ac:dyDescent="0.25">
      <c r="A110" s="58">
        <f t="shared" ref="A110:A113" si="2">A109+1</f>
        <v>2</v>
      </c>
      <c r="B110" s="58">
        <v>2</v>
      </c>
      <c r="C110" s="132" t="s">
        <v>172</v>
      </c>
      <c r="D110" s="132"/>
      <c r="E110" s="132"/>
      <c r="F110" s="132"/>
      <c r="G110" s="132"/>
      <c r="H110" s="132"/>
      <c r="I110" s="31"/>
    </row>
    <row r="111" spans="1:14" s="2" customFormat="1" ht="15.75" customHeight="1" x14ac:dyDescent="0.25">
      <c r="A111" s="58">
        <f t="shared" si="2"/>
        <v>3</v>
      </c>
      <c r="B111" s="58">
        <v>3</v>
      </c>
      <c r="C111" s="132" t="s">
        <v>172</v>
      </c>
      <c r="D111" s="132"/>
      <c r="E111" s="132"/>
      <c r="F111" s="132"/>
      <c r="G111" s="132"/>
      <c r="H111" s="132"/>
      <c r="I111" s="31"/>
    </row>
    <row r="112" spans="1:14" s="2" customFormat="1" ht="15.75" customHeight="1" x14ac:dyDescent="0.25">
      <c r="A112" s="58">
        <f t="shared" si="2"/>
        <v>4</v>
      </c>
      <c r="B112" s="58">
        <v>4</v>
      </c>
      <c r="C112" s="14" t="s">
        <v>170</v>
      </c>
      <c r="D112" s="14">
        <f>(59.48)*10.764</f>
        <v>640.24271999999996</v>
      </c>
      <c r="E112" s="14">
        <v>0</v>
      </c>
      <c r="F112" s="14">
        <f>D112*(($F$99)+1)+(IF(E112&lt;101,E112,IF(E112&lt;201,E112/2,IF(E112&lt;=301,E112/3,E112/4))))</f>
        <v>992.376216</v>
      </c>
      <c r="G112" s="132"/>
      <c r="H112" s="132"/>
      <c r="I112" s="31"/>
    </row>
    <row r="113" spans="1:14" s="2" customFormat="1" ht="15.75" customHeight="1" x14ac:dyDescent="0.25">
      <c r="A113" s="58">
        <f t="shared" si="2"/>
        <v>5</v>
      </c>
      <c r="B113" s="58">
        <v>5</v>
      </c>
      <c r="C113" s="46" t="s">
        <v>168</v>
      </c>
      <c r="D113" s="46">
        <f>(37.4)*10.764</f>
        <v>402.57359999999994</v>
      </c>
      <c r="E113" s="14">
        <v>0</v>
      </c>
      <c r="F113" s="14">
        <f>D113*(($F$99)+1)+(IF(E113&lt;101,E113,IF(E113&lt;201,E113/2,IF(E113&lt;=301,E113/3,E113/4))))</f>
        <v>623.98907999999994</v>
      </c>
      <c r="G113" s="132"/>
      <c r="H113" s="132"/>
      <c r="I113" s="31"/>
    </row>
    <row r="114" spans="1:14" s="2" customFormat="1" x14ac:dyDescent="0.25">
      <c r="A114" s="110" t="s">
        <v>173</v>
      </c>
      <c r="B114" s="110"/>
      <c r="C114" s="110"/>
      <c r="D114" s="110"/>
      <c r="E114" s="110"/>
      <c r="F114" s="110"/>
      <c r="G114" s="110"/>
      <c r="H114" s="110"/>
      <c r="I114" s="31"/>
    </row>
    <row r="115" spans="1:14" s="2" customFormat="1" ht="15.75" customHeight="1" x14ac:dyDescent="0.25">
      <c r="A115" s="55">
        <v>1</v>
      </c>
      <c r="B115" s="55">
        <v>1</v>
      </c>
      <c r="C115" s="14" t="s">
        <v>169</v>
      </c>
      <c r="D115" s="14">
        <f>(40.42)*10.764</f>
        <v>435.08087999999998</v>
      </c>
      <c r="E115" s="14">
        <v>0</v>
      </c>
      <c r="F115" s="14">
        <f>D115*(($F$99)+1)+(IF(E115&lt;101,E115,IF(E115&lt;201,E115/2,IF(E115&lt;=301,E115/3,E115/4))))</f>
        <v>674.37536399999999</v>
      </c>
      <c r="G115" s="144" t="str">
        <f>A114</f>
        <v>22nd Floor (Part Terrace Area)</v>
      </c>
      <c r="H115" s="145"/>
      <c r="I115" s="31"/>
    </row>
    <row r="116" spans="1:14" s="2" customFormat="1" ht="15.75" customHeight="1" x14ac:dyDescent="0.25">
      <c r="A116" s="55">
        <f t="shared" ref="A116:A119" si="3">A115+1</f>
        <v>2</v>
      </c>
      <c r="B116" s="55">
        <v>2</v>
      </c>
      <c r="C116" s="124" t="s">
        <v>174</v>
      </c>
      <c r="D116" s="125"/>
      <c r="E116" s="125"/>
      <c r="F116" s="126"/>
      <c r="G116" s="146"/>
      <c r="H116" s="147"/>
      <c r="I116" s="31"/>
    </row>
    <row r="117" spans="1:14" s="2" customFormat="1" ht="15.75" customHeight="1" x14ac:dyDescent="0.25">
      <c r="A117" s="55">
        <f t="shared" si="3"/>
        <v>3</v>
      </c>
      <c r="B117" s="55">
        <v>3</v>
      </c>
      <c r="C117" s="124" t="s">
        <v>174</v>
      </c>
      <c r="D117" s="125"/>
      <c r="E117" s="125"/>
      <c r="F117" s="126"/>
      <c r="G117" s="146"/>
      <c r="H117" s="147"/>
      <c r="I117" s="31"/>
    </row>
    <row r="118" spans="1:14" s="2" customFormat="1" ht="15.75" customHeight="1" x14ac:dyDescent="0.25">
      <c r="A118" s="55">
        <f t="shared" si="3"/>
        <v>4</v>
      </c>
      <c r="B118" s="55">
        <v>4</v>
      </c>
      <c r="C118" s="124" t="s">
        <v>174</v>
      </c>
      <c r="D118" s="125"/>
      <c r="E118" s="125"/>
      <c r="F118" s="126"/>
      <c r="G118" s="146"/>
      <c r="H118" s="147"/>
      <c r="I118" s="31"/>
    </row>
    <row r="119" spans="1:14" s="2" customFormat="1" ht="15.75" customHeight="1" x14ac:dyDescent="0.25">
      <c r="A119" s="55">
        <f t="shared" si="3"/>
        <v>5</v>
      </c>
      <c r="B119" s="55">
        <v>5</v>
      </c>
      <c r="C119" s="14" t="s">
        <v>169</v>
      </c>
      <c r="D119" s="14">
        <f>(44.72)*10.764</f>
        <v>481.36607999999995</v>
      </c>
      <c r="E119" s="14">
        <v>0</v>
      </c>
      <c r="F119" s="14">
        <f>D119*(($F$99)+1)+(IF(E119&lt;101,E119,IF(E119&lt;201,E119/2,IF(E119&lt;=301,E119/3,E119/4))))</f>
        <v>746.11742399999991</v>
      </c>
      <c r="G119" s="148"/>
      <c r="H119" s="149"/>
      <c r="I119" s="31"/>
    </row>
    <row r="120" spans="1:14" s="2" customFormat="1" x14ac:dyDescent="0.25">
      <c r="A120" s="98" t="s">
        <v>201</v>
      </c>
      <c r="B120" s="98"/>
      <c r="C120" s="98"/>
      <c r="D120" s="98"/>
      <c r="E120" s="98"/>
      <c r="F120" s="98"/>
      <c r="G120" s="98"/>
      <c r="H120" s="98"/>
      <c r="I120" s="31"/>
      <c r="N120" s="31"/>
    </row>
    <row r="121" spans="1:14" s="4" customFormat="1" x14ac:dyDescent="0.25">
      <c r="A121" s="98" t="s">
        <v>165</v>
      </c>
      <c r="B121" s="98"/>
      <c r="C121" s="98"/>
      <c r="D121" s="98"/>
      <c r="E121" s="98"/>
      <c r="F121" s="98"/>
      <c r="G121" s="98"/>
      <c r="H121" s="98"/>
    </row>
    <row r="122" spans="1:14" s="2" customFormat="1" x14ac:dyDescent="0.25">
      <c r="A122" s="110" t="s">
        <v>166</v>
      </c>
      <c r="B122" s="110"/>
      <c r="C122" s="110"/>
      <c r="D122" s="110"/>
      <c r="E122" s="110"/>
      <c r="F122" s="110"/>
      <c r="G122" s="110"/>
      <c r="H122" s="110"/>
      <c r="I122" s="31"/>
      <c r="L122" s="143"/>
      <c r="M122" s="143"/>
    </row>
    <row r="123" spans="1:14" s="2" customFormat="1" ht="15.75" customHeight="1" x14ac:dyDescent="0.25">
      <c r="A123" s="55">
        <v>6</v>
      </c>
      <c r="B123" s="55">
        <v>1</v>
      </c>
      <c r="C123" s="14" t="s">
        <v>170</v>
      </c>
      <c r="D123" s="14">
        <f>(49.78)*10.764</f>
        <v>535.83191999999997</v>
      </c>
      <c r="E123" s="14">
        <v>0</v>
      </c>
      <c r="F123" s="14">
        <f>D123*(($F$99)+1)+(IF(E123&lt;101,E123,IF(E123&lt;201,E123/2,IF(E123&lt;=301,E123/3,E123/4))))</f>
        <v>830.53947599999992</v>
      </c>
      <c r="G123" s="144" t="str">
        <f>A122</f>
        <v>1st to 7th, 9th to 14th, 16th to 21st Floor for Ressidential</v>
      </c>
      <c r="H123" s="145"/>
      <c r="I123" s="31"/>
      <c r="J123" s="2">
        <f>10100000/F123</f>
        <v>12160.770549574698</v>
      </c>
      <c r="N123" s="31"/>
    </row>
    <row r="124" spans="1:14" s="2" customFormat="1" ht="15.75" customHeight="1" x14ac:dyDescent="0.25">
      <c r="A124" s="55">
        <f t="shared" ref="A124:A126" si="4">A123+1</f>
        <v>7</v>
      </c>
      <c r="B124" s="55">
        <v>2</v>
      </c>
      <c r="C124" s="14" t="s">
        <v>170</v>
      </c>
      <c r="D124" s="14">
        <f>(50)*10.764</f>
        <v>538.19999999999993</v>
      </c>
      <c r="E124" s="14">
        <v>0</v>
      </c>
      <c r="F124" s="14">
        <f>D124*(($F$99)+1)+(IF(E124&lt;101,E124,IF(E124&lt;201,E124/2,IF(E124&lt;=301,E124/3,E124/4))))</f>
        <v>834.20999999999992</v>
      </c>
      <c r="G124" s="146"/>
      <c r="H124" s="147"/>
      <c r="I124" s="31"/>
      <c r="J124" s="2">
        <f>11200000/F124</f>
        <v>13425.875978470651</v>
      </c>
      <c r="N124" s="31"/>
    </row>
    <row r="125" spans="1:14" s="2" customFormat="1" ht="15.75" customHeight="1" x14ac:dyDescent="0.25">
      <c r="A125" s="55">
        <f t="shared" si="4"/>
        <v>8</v>
      </c>
      <c r="B125" s="55">
        <v>3</v>
      </c>
      <c r="C125" s="14" t="s">
        <v>168</v>
      </c>
      <c r="D125" s="14">
        <f>(36.55)*10.764</f>
        <v>393.42419999999993</v>
      </c>
      <c r="E125" s="14">
        <v>0</v>
      </c>
      <c r="F125" s="14">
        <f>D125*(($F$99)+1)+(IF(E125&lt;101,E125,IF(E125&lt;201,E125/2,IF(E125&lt;=301,E125/3,E125/4))))</f>
        <v>609.80750999999987</v>
      </c>
      <c r="G125" s="146"/>
      <c r="H125" s="147"/>
      <c r="I125" s="31"/>
      <c r="N125" s="31"/>
    </row>
    <row r="126" spans="1:14" s="2" customFormat="1" ht="15.75" customHeight="1" x14ac:dyDescent="0.25">
      <c r="A126" s="55">
        <f t="shared" si="4"/>
        <v>9</v>
      </c>
      <c r="B126" s="55">
        <v>4</v>
      </c>
      <c r="C126" s="14" t="s">
        <v>169</v>
      </c>
      <c r="D126" s="14">
        <f>(42.98)*10.764</f>
        <v>462.63671999999991</v>
      </c>
      <c r="E126" s="14">
        <v>0</v>
      </c>
      <c r="F126" s="14">
        <f>D126*(($F$99)+1)+(IF(E126&lt;101,E126,IF(E126&lt;201,E126/2,IF(E126&lt;=301,E126/3,E126/4))))</f>
        <v>717.08691599999986</v>
      </c>
      <c r="G126" s="148"/>
      <c r="H126" s="149"/>
      <c r="I126" s="31"/>
      <c r="N126" s="31"/>
    </row>
    <row r="127" spans="1:14" s="2" customFormat="1" ht="15.75" customHeight="1" x14ac:dyDescent="0.25">
      <c r="A127" s="150" t="s">
        <v>171</v>
      </c>
      <c r="B127" s="151"/>
      <c r="C127" s="151"/>
      <c r="D127" s="151"/>
      <c r="E127" s="151"/>
      <c r="F127" s="151"/>
      <c r="G127" s="151"/>
      <c r="H127" s="152"/>
      <c r="I127" s="31"/>
    </row>
    <row r="128" spans="1:14" s="2" customFormat="1" ht="15.75" customHeight="1" x14ac:dyDescent="0.25">
      <c r="A128" s="55">
        <v>6</v>
      </c>
      <c r="B128" s="55">
        <v>1</v>
      </c>
      <c r="C128" s="14" t="s">
        <v>170</v>
      </c>
      <c r="D128" s="14">
        <f>(49.78)*10.764</f>
        <v>535.83191999999997</v>
      </c>
      <c r="E128" s="14">
        <v>0</v>
      </c>
      <c r="F128" s="14">
        <f>D128*(($F$99)+1)+(IF(E128&lt;101,E128,IF(E128&lt;201,E128/2,IF(E128&lt;=301,E128/3,E128/4))))</f>
        <v>830.53947599999992</v>
      </c>
      <c r="G128" s="144" t="str">
        <f>A127</f>
        <v>8th &amp; 15th Floor (Part Refuge Floor)</v>
      </c>
      <c r="H128" s="145"/>
      <c r="I128" s="31"/>
    </row>
    <row r="129" spans="1:9" s="2" customFormat="1" ht="15.75" customHeight="1" x14ac:dyDescent="0.25">
      <c r="A129" s="55">
        <f t="shared" ref="A129:A131" si="5">A128+1</f>
        <v>7</v>
      </c>
      <c r="B129" s="55">
        <v>2</v>
      </c>
      <c r="C129" s="124" t="s">
        <v>172</v>
      </c>
      <c r="D129" s="125"/>
      <c r="E129" s="125"/>
      <c r="F129" s="126"/>
      <c r="G129" s="146"/>
      <c r="H129" s="147"/>
      <c r="I129" s="31"/>
    </row>
    <row r="130" spans="1:9" s="2" customFormat="1" ht="15.75" customHeight="1" x14ac:dyDescent="0.25">
      <c r="A130" s="55">
        <f t="shared" si="5"/>
        <v>8</v>
      </c>
      <c r="B130" s="55">
        <v>3</v>
      </c>
      <c r="C130" s="14" t="s">
        <v>168</v>
      </c>
      <c r="D130" s="14">
        <f>(36.55)*10.764</f>
        <v>393.42419999999993</v>
      </c>
      <c r="E130" s="14">
        <v>0</v>
      </c>
      <c r="F130" s="14">
        <f t="shared" ref="F130:F131" si="6">D130*(($F$99)+1)+(IF(E130&lt;101,E130,IF(E130&lt;201,E130/2,IF(E130&lt;=301,E130/3,E130/4))))</f>
        <v>609.80750999999987</v>
      </c>
      <c r="G130" s="146"/>
      <c r="H130" s="147"/>
      <c r="I130" s="31"/>
    </row>
    <row r="131" spans="1:9" s="2" customFormat="1" ht="15.75" customHeight="1" x14ac:dyDescent="0.25">
      <c r="A131" s="55">
        <f t="shared" si="5"/>
        <v>9</v>
      </c>
      <c r="B131" s="55">
        <v>4</v>
      </c>
      <c r="C131" s="14" t="s">
        <v>169</v>
      </c>
      <c r="D131" s="14">
        <f>(42.98)*10.764</f>
        <v>462.63671999999991</v>
      </c>
      <c r="E131" s="14">
        <v>0</v>
      </c>
      <c r="F131" s="14">
        <f t="shared" si="6"/>
        <v>717.08691599999986</v>
      </c>
      <c r="G131" s="148"/>
      <c r="H131" s="149"/>
      <c r="I131" s="31"/>
    </row>
    <row r="132" spans="1:9" s="2" customFormat="1" x14ac:dyDescent="0.25">
      <c r="A132" s="150" t="s">
        <v>173</v>
      </c>
      <c r="B132" s="151"/>
      <c r="C132" s="151"/>
      <c r="D132" s="151"/>
      <c r="E132" s="151"/>
      <c r="F132" s="151"/>
      <c r="G132" s="151"/>
      <c r="H132" s="152"/>
      <c r="I132" s="31"/>
    </row>
    <row r="133" spans="1:9" s="2" customFormat="1" ht="15.75" customHeight="1" x14ac:dyDescent="0.25">
      <c r="A133" s="55">
        <v>6</v>
      </c>
      <c r="B133" s="55">
        <v>1</v>
      </c>
      <c r="C133" s="124" t="s">
        <v>174</v>
      </c>
      <c r="D133" s="125"/>
      <c r="E133" s="125">
        <v>0</v>
      </c>
      <c r="F133" s="126">
        <f>D133*(($F$99)+1)+(IF(E133&lt;101,E133,IF(E133&lt;201,E133/2,IF(E133&lt;=301,E133/3,E133/4))))</f>
        <v>0</v>
      </c>
      <c r="G133" s="144" t="str">
        <f>A132</f>
        <v>22nd Floor (Part Terrace Area)</v>
      </c>
      <c r="H133" s="145"/>
      <c r="I133" s="31"/>
    </row>
    <row r="134" spans="1:9" s="2" customFormat="1" ht="15.75" customHeight="1" x14ac:dyDescent="0.25">
      <c r="A134" s="55">
        <f t="shared" ref="A134:A136" si="7">A133+1</f>
        <v>7</v>
      </c>
      <c r="B134" s="55">
        <v>2</v>
      </c>
      <c r="C134" s="124" t="s">
        <v>174</v>
      </c>
      <c r="D134" s="125"/>
      <c r="E134" s="125">
        <v>1</v>
      </c>
      <c r="F134" s="126">
        <f t="shared" ref="F134:F136" si="8">D134*(($F$99)+1)+(IF(E134&lt;101,E134,IF(E134&lt;201,E134/2,IF(E134&lt;=301,E134/3,E134/4))))</f>
        <v>1</v>
      </c>
      <c r="G134" s="146"/>
      <c r="H134" s="147"/>
      <c r="I134" s="31"/>
    </row>
    <row r="135" spans="1:9" s="2" customFormat="1" ht="15.75" customHeight="1" x14ac:dyDescent="0.25">
      <c r="A135" s="55">
        <f t="shared" si="7"/>
        <v>8</v>
      </c>
      <c r="B135" s="55">
        <v>3</v>
      </c>
      <c r="C135" s="14" t="s">
        <v>168</v>
      </c>
      <c r="D135" s="14">
        <f>(36.55)*10.764</f>
        <v>393.42419999999993</v>
      </c>
      <c r="E135" s="14">
        <v>0</v>
      </c>
      <c r="F135" s="14">
        <f t="shared" si="8"/>
        <v>609.80750999999987</v>
      </c>
      <c r="G135" s="146"/>
      <c r="H135" s="147"/>
      <c r="I135" s="31"/>
    </row>
    <row r="136" spans="1:9" s="2" customFormat="1" ht="15.75" customHeight="1" x14ac:dyDescent="0.25">
      <c r="A136" s="55">
        <f t="shared" si="7"/>
        <v>9</v>
      </c>
      <c r="B136" s="55">
        <v>4</v>
      </c>
      <c r="C136" s="14" t="s">
        <v>169</v>
      </c>
      <c r="D136" s="14">
        <f>(42.98)*10.764</f>
        <v>462.63671999999991</v>
      </c>
      <c r="E136" s="14">
        <v>0</v>
      </c>
      <c r="F136" s="14">
        <f t="shared" si="8"/>
        <v>717.08691599999986</v>
      </c>
      <c r="G136" s="148"/>
      <c r="H136" s="149"/>
      <c r="I136" s="31"/>
    </row>
    <row r="137" spans="1:9" s="1" customFormat="1" x14ac:dyDescent="0.25">
      <c r="A137" s="113" t="s">
        <v>73</v>
      </c>
      <c r="B137" s="113"/>
      <c r="C137" s="113"/>
      <c r="D137" s="113"/>
      <c r="E137" s="113"/>
      <c r="F137" s="113"/>
      <c r="G137" s="113"/>
      <c r="H137" s="113"/>
    </row>
    <row r="138" spans="1:9" s="1" customFormat="1" ht="15.75" customHeight="1" x14ac:dyDescent="0.25">
      <c r="A138" s="44" t="s">
        <v>162</v>
      </c>
      <c r="B138" s="121" t="s">
        <v>218</v>
      </c>
      <c r="C138" s="122"/>
      <c r="D138" s="122"/>
      <c r="E138" s="122"/>
      <c r="F138" s="122"/>
      <c r="G138" s="122"/>
      <c r="H138" s="123"/>
    </row>
    <row r="139" spans="1:9" s="1" customFormat="1" x14ac:dyDescent="0.25">
      <c r="A139" s="44" t="s">
        <v>162</v>
      </c>
      <c r="B139" s="121" t="str">
        <f>(IF(F98="Saleable area Loading :","We have considered Saleable area of Flats as per our Calculation.","We considered Saleable area of Flat as per Builder area Sheet."))</f>
        <v>We have considered Saleable area of Flats as per our Calculation.</v>
      </c>
      <c r="C139" s="122"/>
      <c r="D139" s="122"/>
      <c r="E139" s="122"/>
      <c r="F139" s="122"/>
      <c r="G139" s="122"/>
      <c r="H139" s="123"/>
    </row>
    <row r="140" spans="1:9" s="1" customFormat="1" x14ac:dyDescent="0.25">
      <c r="A140" s="44" t="s">
        <v>162</v>
      </c>
      <c r="B140" s="116" t="s">
        <v>133</v>
      </c>
      <c r="C140" s="117"/>
      <c r="D140" s="117"/>
      <c r="E140" s="117"/>
      <c r="F140" s="117"/>
      <c r="G140" s="117"/>
      <c r="H140" s="118"/>
    </row>
    <row r="141" spans="1:9" s="1" customFormat="1" x14ac:dyDescent="0.25">
      <c r="A141" s="44" t="s">
        <v>162</v>
      </c>
      <c r="B141" s="116" t="s">
        <v>180</v>
      </c>
      <c r="C141" s="117"/>
      <c r="D141" s="117"/>
      <c r="E141" s="117"/>
      <c r="F141" s="117"/>
      <c r="G141" s="117"/>
      <c r="H141" s="118"/>
    </row>
    <row r="142" spans="1:9" s="1" customFormat="1" x14ac:dyDescent="0.25">
      <c r="A142" s="44" t="s">
        <v>162</v>
      </c>
      <c r="B142" s="116" t="s">
        <v>161</v>
      </c>
      <c r="C142" s="117"/>
      <c r="D142" s="117"/>
      <c r="E142" s="117"/>
      <c r="F142" s="117"/>
      <c r="G142" s="117"/>
      <c r="H142" s="118"/>
    </row>
    <row r="143" spans="1:9" s="1" customFormat="1" x14ac:dyDescent="0.25">
      <c r="A143" s="44" t="s">
        <v>162</v>
      </c>
      <c r="B143" s="116" t="s">
        <v>134</v>
      </c>
      <c r="C143" s="117"/>
      <c r="D143" s="117"/>
      <c r="E143" s="117"/>
      <c r="F143" s="117"/>
      <c r="G143" s="117"/>
      <c r="H143" s="118"/>
    </row>
    <row r="144" spans="1:9" s="1" customFormat="1" ht="34.5" customHeight="1" x14ac:dyDescent="0.25">
      <c r="A144" s="44" t="s">
        <v>162</v>
      </c>
      <c r="B144" s="116" t="s">
        <v>164</v>
      </c>
      <c r="C144" s="117"/>
      <c r="D144" s="117"/>
      <c r="E144" s="117"/>
      <c r="F144" s="117"/>
      <c r="G144" s="117"/>
      <c r="H144" s="118"/>
    </row>
    <row r="145" spans="1:8" s="1" customFormat="1" x14ac:dyDescent="0.25">
      <c r="A145" s="44" t="s">
        <v>162</v>
      </c>
      <c r="B145" s="116" t="s">
        <v>135</v>
      </c>
      <c r="C145" s="117"/>
      <c r="D145" s="117"/>
      <c r="E145" s="117"/>
      <c r="F145" s="117"/>
      <c r="G145" s="117"/>
      <c r="H145" s="118"/>
    </row>
    <row r="146" spans="1:8" s="1" customFormat="1" x14ac:dyDescent="0.25">
      <c r="A146" s="44" t="s">
        <v>162</v>
      </c>
      <c r="B146" s="121" t="s">
        <v>208</v>
      </c>
      <c r="C146" s="122"/>
      <c r="D146" s="122"/>
      <c r="E146" s="122"/>
      <c r="F146" s="122"/>
      <c r="G146" s="122"/>
      <c r="H146" s="123"/>
    </row>
    <row r="147" spans="1:8" s="1" customFormat="1" x14ac:dyDescent="0.25">
      <c r="A147" s="56" t="s">
        <v>162</v>
      </c>
      <c r="B147" s="116" t="s">
        <v>213</v>
      </c>
      <c r="C147" s="117"/>
      <c r="D147" s="117"/>
      <c r="E147" s="117"/>
      <c r="F147" s="117"/>
      <c r="G147" s="117"/>
      <c r="H147" s="118"/>
    </row>
    <row r="148" spans="1:8" s="1" customFormat="1" x14ac:dyDescent="0.25">
      <c r="A148" s="57" t="s">
        <v>162</v>
      </c>
      <c r="B148" s="116" t="s">
        <v>214</v>
      </c>
      <c r="C148" s="117"/>
      <c r="D148" s="117"/>
      <c r="E148" s="117"/>
      <c r="F148" s="117"/>
      <c r="G148" s="117"/>
      <c r="H148" s="118"/>
    </row>
    <row r="149" spans="1:8" x14ac:dyDescent="0.25">
      <c r="A149" s="127" t="s">
        <v>66</v>
      </c>
      <c r="B149" s="127"/>
      <c r="C149" s="127"/>
      <c r="D149" s="127"/>
      <c r="E149" s="127"/>
      <c r="F149" s="127"/>
      <c r="G149" s="127"/>
      <c r="H149" s="127"/>
    </row>
    <row r="150" spans="1:8" x14ac:dyDescent="0.25">
      <c r="A150" s="60" t="s">
        <v>67</v>
      </c>
      <c r="B150" s="60"/>
      <c r="C150" s="60"/>
      <c r="D150" s="60"/>
      <c r="E150" s="60"/>
      <c r="F150" s="60"/>
      <c r="G150" s="60"/>
      <c r="H150" s="60"/>
    </row>
    <row r="151" spans="1:8" ht="15.75" customHeight="1" x14ac:dyDescent="0.25">
      <c r="A151" s="135" t="s">
        <v>68</v>
      </c>
      <c r="B151" s="135"/>
      <c r="C151" s="135"/>
      <c r="D151" s="135"/>
      <c r="E151" s="135"/>
      <c r="F151" s="135"/>
      <c r="G151" s="135"/>
      <c r="H151" s="135"/>
    </row>
    <row r="152" spans="1:8" x14ac:dyDescent="0.25">
      <c r="A152" s="60" t="s">
        <v>69</v>
      </c>
      <c r="B152" s="60"/>
      <c r="C152" s="60"/>
      <c r="D152" s="60"/>
      <c r="E152" s="60"/>
      <c r="F152" s="60"/>
      <c r="G152" s="60"/>
      <c r="H152" s="60"/>
    </row>
    <row r="153" spans="1:8" x14ac:dyDescent="0.25">
      <c r="A153" s="60" t="s">
        <v>70</v>
      </c>
      <c r="B153" s="60"/>
      <c r="C153" s="60"/>
      <c r="D153" s="60"/>
      <c r="E153" s="60"/>
      <c r="F153" s="60"/>
      <c r="G153" s="60"/>
      <c r="H153" s="60"/>
    </row>
    <row r="154" spans="1:8" x14ac:dyDescent="0.25">
      <c r="A154" s="60" t="s">
        <v>136</v>
      </c>
      <c r="B154" s="60"/>
      <c r="C154" s="60"/>
      <c r="D154" s="60"/>
      <c r="E154" s="60"/>
      <c r="F154" s="60"/>
      <c r="G154" s="60"/>
      <c r="H154" s="60"/>
    </row>
    <row r="155" spans="1:8" ht="32.25" customHeight="1" x14ac:dyDescent="0.25">
      <c r="A155" s="89" t="s">
        <v>137</v>
      </c>
      <c r="B155" s="89"/>
      <c r="C155" s="89"/>
      <c r="D155" s="89"/>
      <c r="E155" s="89"/>
      <c r="F155" s="89"/>
      <c r="G155" s="89"/>
      <c r="H155" s="89"/>
    </row>
    <row r="156" spans="1:8" x14ac:dyDescent="0.25">
      <c r="A156" s="108" t="s">
        <v>82</v>
      </c>
      <c r="B156" s="108"/>
      <c r="C156" s="108" t="s">
        <v>215</v>
      </c>
      <c r="D156" s="108"/>
      <c r="E156" s="108" t="s">
        <v>115</v>
      </c>
      <c r="F156" s="108"/>
      <c r="G156" s="108" t="s">
        <v>217</v>
      </c>
      <c r="H156" s="108"/>
    </row>
    <row r="157" spans="1:8" x14ac:dyDescent="0.25">
      <c r="A157" s="107" t="s">
        <v>84</v>
      </c>
      <c r="B157" s="107"/>
      <c r="C157" s="107"/>
      <c r="D157" s="107"/>
      <c r="E157" s="107"/>
      <c r="F157" s="107"/>
      <c r="G157" s="107"/>
      <c r="H157" s="107"/>
    </row>
    <row r="158" spans="1:8" x14ac:dyDescent="0.25">
      <c r="A158" s="107"/>
      <c r="B158" s="107"/>
      <c r="C158" s="107"/>
      <c r="D158" s="107"/>
      <c r="E158" s="107"/>
      <c r="F158" s="107"/>
      <c r="G158" s="107"/>
      <c r="H158" s="107"/>
    </row>
    <row r="159" spans="1:8" x14ac:dyDescent="0.25">
      <c r="A159" s="107"/>
      <c r="B159" s="107"/>
      <c r="C159" s="107"/>
      <c r="D159" s="107"/>
      <c r="E159" s="107"/>
      <c r="F159" s="107"/>
      <c r="G159" s="107"/>
      <c r="H159" s="107"/>
    </row>
    <row r="160" spans="1:8" x14ac:dyDescent="0.25">
      <c r="A160" s="9" t="s">
        <v>71</v>
      </c>
      <c r="B160" s="10"/>
      <c r="C160" s="10"/>
      <c r="D160" s="9" t="str">
        <f>E8</f>
        <v>Puneet Shivalaya</v>
      </c>
      <c r="F160" s="10"/>
      <c r="G160" s="10"/>
      <c r="H160" s="10"/>
    </row>
    <row r="161" spans="1:8" x14ac:dyDescent="0.25">
      <c r="A161" s="10"/>
      <c r="B161" s="10"/>
      <c r="C161" s="10"/>
      <c r="D161" s="10"/>
      <c r="E161" s="10"/>
      <c r="F161" s="10"/>
      <c r="G161" s="10"/>
      <c r="H161" s="10"/>
    </row>
    <row r="162" spans="1:8" x14ac:dyDescent="0.25">
      <c r="A162" s="10"/>
      <c r="B162" s="10"/>
      <c r="C162" s="10"/>
      <c r="D162" s="10"/>
      <c r="E162" s="10"/>
      <c r="F162" s="10"/>
      <c r="G162" s="10"/>
      <c r="H162" s="10"/>
    </row>
    <row r="163" spans="1:8" ht="15" customHeight="1" x14ac:dyDescent="0.25"/>
    <row r="203" spans="1:1" x14ac:dyDescent="0.25">
      <c r="A203" s="12" t="s">
        <v>72</v>
      </c>
    </row>
  </sheetData>
  <mergeCells count="252">
    <mergeCell ref="L102:M102"/>
    <mergeCell ref="G109:H113"/>
    <mergeCell ref="G103:H107"/>
    <mergeCell ref="C134:F134"/>
    <mergeCell ref="C129:F129"/>
    <mergeCell ref="G123:H126"/>
    <mergeCell ref="A132:H132"/>
    <mergeCell ref="A127:H127"/>
    <mergeCell ref="G128:H131"/>
    <mergeCell ref="G133:H136"/>
    <mergeCell ref="G115:H119"/>
    <mergeCell ref="L122:M122"/>
    <mergeCell ref="C116:F116"/>
    <mergeCell ref="C117:F117"/>
    <mergeCell ref="C118:F118"/>
    <mergeCell ref="C133:F133"/>
    <mergeCell ref="C111:F111"/>
    <mergeCell ref="A154:H154"/>
    <mergeCell ref="A151:H151"/>
    <mergeCell ref="A91:B91"/>
    <mergeCell ref="D98:D99"/>
    <mergeCell ref="E98:E99"/>
    <mergeCell ref="G98:H99"/>
    <mergeCell ref="A73:B73"/>
    <mergeCell ref="F79:H79"/>
    <mergeCell ref="A78:H78"/>
    <mergeCell ref="G93:H93"/>
    <mergeCell ref="F84:H84"/>
    <mergeCell ref="A84:E84"/>
    <mergeCell ref="F87:H87"/>
    <mergeCell ref="F85:H85"/>
    <mergeCell ref="A96:H96"/>
    <mergeCell ref="A86:E86"/>
    <mergeCell ref="C98:C99"/>
    <mergeCell ref="B145:H145"/>
    <mergeCell ref="B146:H146"/>
    <mergeCell ref="B139:H139"/>
    <mergeCell ref="B140:H140"/>
    <mergeCell ref="B141:H141"/>
    <mergeCell ref="A101:H101"/>
    <mergeCell ref="A100:H100"/>
    <mergeCell ref="A60:C60"/>
    <mergeCell ref="D60:H60"/>
    <mergeCell ref="A63:C63"/>
    <mergeCell ref="D63:H63"/>
    <mergeCell ref="A61:C61"/>
    <mergeCell ref="D61:H61"/>
    <mergeCell ref="A82:E82"/>
    <mergeCell ref="F82:H82"/>
    <mergeCell ref="A83:E83"/>
    <mergeCell ref="F81:H81"/>
    <mergeCell ref="F80:H80"/>
    <mergeCell ref="F83:H83"/>
    <mergeCell ref="A79:E79"/>
    <mergeCell ref="A74:B74"/>
    <mergeCell ref="A70:B70"/>
    <mergeCell ref="A62:C62"/>
    <mergeCell ref="D62:H62"/>
    <mergeCell ref="A68:B68"/>
    <mergeCell ref="G67:H67"/>
    <mergeCell ref="A66:B66"/>
    <mergeCell ref="A64:B64"/>
    <mergeCell ref="C64:H64"/>
    <mergeCell ref="A72:B72"/>
    <mergeCell ref="B143:H143"/>
    <mergeCell ref="B144:H144"/>
    <mergeCell ref="A149:H149"/>
    <mergeCell ref="A150:H150"/>
    <mergeCell ref="E91:F91"/>
    <mergeCell ref="A95:H95"/>
    <mergeCell ref="A94:B94"/>
    <mergeCell ref="C94:D94"/>
    <mergeCell ref="E94:F94"/>
    <mergeCell ref="G94:H94"/>
    <mergeCell ref="C91:D91"/>
    <mergeCell ref="G91:H91"/>
    <mergeCell ref="C110:F110"/>
    <mergeCell ref="A121:H121"/>
    <mergeCell ref="A122:H122"/>
    <mergeCell ref="A120:H120"/>
    <mergeCell ref="A92:B92"/>
    <mergeCell ref="C92:D92"/>
    <mergeCell ref="E92:F92"/>
    <mergeCell ref="G92:H92"/>
    <mergeCell ref="A108:H108"/>
    <mergeCell ref="B147:H147"/>
    <mergeCell ref="B148:H148"/>
    <mergeCell ref="A157:H159"/>
    <mergeCell ref="A156:B156"/>
    <mergeCell ref="E156:F156"/>
    <mergeCell ref="C156:D156"/>
    <mergeCell ref="G156:H156"/>
    <mergeCell ref="A88:E88"/>
    <mergeCell ref="F88:H88"/>
    <mergeCell ref="A89:E89"/>
    <mergeCell ref="F89:H89"/>
    <mergeCell ref="A102:H102"/>
    <mergeCell ref="A93:B93"/>
    <mergeCell ref="A152:H152"/>
    <mergeCell ref="A90:H90"/>
    <mergeCell ref="A155:H155"/>
    <mergeCell ref="A153:H153"/>
    <mergeCell ref="A137:H137"/>
    <mergeCell ref="B98:B99"/>
    <mergeCell ref="A114:H114"/>
    <mergeCell ref="B142:H142"/>
    <mergeCell ref="C93:D93"/>
    <mergeCell ref="E93:F93"/>
    <mergeCell ref="B138:H138"/>
    <mergeCell ref="A97:H97"/>
    <mergeCell ref="A98:A99"/>
    <mergeCell ref="A59:C59"/>
    <mergeCell ref="D59:H59"/>
    <mergeCell ref="C66:H66"/>
    <mergeCell ref="A69:B69"/>
    <mergeCell ref="A71:B71"/>
    <mergeCell ref="E67:F67"/>
    <mergeCell ref="A50:B50"/>
    <mergeCell ref="C50:E50"/>
    <mergeCell ref="A47:B47"/>
    <mergeCell ref="A51:H51"/>
    <mergeCell ref="A52:C52"/>
    <mergeCell ref="A53:C53"/>
    <mergeCell ref="D53:H53"/>
    <mergeCell ref="G50:H50"/>
    <mergeCell ref="C49:E49"/>
    <mergeCell ref="G49:H49"/>
    <mergeCell ref="G48:H48"/>
    <mergeCell ref="D52:H52"/>
    <mergeCell ref="C48:E48"/>
    <mergeCell ref="A55:C56"/>
    <mergeCell ref="D55:H55"/>
    <mergeCell ref="D56:H56"/>
    <mergeCell ref="C47:E47"/>
    <mergeCell ref="A67:B6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F29:H29"/>
    <mergeCell ref="A30:B30"/>
    <mergeCell ref="A29:B29"/>
    <mergeCell ref="C30:E30"/>
    <mergeCell ref="A31:B31"/>
    <mergeCell ref="C31:E31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23:H23"/>
    <mergeCell ref="A25:D25"/>
    <mergeCell ref="E25:H25"/>
    <mergeCell ref="A37:H37"/>
    <mergeCell ref="C33:E33"/>
    <mergeCell ref="A36:B36"/>
    <mergeCell ref="C36:H36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A42:D42"/>
    <mergeCell ref="A43:D43"/>
    <mergeCell ref="A44:H44"/>
    <mergeCell ref="D54:H54"/>
    <mergeCell ref="A54:C54"/>
    <mergeCell ref="F33:H33"/>
    <mergeCell ref="A35:B35"/>
    <mergeCell ref="G47:H47"/>
    <mergeCell ref="A48:B49"/>
    <mergeCell ref="E39:H39"/>
    <mergeCell ref="A39:D39"/>
    <mergeCell ref="A46:B46"/>
    <mergeCell ref="C46:E46"/>
    <mergeCell ref="G46:H46"/>
    <mergeCell ref="A34:H34"/>
    <mergeCell ref="A33:B33"/>
    <mergeCell ref="C35:H35"/>
    <mergeCell ref="F86:H86"/>
    <mergeCell ref="A87:E87"/>
    <mergeCell ref="A85:E85"/>
    <mergeCell ref="A38:D38"/>
    <mergeCell ref="E38:H38"/>
    <mergeCell ref="A57:C57"/>
    <mergeCell ref="A58:C58"/>
    <mergeCell ref="D57:H57"/>
    <mergeCell ref="E68:F77"/>
    <mergeCell ref="G68:H77"/>
    <mergeCell ref="A76:B76"/>
    <mergeCell ref="A77:B77"/>
    <mergeCell ref="D58:H58"/>
    <mergeCell ref="A40:D40"/>
    <mergeCell ref="E40:H40"/>
    <mergeCell ref="E41:H41"/>
    <mergeCell ref="E42:H42"/>
    <mergeCell ref="E43:H43"/>
    <mergeCell ref="A41:D41"/>
    <mergeCell ref="A45:B45"/>
    <mergeCell ref="C45:H45"/>
    <mergeCell ref="A80:E80"/>
    <mergeCell ref="A81:E81"/>
    <mergeCell ref="A75:B75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63" max="16383" man="1"/>
    <brk id="159" max="16383" man="1"/>
    <brk id="20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8"/>
    <col min="2" max="2" width="22.140625" style="18" customWidth="1"/>
    <col min="3" max="3" width="37" style="18" customWidth="1"/>
    <col min="4" max="5" width="11.42578125" style="18" customWidth="1"/>
    <col min="6" max="6" width="14" style="18" customWidth="1"/>
    <col min="7" max="7" width="20" style="18" customWidth="1"/>
    <col min="8" max="8" width="16.42578125" style="18" customWidth="1"/>
    <col min="9" max="16384" width="8.5703125" style="18"/>
  </cols>
  <sheetData>
    <row r="1" spans="1:9" ht="15" customHeight="1" x14ac:dyDescent="0.25"/>
    <row r="2" spans="1:9" ht="15" customHeight="1" x14ac:dyDescent="0.2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25">
      <c r="A3" s="19"/>
      <c r="B3" s="153" t="s">
        <v>116</v>
      </c>
      <c r="C3" s="153"/>
      <c r="D3" s="153"/>
      <c r="E3" s="153"/>
      <c r="F3" s="153"/>
      <c r="G3" s="153"/>
      <c r="H3" s="153"/>
    </row>
    <row r="4" spans="1:9" x14ac:dyDescent="0.25">
      <c r="A4" s="19"/>
      <c r="B4" s="20" t="s">
        <v>117</v>
      </c>
      <c r="C4" s="20" t="s">
        <v>118</v>
      </c>
      <c r="D4" s="20" t="s">
        <v>74</v>
      </c>
      <c r="E4" s="20" t="s">
        <v>119</v>
      </c>
      <c r="F4" s="20" t="s">
        <v>125</v>
      </c>
      <c r="G4" s="20" t="s">
        <v>126</v>
      </c>
      <c r="H4" s="20" t="s">
        <v>120</v>
      </c>
    </row>
    <row r="5" spans="1:9" ht="15" customHeight="1" x14ac:dyDescent="0.25">
      <c r="A5" s="19"/>
      <c r="B5" s="22" t="s">
        <v>121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25">
      <c r="A6" s="19"/>
      <c r="B6" s="22" t="s">
        <v>121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25">
      <c r="A7" s="19"/>
      <c r="B7" s="22" t="s">
        <v>121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25">
      <c r="A8" s="19"/>
      <c r="B8" s="22" t="s">
        <v>121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25">
      <c r="A9" s="19"/>
      <c r="B9" s="22" t="s">
        <v>121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25">
      <c r="A10" s="19"/>
      <c r="B10" s="22" t="s">
        <v>122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25">
      <c r="A11" s="19"/>
      <c r="B11" s="22" t="s">
        <v>122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25">
      <c r="A12" s="19"/>
      <c r="B12" s="27" t="s">
        <v>123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25">
      <c r="B13" s="27" t="s">
        <v>124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2025-09-15T09:10:04Z</cp:lastPrinted>
  <dcterms:created xsi:type="dcterms:W3CDTF">2019-07-16T09:29:46Z</dcterms:created>
  <dcterms:modified xsi:type="dcterms:W3CDTF">2025-09-15T09:11:37Z</dcterms:modified>
</cp:coreProperties>
</file>