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0" yWindow="0" windowWidth="19200" windowHeight="664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Report!$A$1:$H$539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7" i="1" l="1"/>
  <c r="C168" i="1" s="1"/>
  <c r="C153" i="1"/>
  <c r="J143" i="1" l="1"/>
  <c r="J142" i="1"/>
  <c r="J141" i="1"/>
  <c r="J140" i="1"/>
  <c r="C154" i="1"/>
  <c r="C155" i="1" s="1"/>
  <c r="H133" i="1"/>
  <c r="J137" i="1" l="1"/>
  <c r="C136" i="1" s="1"/>
  <c r="D136" i="1" s="1"/>
  <c r="J135" i="1"/>
  <c r="D142" i="1"/>
  <c r="D145" i="1"/>
  <c r="D141" i="1"/>
  <c r="D144" i="1"/>
  <c r="D140" i="1"/>
  <c r="J136" i="1"/>
  <c r="J138" i="1"/>
  <c r="D143" i="1"/>
  <c r="D139" i="1"/>
  <c r="D138" i="1"/>
  <c r="J139" i="1" l="1"/>
  <c r="J144" i="1" l="1"/>
  <c r="J87" i="1"/>
  <c r="J86" i="1"/>
  <c r="J85" i="1"/>
  <c r="J84" i="1"/>
  <c r="C83" i="1"/>
  <c r="C85" i="1" s="1"/>
  <c r="J145" i="1" l="1"/>
  <c r="C137" i="1" s="1"/>
  <c r="E136" i="1" s="1"/>
  <c r="I132" i="1" s="1"/>
  <c r="C134" i="1" s="1"/>
  <c r="C84" i="1"/>
  <c r="C169" i="1"/>
  <c r="G136" i="1" l="1"/>
  <c r="D137" i="1"/>
  <c r="J171" i="1"/>
  <c r="J170" i="1"/>
  <c r="J169" i="1"/>
  <c r="J168" i="1"/>
  <c r="H161" i="1"/>
  <c r="D173" i="1" l="1"/>
  <c r="D169" i="1"/>
  <c r="D172" i="1"/>
  <c r="D168" i="1"/>
  <c r="J164" i="1"/>
  <c r="D171" i="1"/>
  <c r="D167" i="1"/>
  <c r="D170" i="1"/>
  <c r="J165" i="1"/>
  <c r="C164" i="1" s="1"/>
  <c r="D164" i="1" s="1"/>
  <c r="J163" i="1"/>
  <c r="J166" i="1"/>
  <c r="J167" i="1" s="1"/>
  <c r="J172" i="1" s="1"/>
  <c r="J173" i="1" s="1"/>
  <c r="C165" i="1" s="1"/>
  <c r="D166" i="1"/>
  <c r="J115" i="1"/>
  <c r="J114" i="1"/>
  <c r="J113" i="1"/>
  <c r="J112" i="1"/>
  <c r="C69" i="1"/>
  <c r="C71" i="1" s="1"/>
  <c r="E164" i="1" l="1"/>
  <c r="I160" i="1" s="1"/>
  <c r="C162" i="1" s="1"/>
  <c r="D165" i="1"/>
  <c r="G164" i="1"/>
  <c r="C70" i="1"/>
  <c r="J129" i="1"/>
  <c r="J128" i="1"/>
  <c r="J127" i="1"/>
  <c r="J126" i="1"/>
  <c r="J157" i="1"/>
  <c r="J156" i="1"/>
  <c r="J155" i="1"/>
  <c r="J154" i="1"/>
  <c r="H119" i="1"/>
  <c r="H147" i="1"/>
  <c r="D152" i="1" l="1"/>
  <c r="J123" i="1"/>
  <c r="C122" i="1" s="1"/>
  <c r="J124" i="1"/>
  <c r="J122" i="1"/>
  <c r="D130" i="1"/>
  <c r="D128" i="1"/>
  <c r="D126" i="1"/>
  <c r="D131" i="1"/>
  <c r="D129" i="1"/>
  <c r="D127" i="1"/>
  <c r="D125" i="1"/>
  <c r="D124" i="1"/>
  <c r="J121" i="1"/>
  <c r="D159" i="1"/>
  <c r="D157" i="1"/>
  <c r="D155" i="1"/>
  <c r="D153" i="1"/>
  <c r="J152" i="1"/>
  <c r="J153" i="1" s="1"/>
  <c r="J158" i="1" s="1"/>
  <c r="J159" i="1" s="1"/>
  <c r="C151" i="1" s="1"/>
  <c r="D151" i="1" s="1"/>
  <c r="D158" i="1"/>
  <c r="D156" i="1"/>
  <c r="J149" i="1"/>
  <c r="J151" i="1"/>
  <c r="C150" i="1" s="1"/>
  <c r="J150" i="1"/>
  <c r="D154" i="1"/>
  <c r="E150" i="1" l="1"/>
  <c r="J125" i="1"/>
  <c r="D122" i="1"/>
  <c r="G150" i="1"/>
  <c r="D150" i="1"/>
  <c r="J130" i="1" l="1"/>
  <c r="I146" i="1"/>
  <c r="C148" i="1" s="1"/>
  <c r="D417" i="1"/>
  <c r="F417" i="1" s="1"/>
  <c r="D416" i="1"/>
  <c r="F416" i="1" s="1"/>
  <c r="D415" i="1"/>
  <c r="F415" i="1" s="1"/>
  <c r="D414" i="1"/>
  <c r="F414" i="1" s="1"/>
  <c r="D410" i="1"/>
  <c r="F410" i="1" s="1"/>
  <c r="D411" i="1"/>
  <c r="F411" i="1" s="1"/>
  <c r="D412" i="1"/>
  <c r="F412" i="1" s="1"/>
  <c r="D409" i="1"/>
  <c r="F409" i="1" s="1"/>
  <c r="G414" i="1"/>
  <c r="G415" i="1" s="1"/>
  <c r="G416" i="1" s="1"/>
  <c r="G417" i="1" s="1"/>
  <c r="G409" i="1"/>
  <c r="G410" i="1" s="1"/>
  <c r="G411" i="1" s="1"/>
  <c r="G412" i="1" s="1"/>
  <c r="D431" i="1"/>
  <c r="F431" i="1" s="1"/>
  <c r="D430" i="1"/>
  <c r="F430" i="1" s="1"/>
  <c r="D429" i="1"/>
  <c r="F429" i="1" s="1"/>
  <c r="G428" i="1"/>
  <c r="G429" i="1" s="1"/>
  <c r="G430" i="1" s="1"/>
  <c r="G431" i="1" s="1"/>
  <c r="D428" i="1"/>
  <c r="F428" i="1" s="1"/>
  <c r="D426" i="1"/>
  <c r="F426" i="1" s="1"/>
  <c r="D425" i="1"/>
  <c r="F425" i="1" s="1"/>
  <c r="D424" i="1"/>
  <c r="F424" i="1" s="1"/>
  <c r="G423" i="1"/>
  <c r="G424" i="1" s="1"/>
  <c r="G425" i="1" s="1"/>
  <c r="G426" i="1" s="1"/>
  <c r="D423" i="1"/>
  <c r="F423" i="1" s="1"/>
  <c r="D403" i="1"/>
  <c r="F403" i="1" s="1"/>
  <c r="D402" i="1"/>
  <c r="F402" i="1" s="1"/>
  <c r="D401" i="1"/>
  <c r="F401" i="1" s="1"/>
  <c r="D400" i="1"/>
  <c r="F400" i="1" s="1"/>
  <c r="G400" i="1"/>
  <c r="G401" i="1" s="1"/>
  <c r="G402" i="1" s="1"/>
  <c r="G403" i="1" s="1"/>
  <c r="D396" i="1"/>
  <c r="F396" i="1" s="1"/>
  <c r="D397" i="1"/>
  <c r="F397" i="1" s="1"/>
  <c r="D398" i="1"/>
  <c r="F398" i="1" s="1"/>
  <c r="D395" i="1"/>
  <c r="F395" i="1" s="1"/>
  <c r="I395" i="1" s="1"/>
  <c r="D389" i="1"/>
  <c r="F389" i="1" s="1"/>
  <c r="D388" i="1"/>
  <c r="F388" i="1" s="1"/>
  <c r="D386" i="1"/>
  <c r="F386" i="1" s="1"/>
  <c r="D385" i="1"/>
  <c r="F385" i="1" s="1"/>
  <c r="A385" i="1"/>
  <c r="A386" i="1" s="1"/>
  <c r="A387" i="1" s="1"/>
  <c r="A388" i="1" s="1"/>
  <c r="A389" i="1" s="1"/>
  <c r="G384" i="1"/>
  <c r="G385" i="1" s="1"/>
  <c r="G386" i="1" s="1"/>
  <c r="G387" i="1" s="1"/>
  <c r="G388" i="1" s="1"/>
  <c r="G389" i="1" s="1"/>
  <c r="D384" i="1"/>
  <c r="F384" i="1" s="1"/>
  <c r="D378" i="1"/>
  <c r="F378" i="1" s="1"/>
  <c r="D379" i="1"/>
  <c r="F379" i="1" s="1"/>
  <c r="D380" i="1"/>
  <c r="F380" i="1" s="1"/>
  <c r="D381" i="1"/>
  <c r="F381" i="1" s="1"/>
  <c r="D382" i="1"/>
  <c r="F382" i="1" s="1"/>
  <c r="D377" i="1"/>
  <c r="F377" i="1" s="1"/>
  <c r="A378" i="1"/>
  <c r="A379" i="1" s="1"/>
  <c r="A380" i="1" s="1"/>
  <c r="A381" i="1" s="1"/>
  <c r="A382" i="1" s="1"/>
  <c r="G377" i="1"/>
  <c r="G378" i="1" s="1"/>
  <c r="G379" i="1" s="1"/>
  <c r="G380" i="1" s="1"/>
  <c r="G381" i="1" s="1"/>
  <c r="G382" i="1" s="1"/>
  <c r="D364" i="1"/>
  <c r="F364" i="1" s="1"/>
  <c r="D363" i="1"/>
  <c r="F363" i="1" s="1"/>
  <c r="D362" i="1"/>
  <c r="F362" i="1" s="1"/>
  <c r="D361" i="1"/>
  <c r="F361" i="1" s="1"/>
  <c r="A361" i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G360" i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D360" i="1"/>
  <c r="F360" i="1" s="1"/>
  <c r="D358" i="1"/>
  <c r="F358" i="1" s="1"/>
  <c r="D357" i="1"/>
  <c r="F357" i="1" s="1"/>
  <c r="D356" i="1"/>
  <c r="F356" i="1" s="1"/>
  <c r="D354" i="1"/>
  <c r="F354" i="1" s="1"/>
  <c r="D353" i="1"/>
  <c r="F353" i="1" s="1"/>
  <c r="D352" i="1"/>
  <c r="F352" i="1" s="1"/>
  <c r="D351" i="1"/>
  <c r="F351" i="1" s="1"/>
  <c r="D350" i="1"/>
  <c r="F350" i="1" s="1"/>
  <c r="D349" i="1"/>
  <c r="F349" i="1" s="1"/>
  <c r="D348" i="1"/>
  <c r="F348" i="1" s="1"/>
  <c r="A348" i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G347" i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D347" i="1"/>
  <c r="F347" i="1" s="1"/>
  <c r="D335" i="1"/>
  <c r="F335" i="1" s="1"/>
  <c r="D336" i="1"/>
  <c r="F336" i="1" s="1"/>
  <c r="D337" i="1"/>
  <c r="F337" i="1" s="1"/>
  <c r="D338" i="1"/>
  <c r="F338" i="1" s="1"/>
  <c r="D339" i="1"/>
  <c r="F339" i="1" s="1"/>
  <c r="D340" i="1"/>
  <c r="F340" i="1" s="1"/>
  <c r="D341" i="1"/>
  <c r="F341" i="1" s="1"/>
  <c r="D342" i="1"/>
  <c r="F342" i="1" s="1"/>
  <c r="D343" i="1"/>
  <c r="F343" i="1" s="1"/>
  <c r="D344" i="1"/>
  <c r="F344" i="1" s="1"/>
  <c r="D345" i="1"/>
  <c r="F345" i="1" s="1"/>
  <c r="D334" i="1"/>
  <c r="F334" i="1" s="1"/>
  <c r="A335" i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G334" i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E331" i="1"/>
  <c r="E330" i="1"/>
  <c r="E329" i="1"/>
  <c r="E332" i="1"/>
  <c r="E328" i="1"/>
  <c r="E327" i="1"/>
  <c r="D328" i="1"/>
  <c r="D329" i="1"/>
  <c r="D330" i="1"/>
  <c r="D331" i="1"/>
  <c r="D332" i="1"/>
  <c r="D327" i="1"/>
  <c r="D322" i="1"/>
  <c r="F322" i="1" s="1"/>
  <c r="D323" i="1"/>
  <c r="F323" i="1" s="1"/>
  <c r="D324" i="1"/>
  <c r="F324" i="1" s="1"/>
  <c r="D325" i="1"/>
  <c r="F325" i="1" s="1"/>
  <c r="D326" i="1"/>
  <c r="F326" i="1" s="1"/>
  <c r="D321" i="1"/>
  <c r="F321" i="1" s="1"/>
  <c r="A322" i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G321" i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D252" i="1"/>
  <c r="F252" i="1" s="1"/>
  <c r="D251" i="1"/>
  <c r="F251" i="1" s="1"/>
  <c r="D250" i="1"/>
  <c r="F250" i="1" s="1"/>
  <c r="D249" i="1"/>
  <c r="F249" i="1" s="1"/>
  <c r="D248" i="1"/>
  <c r="F248" i="1" s="1"/>
  <c r="D247" i="1"/>
  <c r="F247" i="1" s="1"/>
  <c r="D246" i="1"/>
  <c r="F246" i="1" s="1"/>
  <c r="D245" i="1"/>
  <c r="F245" i="1" s="1"/>
  <c r="D244" i="1"/>
  <c r="F244" i="1" s="1"/>
  <c r="D243" i="1"/>
  <c r="F243" i="1" s="1"/>
  <c r="D242" i="1"/>
  <c r="F242" i="1" s="1"/>
  <c r="D241" i="1"/>
  <c r="F241" i="1" s="1"/>
  <c r="D240" i="1"/>
  <c r="F240" i="1" s="1"/>
  <c r="D239" i="1"/>
  <c r="F239" i="1" s="1"/>
  <c r="A240" i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G239" i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D318" i="1"/>
  <c r="F318" i="1" s="1"/>
  <c r="D316" i="1"/>
  <c r="F316" i="1" s="1"/>
  <c r="D315" i="1"/>
  <c r="F315" i="1" s="1"/>
  <c r="D314" i="1"/>
  <c r="F314" i="1" s="1"/>
  <c r="G313" i="1"/>
  <c r="G314" i="1" s="1"/>
  <c r="G315" i="1" s="1"/>
  <c r="G316" i="1" s="1"/>
  <c r="G317" i="1" s="1"/>
  <c r="G318" i="1" s="1"/>
  <c r="D313" i="1"/>
  <c r="F313" i="1" s="1"/>
  <c r="D307" i="1"/>
  <c r="F307" i="1" s="1"/>
  <c r="D308" i="1"/>
  <c r="F308" i="1" s="1"/>
  <c r="D309" i="1"/>
  <c r="F309" i="1" s="1"/>
  <c r="D310" i="1"/>
  <c r="F310" i="1" s="1"/>
  <c r="D311" i="1"/>
  <c r="F311" i="1" s="1"/>
  <c r="D306" i="1"/>
  <c r="F306" i="1" s="1"/>
  <c r="D300" i="1"/>
  <c r="F300" i="1" s="1"/>
  <c r="D301" i="1"/>
  <c r="F301" i="1" s="1"/>
  <c r="D302" i="1"/>
  <c r="F302" i="1" s="1"/>
  <c r="D303" i="1"/>
  <c r="F303" i="1" s="1"/>
  <c r="D304" i="1"/>
  <c r="F304" i="1" s="1"/>
  <c r="D299" i="1"/>
  <c r="F299" i="1" s="1"/>
  <c r="G306" i="1"/>
  <c r="G307" i="1" s="1"/>
  <c r="G308" i="1" s="1"/>
  <c r="G309" i="1" s="1"/>
  <c r="G310" i="1" s="1"/>
  <c r="G311" i="1" s="1"/>
  <c r="G299" i="1"/>
  <c r="G300" i="1" s="1"/>
  <c r="G301" i="1" s="1"/>
  <c r="G302" i="1" s="1"/>
  <c r="G303" i="1" s="1"/>
  <c r="G304" i="1" s="1"/>
  <c r="E297" i="1"/>
  <c r="E296" i="1"/>
  <c r="E292" i="1"/>
  <c r="D297" i="1"/>
  <c r="D296" i="1"/>
  <c r="D292" i="1"/>
  <c r="D294" i="1"/>
  <c r="F294" i="1" s="1"/>
  <c r="D295" i="1"/>
  <c r="F295" i="1" s="1"/>
  <c r="D293" i="1"/>
  <c r="F293" i="1" s="1"/>
  <c r="A293" i="1"/>
  <c r="A294" i="1" s="1"/>
  <c r="A295" i="1" s="1"/>
  <c r="A296" i="1" s="1"/>
  <c r="A297" i="1" s="1"/>
  <c r="G292" i="1"/>
  <c r="G293" i="1" s="1"/>
  <c r="G294" i="1" s="1"/>
  <c r="G295" i="1" s="1"/>
  <c r="G296" i="1" s="1"/>
  <c r="G297" i="1" s="1"/>
  <c r="D236" i="1"/>
  <c r="F236" i="1" s="1"/>
  <c r="D235" i="1"/>
  <c r="F235" i="1" s="1"/>
  <c r="D234" i="1"/>
  <c r="F234" i="1" s="1"/>
  <c r="D233" i="1"/>
  <c r="F233" i="1" s="1"/>
  <c r="D232" i="1"/>
  <c r="F232" i="1" s="1"/>
  <c r="D231" i="1"/>
  <c r="F231" i="1" s="1"/>
  <c r="D230" i="1"/>
  <c r="F230" i="1" s="1"/>
  <c r="A231" i="1"/>
  <c r="A232" i="1" s="1"/>
  <c r="A233" i="1" s="1"/>
  <c r="A234" i="1" s="1"/>
  <c r="A235" i="1" s="1"/>
  <c r="A236" i="1" s="1"/>
  <c r="G230" i="1"/>
  <c r="G231" i="1" s="1"/>
  <c r="G232" i="1" s="1"/>
  <c r="G233" i="1" s="1"/>
  <c r="G234" i="1" s="1"/>
  <c r="G235" i="1" s="1"/>
  <c r="G236" i="1" s="1"/>
  <c r="D288" i="1"/>
  <c r="F288" i="1" s="1"/>
  <c r="D287" i="1"/>
  <c r="F287" i="1" s="1"/>
  <c r="D286" i="1"/>
  <c r="F286" i="1" s="1"/>
  <c r="D285" i="1"/>
  <c r="F285" i="1" s="1"/>
  <c r="D284" i="1"/>
  <c r="F284" i="1" s="1"/>
  <c r="D283" i="1"/>
  <c r="F283" i="1" s="1"/>
  <c r="D282" i="1"/>
  <c r="F282" i="1" s="1"/>
  <c r="D281" i="1"/>
  <c r="F281" i="1" s="1"/>
  <c r="G280" i="1"/>
  <c r="G281" i="1" s="1"/>
  <c r="G282" i="1" s="1"/>
  <c r="G283" i="1" s="1"/>
  <c r="G284" i="1" s="1"/>
  <c r="G285" i="1" s="1"/>
  <c r="G286" i="1" s="1"/>
  <c r="G287" i="1" s="1"/>
  <c r="G288" i="1" s="1"/>
  <c r="G289" i="1" s="1"/>
  <c r="D280" i="1"/>
  <c r="F280" i="1" s="1"/>
  <c r="D272" i="1"/>
  <c r="F272" i="1" s="1"/>
  <c r="D271" i="1"/>
  <c r="F271" i="1" s="1"/>
  <c r="D270" i="1"/>
  <c r="F270" i="1" s="1"/>
  <c r="D273" i="1"/>
  <c r="F273" i="1" s="1"/>
  <c r="D274" i="1"/>
  <c r="F274" i="1" s="1"/>
  <c r="D275" i="1"/>
  <c r="F275" i="1" s="1"/>
  <c r="D276" i="1"/>
  <c r="F276" i="1" s="1"/>
  <c r="D277" i="1"/>
  <c r="F277" i="1" s="1"/>
  <c r="D278" i="1"/>
  <c r="F278" i="1" s="1"/>
  <c r="D269" i="1"/>
  <c r="F269" i="1" s="1"/>
  <c r="E267" i="1"/>
  <c r="D267" i="1"/>
  <c r="E266" i="1"/>
  <c r="D266" i="1"/>
  <c r="D265" i="1"/>
  <c r="E265" i="1"/>
  <c r="E264" i="1"/>
  <c r="D264" i="1"/>
  <c r="E263" i="1"/>
  <c r="E262" i="1"/>
  <c r="D263" i="1"/>
  <c r="D262" i="1"/>
  <c r="E261" i="1"/>
  <c r="D261" i="1"/>
  <c r="D260" i="1"/>
  <c r="F260" i="1" s="1"/>
  <c r="D259" i="1"/>
  <c r="F259" i="1" s="1"/>
  <c r="E258" i="1"/>
  <c r="D258" i="1"/>
  <c r="D227" i="1"/>
  <c r="F227" i="1" s="1"/>
  <c r="D226" i="1"/>
  <c r="F226" i="1" s="1"/>
  <c r="D225" i="1"/>
  <c r="F225" i="1" s="1"/>
  <c r="D224" i="1"/>
  <c r="F224" i="1" s="1"/>
  <c r="D223" i="1"/>
  <c r="F223" i="1" s="1"/>
  <c r="D222" i="1"/>
  <c r="F222" i="1" s="1"/>
  <c r="D221" i="1"/>
  <c r="F221" i="1" s="1"/>
  <c r="D220" i="1"/>
  <c r="D219" i="1"/>
  <c r="D218" i="1"/>
  <c r="D217" i="1"/>
  <c r="D216" i="1"/>
  <c r="D215" i="1"/>
  <c r="D214" i="1"/>
  <c r="P428" i="1"/>
  <c r="O306" i="1"/>
  <c r="O428" i="1"/>
  <c r="P313" i="1"/>
  <c r="P409" i="1"/>
  <c r="O409" i="1"/>
  <c r="O313" i="1"/>
  <c r="P299" i="1"/>
  <c r="P400" i="1"/>
  <c r="O280" i="1"/>
  <c r="O299" i="1"/>
  <c r="P306" i="1"/>
  <c r="P280" i="1"/>
  <c r="P414" i="1"/>
  <c r="O414" i="1"/>
  <c r="O400" i="1"/>
  <c r="P423" i="1"/>
  <c r="O423" i="1"/>
  <c r="J131" i="1" l="1"/>
  <c r="C123" i="1"/>
  <c r="E122" i="1" s="1"/>
  <c r="I118" i="1" s="1"/>
  <c r="C120" i="1" s="1"/>
  <c r="G122" i="1"/>
  <c r="F266" i="1"/>
  <c r="D123" i="1"/>
  <c r="F292" i="1"/>
  <c r="F258" i="1"/>
  <c r="F331" i="1"/>
  <c r="F261" i="1"/>
  <c r="F267" i="1"/>
  <c r="F297" i="1"/>
  <c r="F264" i="1"/>
  <c r="F329" i="1"/>
  <c r="F265" i="1"/>
  <c r="F296" i="1"/>
  <c r="F330" i="1"/>
  <c r="J431" i="1"/>
  <c r="I431" i="1"/>
  <c r="F327" i="1"/>
  <c r="F262" i="1"/>
  <c r="F263" i="1"/>
  <c r="F332" i="1"/>
  <c r="F328" i="1"/>
  <c r="E203" i="1"/>
  <c r="G202" i="1"/>
  <c r="E200" i="1"/>
  <c r="G204" i="1"/>
  <c r="C198" i="1"/>
  <c r="G199" i="1"/>
  <c r="G205" i="1"/>
  <c r="C192" i="1"/>
  <c r="E199" i="1"/>
  <c r="C200" i="1"/>
  <c r="E205" i="1"/>
  <c r="C199" i="1"/>
  <c r="G194" i="1"/>
  <c r="E201" i="1"/>
  <c r="C201" i="1"/>
  <c r="C194" i="1"/>
  <c r="E202" i="1"/>
  <c r="C203" i="1"/>
  <c r="C193" i="1"/>
  <c r="E198" i="1"/>
  <c r="C204" i="1"/>
  <c r="E192" i="1"/>
  <c r="G193" i="1"/>
  <c r="E204" i="1"/>
  <c r="C205" i="1"/>
  <c r="C202" i="1"/>
  <c r="E193" i="1"/>
  <c r="E194" i="1"/>
  <c r="N414" i="1"/>
  <c r="O415" i="1"/>
  <c r="P415" i="1"/>
  <c r="P416" i="1" s="1"/>
  <c r="P417" i="1" s="1"/>
  <c r="N409" i="1"/>
  <c r="O410" i="1"/>
  <c r="P410" i="1"/>
  <c r="P411" i="1" s="1"/>
  <c r="P412" i="1" s="1"/>
  <c r="N423" i="1"/>
  <c r="O424" i="1"/>
  <c r="N428" i="1"/>
  <c r="O429" i="1"/>
  <c r="P424" i="1"/>
  <c r="P425" i="1" s="1"/>
  <c r="P426" i="1" s="1"/>
  <c r="P429" i="1"/>
  <c r="P430" i="1" s="1"/>
  <c r="P431" i="1" s="1"/>
  <c r="P401" i="1"/>
  <c r="P402" i="1" s="1"/>
  <c r="P403" i="1" s="1"/>
  <c r="N400" i="1"/>
  <c r="O401" i="1"/>
  <c r="P314" i="1"/>
  <c r="P315" i="1" s="1"/>
  <c r="P316" i="1" s="1"/>
  <c r="P317" i="1" s="1"/>
  <c r="P318" i="1" s="1"/>
  <c r="O314" i="1"/>
  <c r="N313" i="1"/>
  <c r="N306" i="1"/>
  <c r="O307" i="1"/>
  <c r="P307" i="1"/>
  <c r="P308" i="1" s="1"/>
  <c r="P309" i="1" s="1"/>
  <c r="P310" i="1" s="1"/>
  <c r="P311" i="1" s="1"/>
  <c r="P300" i="1"/>
  <c r="P301" i="1" s="1"/>
  <c r="P302" i="1" s="1"/>
  <c r="P303" i="1" s="1"/>
  <c r="P304" i="1" s="1"/>
  <c r="N299" i="1"/>
  <c r="O300" i="1"/>
  <c r="P281" i="1"/>
  <c r="P282" i="1" s="1"/>
  <c r="P283" i="1" s="1"/>
  <c r="P284" i="1" s="1"/>
  <c r="P285" i="1" s="1"/>
  <c r="P286" i="1" s="1"/>
  <c r="P287" i="1" s="1"/>
  <c r="P288" i="1" s="1"/>
  <c r="P289" i="1" s="1"/>
  <c r="N280" i="1"/>
  <c r="O281" i="1"/>
  <c r="C206" i="1" l="1"/>
  <c r="G201" i="1"/>
  <c r="E195" i="1"/>
  <c r="G200" i="1"/>
  <c r="E206" i="1"/>
  <c r="C195" i="1"/>
  <c r="O416" i="1"/>
  <c r="N415" i="1"/>
  <c r="N410" i="1"/>
  <c r="O411" i="1"/>
  <c r="N429" i="1"/>
  <c r="O430" i="1"/>
  <c r="N424" i="1"/>
  <c r="O425" i="1"/>
  <c r="N401" i="1"/>
  <c r="O402" i="1"/>
  <c r="N314" i="1"/>
  <c r="O315" i="1"/>
  <c r="O308" i="1"/>
  <c r="N307" i="1"/>
  <c r="N300" i="1"/>
  <c r="O301" i="1"/>
  <c r="N281" i="1"/>
  <c r="O282" i="1"/>
  <c r="I32" i="1"/>
  <c r="E207" i="1" l="1"/>
  <c r="C207" i="1"/>
  <c r="N416" i="1"/>
  <c r="O417" i="1"/>
  <c r="N417" i="1" s="1"/>
  <c r="O412" i="1"/>
  <c r="N412" i="1" s="1"/>
  <c r="N411" i="1"/>
  <c r="N425" i="1"/>
  <c r="O426" i="1"/>
  <c r="N426" i="1" s="1"/>
  <c r="N430" i="1"/>
  <c r="O431" i="1"/>
  <c r="N431" i="1" s="1"/>
  <c r="N402" i="1"/>
  <c r="O403" i="1"/>
  <c r="N315" i="1"/>
  <c r="O316" i="1"/>
  <c r="N308" i="1"/>
  <c r="O309" i="1"/>
  <c r="N301" i="1"/>
  <c r="O302" i="1"/>
  <c r="N282" i="1"/>
  <c r="O283" i="1"/>
  <c r="D59" i="1"/>
  <c r="N403" i="1" l="1"/>
  <c r="O317" i="1"/>
  <c r="N316" i="1"/>
  <c r="N309" i="1"/>
  <c r="O310" i="1"/>
  <c r="O303" i="1"/>
  <c r="N302" i="1"/>
  <c r="O284" i="1"/>
  <c r="N283" i="1"/>
  <c r="J101" i="1"/>
  <c r="J100" i="1"/>
  <c r="J73" i="1"/>
  <c r="J72" i="1"/>
  <c r="H63" i="1"/>
  <c r="H91" i="1"/>
  <c r="O318" i="1" l="1"/>
  <c r="N318" i="1" s="1"/>
  <c r="N317" i="1"/>
  <c r="O311" i="1"/>
  <c r="N311" i="1" s="1"/>
  <c r="N310" i="1"/>
  <c r="O304" i="1"/>
  <c r="N304" i="1" s="1"/>
  <c r="N303" i="1"/>
  <c r="N284" i="1"/>
  <c r="O285" i="1"/>
  <c r="D96" i="1"/>
  <c r="J94" i="1"/>
  <c r="J96" i="1"/>
  <c r="D103" i="1"/>
  <c r="D99" i="1"/>
  <c r="J95" i="1"/>
  <c r="C94" i="1" s="1"/>
  <c r="J93" i="1"/>
  <c r="D101" i="1"/>
  <c r="D97" i="1"/>
  <c r="D100" i="1"/>
  <c r="D102" i="1"/>
  <c r="D98" i="1"/>
  <c r="D68" i="1"/>
  <c r="D74" i="1"/>
  <c r="J66" i="1"/>
  <c r="D75" i="1"/>
  <c r="D71" i="1"/>
  <c r="J67" i="1"/>
  <c r="C66" i="1" s="1"/>
  <c r="J65" i="1"/>
  <c r="D70" i="1"/>
  <c r="D73" i="1"/>
  <c r="D69" i="1"/>
  <c r="J68" i="1"/>
  <c r="D72" i="1"/>
  <c r="G47" i="1"/>
  <c r="O395" i="1"/>
  <c r="O269" i="1"/>
  <c r="H77" i="1"/>
  <c r="H105" i="1"/>
  <c r="D89" i="1" l="1"/>
  <c r="D85" i="1"/>
  <c r="J82" i="1"/>
  <c r="J83" i="1" s="1"/>
  <c r="J88" i="1" s="1"/>
  <c r="J89" i="1" s="1"/>
  <c r="C81" i="1" s="1"/>
  <c r="J81" i="1"/>
  <c r="C80" i="1" s="1"/>
  <c r="D80" i="1" s="1"/>
  <c r="J79" i="1"/>
  <c r="D82" i="1"/>
  <c r="D84" i="1"/>
  <c r="J80" i="1"/>
  <c r="D83" i="1"/>
  <c r="D88" i="1"/>
  <c r="D86" i="1"/>
  <c r="D87" i="1"/>
  <c r="D117" i="1"/>
  <c r="D113" i="1"/>
  <c r="J110" i="1"/>
  <c r="J107" i="1"/>
  <c r="D116" i="1"/>
  <c r="D112" i="1"/>
  <c r="J108" i="1"/>
  <c r="D115" i="1"/>
  <c r="D111" i="1"/>
  <c r="D114" i="1"/>
  <c r="D110" i="1"/>
  <c r="J109" i="1"/>
  <c r="C108" i="1" s="1"/>
  <c r="J97" i="1"/>
  <c r="J102" i="1" s="1"/>
  <c r="J69" i="1"/>
  <c r="J74" i="1" s="1"/>
  <c r="D94" i="1"/>
  <c r="D66" i="1"/>
  <c r="N285" i="1"/>
  <c r="O286" i="1"/>
  <c r="J98" i="1"/>
  <c r="J99" i="1" s="1"/>
  <c r="J70" i="1"/>
  <c r="J71" i="1" s="1"/>
  <c r="E80" i="1" l="1"/>
  <c r="I76" i="1" s="1"/>
  <c r="C78" i="1" s="1"/>
  <c r="D81" i="1"/>
  <c r="G80" i="1"/>
  <c r="D108" i="1"/>
  <c r="J111" i="1"/>
  <c r="N286" i="1"/>
  <c r="O287" i="1"/>
  <c r="J103" i="1"/>
  <c r="C95" i="1" s="1"/>
  <c r="J75" i="1"/>
  <c r="C67" i="1" s="1"/>
  <c r="A259" i="1"/>
  <c r="A260" i="1" s="1"/>
  <c r="A261" i="1" s="1"/>
  <c r="A262" i="1" s="1"/>
  <c r="A263" i="1" s="1"/>
  <c r="A264" i="1" s="1"/>
  <c r="A265" i="1" s="1"/>
  <c r="A266" i="1" s="1"/>
  <c r="A267" i="1" s="1"/>
  <c r="P395" i="1"/>
  <c r="P269" i="1"/>
  <c r="J116" i="1" l="1"/>
  <c r="O288" i="1"/>
  <c r="N287" i="1"/>
  <c r="E94" i="1"/>
  <c r="I90" i="1" s="1"/>
  <c r="C92" i="1" s="1"/>
  <c r="D95" i="1"/>
  <c r="G94" i="1"/>
  <c r="E66" i="1"/>
  <c r="I62" i="1" s="1"/>
  <c r="C64" i="1" s="1"/>
  <c r="D67" i="1"/>
  <c r="G66" i="1"/>
  <c r="N269" i="1"/>
  <c r="N395" i="1"/>
  <c r="J117" i="1" l="1"/>
  <c r="C109" i="1" s="1"/>
  <c r="E108" i="1" s="1"/>
  <c r="I104" i="1" s="1"/>
  <c r="C106" i="1" s="1"/>
  <c r="N288" i="1"/>
  <c r="O289" i="1"/>
  <c r="N289" i="1" s="1"/>
  <c r="D61" i="1"/>
  <c r="F174" i="1" s="1"/>
  <c r="G108" i="1" l="1"/>
  <c r="D109" i="1"/>
  <c r="C14" i="1"/>
  <c r="E41" i="1" l="1"/>
  <c r="E42" i="1" s="1"/>
  <c r="I260" i="1" l="1"/>
  <c r="F214" i="1"/>
  <c r="G214" i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A215" i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F215" i="1"/>
  <c r="F216" i="1"/>
  <c r="F217" i="1"/>
  <c r="F218" i="1"/>
  <c r="F219" i="1"/>
  <c r="F220" i="1"/>
  <c r="E3" i="1"/>
  <c r="G203" i="1" l="1"/>
  <c r="G198" i="1"/>
  <c r="G192" i="1"/>
  <c r="G195" i="1" s="1"/>
  <c r="O270" i="1"/>
  <c r="G395" i="1"/>
  <c r="G396" i="1" s="1"/>
  <c r="G397" i="1" s="1"/>
  <c r="G398" i="1" s="1"/>
  <c r="G206" i="1" l="1"/>
  <c r="G207" i="1" s="1"/>
  <c r="P270" i="1"/>
  <c r="P271" i="1" s="1"/>
  <c r="P272" i="1" s="1"/>
  <c r="P273" i="1" s="1"/>
  <c r="P274" i="1" s="1"/>
  <c r="P275" i="1" s="1"/>
  <c r="P276" i="1" s="1"/>
  <c r="P277" i="1" s="1"/>
  <c r="P278" i="1" s="1"/>
  <c r="O271" i="1"/>
  <c r="O396" i="1"/>
  <c r="G269" i="1"/>
  <c r="G270" i="1" s="1"/>
  <c r="G271" i="1" s="1"/>
  <c r="G272" i="1" s="1"/>
  <c r="G273" i="1" s="1"/>
  <c r="G274" i="1" s="1"/>
  <c r="G275" i="1" s="1"/>
  <c r="G276" i="1" s="1"/>
  <c r="G277" i="1" s="1"/>
  <c r="G278" i="1" s="1"/>
  <c r="G258" i="1"/>
  <c r="G259" i="1" s="1"/>
  <c r="G260" i="1" s="1"/>
  <c r="G261" i="1" s="1"/>
  <c r="G262" i="1" s="1"/>
  <c r="G263" i="1" s="1"/>
  <c r="G264" i="1" s="1"/>
  <c r="G265" i="1" s="1"/>
  <c r="G266" i="1" s="1"/>
  <c r="G267" i="1" s="1"/>
  <c r="E25" i="1"/>
  <c r="E23" i="1"/>
  <c r="N270" i="1" l="1"/>
  <c r="N271" i="1"/>
  <c r="O272" i="1"/>
  <c r="N272" i="1" s="1"/>
  <c r="P396" i="1"/>
  <c r="P397" i="1" s="1"/>
  <c r="P398" i="1" s="1"/>
  <c r="O397" i="1"/>
  <c r="F6" i="5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N396" i="1" l="1"/>
  <c r="N397" i="1"/>
  <c r="O273" i="1"/>
  <c r="N273" i="1" s="1"/>
  <c r="O398" i="1"/>
  <c r="N398" i="1" s="1"/>
  <c r="G12" i="5"/>
  <c r="O274" i="1" l="1"/>
  <c r="N274" i="1" l="1"/>
  <c r="O275" i="1"/>
  <c r="N275" i="1" l="1"/>
  <c r="O276" i="1"/>
  <c r="E7" i="1"/>
  <c r="N276" i="1" l="1"/>
  <c r="O277" i="1"/>
  <c r="D456" i="1"/>
  <c r="F189" i="1"/>
  <c r="C47" i="1"/>
  <c r="D52" i="1"/>
  <c r="O278" i="1" l="1"/>
  <c r="N278" i="1" s="1"/>
  <c r="N277" i="1"/>
</calcChain>
</file>

<file path=xl/sharedStrings.xml><?xml version="1.0" encoding="utf-8"?>
<sst xmlns="http://schemas.openxmlformats.org/spreadsheetml/2006/main" count="948" uniqueCount="269">
  <si>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</si>
  <si>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</si>
  <si>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</si>
  <si>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</si>
  <si>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</si>
  <si>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</si>
  <si>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</si>
  <si>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</si>
  <si>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</si>
  <si>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</si>
  <si>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</si>
  <si>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</si>
  <si>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</si>
  <si>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</si>
  <si>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</si>
  <si>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</si>
  <si>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</si>
  <si>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</si>
  <si>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</si>
  <si>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</si>
  <si>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</si>
  <si>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</si>
  <si>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</si>
  <si>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</si>
  <si>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</si>
  <si>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</si>
  <si>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</si>
  <si>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</si>
  <si>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</si>
  <si>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</si>
  <si>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</si>
  <si>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</si>
  <si>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</si>
  <si>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</si>
  <si>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</si>
  <si>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</si>
  <si>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</si>
  <si>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</si>
  <si>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</si>
  <si>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</si>
  <si>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</si>
  <si>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</si>
  <si>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</si>
  <si>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</si>
  <si>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</si>
  <si>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</si>
  <si>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</si>
  <si>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</si>
  <si>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</si>
  <si>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</si>
  <si>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</si>
  <si>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</si>
  <si>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</si>
  <si>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</si>
  <si>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</si>
  <si>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</si>
  <si>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</si>
  <si>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</si>
  <si>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</si>
  <si>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</si>
  <si>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</si>
  <si>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</si>
  <si>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</si>
  <si>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</si>
  <si>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</si>
  <si>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</si>
  <si>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</si>
  <si>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</si>
  <si>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</si>
  <si>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</si>
  <si>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</si>
  <si>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</si>
  <si>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</si>
  <si>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</si>
  <si>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</si>
  <si>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</si>
  <si>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</si>
  <si>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</si>
  <si>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</si>
  <si>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</si>
  <si>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</si>
  <si>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</si>
  <si>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</si>
  <si>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</si>
  <si>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</si>
  <si>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</si>
  <si>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</si>
  <si>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</si>
  <si>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</si>
  <si>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</si>
  <si>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</si>
  <si>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</si>
  <si>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</si>
  <si>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</si>
  <si>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</si>
  <si>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</si>
  <si>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</si>
  <si>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</si>
  <si>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</si>
  <si>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</si>
  <si>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</si>
  <si>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</si>
  <si>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</si>
  <si>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</si>
  <si>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</si>
  <si>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</si>
  <si>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</si>
  <si>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</si>
  <si>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</si>
  <si>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</si>
  <si>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</si>
  <si>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</si>
  <si>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</si>
  <si>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</si>
  <si>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</si>
  <si>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</si>
  <si>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</si>
  <si>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</si>
  <si>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</si>
  <si>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</si>
  <si>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</si>
  <si>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</si>
  <si>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</si>
  <si>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</si>
  <si>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</si>
  <si>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</si>
  <si>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</si>
  <si>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</si>
  <si>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</si>
  <si>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</si>
  <si>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</si>
  <si>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</si>
  <si>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</si>
  <si>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Saleable area
Loading :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</si>
  <si>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</si>
  <si>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</si>
  <si>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</si>
  <si>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</si>
  <si>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</si>
  <si>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</si>
  <si>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</si>
  <si>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</si>
  <si>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</si>
  <si>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</si>
  <si>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</si>
  <si>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</si>
  <si>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</si>
  <si>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</si>
  <si>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</si>
  <si>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</si>
  <si>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</si>
  <si>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</si>
  <si>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</si>
  <si>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</si>
  <si>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</si>
  <si>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</si>
  <si>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</si>
  <si>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</si>
  <si>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</si>
  <si>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</si>
  <si>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</si>
  <si>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</si>
  <si>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</si>
  <si>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Axis Sanpada</t>
  </si>
  <si>
    <t>M/s.Provident Housing Limited</t>
  </si>
  <si>
    <t>88/4, 89, 90/1, 90/2/4, 90/2/5, 90/4/2, 101/1/B, 101/2, 101/3</t>
  </si>
  <si>
    <t>Plot No</t>
  </si>
  <si>
    <t>Thane</t>
  </si>
  <si>
    <t>Diva East</t>
  </si>
  <si>
    <t>Kalyan Shilphata Road</t>
  </si>
  <si>
    <t>Puravankara Shilphata</t>
  </si>
  <si>
    <t>Open Plot</t>
  </si>
  <si>
    <t>Provident Palmvista</t>
  </si>
  <si>
    <t>7 KM from Diva Railway Station</t>
  </si>
  <si>
    <t>Daighar</t>
  </si>
  <si>
    <t>Approved Plans, CC</t>
  </si>
  <si>
    <t>As per RERA - 30/06/2028</t>
  </si>
  <si>
    <t>8 Wings</t>
  </si>
  <si>
    <t xml:space="preserve">B1 - P51700025841
B2 - P51700025839
C1 - P51700025840
C2 - P51700025864
</t>
  </si>
  <si>
    <t>D1 - P51700025844
D2 - P51700025854
D3 - P51700025849
D4 - P51700025842</t>
  </si>
  <si>
    <t>Ground Floor for Commercial &amp; Parking</t>
  </si>
  <si>
    <t>Shop</t>
  </si>
  <si>
    <t>1st Floor for Residential</t>
  </si>
  <si>
    <t>1BHK</t>
  </si>
  <si>
    <t>2nd to 7th, 9th to 12th, 14th to 17th, 19th to 22nd, 24th to 27th, 29th &amp; 30th Floor</t>
  </si>
  <si>
    <t>Refuge Area</t>
  </si>
  <si>
    <t>8th, 13th, 18th, 23rd &amp; 28th Floor (Part Refuge Area)</t>
  </si>
  <si>
    <t>Sale / Rehab / Mhada Unit</t>
  </si>
  <si>
    <t>-</t>
  </si>
  <si>
    <t xml:space="preserve">Sale </t>
  </si>
  <si>
    <t>Mhada</t>
  </si>
  <si>
    <t>2nd to 7th, 9th to 12th, 13th &amp; 14th Floor</t>
  </si>
  <si>
    <t>15th to 17th, 19th to 22nd, 24th to 27th, 29th &amp; 30th Floor</t>
  </si>
  <si>
    <t>Sale</t>
  </si>
  <si>
    <t>18th, 23rd &amp; 28th Floor (Part Refuge Area)</t>
  </si>
  <si>
    <t>2nd to 7th, 9th to 12th, 14th to 17th, 19th to 22nd, 24th Floor</t>
  </si>
  <si>
    <t>8th, 13th, 18th, 23rd Floor (Part Refuge Area)</t>
  </si>
  <si>
    <t>25th Floor (Part Terrace Area)</t>
  </si>
  <si>
    <t>Terrace Area</t>
  </si>
  <si>
    <t>Basement Floor for Parking</t>
  </si>
  <si>
    <t>Ground Floor for Parking</t>
  </si>
  <si>
    <t>Podium Floor for Parking</t>
  </si>
  <si>
    <t>1st to 5th, 7th to 10th, 12th to 15th, 17th to 20th, 22nd to 25th &amp; 28th to 30th Floor</t>
  </si>
  <si>
    <t>6th, 11th, 16th, 21st &amp; 26th Floor (Part Refuge Area)</t>
  </si>
  <si>
    <t>2BHK</t>
  </si>
  <si>
    <t>2.5BHK</t>
  </si>
  <si>
    <t>Sale / Mhada Unit</t>
  </si>
  <si>
    <t>Sale Shop</t>
  </si>
  <si>
    <t>Building - B1</t>
  </si>
  <si>
    <t>Building - B2</t>
  </si>
  <si>
    <t>Building - C1</t>
  </si>
  <si>
    <t>Mhada Flat</t>
  </si>
  <si>
    <t>Sale Flat</t>
  </si>
  <si>
    <t>Building - D1</t>
  </si>
  <si>
    <t>Building - D2</t>
  </si>
  <si>
    <t>Building - D3</t>
  </si>
  <si>
    <t>Building - D4</t>
  </si>
  <si>
    <t>Sale Shop - 35, Sale Flat - 1194 , Mhada Flat - 78</t>
  </si>
  <si>
    <t>V.P.S11/0181/18/TMC/TDD/3961/22</t>
  </si>
  <si>
    <t xml:space="preserve">Building B1 &amp; B2 = G/St + 1st to 30th Floor
Building C1 &amp; C2 = G/St + 1st to 25th Floor
Building D1 to D4 = B + G/St + P + 1st to 30th Floor
                    </t>
  </si>
  <si>
    <t>Building C1 &amp; C2 = G/St + 1st to 25th Floor</t>
  </si>
  <si>
    <t>Building D1 to D4 = B + G/St + P + 1st to 30th Floor</t>
  </si>
  <si>
    <t>We considered  Saleable area  as per our calculation.</t>
  </si>
  <si>
    <t>We considered Gross carpet area = Net carpet + Enclose balcony + C.B Area.</t>
  </si>
  <si>
    <t>V.P.S11/0181/18/TMC/TDD/3252/19</t>
  </si>
  <si>
    <t>Please provide C.C of Building D2.</t>
  </si>
  <si>
    <t>Building-B1</t>
  </si>
  <si>
    <t>Building-B2</t>
  </si>
  <si>
    <t>Building-C1</t>
  </si>
  <si>
    <t>Building-D1</t>
  </si>
  <si>
    <t>Building-D2</t>
  </si>
  <si>
    <t>Building-D3</t>
  </si>
  <si>
    <t>Building-D4</t>
  </si>
  <si>
    <t>*</t>
  </si>
  <si>
    <t>Please provide approved floor plans of Following buildings :
Building C2 = All Floor Plans
Building B2 = 8th Floor
Building D1, D2, D3, D4 = 27th Floor</t>
  </si>
  <si>
    <t>Floor Rise Rate Per Sq.ft (from 1st Floor)</t>
  </si>
  <si>
    <t>Premium Location Charges</t>
  </si>
  <si>
    <t>asmi</t>
  </si>
  <si>
    <t>palas</t>
  </si>
  <si>
    <t xml:space="preserve">As per site person Mr. Krushna (9607007059)
Piling work is in process in Buildings B1, B2  &amp; D4
Excavation work is in process in Building D3.
</t>
  </si>
  <si>
    <t>Location Link</t>
  </si>
  <si>
    <t>https://goo.gl/maps/zgZdfY3zk2rsaXhr8</t>
  </si>
  <si>
    <t>On Site, we meet Mr. Krishna - 9607007059.
Provided plans doesn't consists dimensions and are not in scale. 
So please provide approved plans which are in scale and proper dimensions.</t>
  </si>
  <si>
    <t>Latitude, Longitude</t>
  </si>
  <si>
    <t>19.146693,73.052259</t>
  </si>
  <si>
    <t>Grand Total</t>
  </si>
  <si>
    <t>Office No. 1031, Wing J, Akshar Business Park, Plot No. 03 Sector 25, Near APMC Market,
 Vashi, Navi Mumbai, Maharashtra 400703 TEL: 022-46090378/79/80                                                                      
 E mail : vsjcapf@gmail.com. Web site : www.vsjadon.com</t>
  </si>
  <si>
    <t>Site Person - Contact Details ( Name &amp; Contact No.)</t>
  </si>
  <si>
    <t xml:space="preserve"> </t>
  </si>
  <si>
    <t>Valid Up to: Building B1 &amp; B2 = G/St + 1st to 18th Floor
                    Building C1 &amp; C2 = G/St + 1st to 6th Floor
                    Building D1 = B + G/St + P + 1st to 5th Floor
                    Building D3 = B + G/St + P + 1st to 6th Floor
                    Building D4 = B + G/St + P + 1st to 30th Floor</t>
  </si>
  <si>
    <t>Building C1 = G/St + 1st to 25th Floor</t>
  </si>
  <si>
    <t>Building C2 = G/St + 1st to 25th Floor</t>
  </si>
  <si>
    <t>Mr. Rupesh : 8976779733</t>
  </si>
  <si>
    <t>Building D4 = B + G/St + P + 1st to 30th Floor</t>
  </si>
  <si>
    <t>Building D3 = B + G/St + P + 1st to 30th Floor</t>
  </si>
  <si>
    <t>30/-</t>
  </si>
  <si>
    <t>Rate 7500 &amp; FR 30 Smith Verbal   On 10/07/2024</t>
  </si>
  <si>
    <t>Recommended Rates / Other charges of the Property have been revised on 10/07/2024.</t>
  </si>
  <si>
    <t>Gangaram Lambore</t>
  </si>
  <si>
    <t>Building B1 = G/St + 1st to 30th Floor</t>
  </si>
  <si>
    <t>Building B2 = G/St + 1st to 30th Floor</t>
  </si>
  <si>
    <t>In previous report given stage of rcc is high</t>
  </si>
  <si>
    <t>Building D1 = B + G/St + P + 1st to 30th Floor</t>
  </si>
  <si>
    <t>Building D2 = B + G/St + P + 1st to 30th Floor</t>
  </si>
  <si>
    <t>Building B1 &amp; B2= G/St + 1st to 30th Floor</t>
  </si>
  <si>
    <t>so the stage of Building C1 is not increased.</t>
  </si>
  <si>
    <t>Shruti Tathare</t>
  </si>
  <si>
    <t xml:space="preserve">Bldg B1, B2, D1 to D4 = Construction work is in Process at the time of visit.
Bldg C1 &amp; C2 = Work is in process at the time of visit (Slow Speed).
</t>
  </si>
  <si>
    <t>Please provide revised CC.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</si>
</sst>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  <numFmt numFmtId="168" formatCode="_ * #,##0_ ;_ * \-#,##0_ ;_ * &quot;-&quot;??_ ;_ @_ 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1"/>
      <color theme="1"/>
      <name val="Calibri"/>
      <family val="2"/>
    </font>
    <font>
      <b/>
      <sz val="12"/>
      <color rgb="FFFF0000"/>
      <name val="Times New Roman"/>
      <family val="1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19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41">
    <xf numFmtId="0" fontId="0" fillId="0" borderId="0" xfId="0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8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7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9" fontId="8" fillId="0" borderId="19" xfId="8" applyFont="1" applyFill="1" applyBorder="1" applyAlignment="1" applyProtection="1">
      <alignment horizontal="center" vertical="top" wrapText="1"/>
      <protection locked="0"/>
    </xf>
    <xf numFmtId="0" fontId="7" fillId="0" borderId="11" xfId="1" applyFont="1" applyFill="1" applyBorder="1" applyProtection="1">
      <protection hidden="1"/>
    </xf>
    <xf numFmtId="0" fontId="7" fillId="0" borderId="0" xfId="1" applyFont="1" applyFill="1" applyBorder="1" applyProtection="1">
      <protection hidden="1"/>
    </xf>
    <xf numFmtId="0" fontId="7" fillId="0" borderId="4" xfId="1" applyFont="1" applyFill="1" applyBorder="1" applyAlignment="1" applyProtection="1">
      <alignment horizontal="center" vertical="top"/>
      <protection locked="0"/>
    </xf>
    <xf numFmtId="0" fontId="7" fillId="0" borderId="1" xfId="1" applyFont="1" applyFill="1" applyBorder="1" applyAlignment="1" applyProtection="1">
      <alignment horizontal="center" vertical="top"/>
      <protection locked="0"/>
    </xf>
    <xf numFmtId="0" fontId="7" fillId="0" borderId="5" xfId="1" applyFont="1" applyFill="1" applyBorder="1" applyAlignment="1" applyProtection="1">
      <alignment horizontal="center" vertical="top"/>
      <protection locked="0"/>
    </xf>
    <xf numFmtId="0" fontId="16" fillId="0" borderId="0" xfId="0" applyFont="1" applyFill="1" applyBorder="1" applyProtection="1">
      <protection hidden="1"/>
    </xf>
    <xf numFmtId="0" fontId="16" fillId="0" borderId="14" xfId="0" applyFont="1" applyFill="1" applyBorder="1" applyProtection="1">
      <protection hidden="1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/>
    <xf numFmtId="0" fontId="15" fillId="0" borderId="0" xfId="1" applyFont="1" applyFill="1"/>
    <xf numFmtId="0" fontId="12" fillId="0" borderId="1" xfId="1" applyFont="1" applyFill="1" applyBorder="1" applyAlignment="1" applyProtection="1">
      <alignment vertical="top"/>
      <protection locked="0"/>
    </xf>
    <xf numFmtId="0" fontId="12" fillId="0" borderId="0" xfId="1" applyFont="1" applyFill="1"/>
    <xf numFmtId="1" fontId="7" fillId="0" borderId="0" xfId="1" applyNumberFormat="1" applyFont="1" applyFill="1"/>
    <xf numFmtId="0" fontId="7" fillId="0" borderId="0" xfId="1" applyNumberFormat="1" applyFont="1" applyFill="1"/>
    <xf numFmtId="14" fontId="7" fillId="0" borderId="0" xfId="1" applyNumberFormat="1" applyFont="1" applyFill="1"/>
    <xf numFmtId="0" fontId="7" fillId="0" borderId="0" xfId="1" applyFont="1" applyFill="1" applyProtection="1">
      <protection hidden="1"/>
    </xf>
    <xf numFmtId="0" fontId="7" fillId="0" borderId="12" xfId="1" applyFont="1" applyFill="1" applyBorder="1" applyProtection="1">
      <protection hidden="1"/>
    </xf>
    <xf numFmtId="0" fontId="7" fillId="0" borderId="13" xfId="1" applyFont="1" applyFill="1" applyBorder="1" applyProtection="1">
      <protection hidden="1"/>
    </xf>
    <xf numFmtId="0" fontId="7" fillId="0" borderId="13" xfId="1" applyFont="1" applyFill="1" applyBorder="1"/>
    <xf numFmtId="0" fontId="7" fillId="0" borderId="1" xfId="1" applyFont="1" applyFill="1" applyBorder="1" applyAlignment="1" applyProtection="1">
      <alignment horizontal="center" wrapText="1"/>
      <protection locked="0"/>
    </xf>
    <xf numFmtId="9" fontId="7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6" fillId="0" borderId="13" xfId="0" applyNumberFormat="1" applyFont="1" applyFill="1" applyBorder="1" applyProtection="1">
      <protection hidden="1"/>
    </xf>
    <xf numFmtId="1" fontId="7" fillId="0" borderId="1" xfId="1" applyNumberFormat="1" applyFont="1" applyFill="1" applyBorder="1" applyAlignment="1" applyProtection="1">
      <alignment horizontal="center" wrapText="1"/>
      <protection locked="0"/>
    </xf>
    <xf numFmtId="1" fontId="22" fillId="0" borderId="13" xfId="0" applyNumberFormat="1" applyFont="1" applyFill="1" applyBorder="1"/>
    <xf numFmtId="1" fontId="22" fillId="0" borderId="13" xfId="0" applyNumberFormat="1" applyFont="1" applyFill="1" applyBorder="1" applyAlignment="1">
      <alignment horizontal="right"/>
    </xf>
    <xf numFmtId="0" fontId="7" fillId="0" borderId="7" xfId="1" applyFont="1" applyFill="1" applyBorder="1" applyAlignment="1" applyProtection="1">
      <alignment horizontal="center" wrapText="1"/>
      <protection locked="0"/>
    </xf>
    <xf numFmtId="9" fontId="7" fillId="0" borderId="7" xfId="1" applyNumberFormat="1" applyFont="1" applyFill="1" applyBorder="1" applyAlignment="1" applyProtection="1">
      <alignment horizontal="center" vertical="center" wrapText="1"/>
      <protection hidden="1"/>
    </xf>
    <xf numFmtId="1" fontId="22" fillId="0" borderId="15" xfId="0" applyNumberFormat="1" applyFont="1" applyFill="1" applyBorder="1"/>
    <xf numFmtId="0" fontId="16" fillId="0" borderId="0" xfId="1" applyFont="1" applyFill="1"/>
    <xf numFmtId="0" fontId="6" fillId="0" borderId="0" xfId="2" applyFont="1" applyFill="1"/>
    <xf numFmtId="0" fontId="7" fillId="0" borderId="0" xfId="0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1" fontId="7" fillId="0" borderId="0" xfId="1" applyNumberFormat="1" applyFont="1" applyFill="1" applyAlignment="1">
      <alignment horizontal="center" vertical="center"/>
    </xf>
    <xf numFmtId="0" fontId="7" fillId="0" borderId="0" xfId="1" applyNumberFormat="1" applyFont="1" applyFill="1" applyAlignment="1">
      <alignment horizontal="center" vertical="center"/>
    </xf>
    <xf numFmtId="0" fontId="8" fillId="0" borderId="0" xfId="1" applyFont="1" applyFill="1" applyBorder="1" applyAlignment="1" applyProtection="1">
      <alignment vertical="top"/>
      <protection locked="0"/>
    </xf>
    <xf numFmtId="0" fontId="8" fillId="0" borderId="0" xfId="1" applyFont="1" applyFill="1" applyBorder="1" applyAlignment="1" applyProtection="1">
      <alignment vertical="top" wrapText="1"/>
      <protection locked="0"/>
    </xf>
    <xf numFmtId="0" fontId="7" fillId="0" borderId="0" xfId="1" applyFont="1" applyFill="1" applyProtection="1">
      <protection locked="0"/>
    </xf>
    <xf numFmtId="0" fontId="10" fillId="0" borderId="0" xfId="1" applyFont="1" applyFill="1" applyProtection="1"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9" fontId="7" fillId="0" borderId="1" xfId="1" applyNumberFormat="1" applyFont="1" applyFill="1" applyBorder="1" applyAlignment="1" applyProtection="1">
      <alignment horizontal="center" vertical="center" wrapText="1"/>
      <protection hidden="1"/>
    </xf>
    <xf numFmtId="9" fontId="7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1" applyFont="1" applyFill="1" applyAlignment="1">
      <alignment vertical="center"/>
    </xf>
    <xf numFmtId="14" fontId="7" fillId="0" borderId="0" xfId="1" applyNumberFormat="1" applyFont="1" applyFill="1" applyAlignment="1">
      <alignment vertical="center"/>
    </xf>
    <xf numFmtId="0" fontId="7" fillId="0" borderId="29" xfId="1" applyFont="1" applyFill="1" applyBorder="1" applyAlignment="1">
      <alignment vertical="center" wrapText="1"/>
    </xf>
    <xf numFmtId="164" fontId="7" fillId="0" borderId="0" xfId="1" applyNumberFormat="1" applyFont="1" applyFill="1" applyAlignment="1">
      <alignment horizontal="center" vertical="center"/>
    </xf>
    <xf numFmtId="14" fontId="0" fillId="0" borderId="0" xfId="0" applyNumberFormat="1"/>
    <xf numFmtId="1" fontId="7" fillId="0" borderId="0" xfId="0" applyNumberFormat="1" applyFont="1" applyFill="1" applyAlignment="1">
      <alignment horizontal="center" vertical="center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9" fontId="7" fillId="0" borderId="1" xfId="1" applyNumberFormat="1" applyFont="1" applyFill="1" applyBorder="1" applyAlignment="1" applyProtection="1">
      <alignment horizontal="center" vertical="center" wrapText="1"/>
      <protection hidden="1"/>
    </xf>
    <xf numFmtId="9" fontId="7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9" fontId="7" fillId="0" borderId="1" xfId="1" applyNumberFormat="1" applyFont="1" applyFill="1" applyBorder="1" applyAlignment="1" applyProtection="1">
      <alignment horizontal="center" vertical="center" wrapText="1"/>
      <protection hidden="1"/>
    </xf>
    <xf numFmtId="9" fontId="7" fillId="0" borderId="7" xfId="1" applyNumberFormat="1" applyFont="1" applyFill="1" applyBorder="1" applyAlignment="1" applyProtection="1">
      <alignment horizontal="center" vertical="center" wrapText="1"/>
      <protection hidden="1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1" applyFont="1" applyFill="1" applyAlignment="1">
      <alignment vertical="center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9" fontId="7" fillId="0" borderId="1" xfId="1" applyNumberFormat="1" applyFont="1" applyFill="1" applyBorder="1" applyAlignment="1" applyProtection="1">
      <alignment horizontal="center" vertical="center" wrapText="1"/>
      <protection hidden="1"/>
    </xf>
    <xf numFmtId="9" fontId="7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9" fontId="7" fillId="0" borderId="1" xfId="1" applyNumberFormat="1" applyFont="1" applyFill="1" applyBorder="1" applyAlignment="1" applyProtection="1">
      <alignment horizontal="center" vertical="center" wrapText="1"/>
      <protection hidden="1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1" applyFont="1" applyFill="1" applyBorder="1" applyAlignment="1" applyProtection="1">
      <alignment horizontal="center" wrapText="1"/>
      <protection locked="0"/>
    </xf>
    <xf numFmtId="9" fontId="7" fillId="0" borderId="3" xfId="1" applyNumberFormat="1" applyFont="1" applyFill="1" applyBorder="1" applyAlignment="1" applyProtection="1">
      <alignment horizontal="center" vertical="center" wrapText="1"/>
      <protection hidden="1"/>
    </xf>
    <xf numFmtId="1" fontId="8" fillId="0" borderId="9" xfId="0" applyNumberFormat="1" applyFont="1" applyFill="1" applyBorder="1" applyAlignment="1" applyProtection="1">
      <alignment vertical="top" wrapText="1"/>
      <protection locked="0"/>
    </xf>
    <xf numFmtId="1" fontId="8" fillId="0" borderId="24" xfId="0" applyNumberFormat="1" applyFont="1" applyFill="1" applyBorder="1" applyAlignment="1" applyProtection="1">
      <alignment vertical="top" wrapText="1"/>
      <protection locked="0"/>
    </xf>
    <xf numFmtId="1" fontId="8" fillId="0" borderId="10" xfId="0" applyNumberFormat="1" applyFont="1" applyFill="1" applyBorder="1" applyAlignment="1" applyProtection="1">
      <alignment vertical="top" wrapText="1"/>
      <protection locked="0"/>
    </xf>
    <xf numFmtId="0" fontId="10" fillId="0" borderId="1" xfId="1" applyFont="1" applyFill="1" applyBorder="1" applyAlignment="1" applyProtection="1">
      <alignment horizontal="left" vertical="top" wrapText="1"/>
      <protection locked="0"/>
    </xf>
    <xf numFmtId="0" fontId="10" fillId="0" borderId="1" xfId="1" applyFont="1" applyFill="1" applyBorder="1" applyAlignment="1" applyProtection="1">
      <alignment horizontal="left" vertical="top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9" fontId="7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25" xfId="1" applyFont="1" applyFill="1" applyBorder="1" applyAlignment="1" applyProtection="1">
      <alignment horizontal="left" vertical="top" wrapText="1"/>
      <protection locked="0"/>
    </xf>
    <xf numFmtId="0" fontId="10" fillId="0" borderId="18" xfId="1" applyFont="1" applyFill="1" applyBorder="1" applyAlignment="1" applyProtection="1">
      <alignment horizontal="left" vertical="top" wrapText="1"/>
      <protection locked="0"/>
    </xf>
    <xf numFmtId="0" fontId="10" fillId="0" borderId="16" xfId="1" applyFont="1" applyFill="1" applyBorder="1" applyAlignment="1" applyProtection="1">
      <alignment horizontal="left" vertical="top" wrapText="1"/>
      <protection locked="0"/>
    </xf>
    <xf numFmtId="0" fontId="10" fillId="0" borderId="17" xfId="1" applyFont="1" applyFill="1" applyBorder="1" applyAlignment="1" applyProtection="1">
      <alignment horizontal="left" vertical="top" wrapText="1"/>
      <protection locked="0"/>
    </xf>
    <xf numFmtId="0" fontId="10" fillId="0" borderId="26" xfId="1" applyFont="1" applyFill="1" applyBorder="1" applyAlignment="1" applyProtection="1">
      <alignment horizontal="left" vertical="top" wrapText="1"/>
      <protection locked="0"/>
    </xf>
    <xf numFmtId="0" fontId="10" fillId="0" borderId="4" xfId="1" applyFont="1" applyFill="1" applyBorder="1" applyAlignment="1" applyProtection="1">
      <alignment horizontal="left" vertical="top"/>
      <protection locked="0"/>
    </xf>
    <xf numFmtId="0" fontId="10" fillId="0" borderId="5" xfId="1" applyFont="1" applyFill="1" applyBorder="1" applyAlignment="1" applyProtection="1">
      <alignment horizontal="left" vertical="top" wrapText="1"/>
      <protection locked="0"/>
    </xf>
    <xf numFmtId="0" fontId="8" fillId="0" borderId="25" xfId="1" applyFont="1" applyFill="1" applyBorder="1" applyAlignment="1" applyProtection="1">
      <alignment horizontal="left" vertical="top" wrapText="1"/>
      <protection locked="0"/>
    </xf>
    <xf numFmtId="0" fontId="8" fillId="0" borderId="18" xfId="1" applyFont="1" applyFill="1" applyBorder="1" applyAlignment="1" applyProtection="1">
      <alignment horizontal="left" vertical="top" wrapText="1"/>
      <protection locked="0"/>
    </xf>
    <xf numFmtId="0" fontId="8" fillId="0" borderId="16" xfId="1" applyFont="1" applyFill="1" applyBorder="1" applyAlignment="1" applyProtection="1">
      <alignment horizontal="left" vertical="top" wrapText="1"/>
      <protection locked="0"/>
    </xf>
    <xf numFmtId="0" fontId="8" fillId="0" borderId="17" xfId="1" applyFont="1" applyFill="1" applyBorder="1" applyAlignment="1" applyProtection="1">
      <alignment horizontal="left" vertical="top" wrapText="1"/>
      <protection locked="0"/>
    </xf>
    <xf numFmtId="0" fontId="8" fillId="0" borderId="26" xfId="1" applyFont="1" applyFill="1" applyBorder="1" applyAlignment="1" applyProtection="1">
      <alignment horizontal="left" vertical="top" wrapText="1"/>
      <protection locked="0"/>
    </xf>
    <xf numFmtId="0" fontId="7" fillId="0" borderId="4" xfId="1" applyFont="1" applyFill="1" applyBorder="1" applyAlignment="1" applyProtection="1">
      <alignment horizontal="center" vertical="top" wrapText="1"/>
      <protection locked="0"/>
    </xf>
    <xf numFmtId="0" fontId="7" fillId="0" borderId="5" xfId="1" applyFont="1" applyFill="1" applyBorder="1" applyAlignment="1" applyProtection="1">
      <alignment horizontal="center" vertical="top" wrapText="1"/>
      <protection locked="0"/>
    </xf>
    <xf numFmtId="9" fontId="7" fillId="0" borderId="7" xfId="1" applyNumberFormat="1" applyFont="1" applyFill="1" applyBorder="1" applyAlignment="1" applyProtection="1">
      <alignment horizontal="center" vertical="center" wrapText="1"/>
      <protection hidden="1"/>
    </xf>
    <xf numFmtId="9" fontId="7" fillId="0" borderId="5" xfId="1" applyNumberFormat="1" applyFont="1" applyFill="1" applyBorder="1" applyAlignment="1" applyProtection="1">
      <alignment horizontal="center" vertical="center" wrapText="1"/>
      <protection hidden="1"/>
    </xf>
    <xf numFmtId="9" fontId="7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6" xfId="1" applyFont="1" applyFill="1" applyBorder="1" applyAlignment="1" applyProtection="1">
      <alignment horizontal="center" vertical="top" wrapText="1"/>
      <protection locked="0"/>
    </xf>
    <xf numFmtId="0" fontId="7" fillId="0" borderId="7" xfId="1" applyFont="1" applyFill="1" applyBorder="1" applyAlignment="1" applyProtection="1">
      <alignment horizontal="center" vertical="top" wrapText="1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168" fontId="12" fillId="0" borderId="1" xfId="9" applyNumberFormat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1" fontId="10" fillId="0" borderId="9" xfId="0" applyNumberFormat="1" applyFont="1" applyFill="1" applyBorder="1" applyAlignment="1" applyProtection="1">
      <alignment vertical="top" wrapText="1"/>
      <protection locked="0"/>
    </xf>
    <xf numFmtId="1" fontId="10" fillId="0" borderId="24" xfId="0" applyNumberFormat="1" applyFont="1" applyFill="1" applyBorder="1" applyAlignment="1" applyProtection="1">
      <alignment vertical="top" wrapText="1"/>
      <protection locked="0"/>
    </xf>
    <xf numFmtId="1" fontId="10" fillId="0" borderId="10" xfId="0" applyNumberFormat="1" applyFont="1" applyFill="1" applyBorder="1" applyAlignment="1" applyProtection="1">
      <alignment vertical="top" wrapText="1"/>
      <protection locked="0"/>
    </xf>
    <xf numFmtId="1" fontId="13" fillId="0" borderId="9" xfId="0" applyNumberFormat="1" applyFont="1" applyFill="1" applyBorder="1" applyAlignment="1" applyProtection="1">
      <alignment vertical="top" wrapText="1"/>
      <protection locked="0"/>
    </xf>
    <xf numFmtId="1" fontId="13" fillId="0" borderId="24" xfId="0" applyNumberFormat="1" applyFont="1" applyFill="1" applyBorder="1" applyAlignment="1" applyProtection="1">
      <alignment vertical="top" wrapText="1"/>
      <protection locked="0"/>
    </xf>
    <xf numFmtId="1" fontId="13" fillId="0" borderId="10" xfId="0" applyNumberFormat="1" applyFont="1" applyFill="1" applyBorder="1" applyAlignment="1" applyProtection="1">
      <alignment vertical="top" wrapText="1"/>
      <protection locked="0"/>
    </xf>
    <xf numFmtId="1" fontId="23" fillId="0" borderId="9" xfId="0" applyNumberFormat="1" applyFont="1" applyFill="1" applyBorder="1" applyAlignment="1" applyProtection="1">
      <alignment vertical="top" wrapText="1"/>
      <protection locked="0"/>
    </xf>
    <xf numFmtId="1" fontId="23" fillId="0" borderId="24" xfId="0" applyNumberFormat="1" applyFont="1" applyFill="1" applyBorder="1" applyAlignment="1" applyProtection="1">
      <alignment vertical="top" wrapText="1"/>
      <protection locked="0"/>
    </xf>
    <xf numFmtId="1" fontId="23" fillId="0" borderId="10" xfId="0" applyNumberFormat="1" applyFont="1" applyFill="1" applyBorder="1" applyAlignment="1" applyProtection="1">
      <alignment vertical="top" wrapText="1"/>
      <protection locked="0"/>
    </xf>
    <xf numFmtId="1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4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0" xfId="1" applyNumberFormat="1" applyFont="1" applyFill="1" applyBorder="1" applyAlignment="1" applyProtection="1">
      <alignment horizontal="center" vertical="center" wrapText="1"/>
      <protection locked="0"/>
    </xf>
    <xf numFmtId="1" fontId="4" fillId="0" borderId="3" xfId="1" applyNumberFormat="1" applyFont="1" applyFill="1" applyBorder="1" applyAlignment="1" applyProtection="1">
      <alignment horizontal="center" vertical="top" wrapText="1"/>
      <protection locked="0"/>
    </xf>
    <xf numFmtId="1" fontId="4" fillId="0" borderId="19" xfId="1" applyNumberFormat="1" applyFont="1" applyFill="1" applyBorder="1" applyAlignment="1" applyProtection="1">
      <alignment horizontal="center" vertical="top" wrapText="1"/>
      <protection locked="0"/>
    </xf>
    <xf numFmtId="1" fontId="8" fillId="0" borderId="20" xfId="1" applyNumberFormat="1" applyFont="1" applyFill="1" applyBorder="1" applyAlignment="1" applyProtection="1">
      <alignment horizontal="center" vertical="top" wrapText="1"/>
      <protection locked="0"/>
    </xf>
    <xf numFmtId="1" fontId="8" fillId="0" borderId="21" xfId="1" applyNumberFormat="1" applyFont="1" applyFill="1" applyBorder="1" applyAlignment="1" applyProtection="1">
      <alignment horizontal="center" vertical="top" wrapText="1"/>
      <protection locked="0"/>
    </xf>
    <xf numFmtId="1" fontId="8" fillId="0" borderId="22" xfId="1" applyNumberFormat="1" applyFont="1" applyFill="1" applyBorder="1" applyAlignment="1" applyProtection="1">
      <alignment horizontal="center" vertical="top" wrapText="1"/>
      <protection locked="0"/>
    </xf>
    <xf numFmtId="1" fontId="8" fillId="0" borderId="23" xfId="1" applyNumberFormat="1" applyFont="1" applyFill="1" applyBorder="1" applyAlignment="1" applyProtection="1">
      <alignment horizontal="center" vertical="top" wrapText="1"/>
      <protection locked="0"/>
    </xf>
    <xf numFmtId="1" fontId="8" fillId="0" borderId="3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32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32" xfId="0" applyNumberFormat="1" applyFont="1" applyFill="1" applyBorder="1" applyAlignment="1" applyProtection="1">
      <alignment horizontal="center" vertical="center"/>
      <protection locked="0"/>
    </xf>
    <xf numFmtId="0" fontId="10" fillId="0" borderId="32" xfId="0" applyFont="1" applyFill="1" applyBorder="1" applyAlignment="1" applyProtection="1">
      <alignment horizontal="center" vertical="center"/>
      <protection locked="0"/>
    </xf>
    <xf numFmtId="1" fontId="10" fillId="0" borderId="32" xfId="0" applyNumberFormat="1" applyFont="1" applyFill="1" applyBorder="1" applyAlignment="1" applyProtection="1">
      <alignment horizontal="center" vertical="top" wrapText="1"/>
      <protection locked="0"/>
    </xf>
    <xf numFmtId="0" fontId="10" fillId="0" borderId="32" xfId="0" applyFont="1" applyFill="1" applyBorder="1" applyAlignment="1" applyProtection="1">
      <alignment horizontal="center" vertical="top" wrapText="1"/>
      <protection locked="0"/>
    </xf>
    <xf numFmtId="1" fontId="8" fillId="0" borderId="32" xfId="0" applyNumberFormat="1" applyFont="1" applyFill="1" applyBorder="1" applyAlignment="1" applyProtection="1">
      <alignment horizontal="center" vertical="top" wrapText="1"/>
      <protection locked="0"/>
    </xf>
    <xf numFmtId="1" fontId="8" fillId="0" borderId="33" xfId="0" applyNumberFormat="1" applyFont="1" applyFill="1" applyBorder="1" applyAlignment="1" applyProtection="1">
      <alignment horizontal="center" vertical="top" wrapText="1"/>
      <protection locked="0"/>
    </xf>
    <xf numFmtId="0" fontId="7" fillId="0" borderId="0" xfId="1" applyFont="1" applyFill="1" applyAlignment="1">
      <alignment horizontal="center" vertical="center"/>
    </xf>
    <xf numFmtId="1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0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" fontId="7" fillId="0" borderId="1" xfId="0" applyNumberFormat="1" applyFont="1" applyFill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1" fontId="8" fillId="0" borderId="19" xfId="1" applyNumberFormat="1" applyFont="1" applyFill="1" applyBorder="1" applyAlignment="1" applyProtection="1">
      <alignment horizontal="center" vertical="top" wrapText="1"/>
      <protection locked="0"/>
    </xf>
    <xf numFmtId="2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center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0" fontId="7" fillId="0" borderId="9" xfId="1" applyFont="1" applyFill="1" applyBorder="1" applyAlignment="1" applyProtection="1">
      <alignment horizontal="left"/>
      <protection locked="0"/>
    </xf>
    <xf numFmtId="0" fontId="7" fillId="0" borderId="24" xfId="1" applyFont="1" applyFill="1" applyBorder="1" applyAlignment="1" applyProtection="1">
      <alignment horizontal="left"/>
      <protection locked="0"/>
    </xf>
    <xf numFmtId="0" fontId="7" fillId="0" borderId="10" xfId="1" applyFont="1" applyFill="1" applyBorder="1" applyAlignment="1" applyProtection="1">
      <alignment horizontal="left"/>
      <protection locked="0"/>
    </xf>
    <xf numFmtId="0" fontId="24" fillId="0" borderId="9" xfId="10" applyFill="1" applyBorder="1" applyAlignment="1" applyProtection="1">
      <alignment horizontal="left" vertical="top"/>
      <protection locked="0"/>
    </xf>
    <xf numFmtId="0" fontId="7" fillId="0" borderId="24" xfId="1" applyFont="1" applyFill="1" applyBorder="1" applyAlignment="1" applyProtection="1">
      <alignment horizontal="left" vertical="top"/>
      <protection locked="0"/>
    </xf>
    <xf numFmtId="0" fontId="7" fillId="0" borderId="10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7" fillId="0" borderId="1" xfId="1" applyFont="1" applyFill="1" applyBorder="1" applyAlignment="1" applyProtection="1">
      <alignment horizontal="left" vertical="center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/>
      <protection locked="0"/>
    </xf>
    <xf numFmtId="0" fontId="7" fillId="0" borderId="1" xfId="1" applyFont="1" applyFill="1" applyBorder="1" applyAlignment="1" applyProtection="1">
      <alignment horizontal="left" vertical="top" wrapText="1"/>
      <protection locked="0"/>
    </xf>
    <xf numFmtId="0" fontId="7" fillId="0" borderId="1" xfId="1" applyFont="1" applyFill="1" applyBorder="1" applyAlignment="1" applyProtection="1">
      <alignment horizontal="left" vertical="top"/>
      <protection locked="0"/>
    </xf>
    <xf numFmtId="0" fontId="7" fillId="0" borderId="9" xfId="1" applyFont="1" applyFill="1" applyBorder="1" applyAlignment="1" applyProtection="1">
      <alignment vertical="top" wrapText="1"/>
      <protection locked="0"/>
    </xf>
    <xf numFmtId="0" fontId="7" fillId="0" borderId="10" xfId="1" applyFont="1" applyFill="1" applyBorder="1" applyAlignment="1" applyProtection="1">
      <alignment vertical="top" wrapText="1"/>
      <protection locked="0"/>
    </xf>
    <xf numFmtId="0" fontId="12" fillId="0" borderId="3" xfId="1" applyFont="1" applyFill="1" applyBorder="1" applyAlignment="1" applyProtection="1">
      <alignment horizontal="left" vertical="top" wrapText="1"/>
      <protection locked="0"/>
    </xf>
    <xf numFmtId="0" fontId="12" fillId="0" borderId="3" xfId="1" applyFont="1" applyFill="1" applyBorder="1" applyAlignment="1" applyProtection="1">
      <alignment horizontal="left" vertical="top"/>
      <protection locked="0"/>
    </xf>
    <xf numFmtId="0" fontId="12" fillId="0" borderId="20" xfId="1" applyFont="1" applyFill="1" applyBorder="1" applyAlignment="1" applyProtection="1">
      <alignment horizontal="left" vertical="top" wrapText="1"/>
      <protection locked="0"/>
    </xf>
    <xf numFmtId="0" fontId="12" fillId="0" borderId="27" xfId="1" applyFont="1" applyFill="1" applyBorder="1" applyAlignment="1" applyProtection="1">
      <alignment horizontal="left" vertical="top" wrapText="1"/>
      <protection locked="0"/>
    </xf>
    <xf numFmtId="0" fontId="12" fillId="0" borderId="21" xfId="1" applyFont="1" applyFill="1" applyBorder="1" applyAlignment="1" applyProtection="1">
      <alignment horizontal="left" vertical="top" wrapText="1"/>
      <protection locked="0"/>
    </xf>
    <xf numFmtId="167" fontId="12" fillId="0" borderId="1" xfId="1" applyNumberFormat="1" applyFont="1" applyFill="1" applyBorder="1" applyAlignment="1" applyProtection="1">
      <alignment horizontal="left" vertical="top" wrapText="1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167" fontId="6" fillId="0" borderId="1" xfId="1" applyNumberFormat="1" applyFont="1" applyFill="1" applyBorder="1" applyAlignment="1" applyProtection="1">
      <alignment horizontal="left" vertical="top"/>
      <protection locked="0"/>
    </xf>
    <xf numFmtId="164" fontId="6" fillId="0" borderId="1" xfId="1" applyNumberFormat="1" applyFont="1" applyFill="1" applyBorder="1" applyAlignment="1" applyProtection="1">
      <alignment horizontal="left" vertical="top"/>
      <protection locked="0"/>
    </xf>
    <xf numFmtId="2" fontId="6" fillId="0" borderId="1" xfId="1" applyNumberFormat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1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1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left" vertical="top" wrapText="1"/>
      <protection locked="0"/>
    </xf>
    <xf numFmtId="0" fontId="6" fillId="0" borderId="1" xfId="1" applyFont="1" applyFill="1" applyBorder="1" applyAlignment="1" applyProtection="1">
      <alignment vertical="top"/>
      <protection locked="0"/>
    </xf>
    <xf numFmtId="167" fontId="13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9" xfId="1" applyFont="1" applyFill="1" applyBorder="1" applyAlignment="1" applyProtection="1">
      <alignment horizontal="left" vertical="top" wrapText="1"/>
      <protection locked="0"/>
    </xf>
    <xf numFmtId="0" fontId="12" fillId="0" borderId="24" xfId="1" applyFont="1" applyFill="1" applyBorder="1" applyAlignment="1" applyProtection="1">
      <alignment horizontal="left" vertical="top" wrapText="1"/>
      <protection locked="0"/>
    </xf>
    <xf numFmtId="0" fontId="12" fillId="0" borderId="10" xfId="1" applyFont="1" applyFill="1" applyBorder="1" applyAlignment="1" applyProtection="1">
      <alignment horizontal="left" vertical="top" wrapText="1"/>
      <protection locked="0"/>
    </xf>
    <xf numFmtId="168" fontId="13" fillId="0" borderId="1" xfId="9" applyNumberFormat="1" applyFont="1" applyFill="1" applyBorder="1" applyAlignment="1" applyProtection="1">
      <alignment horizontal="left" vertical="top"/>
      <protection locked="0"/>
    </xf>
    <xf numFmtId="0" fontId="10" fillId="0" borderId="3" xfId="0" applyFont="1" applyFill="1" applyBorder="1" applyAlignment="1" applyProtection="1">
      <alignment horizontal="center" vertical="center"/>
      <protection locked="0"/>
    </xf>
    <xf numFmtId="1" fontId="10" fillId="0" borderId="3" xfId="0" applyNumberFormat="1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center" vertical="top" wrapText="1"/>
      <protection locked="0"/>
    </xf>
    <xf numFmtId="0" fontId="10" fillId="0" borderId="36" xfId="1" applyFont="1" applyFill="1" applyBorder="1" applyAlignment="1" applyProtection="1">
      <alignment horizontal="left" vertical="top" wrapText="1"/>
      <protection locked="0"/>
    </xf>
    <xf numFmtId="0" fontId="10" fillId="0" borderId="23" xfId="1" applyFont="1" applyFill="1" applyBorder="1" applyAlignment="1" applyProtection="1">
      <alignment horizontal="left" vertical="top" wrapText="1"/>
      <protection locked="0"/>
    </xf>
    <xf numFmtId="0" fontId="10" fillId="0" borderId="22" xfId="1" applyFont="1" applyFill="1" applyBorder="1" applyAlignment="1" applyProtection="1">
      <alignment horizontal="left" vertical="top" wrapText="1"/>
      <protection locked="0"/>
    </xf>
    <xf numFmtId="0" fontId="10" fillId="0" borderId="2" xfId="1" applyFont="1" applyFill="1" applyBorder="1" applyAlignment="1" applyProtection="1">
      <alignment horizontal="left" vertical="top" wrapText="1"/>
      <protection locked="0"/>
    </xf>
    <xf numFmtId="0" fontId="10" fillId="0" borderId="37" xfId="1" applyFont="1" applyFill="1" applyBorder="1" applyAlignment="1" applyProtection="1">
      <alignment horizontal="left" vertical="top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2" fillId="0" borderId="16" xfId="1" applyFont="1" applyFill="1" applyBorder="1" applyAlignment="1" applyProtection="1">
      <alignment horizontal="left" vertical="top"/>
      <protection locked="0"/>
    </xf>
    <xf numFmtId="0" fontId="12" fillId="0" borderId="17" xfId="1" applyFont="1" applyFill="1" applyBorder="1" applyAlignment="1" applyProtection="1">
      <alignment horizontal="left" vertical="top"/>
      <protection locked="0"/>
    </xf>
    <xf numFmtId="0" fontId="12" fillId="0" borderId="18" xfId="1" applyFont="1" applyFill="1" applyBorder="1" applyAlignment="1" applyProtection="1">
      <alignment horizontal="left" vertical="top"/>
      <protection locked="0"/>
    </xf>
    <xf numFmtId="0" fontId="8" fillId="0" borderId="19" xfId="1" applyFont="1" applyFill="1" applyBorder="1" applyAlignment="1" applyProtection="1">
      <alignment horizontal="center" vertical="top"/>
      <protection locked="0"/>
    </xf>
    <xf numFmtId="168" fontId="12" fillId="0" borderId="1" xfId="9" applyNumberFormat="1" applyFont="1" applyFill="1" applyBorder="1" applyAlignment="1" applyProtection="1">
      <alignment horizontal="right" vertical="top"/>
      <protection locked="0"/>
    </xf>
    <xf numFmtId="0" fontId="8" fillId="0" borderId="1" xfId="1" applyFont="1" applyFill="1" applyBorder="1" applyAlignment="1" applyProtection="1">
      <alignment horizontal="left" vertical="top" wrapText="1"/>
      <protection locked="0"/>
    </xf>
    <xf numFmtId="1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7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3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3" xfId="0" applyNumberFormat="1" applyFont="1" applyFill="1" applyBorder="1" applyAlignment="1" applyProtection="1">
      <alignment horizontal="center" vertical="top" wrapText="1"/>
      <protection locked="0"/>
    </xf>
    <xf numFmtId="0" fontId="7" fillId="0" borderId="34" xfId="1" applyFont="1" applyFill="1" applyBorder="1" applyAlignment="1" applyProtection="1">
      <alignment horizontal="center" vertical="top" wrapText="1"/>
      <protection locked="0"/>
    </xf>
    <xf numFmtId="0" fontId="7" fillId="0" borderId="3" xfId="1" applyFont="1" applyFill="1" applyBorder="1" applyAlignment="1" applyProtection="1">
      <alignment horizontal="center" vertical="top" wrapText="1"/>
      <protection locked="0"/>
    </xf>
    <xf numFmtId="1" fontId="10" fillId="0" borderId="1" xfId="0" applyNumberFormat="1" applyFont="1" applyFill="1" applyBorder="1" applyAlignment="1" applyProtection="1">
      <alignment horizontal="center" vertical="center"/>
      <protection locked="0"/>
    </xf>
    <xf numFmtId="1" fontId="10" fillId="0" borderId="1" xfId="0" applyNumberFormat="1" applyFont="1" applyFill="1" applyBorder="1" applyAlignment="1" applyProtection="1">
      <alignment horizontal="center" vertical="top" wrapText="1"/>
      <protection locked="0"/>
    </xf>
    <xf numFmtId="1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30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9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3" xfId="0" applyNumberFormat="1" applyFont="1" applyFill="1" applyBorder="1" applyAlignment="1" applyProtection="1">
      <alignment horizontal="center" vertical="center"/>
      <protection locked="0"/>
    </xf>
    <xf numFmtId="1" fontId="6" fillId="0" borderId="19" xfId="0" applyNumberFormat="1" applyFont="1" applyFill="1" applyBorder="1" applyAlignment="1" applyProtection="1">
      <alignment horizontal="center" vertical="center"/>
      <protection locked="0"/>
    </xf>
    <xf numFmtId="0" fontId="13" fillId="0" borderId="1" xfId="1" applyFont="1" applyFill="1" applyBorder="1" applyAlignment="1" applyProtection="1">
      <alignment vertical="top"/>
      <protection locked="0"/>
    </xf>
    <xf numFmtId="9" fontId="7" fillId="0" borderId="3" xfId="1" applyNumberFormat="1" applyFont="1" applyFill="1" applyBorder="1" applyAlignment="1" applyProtection="1">
      <alignment horizontal="center" vertical="center" wrapText="1"/>
      <protection hidden="1"/>
    </xf>
    <xf numFmtId="9" fontId="7" fillId="0" borderId="35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0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519</xdr:row>
      <xdr:rowOff>7008</xdr:rowOff>
    </xdr:from>
    <xdr:to>
      <xdr:col>7</xdr:col>
      <xdr:colOff>99222</xdr:colOff>
      <xdr:row>537</xdr:row>
      <xdr:rowOff>6559</xdr:rowOff>
    </xdr:to>
    <xdr:pic>
      <xdr:nvPicPr>
        <xdr:cNvPr id="16" name="Picture 15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981" t="28522" r="15975" b="15545"/>
        <a:stretch/>
      </xdr:blipFill>
      <xdr:spPr>
        <a:xfrm>
          <a:off x="828675" y="90380208"/>
          <a:ext cx="5385597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9525</xdr:colOff>
      <xdr:row>500</xdr:row>
      <xdr:rowOff>0</xdr:rowOff>
    </xdr:from>
    <xdr:to>
      <xdr:col>7</xdr:col>
      <xdr:colOff>99222</xdr:colOff>
      <xdr:row>518</xdr:row>
      <xdr:rowOff>416</xdr:rowOff>
    </xdr:to>
    <xdr:pic>
      <xdr:nvPicPr>
        <xdr:cNvPr id="17" name="Picture 16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730" t="28074" r="16226" b="15098"/>
        <a:stretch/>
      </xdr:blipFill>
      <xdr:spPr>
        <a:xfrm>
          <a:off x="828675" y="86572725"/>
          <a:ext cx="5385597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0</xdr:colOff>
      <xdr:row>457</xdr:row>
      <xdr:rowOff>0</xdr:rowOff>
    </xdr:from>
    <xdr:to>
      <xdr:col>0</xdr:col>
      <xdr:colOff>304800</xdr:colOff>
      <xdr:row>458</xdr:row>
      <xdr:rowOff>104775</xdr:rowOff>
    </xdr:to>
    <xdr:sp macro="" textlink="">
      <xdr:nvSpPr>
        <xdr:cNvPr id="1025" name="AutoShape 1" descr="https://vsjcllp.vsjadon.com./upload/insp-124023-861.jpg"/>
        <xdr:cNvSpPr>
          <a:spLocks noChangeAspect="1" noChangeArrowheads="1"/>
        </xdr:cNvSpPr>
      </xdr:nvSpPr>
      <xdr:spPr bwMode="auto">
        <a:xfrm>
          <a:off x="0" y="80457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420</xdr:row>
      <xdr:rowOff>0</xdr:rowOff>
    </xdr:from>
    <xdr:to>
      <xdr:col>17</xdr:col>
      <xdr:colOff>211166</xdr:colOff>
      <xdr:row>429</xdr:row>
      <xdr:rowOff>10956</xdr:rowOff>
    </xdr:to>
    <xdr:pic>
      <xdr:nvPicPr>
        <xdr:cNvPr id="18" name="Picture 17" descr="https://vsjcllp.vsjadon.com/upload/insp-134406-1525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144000" y="75065283"/>
          <a:ext cx="2397775" cy="18000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218660</xdr:colOff>
      <xdr:row>457</xdr:row>
      <xdr:rowOff>127553</xdr:rowOff>
    </xdr:from>
    <xdr:ext cx="1423531" cy="311496"/>
    <xdr:sp macro="" textlink="">
      <xdr:nvSpPr>
        <xdr:cNvPr id="36" name="TextBox 35"/>
        <xdr:cNvSpPr txBox="1"/>
      </xdr:nvSpPr>
      <xdr:spPr>
        <a:xfrm>
          <a:off x="6737073" y="83665944"/>
          <a:ext cx="1423531" cy="3114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>
              <a:solidFill>
                <a:srgbClr val="C00000"/>
              </a:solidFill>
            </a:rPr>
            <a:t>Building C1 &amp; C2</a:t>
          </a:r>
        </a:p>
      </xdr:txBody>
    </xdr:sp>
    <xdr:clientData/>
  </xdr:oneCellAnchor>
  <xdr:oneCellAnchor>
    <xdr:from>
      <xdr:col>8</xdr:col>
      <xdr:colOff>207069</xdr:colOff>
      <xdr:row>459</xdr:row>
      <xdr:rowOff>126365</xdr:rowOff>
    </xdr:from>
    <xdr:ext cx="1448538" cy="311496"/>
    <xdr:sp macro="" textlink="">
      <xdr:nvSpPr>
        <xdr:cNvPr id="37" name="TextBox 36"/>
        <xdr:cNvSpPr txBox="1"/>
      </xdr:nvSpPr>
      <xdr:spPr>
        <a:xfrm>
          <a:off x="6725482" y="84054039"/>
          <a:ext cx="1448538" cy="3114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>
              <a:solidFill>
                <a:srgbClr val="C00000"/>
              </a:solidFill>
            </a:rPr>
            <a:t>Building D1 &amp; D2</a:t>
          </a:r>
        </a:p>
      </xdr:txBody>
    </xdr:sp>
    <xdr:clientData/>
  </xdr:oneCellAnchor>
  <xdr:oneCellAnchor>
    <xdr:from>
      <xdr:col>8</xdr:col>
      <xdr:colOff>220221</xdr:colOff>
      <xdr:row>461</xdr:row>
      <xdr:rowOff>118082</xdr:rowOff>
    </xdr:from>
    <xdr:ext cx="1448538" cy="311496"/>
    <xdr:sp macro="" textlink="">
      <xdr:nvSpPr>
        <xdr:cNvPr id="38" name="TextBox 37"/>
        <xdr:cNvSpPr txBox="1"/>
      </xdr:nvSpPr>
      <xdr:spPr>
        <a:xfrm>
          <a:off x="6738634" y="84443321"/>
          <a:ext cx="1448538" cy="3114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>
              <a:solidFill>
                <a:srgbClr val="C00000"/>
              </a:solidFill>
            </a:rPr>
            <a:t>Building D3 &amp; D4</a:t>
          </a:r>
        </a:p>
      </xdr:txBody>
    </xdr:sp>
    <xdr:clientData/>
  </xdr:oneCellAnchor>
  <xdr:oneCellAnchor>
    <xdr:from>
      <xdr:col>10</xdr:col>
      <xdr:colOff>409161</xdr:colOff>
      <xdr:row>468</xdr:row>
      <xdr:rowOff>152400</xdr:rowOff>
    </xdr:from>
    <xdr:ext cx="1423531" cy="311496"/>
    <xdr:sp macro="" textlink="">
      <xdr:nvSpPr>
        <xdr:cNvPr id="20" name="TextBox 19"/>
        <xdr:cNvSpPr txBox="1"/>
      </xdr:nvSpPr>
      <xdr:spPr>
        <a:xfrm>
          <a:off x="8849139" y="85869117"/>
          <a:ext cx="1423531" cy="3114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>
              <a:solidFill>
                <a:srgbClr val="C00000"/>
              </a:solidFill>
            </a:rPr>
            <a:t>Building B1 &amp; B2</a:t>
          </a:r>
        </a:p>
      </xdr:txBody>
    </xdr:sp>
    <xdr:clientData/>
  </xdr:oneCellAnchor>
  <xdr:oneCellAnchor>
    <xdr:from>
      <xdr:col>9</xdr:col>
      <xdr:colOff>544994</xdr:colOff>
      <xdr:row>457</xdr:row>
      <xdr:rowOff>106019</xdr:rowOff>
    </xdr:from>
    <xdr:ext cx="1423531" cy="311496"/>
    <xdr:sp macro="" textlink="">
      <xdr:nvSpPr>
        <xdr:cNvPr id="21" name="TextBox 20"/>
        <xdr:cNvSpPr txBox="1"/>
      </xdr:nvSpPr>
      <xdr:spPr>
        <a:xfrm>
          <a:off x="8222972" y="83644410"/>
          <a:ext cx="1423531" cy="3114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>
              <a:solidFill>
                <a:srgbClr val="C00000"/>
              </a:solidFill>
            </a:rPr>
            <a:t>Building C1 &amp; C2</a:t>
          </a:r>
        </a:p>
      </xdr:txBody>
    </xdr:sp>
    <xdr:clientData/>
  </xdr:oneCellAnchor>
  <xdr:oneCellAnchor>
    <xdr:from>
      <xdr:col>10</xdr:col>
      <xdr:colOff>342903</xdr:colOff>
      <xdr:row>470</xdr:row>
      <xdr:rowOff>13722</xdr:rowOff>
    </xdr:from>
    <xdr:ext cx="1448538" cy="311496"/>
    <xdr:sp macro="" textlink="">
      <xdr:nvSpPr>
        <xdr:cNvPr id="29" name="TextBox 28"/>
        <xdr:cNvSpPr txBox="1"/>
      </xdr:nvSpPr>
      <xdr:spPr>
        <a:xfrm>
          <a:off x="8782881" y="86128005"/>
          <a:ext cx="1448538" cy="3114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>
              <a:solidFill>
                <a:srgbClr val="C00000"/>
              </a:solidFill>
            </a:rPr>
            <a:t>Building D1 &amp; D2</a:t>
          </a:r>
        </a:p>
      </xdr:txBody>
    </xdr:sp>
    <xdr:clientData/>
  </xdr:oneCellAnchor>
  <xdr:oneCellAnchor>
    <xdr:from>
      <xdr:col>9</xdr:col>
      <xdr:colOff>587969</xdr:colOff>
      <xdr:row>464</xdr:row>
      <xdr:rowOff>71700</xdr:rowOff>
    </xdr:from>
    <xdr:ext cx="1448538" cy="311496"/>
    <xdr:sp macro="" textlink="">
      <xdr:nvSpPr>
        <xdr:cNvPr id="30" name="TextBox 29"/>
        <xdr:cNvSpPr txBox="1"/>
      </xdr:nvSpPr>
      <xdr:spPr>
        <a:xfrm>
          <a:off x="8265947" y="84993287"/>
          <a:ext cx="1448538" cy="3114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1">
              <a:solidFill>
                <a:srgbClr val="C00000"/>
              </a:solidFill>
            </a:rPr>
            <a:t>Building D3 &amp; D4</a:t>
          </a:r>
        </a:p>
      </xdr:txBody>
    </xdr:sp>
    <xdr:clientData/>
  </xdr:oneCellAnchor>
  <xdr:oneCellAnchor>
    <xdr:from>
      <xdr:col>8</xdr:col>
      <xdr:colOff>750431</xdr:colOff>
      <xdr:row>483</xdr:row>
      <xdr:rowOff>33055</xdr:rowOff>
    </xdr:from>
    <xdr:ext cx="1015534" cy="311496"/>
    <xdr:sp macro="" textlink="">
      <xdr:nvSpPr>
        <xdr:cNvPr id="40" name="TextBox 39"/>
        <xdr:cNvSpPr txBox="1"/>
      </xdr:nvSpPr>
      <xdr:spPr>
        <a:xfrm>
          <a:off x="7595731" y="93860655"/>
          <a:ext cx="1015534" cy="311496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Building D4</a:t>
          </a:r>
        </a:p>
      </xdr:txBody>
    </xdr:sp>
    <xdr:clientData/>
  </xdr:oneCellAnchor>
  <xdr:oneCellAnchor>
    <xdr:from>
      <xdr:col>9</xdr:col>
      <xdr:colOff>250909</xdr:colOff>
      <xdr:row>457</xdr:row>
      <xdr:rowOff>127000</xdr:rowOff>
    </xdr:from>
    <xdr:ext cx="1423531" cy="311496"/>
    <xdr:sp macro="" textlink="">
      <xdr:nvSpPr>
        <xdr:cNvPr id="53" name="TextBox 52"/>
        <xdr:cNvSpPr txBox="1"/>
      </xdr:nvSpPr>
      <xdr:spPr>
        <a:xfrm>
          <a:off x="7937584" y="90500200"/>
          <a:ext cx="1423531" cy="311496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Building B1 &amp; B2</a:t>
          </a:r>
        </a:p>
      </xdr:txBody>
    </xdr:sp>
    <xdr:clientData/>
  </xdr:oneCellAnchor>
  <xdr:oneCellAnchor>
    <xdr:from>
      <xdr:col>11</xdr:col>
      <xdr:colOff>476139</xdr:colOff>
      <xdr:row>457</xdr:row>
      <xdr:rowOff>127000</xdr:rowOff>
    </xdr:from>
    <xdr:ext cx="1000787" cy="311496"/>
    <xdr:sp macro="" textlink="">
      <xdr:nvSpPr>
        <xdr:cNvPr id="54" name="TextBox 53"/>
        <xdr:cNvSpPr txBox="1"/>
      </xdr:nvSpPr>
      <xdr:spPr>
        <a:xfrm>
          <a:off x="9629664" y="90500200"/>
          <a:ext cx="1000787" cy="311496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Building C1</a:t>
          </a:r>
        </a:p>
      </xdr:txBody>
    </xdr:sp>
    <xdr:clientData/>
  </xdr:oneCellAnchor>
  <xdr:twoCellAnchor editAs="oneCell">
    <xdr:from>
      <xdr:col>5</xdr:col>
      <xdr:colOff>485776</xdr:colOff>
      <xdr:row>486</xdr:row>
      <xdr:rowOff>161925</xdr:rowOff>
    </xdr:from>
    <xdr:to>
      <xdr:col>7</xdr:col>
      <xdr:colOff>393756</xdr:colOff>
      <xdr:row>496</xdr:row>
      <xdr:rowOff>123825</xdr:rowOff>
    </xdr:to>
    <xdr:pic>
      <xdr:nvPicPr>
        <xdr:cNvPr id="35" name="Picture 34" descr="https://vsjcllp.vsjadon.com/upload/insp-246613-1525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19626" y="102365175"/>
          <a:ext cx="1470080" cy="196215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295275</xdr:colOff>
      <xdr:row>456</xdr:row>
      <xdr:rowOff>47625</xdr:rowOff>
    </xdr:from>
    <xdr:to>
      <xdr:col>2</xdr:col>
      <xdr:colOff>590550</xdr:colOff>
      <xdr:row>468</xdr:row>
      <xdr:rowOff>135932</xdr:rowOff>
    </xdr:to>
    <xdr:pic>
      <xdr:nvPicPr>
        <xdr:cNvPr id="39" name="Picture 38" descr="https://vsjcllp.vsjadon.com/upload/insp-246613-843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5275" y="95720038"/>
          <a:ext cx="1860688" cy="2465416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361950</xdr:colOff>
      <xdr:row>486</xdr:row>
      <xdr:rowOff>160337</xdr:rowOff>
    </xdr:from>
    <xdr:to>
      <xdr:col>3</xdr:col>
      <xdr:colOff>566248</xdr:colOff>
      <xdr:row>496</xdr:row>
      <xdr:rowOff>122237</xdr:rowOff>
    </xdr:to>
    <xdr:pic>
      <xdr:nvPicPr>
        <xdr:cNvPr id="41" name="Picture 40" descr="https://vsjcllp.vsjadon.com/upload/insp-246613-845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1950" y="102363587"/>
          <a:ext cx="2614123" cy="196215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695325</xdr:colOff>
      <xdr:row>456</xdr:row>
      <xdr:rowOff>47625</xdr:rowOff>
    </xdr:from>
    <xdr:to>
      <xdr:col>4</xdr:col>
      <xdr:colOff>762000</xdr:colOff>
      <xdr:row>468</xdr:row>
      <xdr:rowOff>135932</xdr:rowOff>
    </xdr:to>
    <xdr:pic>
      <xdr:nvPicPr>
        <xdr:cNvPr id="42" name="Picture 41" descr="https://vsjcllp.vsjadon.com/upload/insp-246613-844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57425" y="96259650"/>
          <a:ext cx="1857375" cy="2479082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695325</xdr:colOff>
      <xdr:row>469</xdr:row>
      <xdr:rowOff>24321</xdr:rowOff>
    </xdr:from>
    <xdr:to>
      <xdr:col>5</xdr:col>
      <xdr:colOff>192684</xdr:colOff>
      <xdr:row>476</xdr:row>
      <xdr:rowOff>177211</xdr:rowOff>
    </xdr:to>
    <xdr:pic>
      <xdr:nvPicPr>
        <xdr:cNvPr id="44" name="Picture 43" descr="https://vsjcllp.vsjadon.com/upload/insp-246613-86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57425" y="98827146"/>
          <a:ext cx="2069109" cy="1553065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469</xdr:row>
      <xdr:rowOff>24321</xdr:rowOff>
    </xdr:from>
    <xdr:to>
      <xdr:col>2</xdr:col>
      <xdr:colOff>602259</xdr:colOff>
      <xdr:row>476</xdr:row>
      <xdr:rowOff>177211</xdr:rowOff>
    </xdr:to>
    <xdr:pic>
      <xdr:nvPicPr>
        <xdr:cNvPr id="45" name="Picture 44" descr="https://vsjcllp.vsjadon.com/upload/insp-246613-862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0" y="98827146"/>
          <a:ext cx="2069109" cy="1553065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477</xdr:row>
      <xdr:rowOff>78133</xdr:rowOff>
    </xdr:from>
    <xdr:to>
      <xdr:col>3</xdr:col>
      <xdr:colOff>85725</xdr:colOff>
      <xdr:row>486</xdr:row>
      <xdr:rowOff>101012</xdr:rowOff>
    </xdr:to>
    <xdr:pic>
      <xdr:nvPicPr>
        <xdr:cNvPr id="46" name="Picture 45" descr="https://vsjcllp.vsjadon.com/upload/insp-246613-871.jp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100481158"/>
          <a:ext cx="2428875" cy="1823104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66675</xdr:colOff>
      <xdr:row>456</xdr:row>
      <xdr:rowOff>47625</xdr:rowOff>
    </xdr:from>
    <xdr:to>
      <xdr:col>7</xdr:col>
      <xdr:colOff>361950</xdr:colOff>
      <xdr:row>468</xdr:row>
      <xdr:rowOff>135932</xdr:rowOff>
    </xdr:to>
    <xdr:pic>
      <xdr:nvPicPr>
        <xdr:cNvPr id="47" name="Picture 46" descr="https://vsjcllp.vsjadon.com/upload/insp-246613-874.jp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00525" y="96259650"/>
          <a:ext cx="1857375" cy="2479082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161926</xdr:colOff>
      <xdr:row>477</xdr:row>
      <xdr:rowOff>70196</xdr:rowOff>
    </xdr:from>
    <xdr:to>
      <xdr:col>4</xdr:col>
      <xdr:colOff>584855</xdr:colOff>
      <xdr:row>486</xdr:row>
      <xdr:rowOff>93075</xdr:rowOff>
    </xdr:to>
    <xdr:pic>
      <xdr:nvPicPr>
        <xdr:cNvPr id="48" name="Picture 47" descr="https://vsjcllp.vsjadon.com/upload/insp-246613-880.jp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71751" y="100473221"/>
          <a:ext cx="1365904" cy="1823104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657226</xdr:colOff>
      <xdr:row>486</xdr:row>
      <xdr:rowOff>171450</xdr:rowOff>
    </xdr:from>
    <xdr:to>
      <xdr:col>5</xdr:col>
      <xdr:colOff>409413</xdr:colOff>
      <xdr:row>496</xdr:row>
      <xdr:rowOff>133350</xdr:rowOff>
    </xdr:to>
    <xdr:pic>
      <xdr:nvPicPr>
        <xdr:cNvPr id="49" name="Picture 48" descr="https://vsjcllp.vsjadon.com/upload/insp-246613-883.jp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67051" y="102374700"/>
          <a:ext cx="1476212" cy="196215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666750</xdr:colOff>
      <xdr:row>477</xdr:row>
      <xdr:rowOff>68608</xdr:rowOff>
    </xdr:from>
    <xdr:to>
      <xdr:col>7</xdr:col>
      <xdr:colOff>752475</xdr:colOff>
      <xdr:row>486</xdr:row>
      <xdr:rowOff>91487</xdr:rowOff>
    </xdr:to>
    <xdr:pic>
      <xdr:nvPicPr>
        <xdr:cNvPr id="50" name="Picture 49" descr="https://vsjcllp.vsjadon.com/upload/insp-246613-931.jp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19550" y="100471633"/>
          <a:ext cx="2428875" cy="1823104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276225</xdr:colOff>
      <xdr:row>469</xdr:row>
      <xdr:rowOff>15426</xdr:rowOff>
    </xdr:from>
    <xdr:to>
      <xdr:col>7</xdr:col>
      <xdr:colOff>800100</xdr:colOff>
      <xdr:row>476</xdr:row>
      <xdr:rowOff>180975</xdr:rowOff>
    </xdr:to>
    <xdr:pic>
      <xdr:nvPicPr>
        <xdr:cNvPr id="51" name="Picture 50" descr="https://vsjcllp.vsjadon.com/upload/insp-246613-860.jpg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09247" y="98263730"/>
          <a:ext cx="2081005" cy="1557028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124653</xdr:colOff>
      <xdr:row>477</xdr:row>
      <xdr:rowOff>110159</xdr:rowOff>
    </xdr:from>
    <xdr:to>
      <xdr:col>0</xdr:col>
      <xdr:colOff>524874</xdr:colOff>
      <xdr:row>479</xdr:row>
      <xdr:rowOff>24979</xdr:rowOff>
    </xdr:to>
    <xdr:sp macro="" textlink="">
      <xdr:nvSpPr>
        <xdr:cNvPr id="55" name="TextBox 54"/>
        <xdr:cNvSpPr txBox="1"/>
      </xdr:nvSpPr>
      <xdr:spPr>
        <a:xfrm>
          <a:off x="124653" y="99948724"/>
          <a:ext cx="400221" cy="3123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400" b="1">
              <a:solidFill>
                <a:srgbClr val="FF0000"/>
              </a:solidFill>
            </a:rPr>
            <a:t>D2</a:t>
          </a:r>
        </a:p>
      </xdr:txBody>
    </xdr:sp>
    <xdr:clientData/>
  </xdr:twoCellAnchor>
  <xdr:twoCellAnchor>
    <xdr:from>
      <xdr:col>5</xdr:col>
      <xdr:colOff>293618</xdr:colOff>
      <xdr:row>469</xdr:row>
      <xdr:rowOff>30646</xdr:rowOff>
    </xdr:from>
    <xdr:to>
      <xdr:col>5</xdr:col>
      <xdr:colOff>693839</xdr:colOff>
      <xdr:row>470</xdr:row>
      <xdr:rowOff>144248</xdr:rowOff>
    </xdr:to>
    <xdr:sp macro="" textlink="">
      <xdr:nvSpPr>
        <xdr:cNvPr id="56" name="TextBox 55"/>
        <xdr:cNvSpPr txBox="1"/>
      </xdr:nvSpPr>
      <xdr:spPr>
        <a:xfrm>
          <a:off x="4426640" y="98278950"/>
          <a:ext cx="400221" cy="3123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400" b="1">
              <a:solidFill>
                <a:srgbClr val="FF0000"/>
              </a:solidFill>
            </a:rPr>
            <a:t>D1</a:t>
          </a:r>
        </a:p>
      </xdr:txBody>
    </xdr:sp>
    <xdr:clientData/>
  </xdr:twoCellAnchor>
  <xdr:twoCellAnchor>
    <xdr:from>
      <xdr:col>3</xdr:col>
      <xdr:colOff>752475</xdr:colOff>
      <xdr:row>469</xdr:row>
      <xdr:rowOff>33959</xdr:rowOff>
    </xdr:from>
    <xdr:to>
      <xdr:col>4</xdr:col>
      <xdr:colOff>208478</xdr:colOff>
      <xdr:row>470</xdr:row>
      <xdr:rowOff>147561</xdr:rowOff>
    </xdr:to>
    <xdr:sp macro="" textlink="">
      <xdr:nvSpPr>
        <xdr:cNvPr id="57" name="TextBox 56"/>
        <xdr:cNvSpPr txBox="1"/>
      </xdr:nvSpPr>
      <xdr:spPr>
        <a:xfrm>
          <a:off x="3162714" y="98282263"/>
          <a:ext cx="400221" cy="3123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400" b="1">
              <a:solidFill>
                <a:srgbClr val="FF0000"/>
              </a:solidFill>
            </a:rPr>
            <a:t>C2</a:t>
          </a:r>
        </a:p>
      </xdr:txBody>
    </xdr:sp>
    <xdr:clientData/>
  </xdr:twoCellAnchor>
  <xdr:twoCellAnchor>
    <xdr:from>
      <xdr:col>2</xdr:col>
      <xdr:colOff>43484</xdr:colOff>
      <xdr:row>469</xdr:row>
      <xdr:rowOff>28990</xdr:rowOff>
    </xdr:from>
    <xdr:to>
      <xdr:col>2</xdr:col>
      <xdr:colOff>443705</xdr:colOff>
      <xdr:row>470</xdr:row>
      <xdr:rowOff>142592</xdr:rowOff>
    </xdr:to>
    <xdr:sp macro="" textlink="">
      <xdr:nvSpPr>
        <xdr:cNvPr id="58" name="TextBox 57"/>
        <xdr:cNvSpPr txBox="1"/>
      </xdr:nvSpPr>
      <xdr:spPr>
        <a:xfrm>
          <a:off x="1608897" y="98277294"/>
          <a:ext cx="400221" cy="3123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400" b="1">
              <a:solidFill>
                <a:srgbClr val="FF0000"/>
              </a:solidFill>
            </a:rPr>
            <a:t>C1</a:t>
          </a:r>
        </a:p>
      </xdr:txBody>
    </xdr:sp>
    <xdr:clientData/>
  </xdr:twoCellAnchor>
  <xdr:twoCellAnchor>
    <xdr:from>
      <xdr:col>5</xdr:col>
      <xdr:colOff>79927</xdr:colOff>
      <xdr:row>456</xdr:row>
      <xdr:rowOff>65433</xdr:rowOff>
    </xdr:from>
    <xdr:to>
      <xdr:col>5</xdr:col>
      <xdr:colOff>480148</xdr:colOff>
      <xdr:row>457</xdr:row>
      <xdr:rowOff>179035</xdr:rowOff>
    </xdr:to>
    <xdr:sp macro="" textlink="">
      <xdr:nvSpPr>
        <xdr:cNvPr id="59" name="TextBox 58"/>
        <xdr:cNvSpPr txBox="1"/>
      </xdr:nvSpPr>
      <xdr:spPr>
        <a:xfrm>
          <a:off x="4212949" y="95737846"/>
          <a:ext cx="400221" cy="3123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400" b="1">
              <a:solidFill>
                <a:srgbClr val="FF0000"/>
              </a:solidFill>
            </a:rPr>
            <a:t>D3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181155</xdr:rowOff>
    </xdr:from>
    <xdr:to>
      <xdr:col>2</xdr:col>
      <xdr:colOff>2367571</xdr:colOff>
      <xdr:row>38</xdr:row>
      <xdr:rowOff>55155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9783" y="5142438"/>
          <a:ext cx="3841875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51754</xdr:colOff>
      <xdr:row>26</xdr:row>
      <xdr:rowOff>181155</xdr:rowOff>
    </xdr:from>
    <xdr:to>
      <xdr:col>7</xdr:col>
      <xdr:colOff>100194</xdr:colOff>
      <xdr:row>38</xdr:row>
      <xdr:rowOff>55155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4058" y="5142438"/>
          <a:ext cx="3841875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2367571</xdr:colOff>
      <xdr:row>25</xdr:row>
      <xdr:rowOff>64500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9783" y="2675283"/>
          <a:ext cx="3841875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51754</xdr:colOff>
      <xdr:row>14</xdr:row>
      <xdr:rowOff>0</xdr:rowOff>
    </xdr:from>
    <xdr:to>
      <xdr:col>7</xdr:col>
      <xdr:colOff>100194</xdr:colOff>
      <xdr:row>25</xdr:row>
      <xdr:rowOff>64500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4058" y="2675283"/>
          <a:ext cx="3841875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0</xdr:rowOff>
        </xdr:from>
        <xdr:to>
          <xdr:col>5</xdr:col>
          <xdr:colOff>304800</xdr:colOff>
          <xdr:row>4</xdr:row>
          <xdr:rowOff>9525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zgZdfY3zk2rsaXhr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image" Target="../media/image2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499"/>
  <sheetViews>
    <sheetView tabSelected="1" view="pageBreakPreview" zoomScale="115" zoomScaleNormal="100" zoomScaleSheetLayoutView="115" zoomScalePageLayoutView="85" workbookViewId="0">
      <selection activeCell="I13" sqref="I13"/>
    </sheetView>
  </sheetViews>
  <sheetFormatPr defaultColWidth="9.140625" defaultRowHeight="15.75" x14ac:dyDescent="0.25"/>
  <cols>
    <col min="1" max="1" width="11.42578125" style="60" customWidth="1"/>
    <col min="2" max="2" width="12" style="60" customWidth="1"/>
    <col min="3" max="3" width="12.7109375" style="60" customWidth="1"/>
    <col min="4" max="4" width="14.140625" style="60" customWidth="1"/>
    <col min="5" max="7" width="11.7109375" style="60" customWidth="1"/>
    <col min="8" max="8" width="12.42578125" style="60" customWidth="1"/>
    <col min="9" max="9" width="17.42578125" style="32" customWidth="1"/>
    <col min="10" max="10" width="11.42578125" style="32" customWidth="1"/>
    <col min="11" max="11" width="10.5703125" style="32" bestFit="1" customWidth="1"/>
    <col min="12" max="12" width="11.85546875" style="32" bestFit="1" customWidth="1"/>
    <col min="13" max="13" width="11.85546875" style="32" customWidth="1"/>
    <col min="14" max="14" width="12.5703125" style="32" hidden="1" customWidth="1"/>
    <col min="15" max="15" width="9.85546875" style="32" hidden="1" customWidth="1"/>
    <col min="16" max="16" width="10.42578125" style="32" hidden="1" customWidth="1"/>
    <col min="17" max="247" width="9.140625" style="32"/>
    <col min="248" max="248" width="8.7109375" style="32" customWidth="1"/>
    <col min="249" max="249" width="9.85546875" style="32" customWidth="1"/>
    <col min="250" max="250" width="14.42578125" style="32" customWidth="1"/>
    <col min="251" max="251" width="7.28515625" style="32" customWidth="1"/>
    <col min="252" max="252" width="5.5703125" style="32" customWidth="1"/>
    <col min="253" max="253" width="9" style="32" customWidth="1"/>
    <col min="254" max="255" width="9.85546875" style="32" customWidth="1"/>
    <col min="256" max="256" width="11.140625" style="32" customWidth="1"/>
    <col min="257" max="257" width="2.85546875" style="32" customWidth="1"/>
    <col min="258" max="258" width="3.5703125" style="32" customWidth="1"/>
    <col min="259" max="503" width="9.140625" style="32"/>
    <col min="504" max="504" width="8.7109375" style="32" customWidth="1"/>
    <col min="505" max="505" width="9.85546875" style="32" customWidth="1"/>
    <col min="506" max="506" width="14.42578125" style="32" customWidth="1"/>
    <col min="507" max="507" width="7.28515625" style="32" customWidth="1"/>
    <col min="508" max="508" width="5.5703125" style="32" customWidth="1"/>
    <col min="509" max="509" width="9" style="32" customWidth="1"/>
    <col min="510" max="511" width="9.85546875" style="32" customWidth="1"/>
    <col min="512" max="512" width="11.140625" style="32" customWidth="1"/>
    <col min="513" max="513" width="2.85546875" style="32" customWidth="1"/>
    <col min="514" max="514" width="3.5703125" style="32" customWidth="1"/>
    <col min="515" max="759" width="9.140625" style="32"/>
    <col min="760" max="760" width="8.7109375" style="32" customWidth="1"/>
    <col min="761" max="761" width="9.85546875" style="32" customWidth="1"/>
    <col min="762" max="762" width="14.42578125" style="32" customWidth="1"/>
    <col min="763" max="763" width="7.28515625" style="32" customWidth="1"/>
    <col min="764" max="764" width="5.5703125" style="32" customWidth="1"/>
    <col min="765" max="765" width="9" style="32" customWidth="1"/>
    <col min="766" max="767" width="9.85546875" style="32" customWidth="1"/>
    <col min="768" max="768" width="11.140625" style="32" customWidth="1"/>
    <col min="769" max="769" width="2.85546875" style="32" customWidth="1"/>
    <col min="770" max="770" width="3.5703125" style="32" customWidth="1"/>
    <col min="771" max="1015" width="9.140625" style="32"/>
    <col min="1016" max="1016" width="8.7109375" style="32" customWidth="1"/>
    <col min="1017" max="1017" width="9.85546875" style="32" customWidth="1"/>
    <col min="1018" max="1018" width="14.42578125" style="32" customWidth="1"/>
    <col min="1019" max="1019" width="7.28515625" style="32" customWidth="1"/>
    <col min="1020" max="1020" width="5.5703125" style="32" customWidth="1"/>
    <col min="1021" max="1021" width="9" style="32" customWidth="1"/>
    <col min="1022" max="1023" width="9.85546875" style="32" customWidth="1"/>
    <col min="1024" max="1024" width="11.140625" style="32" customWidth="1"/>
    <col min="1025" max="1025" width="2.85546875" style="32" customWidth="1"/>
    <col min="1026" max="1026" width="3.5703125" style="32" customWidth="1"/>
    <col min="1027" max="1271" width="9.140625" style="32"/>
    <col min="1272" max="1272" width="8.7109375" style="32" customWidth="1"/>
    <col min="1273" max="1273" width="9.85546875" style="32" customWidth="1"/>
    <col min="1274" max="1274" width="14.42578125" style="32" customWidth="1"/>
    <col min="1275" max="1275" width="7.28515625" style="32" customWidth="1"/>
    <col min="1276" max="1276" width="5.5703125" style="32" customWidth="1"/>
    <col min="1277" max="1277" width="9" style="32" customWidth="1"/>
    <col min="1278" max="1279" width="9.85546875" style="32" customWidth="1"/>
    <col min="1280" max="1280" width="11.140625" style="32" customWidth="1"/>
    <col min="1281" max="1281" width="2.85546875" style="32" customWidth="1"/>
    <col min="1282" max="1282" width="3.5703125" style="32" customWidth="1"/>
    <col min="1283" max="1527" width="9.140625" style="32"/>
    <col min="1528" max="1528" width="8.7109375" style="32" customWidth="1"/>
    <col min="1529" max="1529" width="9.85546875" style="32" customWidth="1"/>
    <col min="1530" max="1530" width="14.42578125" style="32" customWidth="1"/>
    <col min="1531" max="1531" width="7.28515625" style="32" customWidth="1"/>
    <col min="1532" max="1532" width="5.5703125" style="32" customWidth="1"/>
    <col min="1533" max="1533" width="9" style="32" customWidth="1"/>
    <col min="1534" max="1535" width="9.85546875" style="32" customWidth="1"/>
    <col min="1536" max="1536" width="11.140625" style="32" customWidth="1"/>
    <col min="1537" max="1537" width="2.85546875" style="32" customWidth="1"/>
    <col min="1538" max="1538" width="3.5703125" style="32" customWidth="1"/>
    <col min="1539" max="1783" width="9.140625" style="32"/>
    <col min="1784" max="1784" width="8.7109375" style="32" customWidth="1"/>
    <col min="1785" max="1785" width="9.85546875" style="32" customWidth="1"/>
    <col min="1786" max="1786" width="14.42578125" style="32" customWidth="1"/>
    <col min="1787" max="1787" width="7.28515625" style="32" customWidth="1"/>
    <col min="1788" max="1788" width="5.5703125" style="32" customWidth="1"/>
    <col min="1789" max="1789" width="9" style="32" customWidth="1"/>
    <col min="1790" max="1791" width="9.85546875" style="32" customWidth="1"/>
    <col min="1792" max="1792" width="11.140625" style="32" customWidth="1"/>
    <col min="1793" max="1793" width="2.85546875" style="32" customWidth="1"/>
    <col min="1794" max="1794" width="3.5703125" style="32" customWidth="1"/>
    <col min="1795" max="2039" width="9.140625" style="32"/>
    <col min="2040" max="2040" width="8.7109375" style="32" customWidth="1"/>
    <col min="2041" max="2041" width="9.85546875" style="32" customWidth="1"/>
    <col min="2042" max="2042" width="14.42578125" style="32" customWidth="1"/>
    <col min="2043" max="2043" width="7.28515625" style="32" customWidth="1"/>
    <col min="2044" max="2044" width="5.5703125" style="32" customWidth="1"/>
    <col min="2045" max="2045" width="9" style="32" customWidth="1"/>
    <col min="2046" max="2047" width="9.85546875" style="32" customWidth="1"/>
    <col min="2048" max="2048" width="11.140625" style="32" customWidth="1"/>
    <col min="2049" max="2049" width="2.85546875" style="32" customWidth="1"/>
    <col min="2050" max="2050" width="3.5703125" style="32" customWidth="1"/>
    <col min="2051" max="2295" width="9.140625" style="32"/>
    <col min="2296" max="2296" width="8.7109375" style="32" customWidth="1"/>
    <col min="2297" max="2297" width="9.85546875" style="32" customWidth="1"/>
    <col min="2298" max="2298" width="14.42578125" style="32" customWidth="1"/>
    <col min="2299" max="2299" width="7.28515625" style="32" customWidth="1"/>
    <col min="2300" max="2300" width="5.5703125" style="32" customWidth="1"/>
    <col min="2301" max="2301" width="9" style="32" customWidth="1"/>
    <col min="2302" max="2303" width="9.85546875" style="32" customWidth="1"/>
    <col min="2304" max="2304" width="11.140625" style="32" customWidth="1"/>
    <col min="2305" max="2305" width="2.85546875" style="32" customWidth="1"/>
    <col min="2306" max="2306" width="3.5703125" style="32" customWidth="1"/>
    <col min="2307" max="2551" width="9.140625" style="32"/>
    <col min="2552" max="2552" width="8.7109375" style="32" customWidth="1"/>
    <col min="2553" max="2553" width="9.85546875" style="32" customWidth="1"/>
    <col min="2554" max="2554" width="14.42578125" style="32" customWidth="1"/>
    <col min="2555" max="2555" width="7.28515625" style="32" customWidth="1"/>
    <col min="2556" max="2556" width="5.5703125" style="32" customWidth="1"/>
    <col min="2557" max="2557" width="9" style="32" customWidth="1"/>
    <col min="2558" max="2559" width="9.85546875" style="32" customWidth="1"/>
    <col min="2560" max="2560" width="11.140625" style="32" customWidth="1"/>
    <col min="2561" max="2561" width="2.85546875" style="32" customWidth="1"/>
    <col min="2562" max="2562" width="3.5703125" style="32" customWidth="1"/>
    <col min="2563" max="2807" width="9.140625" style="32"/>
    <col min="2808" max="2808" width="8.7109375" style="32" customWidth="1"/>
    <col min="2809" max="2809" width="9.85546875" style="32" customWidth="1"/>
    <col min="2810" max="2810" width="14.42578125" style="32" customWidth="1"/>
    <col min="2811" max="2811" width="7.28515625" style="32" customWidth="1"/>
    <col min="2812" max="2812" width="5.5703125" style="32" customWidth="1"/>
    <col min="2813" max="2813" width="9" style="32" customWidth="1"/>
    <col min="2814" max="2815" width="9.85546875" style="32" customWidth="1"/>
    <col min="2816" max="2816" width="11.140625" style="32" customWidth="1"/>
    <col min="2817" max="2817" width="2.85546875" style="32" customWidth="1"/>
    <col min="2818" max="2818" width="3.5703125" style="32" customWidth="1"/>
    <col min="2819" max="3063" width="9.140625" style="32"/>
    <col min="3064" max="3064" width="8.7109375" style="32" customWidth="1"/>
    <col min="3065" max="3065" width="9.85546875" style="32" customWidth="1"/>
    <col min="3066" max="3066" width="14.42578125" style="32" customWidth="1"/>
    <col min="3067" max="3067" width="7.28515625" style="32" customWidth="1"/>
    <col min="3068" max="3068" width="5.5703125" style="32" customWidth="1"/>
    <col min="3069" max="3069" width="9" style="32" customWidth="1"/>
    <col min="3070" max="3071" width="9.85546875" style="32" customWidth="1"/>
    <col min="3072" max="3072" width="11.140625" style="32" customWidth="1"/>
    <col min="3073" max="3073" width="2.85546875" style="32" customWidth="1"/>
    <col min="3074" max="3074" width="3.5703125" style="32" customWidth="1"/>
    <col min="3075" max="3319" width="9.140625" style="32"/>
    <col min="3320" max="3320" width="8.7109375" style="32" customWidth="1"/>
    <col min="3321" max="3321" width="9.85546875" style="32" customWidth="1"/>
    <col min="3322" max="3322" width="14.42578125" style="32" customWidth="1"/>
    <col min="3323" max="3323" width="7.28515625" style="32" customWidth="1"/>
    <col min="3324" max="3324" width="5.5703125" style="32" customWidth="1"/>
    <col min="3325" max="3325" width="9" style="32" customWidth="1"/>
    <col min="3326" max="3327" width="9.85546875" style="32" customWidth="1"/>
    <col min="3328" max="3328" width="11.140625" style="32" customWidth="1"/>
    <col min="3329" max="3329" width="2.85546875" style="32" customWidth="1"/>
    <col min="3330" max="3330" width="3.5703125" style="32" customWidth="1"/>
    <col min="3331" max="3575" width="9.140625" style="32"/>
    <col min="3576" max="3576" width="8.7109375" style="32" customWidth="1"/>
    <col min="3577" max="3577" width="9.85546875" style="32" customWidth="1"/>
    <col min="3578" max="3578" width="14.42578125" style="32" customWidth="1"/>
    <col min="3579" max="3579" width="7.28515625" style="32" customWidth="1"/>
    <col min="3580" max="3580" width="5.5703125" style="32" customWidth="1"/>
    <col min="3581" max="3581" width="9" style="32" customWidth="1"/>
    <col min="3582" max="3583" width="9.85546875" style="32" customWidth="1"/>
    <col min="3584" max="3584" width="11.140625" style="32" customWidth="1"/>
    <col min="3585" max="3585" width="2.85546875" style="32" customWidth="1"/>
    <col min="3586" max="3586" width="3.5703125" style="32" customWidth="1"/>
    <col min="3587" max="3831" width="9.140625" style="32"/>
    <col min="3832" max="3832" width="8.7109375" style="32" customWidth="1"/>
    <col min="3833" max="3833" width="9.85546875" style="32" customWidth="1"/>
    <col min="3834" max="3834" width="14.42578125" style="32" customWidth="1"/>
    <col min="3835" max="3835" width="7.28515625" style="32" customWidth="1"/>
    <col min="3836" max="3836" width="5.5703125" style="32" customWidth="1"/>
    <col min="3837" max="3837" width="9" style="32" customWidth="1"/>
    <col min="3838" max="3839" width="9.85546875" style="32" customWidth="1"/>
    <col min="3840" max="3840" width="11.140625" style="32" customWidth="1"/>
    <col min="3841" max="3841" width="2.85546875" style="32" customWidth="1"/>
    <col min="3842" max="3842" width="3.5703125" style="32" customWidth="1"/>
    <col min="3843" max="4087" width="9.140625" style="32"/>
    <col min="4088" max="4088" width="8.7109375" style="32" customWidth="1"/>
    <col min="4089" max="4089" width="9.85546875" style="32" customWidth="1"/>
    <col min="4090" max="4090" width="14.42578125" style="32" customWidth="1"/>
    <col min="4091" max="4091" width="7.28515625" style="32" customWidth="1"/>
    <col min="4092" max="4092" width="5.5703125" style="32" customWidth="1"/>
    <col min="4093" max="4093" width="9" style="32" customWidth="1"/>
    <col min="4094" max="4095" width="9.85546875" style="32" customWidth="1"/>
    <col min="4096" max="4096" width="11.140625" style="32" customWidth="1"/>
    <col min="4097" max="4097" width="2.85546875" style="32" customWidth="1"/>
    <col min="4098" max="4098" width="3.5703125" style="32" customWidth="1"/>
    <col min="4099" max="4343" width="9.140625" style="32"/>
    <col min="4344" max="4344" width="8.7109375" style="32" customWidth="1"/>
    <col min="4345" max="4345" width="9.85546875" style="32" customWidth="1"/>
    <col min="4346" max="4346" width="14.42578125" style="32" customWidth="1"/>
    <col min="4347" max="4347" width="7.28515625" style="32" customWidth="1"/>
    <col min="4348" max="4348" width="5.5703125" style="32" customWidth="1"/>
    <col min="4349" max="4349" width="9" style="32" customWidth="1"/>
    <col min="4350" max="4351" width="9.85546875" style="32" customWidth="1"/>
    <col min="4352" max="4352" width="11.140625" style="32" customWidth="1"/>
    <col min="4353" max="4353" width="2.85546875" style="32" customWidth="1"/>
    <col min="4354" max="4354" width="3.5703125" style="32" customWidth="1"/>
    <col min="4355" max="4599" width="9.140625" style="32"/>
    <col min="4600" max="4600" width="8.7109375" style="32" customWidth="1"/>
    <col min="4601" max="4601" width="9.85546875" style="32" customWidth="1"/>
    <col min="4602" max="4602" width="14.42578125" style="32" customWidth="1"/>
    <col min="4603" max="4603" width="7.28515625" style="32" customWidth="1"/>
    <col min="4604" max="4604" width="5.5703125" style="32" customWidth="1"/>
    <col min="4605" max="4605" width="9" style="32" customWidth="1"/>
    <col min="4606" max="4607" width="9.85546875" style="32" customWidth="1"/>
    <col min="4608" max="4608" width="11.140625" style="32" customWidth="1"/>
    <col min="4609" max="4609" width="2.85546875" style="32" customWidth="1"/>
    <col min="4610" max="4610" width="3.5703125" style="32" customWidth="1"/>
    <col min="4611" max="4855" width="9.140625" style="32"/>
    <col min="4856" max="4856" width="8.7109375" style="32" customWidth="1"/>
    <col min="4857" max="4857" width="9.85546875" style="32" customWidth="1"/>
    <col min="4858" max="4858" width="14.42578125" style="32" customWidth="1"/>
    <col min="4859" max="4859" width="7.28515625" style="32" customWidth="1"/>
    <col min="4860" max="4860" width="5.5703125" style="32" customWidth="1"/>
    <col min="4861" max="4861" width="9" style="32" customWidth="1"/>
    <col min="4862" max="4863" width="9.85546875" style="32" customWidth="1"/>
    <col min="4864" max="4864" width="11.140625" style="32" customWidth="1"/>
    <col min="4865" max="4865" width="2.85546875" style="32" customWidth="1"/>
    <col min="4866" max="4866" width="3.5703125" style="32" customWidth="1"/>
    <col min="4867" max="5111" width="9.140625" style="32"/>
    <col min="5112" max="5112" width="8.7109375" style="32" customWidth="1"/>
    <col min="5113" max="5113" width="9.85546875" style="32" customWidth="1"/>
    <col min="5114" max="5114" width="14.42578125" style="32" customWidth="1"/>
    <col min="5115" max="5115" width="7.28515625" style="32" customWidth="1"/>
    <col min="5116" max="5116" width="5.5703125" style="32" customWidth="1"/>
    <col min="5117" max="5117" width="9" style="32" customWidth="1"/>
    <col min="5118" max="5119" width="9.85546875" style="32" customWidth="1"/>
    <col min="5120" max="5120" width="11.140625" style="32" customWidth="1"/>
    <col min="5121" max="5121" width="2.85546875" style="32" customWidth="1"/>
    <col min="5122" max="5122" width="3.5703125" style="32" customWidth="1"/>
    <col min="5123" max="5367" width="9.140625" style="32"/>
    <col min="5368" max="5368" width="8.7109375" style="32" customWidth="1"/>
    <col min="5369" max="5369" width="9.85546875" style="32" customWidth="1"/>
    <col min="5370" max="5370" width="14.42578125" style="32" customWidth="1"/>
    <col min="5371" max="5371" width="7.28515625" style="32" customWidth="1"/>
    <col min="5372" max="5372" width="5.5703125" style="32" customWidth="1"/>
    <col min="5373" max="5373" width="9" style="32" customWidth="1"/>
    <col min="5374" max="5375" width="9.85546875" style="32" customWidth="1"/>
    <col min="5376" max="5376" width="11.140625" style="32" customWidth="1"/>
    <col min="5377" max="5377" width="2.85546875" style="32" customWidth="1"/>
    <col min="5378" max="5378" width="3.5703125" style="32" customWidth="1"/>
    <col min="5379" max="5623" width="9.140625" style="32"/>
    <col min="5624" max="5624" width="8.7109375" style="32" customWidth="1"/>
    <col min="5625" max="5625" width="9.85546875" style="32" customWidth="1"/>
    <col min="5626" max="5626" width="14.42578125" style="32" customWidth="1"/>
    <col min="5627" max="5627" width="7.28515625" style="32" customWidth="1"/>
    <col min="5628" max="5628" width="5.5703125" style="32" customWidth="1"/>
    <col min="5629" max="5629" width="9" style="32" customWidth="1"/>
    <col min="5630" max="5631" width="9.85546875" style="32" customWidth="1"/>
    <col min="5632" max="5632" width="11.140625" style="32" customWidth="1"/>
    <col min="5633" max="5633" width="2.85546875" style="32" customWidth="1"/>
    <col min="5634" max="5634" width="3.5703125" style="32" customWidth="1"/>
    <col min="5635" max="5879" width="9.140625" style="32"/>
    <col min="5880" max="5880" width="8.7109375" style="32" customWidth="1"/>
    <col min="5881" max="5881" width="9.85546875" style="32" customWidth="1"/>
    <col min="5882" max="5882" width="14.42578125" style="32" customWidth="1"/>
    <col min="5883" max="5883" width="7.28515625" style="32" customWidth="1"/>
    <col min="5884" max="5884" width="5.5703125" style="32" customWidth="1"/>
    <col min="5885" max="5885" width="9" style="32" customWidth="1"/>
    <col min="5886" max="5887" width="9.85546875" style="32" customWidth="1"/>
    <col min="5888" max="5888" width="11.140625" style="32" customWidth="1"/>
    <col min="5889" max="5889" width="2.85546875" style="32" customWidth="1"/>
    <col min="5890" max="5890" width="3.5703125" style="32" customWidth="1"/>
    <col min="5891" max="6135" width="9.140625" style="32"/>
    <col min="6136" max="6136" width="8.7109375" style="32" customWidth="1"/>
    <col min="6137" max="6137" width="9.85546875" style="32" customWidth="1"/>
    <col min="6138" max="6138" width="14.42578125" style="32" customWidth="1"/>
    <col min="6139" max="6139" width="7.28515625" style="32" customWidth="1"/>
    <col min="6140" max="6140" width="5.5703125" style="32" customWidth="1"/>
    <col min="6141" max="6141" width="9" style="32" customWidth="1"/>
    <col min="6142" max="6143" width="9.85546875" style="32" customWidth="1"/>
    <col min="6144" max="6144" width="11.140625" style="32" customWidth="1"/>
    <col min="6145" max="6145" width="2.85546875" style="32" customWidth="1"/>
    <col min="6146" max="6146" width="3.5703125" style="32" customWidth="1"/>
    <col min="6147" max="6391" width="9.140625" style="32"/>
    <col min="6392" max="6392" width="8.7109375" style="32" customWidth="1"/>
    <col min="6393" max="6393" width="9.85546875" style="32" customWidth="1"/>
    <col min="6394" max="6394" width="14.42578125" style="32" customWidth="1"/>
    <col min="6395" max="6395" width="7.28515625" style="32" customWidth="1"/>
    <col min="6396" max="6396" width="5.5703125" style="32" customWidth="1"/>
    <col min="6397" max="6397" width="9" style="32" customWidth="1"/>
    <col min="6398" max="6399" width="9.85546875" style="32" customWidth="1"/>
    <col min="6400" max="6400" width="11.140625" style="32" customWidth="1"/>
    <col min="6401" max="6401" width="2.85546875" style="32" customWidth="1"/>
    <col min="6402" max="6402" width="3.5703125" style="32" customWidth="1"/>
    <col min="6403" max="6647" width="9.140625" style="32"/>
    <col min="6648" max="6648" width="8.7109375" style="32" customWidth="1"/>
    <col min="6649" max="6649" width="9.85546875" style="32" customWidth="1"/>
    <col min="6650" max="6650" width="14.42578125" style="32" customWidth="1"/>
    <col min="6651" max="6651" width="7.28515625" style="32" customWidth="1"/>
    <col min="6652" max="6652" width="5.5703125" style="32" customWidth="1"/>
    <col min="6653" max="6653" width="9" style="32" customWidth="1"/>
    <col min="6654" max="6655" width="9.85546875" style="32" customWidth="1"/>
    <col min="6656" max="6656" width="11.140625" style="32" customWidth="1"/>
    <col min="6657" max="6657" width="2.85546875" style="32" customWidth="1"/>
    <col min="6658" max="6658" width="3.5703125" style="32" customWidth="1"/>
    <col min="6659" max="6903" width="9.140625" style="32"/>
    <col min="6904" max="6904" width="8.7109375" style="32" customWidth="1"/>
    <col min="6905" max="6905" width="9.85546875" style="32" customWidth="1"/>
    <col min="6906" max="6906" width="14.42578125" style="32" customWidth="1"/>
    <col min="6907" max="6907" width="7.28515625" style="32" customWidth="1"/>
    <col min="6908" max="6908" width="5.5703125" style="32" customWidth="1"/>
    <col min="6909" max="6909" width="9" style="32" customWidth="1"/>
    <col min="6910" max="6911" width="9.85546875" style="32" customWidth="1"/>
    <col min="6912" max="6912" width="11.140625" style="32" customWidth="1"/>
    <col min="6913" max="6913" width="2.85546875" style="32" customWidth="1"/>
    <col min="6914" max="6914" width="3.5703125" style="32" customWidth="1"/>
    <col min="6915" max="7159" width="9.140625" style="32"/>
    <col min="7160" max="7160" width="8.7109375" style="32" customWidth="1"/>
    <col min="7161" max="7161" width="9.85546875" style="32" customWidth="1"/>
    <col min="7162" max="7162" width="14.42578125" style="32" customWidth="1"/>
    <col min="7163" max="7163" width="7.28515625" style="32" customWidth="1"/>
    <col min="7164" max="7164" width="5.5703125" style="32" customWidth="1"/>
    <col min="7165" max="7165" width="9" style="32" customWidth="1"/>
    <col min="7166" max="7167" width="9.85546875" style="32" customWidth="1"/>
    <col min="7168" max="7168" width="11.140625" style="32" customWidth="1"/>
    <col min="7169" max="7169" width="2.85546875" style="32" customWidth="1"/>
    <col min="7170" max="7170" width="3.5703125" style="32" customWidth="1"/>
    <col min="7171" max="7415" width="9.140625" style="32"/>
    <col min="7416" max="7416" width="8.7109375" style="32" customWidth="1"/>
    <col min="7417" max="7417" width="9.85546875" style="32" customWidth="1"/>
    <col min="7418" max="7418" width="14.42578125" style="32" customWidth="1"/>
    <col min="7419" max="7419" width="7.28515625" style="32" customWidth="1"/>
    <col min="7420" max="7420" width="5.5703125" style="32" customWidth="1"/>
    <col min="7421" max="7421" width="9" style="32" customWidth="1"/>
    <col min="7422" max="7423" width="9.85546875" style="32" customWidth="1"/>
    <col min="7424" max="7424" width="11.140625" style="32" customWidth="1"/>
    <col min="7425" max="7425" width="2.85546875" style="32" customWidth="1"/>
    <col min="7426" max="7426" width="3.5703125" style="32" customWidth="1"/>
    <col min="7427" max="7671" width="9.140625" style="32"/>
    <col min="7672" max="7672" width="8.7109375" style="32" customWidth="1"/>
    <col min="7673" max="7673" width="9.85546875" style="32" customWidth="1"/>
    <col min="7674" max="7674" width="14.42578125" style="32" customWidth="1"/>
    <col min="7675" max="7675" width="7.28515625" style="32" customWidth="1"/>
    <col min="7676" max="7676" width="5.5703125" style="32" customWidth="1"/>
    <col min="7677" max="7677" width="9" style="32" customWidth="1"/>
    <col min="7678" max="7679" width="9.85546875" style="32" customWidth="1"/>
    <col min="7680" max="7680" width="11.140625" style="32" customWidth="1"/>
    <col min="7681" max="7681" width="2.85546875" style="32" customWidth="1"/>
    <col min="7682" max="7682" width="3.5703125" style="32" customWidth="1"/>
    <col min="7683" max="7927" width="9.140625" style="32"/>
    <col min="7928" max="7928" width="8.7109375" style="32" customWidth="1"/>
    <col min="7929" max="7929" width="9.85546875" style="32" customWidth="1"/>
    <col min="7930" max="7930" width="14.42578125" style="32" customWidth="1"/>
    <col min="7931" max="7931" width="7.28515625" style="32" customWidth="1"/>
    <col min="7932" max="7932" width="5.5703125" style="32" customWidth="1"/>
    <col min="7933" max="7933" width="9" style="32" customWidth="1"/>
    <col min="7934" max="7935" width="9.85546875" style="32" customWidth="1"/>
    <col min="7936" max="7936" width="11.140625" style="32" customWidth="1"/>
    <col min="7937" max="7937" width="2.85546875" style="32" customWidth="1"/>
    <col min="7938" max="7938" width="3.5703125" style="32" customWidth="1"/>
    <col min="7939" max="8183" width="9.140625" style="32"/>
    <col min="8184" max="8184" width="8.7109375" style="32" customWidth="1"/>
    <col min="8185" max="8185" width="9.85546875" style="32" customWidth="1"/>
    <col min="8186" max="8186" width="14.42578125" style="32" customWidth="1"/>
    <col min="8187" max="8187" width="7.28515625" style="32" customWidth="1"/>
    <col min="8188" max="8188" width="5.5703125" style="32" customWidth="1"/>
    <col min="8189" max="8189" width="9" style="32" customWidth="1"/>
    <col min="8190" max="8191" width="9.85546875" style="32" customWidth="1"/>
    <col min="8192" max="8192" width="11.140625" style="32" customWidth="1"/>
    <col min="8193" max="8193" width="2.85546875" style="32" customWidth="1"/>
    <col min="8194" max="8194" width="3.5703125" style="32" customWidth="1"/>
    <col min="8195" max="8439" width="9.140625" style="32"/>
    <col min="8440" max="8440" width="8.7109375" style="32" customWidth="1"/>
    <col min="8441" max="8441" width="9.85546875" style="32" customWidth="1"/>
    <col min="8442" max="8442" width="14.42578125" style="32" customWidth="1"/>
    <col min="8443" max="8443" width="7.28515625" style="32" customWidth="1"/>
    <col min="8444" max="8444" width="5.5703125" style="32" customWidth="1"/>
    <col min="8445" max="8445" width="9" style="32" customWidth="1"/>
    <col min="8446" max="8447" width="9.85546875" style="32" customWidth="1"/>
    <col min="8448" max="8448" width="11.140625" style="32" customWidth="1"/>
    <col min="8449" max="8449" width="2.85546875" style="32" customWidth="1"/>
    <col min="8450" max="8450" width="3.5703125" style="32" customWidth="1"/>
    <col min="8451" max="8695" width="9.140625" style="32"/>
    <col min="8696" max="8696" width="8.7109375" style="32" customWidth="1"/>
    <col min="8697" max="8697" width="9.85546875" style="32" customWidth="1"/>
    <col min="8698" max="8698" width="14.42578125" style="32" customWidth="1"/>
    <col min="8699" max="8699" width="7.28515625" style="32" customWidth="1"/>
    <col min="8700" max="8700" width="5.5703125" style="32" customWidth="1"/>
    <col min="8701" max="8701" width="9" style="32" customWidth="1"/>
    <col min="8702" max="8703" width="9.85546875" style="32" customWidth="1"/>
    <col min="8704" max="8704" width="11.140625" style="32" customWidth="1"/>
    <col min="8705" max="8705" width="2.85546875" style="32" customWidth="1"/>
    <col min="8706" max="8706" width="3.5703125" style="32" customWidth="1"/>
    <col min="8707" max="8951" width="9.140625" style="32"/>
    <col min="8952" max="8952" width="8.7109375" style="32" customWidth="1"/>
    <col min="8953" max="8953" width="9.85546875" style="32" customWidth="1"/>
    <col min="8954" max="8954" width="14.42578125" style="32" customWidth="1"/>
    <col min="8955" max="8955" width="7.28515625" style="32" customWidth="1"/>
    <col min="8956" max="8956" width="5.5703125" style="32" customWidth="1"/>
    <col min="8957" max="8957" width="9" style="32" customWidth="1"/>
    <col min="8958" max="8959" width="9.85546875" style="32" customWidth="1"/>
    <col min="8960" max="8960" width="11.140625" style="32" customWidth="1"/>
    <col min="8961" max="8961" width="2.85546875" style="32" customWidth="1"/>
    <col min="8962" max="8962" width="3.5703125" style="32" customWidth="1"/>
    <col min="8963" max="9207" width="9.140625" style="32"/>
    <col min="9208" max="9208" width="8.7109375" style="32" customWidth="1"/>
    <col min="9209" max="9209" width="9.85546875" style="32" customWidth="1"/>
    <col min="9210" max="9210" width="14.42578125" style="32" customWidth="1"/>
    <col min="9211" max="9211" width="7.28515625" style="32" customWidth="1"/>
    <col min="9212" max="9212" width="5.5703125" style="32" customWidth="1"/>
    <col min="9213" max="9213" width="9" style="32" customWidth="1"/>
    <col min="9214" max="9215" width="9.85546875" style="32" customWidth="1"/>
    <col min="9216" max="9216" width="11.140625" style="32" customWidth="1"/>
    <col min="9217" max="9217" width="2.85546875" style="32" customWidth="1"/>
    <col min="9218" max="9218" width="3.5703125" style="32" customWidth="1"/>
    <col min="9219" max="9463" width="9.140625" style="32"/>
    <col min="9464" max="9464" width="8.7109375" style="32" customWidth="1"/>
    <col min="9465" max="9465" width="9.85546875" style="32" customWidth="1"/>
    <col min="9466" max="9466" width="14.42578125" style="32" customWidth="1"/>
    <col min="9467" max="9467" width="7.28515625" style="32" customWidth="1"/>
    <col min="9468" max="9468" width="5.5703125" style="32" customWidth="1"/>
    <col min="9469" max="9469" width="9" style="32" customWidth="1"/>
    <col min="9470" max="9471" width="9.85546875" style="32" customWidth="1"/>
    <col min="9472" max="9472" width="11.140625" style="32" customWidth="1"/>
    <col min="9473" max="9473" width="2.85546875" style="32" customWidth="1"/>
    <col min="9474" max="9474" width="3.5703125" style="32" customWidth="1"/>
    <col min="9475" max="9719" width="9.140625" style="32"/>
    <col min="9720" max="9720" width="8.7109375" style="32" customWidth="1"/>
    <col min="9721" max="9721" width="9.85546875" style="32" customWidth="1"/>
    <col min="9722" max="9722" width="14.42578125" style="32" customWidth="1"/>
    <col min="9723" max="9723" width="7.28515625" style="32" customWidth="1"/>
    <col min="9724" max="9724" width="5.5703125" style="32" customWidth="1"/>
    <col min="9725" max="9725" width="9" style="32" customWidth="1"/>
    <col min="9726" max="9727" width="9.85546875" style="32" customWidth="1"/>
    <col min="9728" max="9728" width="11.140625" style="32" customWidth="1"/>
    <col min="9729" max="9729" width="2.85546875" style="32" customWidth="1"/>
    <col min="9730" max="9730" width="3.5703125" style="32" customWidth="1"/>
    <col min="9731" max="9975" width="9.140625" style="32"/>
    <col min="9976" max="9976" width="8.7109375" style="32" customWidth="1"/>
    <col min="9977" max="9977" width="9.85546875" style="32" customWidth="1"/>
    <col min="9978" max="9978" width="14.42578125" style="32" customWidth="1"/>
    <col min="9979" max="9979" width="7.28515625" style="32" customWidth="1"/>
    <col min="9980" max="9980" width="5.5703125" style="32" customWidth="1"/>
    <col min="9981" max="9981" width="9" style="32" customWidth="1"/>
    <col min="9982" max="9983" width="9.85546875" style="32" customWidth="1"/>
    <col min="9984" max="9984" width="11.140625" style="32" customWidth="1"/>
    <col min="9985" max="9985" width="2.85546875" style="32" customWidth="1"/>
    <col min="9986" max="9986" width="3.5703125" style="32" customWidth="1"/>
    <col min="9987" max="10231" width="9.140625" style="32"/>
    <col min="10232" max="10232" width="8.7109375" style="32" customWidth="1"/>
    <col min="10233" max="10233" width="9.85546875" style="32" customWidth="1"/>
    <col min="10234" max="10234" width="14.42578125" style="32" customWidth="1"/>
    <col min="10235" max="10235" width="7.28515625" style="32" customWidth="1"/>
    <col min="10236" max="10236" width="5.5703125" style="32" customWidth="1"/>
    <col min="10237" max="10237" width="9" style="32" customWidth="1"/>
    <col min="10238" max="10239" width="9.85546875" style="32" customWidth="1"/>
    <col min="10240" max="10240" width="11.140625" style="32" customWidth="1"/>
    <col min="10241" max="10241" width="2.85546875" style="32" customWidth="1"/>
    <col min="10242" max="10242" width="3.5703125" style="32" customWidth="1"/>
    <col min="10243" max="10487" width="9.140625" style="32"/>
    <col min="10488" max="10488" width="8.7109375" style="32" customWidth="1"/>
    <col min="10489" max="10489" width="9.85546875" style="32" customWidth="1"/>
    <col min="10490" max="10490" width="14.42578125" style="32" customWidth="1"/>
    <col min="10491" max="10491" width="7.28515625" style="32" customWidth="1"/>
    <col min="10492" max="10492" width="5.5703125" style="32" customWidth="1"/>
    <col min="10493" max="10493" width="9" style="32" customWidth="1"/>
    <col min="10494" max="10495" width="9.85546875" style="32" customWidth="1"/>
    <col min="10496" max="10496" width="11.140625" style="32" customWidth="1"/>
    <col min="10497" max="10497" width="2.85546875" style="32" customWidth="1"/>
    <col min="10498" max="10498" width="3.5703125" style="32" customWidth="1"/>
    <col min="10499" max="10743" width="9.140625" style="32"/>
    <col min="10744" max="10744" width="8.7109375" style="32" customWidth="1"/>
    <col min="10745" max="10745" width="9.85546875" style="32" customWidth="1"/>
    <col min="10746" max="10746" width="14.42578125" style="32" customWidth="1"/>
    <col min="10747" max="10747" width="7.28515625" style="32" customWidth="1"/>
    <col min="10748" max="10748" width="5.5703125" style="32" customWidth="1"/>
    <col min="10749" max="10749" width="9" style="32" customWidth="1"/>
    <col min="10750" max="10751" width="9.85546875" style="32" customWidth="1"/>
    <col min="10752" max="10752" width="11.140625" style="32" customWidth="1"/>
    <col min="10753" max="10753" width="2.85546875" style="32" customWidth="1"/>
    <col min="10754" max="10754" width="3.5703125" style="32" customWidth="1"/>
    <col min="10755" max="10999" width="9.140625" style="32"/>
    <col min="11000" max="11000" width="8.7109375" style="32" customWidth="1"/>
    <col min="11001" max="11001" width="9.85546875" style="32" customWidth="1"/>
    <col min="11002" max="11002" width="14.42578125" style="32" customWidth="1"/>
    <col min="11003" max="11003" width="7.28515625" style="32" customWidth="1"/>
    <col min="11004" max="11004" width="5.5703125" style="32" customWidth="1"/>
    <col min="11005" max="11005" width="9" style="32" customWidth="1"/>
    <col min="11006" max="11007" width="9.85546875" style="32" customWidth="1"/>
    <col min="11008" max="11008" width="11.140625" style="32" customWidth="1"/>
    <col min="11009" max="11009" width="2.85546875" style="32" customWidth="1"/>
    <col min="11010" max="11010" width="3.5703125" style="32" customWidth="1"/>
    <col min="11011" max="11255" width="9.140625" style="32"/>
    <col min="11256" max="11256" width="8.7109375" style="32" customWidth="1"/>
    <col min="11257" max="11257" width="9.85546875" style="32" customWidth="1"/>
    <col min="11258" max="11258" width="14.42578125" style="32" customWidth="1"/>
    <col min="11259" max="11259" width="7.28515625" style="32" customWidth="1"/>
    <col min="11260" max="11260" width="5.5703125" style="32" customWidth="1"/>
    <col min="11261" max="11261" width="9" style="32" customWidth="1"/>
    <col min="11262" max="11263" width="9.85546875" style="32" customWidth="1"/>
    <col min="11264" max="11264" width="11.140625" style="32" customWidth="1"/>
    <col min="11265" max="11265" width="2.85546875" style="32" customWidth="1"/>
    <col min="11266" max="11266" width="3.5703125" style="32" customWidth="1"/>
    <col min="11267" max="11511" width="9.140625" style="32"/>
    <col min="11512" max="11512" width="8.7109375" style="32" customWidth="1"/>
    <col min="11513" max="11513" width="9.85546875" style="32" customWidth="1"/>
    <col min="11514" max="11514" width="14.42578125" style="32" customWidth="1"/>
    <col min="11515" max="11515" width="7.28515625" style="32" customWidth="1"/>
    <col min="11516" max="11516" width="5.5703125" style="32" customWidth="1"/>
    <col min="11517" max="11517" width="9" style="32" customWidth="1"/>
    <col min="11518" max="11519" width="9.85546875" style="32" customWidth="1"/>
    <col min="11520" max="11520" width="11.140625" style="32" customWidth="1"/>
    <col min="11521" max="11521" width="2.85546875" style="32" customWidth="1"/>
    <col min="11522" max="11522" width="3.5703125" style="32" customWidth="1"/>
    <col min="11523" max="11767" width="9.140625" style="32"/>
    <col min="11768" max="11768" width="8.7109375" style="32" customWidth="1"/>
    <col min="11769" max="11769" width="9.85546875" style="32" customWidth="1"/>
    <col min="11770" max="11770" width="14.42578125" style="32" customWidth="1"/>
    <col min="11771" max="11771" width="7.28515625" style="32" customWidth="1"/>
    <col min="11772" max="11772" width="5.5703125" style="32" customWidth="1"/>
    <col min="11773" max="11773" width="9" style="32" customWidth="1"/>
    <col min="11774" max="11775" width="9.85546875" style="32" customWidth="1"/>
    <col min="11776" max="11776" width="11.140625" style="32" customWidth="1"/>
    <col min="11777" max="11777" width="2.85546875" style="32" customWidth="1"/>
    <col min="11778" max="11778" width="3.5703125" style="32" customWidth="1"/>
    <col min="11779" max="12023" width="9.140625" style="32"/>
    <col min="12024" max="12024" width="8.7109375" style="32" customWidth="1"/>
    <col min="12025" max="12025" width="9.85546875" style="32" customWidth="1"/>
    <col min="12026" max="12026" width="14.42578125" style="32" customWidth="1"/>
    <col min="12027" max="12027" width="7.28515625" style="32" customWidth="1"/>
    <col min="12028" max="12028" width="5.5703125" style="32" customWidth="1"/>
    <col min="12029" max="12029" width="9" style="32" customWidth="1"/>
    <col min="12030" max="12031" width="9.85546875" style="32" customWidth="1"/>
    <col min="12032" max="12032" width="11.140625" style="32" customWidth="1"/>
    <col min="12033" max="12033" width="2.85546875" style="32" customWidth="1"/>
    <col min="12034" max="12034" width="3.5703125" style="32" customWidth="1"/>
    <col min="12035" max="12279" width="9.140625" style="32"/>
    <col min="12280" max="12280" width="8.7109375" style="32" customWidth="1"/>
    <col min="12281" max="12281" width="9.85546875" style="32" customWidth="1"/>
    <col min="12282" max="12282" width="14.42578125" style="32" customWidth="1"/>
    <col min="12283" max="12283" width="7.28515625" style="32" customWidth="1"/>
    <col min="12284" max="12284" width="5.5703125" style="32" customWidth="1"/>
    <col min="12285" max="12285" width="9" style="32" customWidth="1"/>
    <col min="12286" max="12287" width="9.85546875" style="32" customWidth="1"/>
    <col min="12288" max="12288" width="11.140625" style="32" customWidth="1"/>
    <col min="12289" max="12289" width="2.85546875" style="32" customWidth="1"/>
    <col min="12290" max="12290" width="3.5703125" style="32" customWidth="1"/>
    <col min="12291" max="12535" width="9.140625" style="32"/>
    <col min="12536" max="12536" width="8.7109375" style="32" customWidth="1"/>
    <col min="12537" max="12537" width="9.85546875" style="32" customWidth="1"/>
    <col min="12538" max="12538" width="14.42578125" style="32" customWidth="1"/>
    <col min="12539" max="12539" width="7.28515625" style="32" customWidth="1"/>
    <col min="12540" max="12540" width="5.5703125" style="32" customWidth="1"/>
    <col min="12541" max="12541" width="9" style="32" customWidth="1"/>
    <col min="12542" max="12543" width="9.85546875" style="32" customWidth="1"/>
    <col min="12544" max="12544" width="11.140625" style="32" customWidth="1"/>
    <col min="12545" max="12545" width="2.85546875" style="32" customWidth="1"/>
    <col min="12546" max="12546" width="3.5703125" style="32" customWidth="1"/>
    <col min="12547" max="12791" width="9.140625" style="32"/>
    <col min="12792" max="12792" width="8.7109375" style="32" customWidth="1"/>
    <col min="12793" max="12793" width="9.85546875" style="32" customWidth="1"/>
    <col min="12794" max="12794" width="14.42578125" style="32" customWidth="1"/>
    <col min="12795" max="12795" width="7.28515625" style="32" customWidth="1"/>
    <col min="12796" max="12796" width="5.5703125" style="32" customWidth="1"/>
    <col min="12797" max="12797" width="9" style="32" customWidth="1"/>
    <col min="12798" max="12799" width="9.85546875" style="32" customWidth="1"/>
    <col min="12800" max="12800" width="11.140625" style="32" customWidth="1"/>
    <col min="12801" max="12801" width="2.85546875" style="32" customWidth="1"/>
    <col min="12802" max="12802" width="3.5703125" style="32" customWidth="1"/>
    <col min="12803" max="13047" width="9.140625" style="32"/>
    <col min="13048" max="13048" width="8.7109375" style="32" customWidth="1"/>
    <col min="13049" max="13049" width="9.85546875" style="32" customWidth="1"/>
    <col min="13050" max="13050" width="14.42578125" style="32" customWidth="1"/>
    <col min="13051" max="13051" width="7.28515625" style="32" customWidth="1"/>
    <col min="13052" max="13052" width="5.5703125" style="32" customWidth="1"/>
    <col min="13053" max="13053" width="9" style="32" customWidth="1"/>
    <col min="13054" max="13055" width="9.85546875" style="32" customWidth="1"/>
    <col min="13056" max="13056" width="11.140625" style="32" customWidth="1"/>
    <col min="13057" max="13057" width="2.85546875" style="32" customWidth="1"/>
    <col min="13058" max="13058" width="3.5703125" style="32" customWidth="1"/>
    <col min="13059" max="13303" width="9.140625" style="32"/>
    <col min="13304" max="13304" width="8.7109375" style="32" customWidth="1"/>
    <col min="13305" max="13305" width="9.85546875" style="32" customWidth="1"/>
    <col min="13306" max="13306" width="14.42578125" style="32" customWidth="1"/>
    <col min="13307" max="13307" width="7.28515625" style="32" customWidth="1"/>
    <col min="13308" max="13308" width="5.5703125" style="32" customWidth="1"/>
    <col min="13309" max="13309" width="9" style="32" customWidth="1"/>
    <col min="13310" max="13311" width="9.85546875" style="32" customWidth="1"/>
    <col min="13312" max="13312" width="11.140625" style="32" customWidth="1"/>
    <col min="13313" max="13313" width="2.85546875" style="32" customWidth="1"/>
    <col min="13314" max="13314" width="3.5703125" style="32" customWidth="1"/>
    <col min="13315" max="13559" width="9.140625" style="32"/>
    <col min="13560" max="13560" width="8.7109375" style="32" customWidth="1"/>
    <col min="13561" max="13561" width="9.85546875" style="32" customWidth="1"/>
    <col min="13562" max="13562" width="14.42578125" style="32" customWidth="1"/>
    <col min="13563" max="13563" width="7.28515625" style="32" customWidth="1"/>
    <col min="13564" max="13564" width="5.5703125" style="32" customWidth="1"/>
    <col min="13565" max="13565" width="9" style="32" customWidth="1"/>
    <col min="13566" max="13567" width="9.85546875" style="32" customWidth="1"/>
    <col min="13568" max="13568" width="11.140625" style="32" customWidth="1"/>
    <col min="13569" max="13569" width="2.85546875" style="32" customWidth="1"/>
    <col min="13570" max="13570" width="3.5703125" style="32" customWidth="1"/>
    <col min="13571" max="13815" width="9.140625" style="32"/>
    <col min="13816" max="13816" width="8.7109375" style="32" customWidth="1"/>
    <col min="13817" max="13817" width="9.85546875" style="32" customWidth="1"/>
    <col min="13818" max="13818" width="14.42578125" style="32" customWidth="1"/>
    <col min="13819" max="13819" width="7.28515625" style="32" customWidth="1"/>
    <col min="13820" max="13820" width="5.5703125" style="32" customWidth="1"/>
    <col min="13821" max="13821" width="9" style="32" customWidth="1"/>
    <col min="13822" max="13823" width="9.85546875" style="32" customWidth="1"/>
    <col min="13824" max="13824" width="11.140625" style="32" customWidth="1"/>
    <col min="13825" max="13825" width="2.85546875" style="32" customWidth="1"/>
    <col min="13826" max="13826" width="3.5703125" style="32" customWidth="1"/>
    <col min="13827" max="14071" width="9.140625" style="32"/>
    <col min="14072" max="14072" width="8.7109375" style="32" customWidth="1"/>
    <col min="14073" max="14073" width="9.85546875" style="32" customWidth="1"/>
    <col min="14074" max="14074" width="14.42578125" style="32" customWidth="1"/>
    <col min="14075" max="14075" width="7.28515625" style="32" customWidth="1"/>
    <col min="14076" max="14076" width="5.5703125" style="32" customWidth="1"/>
    <col min="14077" max="14077" width="9" style="32" customWidth="1"/>
    <col min="14078" max="14079" width="9.85546875" style="32" customWidth="1"/>
    <col min="14080" max="14080" width="11.140625" style="32" customWidth="1"/>
    <col min="14081" max="14081" width="2.85546875" style="32" customWidth="1"/>
    <col min="14082" max="14082" width="3.5703125" style="32" customWidth="1"/>
    <col min="14083" max="14327" width="9.140625" style="32"/>
    <col min="14328" max="14328" width="8.7109375" style="32" customWidth="1"/>
    <col min="14329" max="14329" width="9.85546875" style="32" customWidth="1"/>
    <col min="14330" max="14330" width="14.42578125" style="32" customWidth="1"/>
    <col min="14331" max="14331" width="7.28515625" style="32" customWidth="1"/>
    <col min="14332" max="14332" width="5.5703125" style="32" customWidth="1"/>
    <col min="14333" max="14333" width="9" style="32" customWidth="1"/>
    <col min="14334" max="14335" width="9.85546875" style="32" customWidth="1"/>
    <col min="14336" max="14336" width="11.140625" style="32" customWidth="1"/>
    <col min="14337" max="14337" width="2.85546875" style="32" customWidth="1"/>
    <col min="14338" max="14338" width="3.5703125" style="32" customWidth="1"/>
    <col min="14339" max="14583" width="9.140625" style="32"/>
    <col min="14584" max="14584" width="8.7109375" style="32" customWidth="1"/>
    <col min="14585" max="14585" width="9.85546875" style="32" customWidth="1"/>
    <col min="14586" max="14586" width="14.42578125" style="32" customWidth="1"/>
    <col min="14587" max="14587" width="7.28515625" style="32" customWidth="1"/>
    <col min="14588" max="14588" width="5.5703125" style="32" customWidth="1"/>
    <col min="14589" max="14589" width="9" style="32" customWidth="1"/>
    <col min="14590" max="14591" width="9.85546875" style="32" customWidth="1"/>
    <col min="14592" max="14592" width="11.140625" style="32" customWidth="1"/>
    <col min="14593" max="14593" width="2.85546875" style="32" customWidth="1"/>
    <col min="14594" max="14594" width="3.5703125" style="32" customWidth="1"/>
    <col min="14595" max="14839" width="9.140625" style="32"/>
    <col min="14840" max="14840" width="8.7109375" style="32" customWidth="1"/>
    <col min="14841" max="14841" width="9.85546875" style="32" customWidth="1"/>
    <col min="14842" max="14842" width="14.42578125" style="32" customWidth="1"/>
    <col min="14843" max="14843" width="7.28515625" style="32" customWidth="1"/>
    <col min="14844" max="14844" width="5.5703125" style="32" customWidth="1"/>
    <col min="14845" max="14845" width="9" style="32" customWidth="1"/>
    <col min="14846" max="14847" width="9.85546875" style="32" customWidth="1"/>
    <col min="14848" max="14848" width="11.140625" style="32" customWidth="1"/>
    <col min="14849" max="14849" width="2.85546875" style="32" customWidth="1"/>
    <col min="14850" max="14850" width="3.5703125" style="32" customWidth="1"/>
    <col min="14851" max="15095" width="9.140625" style="32"/>
    <col min="15096" max="15096" width="8.7109375" style="32" customWidth="1"/>
    <col min="15097" max="15097" width="9.85546875" style="32" customWidth="1"/>
    <col min="15098" max="15098" width="14.42578125" style="32" customWidth="1"/>
    <col min="15099" max="15099" width="7.28515625" style="32" customWidth="1"/>
    <col min="15100" max="15100" width="5.5703125" style="32" customWidth="1"/>
    <col min="15101" max="15101" width="9" style="32" customWidth="1"/>
    <col min="15102" max="15103" width="9.85546875" style="32" customWidth="1"/>
    <col min="15104" max="15104" width="11.140625" style="32" customWidth="1"/>
    <col min="15105" max="15105" width="2.85546875" style="32" customWidth="1"/>
    <col min="15106" max="15106" width="3.5703125" style="32" customWidth="1"/>
    <col min="15107" max="15351" width="9.140625" style="32"/>
    <col min="15352" max="15352" width="8.7109375" style="32" customWidth="1"/>
    <col min="15353" max="15353" width="9.85546875" style="32" customWidth="1"/>
    <col min="15354" max="15354" width="14.42578125" style="32" customWidth="1"/>
    <col min="15355" max="15355" width="7.28515625" style="32" customWidth="1"/>
    <col min="15356" max="15356" width="5.5703125" style="32" customWidth="1"/>
    <col min="15357" max="15357" width="9" style="32" customWidth="1"/>
    <col min="15358" max="15359" width="9.85546875" style="32" customWidth="1"/>
    <col min="15360" max="15360" width="11.140625" style="32" customWidth="1"/>
    <col min="15361" max="15361" width="2.85546875" style="32" customWidth="1"/>
    <col min="15362" max="15362" width="3.5703125" style="32" customWidth="1"/>
    <col min="15363" max="15607" width="9.140625" style="32"/>
    <col min="15608" max="15608" width="8.7109375" style="32" customWidth="1"/>
    <col min="15609" max="15609" width="9.85546875" style="32" customWidth="1"/>
    <col min="15610" max="15610" width="14.42578125" style="32" customWidth="1"/>
    <col min="15611" max="15611" width="7.28515625" style="32" customWidth="1"/>
    <col min="15612" max="15612" width="5.5703125" style="32" customWidth="1"/>
    <col min="15613" max="15613" width="9" style="32" customWidth="1"/>
    <col min="15614" max="15615" width="9.85546875" style="32" customWidth="1"/>
    <col min="15616" max="15616" width="11.140625" style="32" customWidth="1"/>
    <col min="15617" max="15617" width="2.85546875" style="32" customWidth="1"/>
    <col min="15618" max="15618" width="3.5703125" style="32" customWidth="1"/>
    <col min="15619" max="15863" width="9.140625" style="32"/>
    <col min="15864" max="15864" width="8.7109375" style="32" customWidth="1"/>
    <col min="15865" max="15865" width="9.85546875" style="32" customWidth="1"/>
    <col min="15866" max="15866" width="14.42578125" style="32" customWidth="1"/>
    <col min="15867" max="15867" width="7.28515625" style="32" customWidth="1"/>
    <col min="15868" max="15868" width="5.5703125" style="32" customWidth="1"/>
    <col min="15869" max="15869" width="9" style="32" customWidth="1"/>
    <col min="15870" max="15871" width="9.85546875" style="32" customWidth="1"/>
    <col min="15872" max="15872" width="11.140625" style="32" customWidth="1"/>
    <col min="15873" max="15873" width="2.85546875" style="32" customWidth="1"/>
    <col min="15874" max="15874" width="3.5703125" style="32" customWidth="1"/>
    <col min="15875" max="16119" width="9.140625" style="32"/>
    <col min="16120" max="16120" width="8.7109375" style="32" customWidth="1"/>
    <col min="16121" max="16121" width="9.85546875" style="32" customWidth="1"/>
    <col min="16122" max="16122" width="14.42578125" style="32" customWidth="1"/>
    <col min="16123" max="16123" width="7.28515625" style="32" customWidth="1"/>
    <col min="16124" max="16124" width="5.5703125" style="32" customWidth="1"/>
    <col min="16125" max="16125" width="9" style="32" customWidth="1"/>
    <col min="16126" max="16127" width="9.85546875" style="32" customWidth="1"/>
    <col min="16128" max="16128" width="11.140625" style="32" customWidth="1"/>
    <col min="16129" max="16129" width="2.85546875" style="32" customWidth="1"/>
    <col min="16130" max="16130" width="3.5703125" style="32" customWidth="1"/>
    <col min="16131" max="16384" width="9.140625" style="32"/>
  </cols>
  <sheetData>
    <row r="1" spans="1:8" ht="46.5" customHeight="1" x14ac:dyDescent="0.25">
      <c r="A1" s="181" t="s">
        <v>246</v>
      </c>
      <c r="B1" s="181"/>
      <c r="C1" s="181"/>
      <c r="D1" s="181"/>
      <c r="E1" s="181"/>
      <c r="F1" s="181"/>
      <c r="G1" s="181"/>
      <c r="H1" s="181"/>
    </row>
    <row r="2" spans="1:8" ht="16.5" customHeight="1" x14ac:dyDescent="0.25">
      <c r="A2" s="151" t="s">
        <v>0</v>
      </c>
      <c r="B2" s="151"/>
      <c r="C2" s="151"/>
      <c r="D2" s="151"/>
      <c r="E2" s="151"/>
      <c r="F2" s="151"/>
      <c r="G2" s="151"/>
      <c r="H2" s="151"/>
    </row>
    <row r="3" spans="1:8" x14ac:dyDescent="0.25">
      <c r="A3" s="114" t="s">
        <v>1</v>
      </c>
      <c r="B3" s="114"/>
      <c r="C3" s="114"/>
      <c r="D3" s="114"/>
      <c r="E3" s="182" t="str">
        <f ca="1">TEXT(TODAY(),"DD/MM/YYYY")</f>
        <v>17/09/2025</v>
      </c>
      <c r="F3" s="182"/>
      <c r="G3" s="182"/>
      <c r="H3" s="182"/>
    </row>
    <row r="4" spans="1:8" ht="15" customHeight="1" x14ac:dyDescent="0.25">
      <c r="A4" s="114" t="s">
        <v>2</v>
      </c>
      <c r="B4" s="114"/>
      <c r="C4" s="114"/>
      <c r="D4" s="114"/>
      <c r="E4" s="168" t="s">
        <v>163</v>
      </c>
      <c r="F4" s="168"/>
      <c r="G4" s="168"/>
      <c r="H4" s="168"/>
    </row>
    <row r="5" spans="1:8" x14ac:dyDescent="0.25">
      <c r="A5" s="114" t="s">
        <v>3</v>
      </c>
      <c r="B5" s="114"/>
      <c r="C5" s="114"/>
      <c r="D5" s="114"/>
      <c r="E5" s="182">
        <v>45909</v>
      </c>
      <c r="F5" s="182"/>
      <c r="G5" s="182"/>
      <c r="H5" s="182"/>
    </row>
    <row r="6" spans="1:8" ht="16.5" customHeight="1" x14ac:dyDescent="0.25">
      <c r="A6" s="114" t="s">
        <v>4</v>
      </c>
      <c r="B6" s="114"/>
      <c r="C6" s="114"/>
      <c r="D6" s="114"/>
      <c r="E6" s="167" t="s">
        <v>164</v>
      </c>
      <c r="F6" s="167"/>
      <c r="G6" s="167"/>
      <c r="H6" s="167"/>
    </row>
    <row r="7" spans="1:8" ht="15" customHeight="1" x14ac:dyDescent="0.25">
      <c r="A7" s="114" t="s">
        <v>5</v>
      </c>
      <c r="B7" s="114"/>
      <c r="C7" s="114"/>
      <c r="D7" s="114"/>
      <c r="E7" s="167" t="str">
        <f>E6</f>
        <v>M/s.Provident Housing Limited</v>
      </c>
      <c r="F7" s="167"/>
      <c r="G7" s="167"/>
      <c r="H7" s="167"/>
    </row>
    <row r="8" spans="1:8" x14ac:dyDescent="0.25">
      <c r="A8" s="114" t="s">
        <v>6</v>
      </c>
      <c r="B8" s="114"/>
      <c r="C8" s="114"/>
      <c r="D8" s="114"/>
      <c r="E8" s="159" t="s">
        <v>172</v>
      </c>
      <c r="F8" s="159"/>
      <c r="G8" s="159"/>
      <c r="H8" s="159"/>
    </row>
    <row r="9" spans="1:8" x14ac:dyDescent="0.25">
      <c r="A9" s="114" t="s">
        <v>136</v>
      </c>
      <c r="B9" s="114"/>
      <c r="C9" s="114"/>
      <c r="D9" s="114"/>
      <c r="E9" s="114">
        <v>7349659300</v>
      </c>
      <c r="F9" s="114"/>
      <c r="G9" s="114"/>
      <c r="H9" s="114"/>
    </row>
    <row r="10" spans="1:8" hidden="1" x14ac:dyDescent="0.25">
      <c r="A10" s="114" t="s">
        <v>247</v>
      </c>
      <c r="B10" s="114"/>
      <c r="C10" s="114"/>
      <c r="D10" s="114"/>
      <c r="E10" s="114" t="s">
        <v>252</v>
      </c>
      <c r="F10" s="114"/>
      <c r="G10" s="114"/>
      <c r="H10" s="114"/>
    </row>
    <row r="11" spans="1:8" x14ac:dyDescent="0.25">
      <c r="A11" s="169" t="s">
        <v>7</v>
      </c>
      <c r="B11" s="169"/>
      <c r="C11" s="169"/>
      <c r="D11" s="169"/>
      <c r="E11" s="169" t="s">
        <v>177</v>
      </c>
      <c r="F11" s="169"/>
      <c r="G11" s="169"/>
      <c r="H11" s="169"/>
    </row>
    <row r="12" spans="1:8" x14ac:dyDescent="0.25">
      <c r="A12" s="114" t="s">
        <v>8</v>
      </c>
      <c r="B12" s="114"/>
      <c r="C12" s="114"/>
      <c r="D12" s="114"/>
      <c r="E12" s="171" t="s">
        <v>175</v>
      </c>
      <c r="F12" s="172"/>
      <c r="G12" s="172"/>
      <c r="H12" s="172"/>
    </row>
    <row r="13" spans="1:8" ht="65.25" customHeight="1" x14ac:dyDescent="0.25">
      <c r="A13" s="114" t="s">
        <v>9</v>
      </c>
      <c r="B13" s="114"/>
      <c r="C13" s="114"/>
      <c r="D13" s="114"/>
      <c r="E13" s="173" t="s">
        <v>178</v>
      </c>
      <c r="F13" s="174"/>
      <c r="G13" s="173" t="s">
        <v>179</v>
      </c>
      <c r="H13" s="174"/>
    </row>
    <row r="14" spans="1:8" ht="48.75" customHeight="1" x14ac:dyDescent="0.25">
      <c r="A14" s="167" t="s">
        <v>10</v>
      </c>
      <c r="B14" s="167"/>
      <c r="C14" s="167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",(IF(OR(G17="",G17="NA"),"",G17)),".")</f>
        <v>Provident Palmvista, Plot No.88/4, 89, 90/1, 90/2/4, 90/2/5, 90/4/2, 101/1/B, 101/2, 101/3, near Puravankara Shilphata, Kalyan Shilphata Road, Daighar, Diva East, Thane, Thane.</v>
      </c>
      <c r="D14" s="167"/>
      <c r="E14" s="167"/>
      <c r="F14" s="167"/>
      <c r="G14" s="167"/>
      <c r="H14" s="167"/>
    </row>
    <row r="15" spans="1:8" x14ac:dyDescent="0.25">
      <c r="A15" s="167" t="s">
        <v>166</v>
      </c>
      <c r="B15" s="167"/>
      <c r="C15" s="166" t="s">
        <v>165</v>
      </c>
      <c r="D15" s="166"/>
      <c r="E15" s="166"/>
      <c r="F15" s="166"/>
      <c r="G15" s="166"/>
      <c r="H15" s="166"/>
    </row>
    <row r="16" spans="1:8" ht="15.75" customHeight="1" x14ac:dyDescent="0.25">
      <c r="A16" s="167" t="s">
        <v>11</v>
      </c>
      <c r="B16" s="167"/>
      <c r="C16" s="169" t="s">
        <v>169</v>
      </c>
      <c r="D16" s="169"/>
      <c r="E16" s="167" t="s">
        <v>80</v>
      </c>
      <c r="F16" s="167"/>
      <c r="G16" s="166" t="s">
        <v>174</v>
      </c>
      <c r="H16" s="166"/>
    </row>
    <row r="17" spans="1:9" x14ac:dyDescent="0.25">
      <c r="A17" s="114" t="s">
        <v>13</v>
      </c>
      <c r="B17" s="114"/>
      <c r="C17" s="166" t="s">
        <v>168</v>
      </c>
      <c r="D17" s="166"/>
      <c r="E17" s="167" t="s">
        <v>12</v>
      </c>
      <c r="F17" s="167"/>
      <c r="G17" s="170" t="s">
        <v>167</v>
      </c>
      <c r="H17" s="170"/>
    </row>
    <row r="18" spans="1:9" x14ac:dyDescent="0.25">
      <c r="A18" s="114" t="s">
        <v>81</v>
      </c>
      <c r="B18" s="114"/>
      <c r="C18" s="166" t="s">
        <v>167</v>
      </c>
      <c r="D18" s="166"/>
      <c r="E18" s="167" t="s">
        <v>14</v>
      </c>
      <c r="F18" s="167"/>
      <c r="G18" s="166">
        <v>421204</v>
      </c>
      <c r="H18" s="166"/>
    </row>
    <row r="19" spans="1:9" ht="32.25" customHeight="1" x14ac:dyDescent="0.25">
      <c r="A19" s="114" t="s">
        <v>137</v>
      </c>
      <c r="B19" s="114"/>
      <c r="C19" s="167" t="s">
        <v>170</v>
      </c>
      <c r="D19" s="167"/>
      <c r="E19" s="167" t="s">
        <v>15</v>
      </c>
      <c r="F19" s="167"/>
      <c r="G19" s="171" t="s">
        <v>173</v>
      </c>
      <c r="H19" s="171"/>
    </row>
    <row r="20" spans="1:9" ht="15" customHeight="1" x14ac:dyDescent="0.25">
      <c r="A20" s="167" t="s">
        <v>86</v>
      </c>
      <c r="B20" s="167"/>
      <c r="C20" s="167"/>
      <c r="D20" s="167"/>
      <c r="E20" s="169" t="s">
        <v>16</v>
      </c>
      <c r="F20" s="169"/>
      <c r="G20" s="169"/>
      <c r="H20" s="169"/>
    </row>
    <row r="21" spans="1:9" ht="18.75" customHeight="1" x14ac:dyDescent="0.25">
      <c r="A21" s="167"/>
      <c r="B21" s="167"/>
      <c r="C21" s="167"/>
      <c r="D21" s="167"/>
      <c r="E21" s="169"/>
      <c r="F21" s="169"/>
      <c r="G21" s="169"/>
      <c r="H21" s="169"/>
    </row>
    <row r="22" spans="1:9" ht="15" customHeight="1" x14ac:dyDescent="0.25">
      <c r="A22" s="167" t="s">
        <v>17</v>
      </c>
      <c r="B22" s="167"/>
      <c r="C22" s="167"/>
      <c r="D22" s="167"/>
      <c r="E22" s="166" t="s">
        <v>18</v>
      </c>
      <c r="F22" s="166"/>
      <c r="G22" s="166"/>
      <c r="H22" s="166"/>
    </row>
    <row r="23" spans="1:9" ht="15" customHeight="1" x14ac:dyDescent="0.25">
      <c r="A23" s="114" t="s">
        <v>19</v>
      </c>
      <c r="B23" s="114"/>
      <c r="C23" s="114"/>
      <c r="D23" s="114"/>
      <c r="E23" s="166" t="str">
        <f>IF(AND(G17="Mumbai"),"Upper Class","Middle Class")</f>
        <v>Middle Class</v>
      </c>
      <c r="F23" s="166"/>
      <c r="G23" s="166"/>
      <c r="H23" s="166"/>
    </row>
    <row r="24" spans="1:9" x14ac:dyDescent="0.25">
      <c r="A24" s="114" t="s">
        <v>20</v>
      </c>
      <c r="B24" s="114"/>
      <c r="C24" s="114"/>
      <c r="D24" s="114"/>
      <c r="E24" s="166" t="s">
        <v>21</v>
      </c>
      <c r="F24" s="166"/>
      <c r="G24" s="166"/>
      <c r="H24" s="166"/>
    </row>
    <row r="25" spans="1:9" ht="15.75" customHeight="1" x14ac:dyDescent="0.25">
      <c r="A25" s="114" t="s">
        <v>22</v>
      </c>
      <c r="B25" s="114"/>
      <c r="C25" s="114"/>
      <c r="D25" s="114"/>
      <c r="E25" s="166" t="str">
        <f>IF(AND(G17="Mumbai"),"Developed","Developing")</f>
        <v>Developing</v>
      </c>
      <c r="F25" s="166"/>
      <c r="G25" s="166"/>
      <c r="H25" s="166"/>
    </row>
    <row r="26" spans="1:9" x14ac:dyDescent="0.25">
      <c r="A26" s="114" t="s">
        <v>23</v>
      </c>
      <c r="B26" s="114"/>
      <c r="C26" s="114"/>
      <c r="D26" s="114"/>
      <c r="E26" s="166" t="s">
        <v>24</v>
      </c>
      <c r="F26" s="166"/>
      <c r="G26" s="166"/>
      <c r="H26" s="166"/>
    </row>
    <row r="27" spans="1:9" x14ac:dyDescent="0.25">
      <c r="A27" s="114" t="s">
        <v>93</v>
      </c>
      <c r="B27" s="114"/>
      <c r="C27" s="114"/>
      <c r="D27" s="114"/>
      <c r="E27" s="166" t="s">
        <v>94</v>
      </c>
      <c r="F27" s="166"/>
      <c r="G27" s="166"/>
      <c r="H27" s="166"/>
    </row>
    <row r="28" spans="1:9" ht="15" customHeight="1" x14ac:dyDescent="0.25">
      <c r="A28" s="167" t="s">
        <v>33</v>
      </c>
      <c r="B28" s="167"/>
      <c r="C28" s="167"/>
      <c r="D28" s="167"/>
      <c r="E28" s="168" t="s">
        <v>30</v>
      </c>
      <c r="F28" s="168"/>
      <c r="G28" s="168"/>
      <c r="H28" s="168"/>
    </row>
    <row r="29" spans="1:9" x14ac:dyDescent="0.25">
      <c r="A29" s="167" t="s">
        <v>105</v>
      </c>
      <c r="B29" s="167"/>
      <c r="C29" s="167"/>
      <c r="D29" s="167"/>
      <c r="E29" s="167" t="s">
        <v>34</v>
      </c>
      <c r="F29" s="167"/>
      <c r="G29" s="167"/>
      <c r="H29" s="167"/>
    </row>
    <row r="30" spans="1:9" s="33" customFormat="1" x14ac:dyDescent="0.25">
      <c r="A30" s="158" t="s">
        <v>106</v>
      </c>
      <c r="B30" s="158"/>
      <c r="C30" s="156" t="s">
        <v>29</v>
      </c>
      <c r="D30" s="156"/>
      <c r="E30" s="156"/>
      <c r="F30" s="156" t="s">
        <v>31</v>
      </c>
      <c r="G30" s="156"/>
      <c r="H30" s="156"/>
    </row>
    <row r="31" spans="1:9" s="33" customFormat="1" x14ac:dyDescent="0.25">
      <c r="A31" s="157" t="s">
        <v>25</v>
      </c>
      <c r="B31" s="157" t="s">
        <v>30</v>
      </c>
      <c r="C31" s="155" t="s">
        <v>30</v>
      </c>
      <c r="D31" s="155"/>
      <c r="E31" s="155"/>
      <c r="F31" s="155" t="s">
        <v>171</v>
      </c>
      <c r="G31" s="155"/>
      <c r="H31" s="155"/>
    </row>
    <row r="32" spans="1:9" x14ac:dyDescent="0.25">
      <c r="A32" s="157" t="s">
        <v>26</v>
      </c>
      <c r="B32" s="157" t="s">
        <v>30</v>
      </c>
      <c r="C32" s="155" t="s">
        <v>30</v>
      </c>
      <c r="D32" s="155"/>
      <c r="E32" s="155"/>
      <c r="F32" s="155" t="s">
        <v>170</v>
      </c>
      <c r="G32" s="155"/>
      <c r="H32" s="155"/>
      <c r="I32" s="32">
        <f>3.55-4.3</f>
        <v>-0.75</v>
      </c>
    </row>
    <row r="33" spans="1:8" s="33" customFormat="1" x14ac:dyDescent="0.25">
      <c r="A33" s="157" t="s">
        <v>28</v>
      </c>
      <c r="B33" s="157" t="s">
        <v>30</v>
      </c>
      <c r="C33" s="155" t="s">
        <v>30</v>
      </c>
      <c r="D33" s="155"/>
      <c r="E33" s="155"/>
      <c r="F33" s="155" t="s">
        <v>169</v>
      </c>
      <c r="G33" s="155"/>
      <c r="H33" s="155"/>
    </row>
    <row r="34" spans="1:8" x14ac:dyDescent="0.25">
      <c r="A34" s="157" t="s">
        <v>27</v>
      </c>
      <c r="B34" s="157" t="s">
        <v>30</v>
      </c>
      <c r="C34" s="155" t="s">
        <v>30</v>
      </c>
      <c r="D34" s="155"/>
      <c r="E34" s="155"/>
      <c r="F34" s="155" t="s">
        <v>171</v>
      </c>
      <c r="G34" s="155"/>
      <c r="H34" s="155"/>
    </row>
    <row r="35" spans="1:8" x14ac:dyDescent="0.25">
      <c r="A35" s="114" t="s">
        <v>32</v>
      </c>
      <c r="B35" s="114"/>
      <c r="C35" s="114"/>
      <c r="D35" s="114"/>
      <c r="E35" s="114"/>
      <c r="F35" s="114"/>
      <c r="G35" s="114"/>
      <c r="H35" s="114"/>
    </row>
    <row r="36" spans="1:8" ht="15.75" customHeight="1" x14ac:dyDescent="0.25">
      <c r="A36" s="151" t="s">
        <v>243</v>
      </c>
      <c r="B36" s="151"/>
      <c r="C36" s="160" t="s">
        <v>244</v>
      </c>
      <c r="D36" s="161"/>
      <c r="E36" s="161"/>
      <c r="F36" s="161"/>
      <c r="G36" s="161"/>
      <c r="H36" s="162"/>
    </row>
    <row r="37" spans="1:8" ht="15.75" customHeight="1" x14ac:dyDescent="0.25">
      <c r="A37" s="151" t="s">
        <v>240</v>
      </c>
      <c r="B37" s="151"/>
      <c r="C37" s="163" t="s">
        <v>241</v>
      </c>
      <c r="D37" s="164"/>
      <c r="E37" s="164"/>
      <c r="F37" s="164"/>
      <c r="G37" s="164"/>
      <c r="H37" s="165"/>
    </row>
    <row r="38" spans="1:8" x14ac:dyDescent="0.25">
      <c r="A38" s="159" t="s">
        <v>35</v>
      </c>
      <c r="B38" s="159"/>
      <c r="C38" s="159"/>
      <c r="D38" s="159"/>
      <c r="E38" s="159"/>
      <c r="F38" s="159"/>
      <c r="G38" s="159"/>
      <c r="H38" s="159"/>
    </row>
    <row r="39" spans="1:8" x14ac:dyDescent="0.25">
      <c r="A39" s="114" t="s">
        <v>36</v>
      </c>
      <c r="B39" s="114"/>
      <c r="C39" s="114"/>
      <c r="D39" s="114"/>
      <c r="E39" s="154">
        <v>20425.53</v>
      </c>
      <c r="F39" s="154"/>
      <c r="G39" s="154"/>
      <c r="H39" s="154"/>
    </row>
    <row r="40" spans="1:8" x14ac:dyDescent="0.25">
      <c r="A40" s="114" t="s">
        <v>37</v>
      </c>
      <c r="B40" s="114"/>
      <c r="C40" s="114"/>
      <c r="D40" s="114"/>
      <c r="E40" s="183">
        <v>1.1000000000000001</v>
      </c>
      <c r="F40" s="183"/>
      <c r="G40" s="183"/>
      <c r="H40" s="183"/>
    </row>
    <row r="41" spans="1:8" x14ac:dyDescent="0.25">
      <c r="A41" s="114" t="s">
        <v>38</v>
      </c>
      <c r="B41" s="114"/>
      <c r="C41" s="114"/>
      <c r="D41" s="114"/>
      <c r="E41" s="183">
        <f>E43/E39-E40</f>
        <v>3.7714491129483538</v>
      </c>
      <c r="F41" s="183"/>
      <c r="G41" s="183"/>
      <c r="H41" s="183"/>
    </row>
    <row r="42" spans="1:8" x14ac:dyDescent="0.25">
      <c r="A42" s="114" t="s">
        <v>39</v>
      </c>
      <c r="B42" s="114"/>
      <c r="C42" s="114"/>
      <c r="D42" s="114"/>
      <c r="E42" s="183">
        <f>E40+E41</f>
        <v>4.8714491129483539</v>
      </c>
      <c r="F42" s="183"/>
      <c r="G42" s="183"/>
      <c r="H42" s="183"/>
    </row>
    <row r="43" spans="1:8" x14ac:dyDescent="0.25">
      <c r="A43" s="114" t="s">
        <v>104</v>
      </c>
      <c r="B43" s="114"/>
      <c r="C43" s="114"/>
      <c r="D43" s="114"/>
      <c r="E43" s="184">
        <v>99501.93</v>
      </c>
      <c r="F43" s="184"/>
      <c r="G43" s="184"/>
      <c r="H43" s="184"/>
    </row>
    <row r="44" spans="1:8" x14ac:dyDescent="0.25">
      <c r="A44" s="169" t="s">
        <v>40</v>
      </c>
      <c r="B44" s="169"/>
      <c r="C44" s="169"/>
      <c r="D44" s="169"/>
      <c r="E44" s="172" t="s">
        <v>177</v>
      </c>
      <c r="F44" s="172"/>
      <c r="G44" s="172"/>
      <c r="H44" s="172"/>
    </row>
    <row r="45" spans="1:8" x14ac:dyDescent="0.25">
      <c r="A45" s="185" t="s">
        <v>41</v>
      </c>
      <c r="B45" s="185"/>
      <c r="C45" s="185"/>
      <c r="D45" s="185"/>
      <c r="E45" s="185"/>
      <c r="F45" s="185"/>
      <c r="G45" s="185"/>
      <c r="H45" s="185"/>
    </row>
    <row r="46" spans="1:8" x14ac:dyDescent="0.25">
      <c r="A46" s="166" t="s">
        <v>42</v>
      </c>
      <c r="B46" s="166"/>
      <c r="C46" s="166" t="s">
        <v>218</v>
      </c>
      <c r="D46" s="166"/>
      <c r="E46" s="166"/>
      <c r="F46" s="28" t="s">
        <v>43</v>
      </c>
      <c r="G46" s="180">
        <v>44603</v>
      </c>
      <c r="H46" s="180"/>
    </row>
    <row r="47" spans="1:8" x14ac:dyDescent="0.25">
      <c r="A47" s="169" t="s">
        <v>44</v>
      </c>
      <c r="B47" s="169"/>
      <c r="C47" s="166" t="str">
        <f>C46</f>
        <v>V.P.S11/0181/18/TMC/TDD/3961/22</v>
      </c>
      <c r="D47" s="166"/>
      <c r="E47" s="166"/>
      <c r="F47" s="28" t="s">
        <v>43</v>
      </c>
      <c r="G47" s="180">
        <f>G46</f>
        <v>44603</v>
      </c>
      <c r="H47" s="180"/>
    </row>
    <row r="48" spans="1:8" s="35" customFormat="1" x14ac:dyDescent="0.25">
      <c r="A48" s="166" t="s">
        <v>45</v>
      </c>
      <c r="B48" s="166"/>
      <c r="C48" s="166" t="s">
        <v>224</v>
      </c>
      <c r="D48" s="166"/>
      <c r="E48" s="166"/>
      <c r="F48" s="34" t="s">
        <v>43</v>
      </c>
      <c r="G48" s="180">
        <v>43784</v>
      </c>
      <c r="H48" s="180"/>
    </row>
    <row r="49" spans="1:14" s="35" customFormat="1" ht="79.5" customHeight="1" x14ac:dyDescent="0.25">
      <c r="A49" s="166"/>
      <c r="B49" s="166"/>
      <c r="C49" s="197" t="s">
        <v>249</v>
      </c>
      <c r="D49" s="198"/>
      <c r="E49" s="198"/>
      <c r="F49" s="198"/>
      <c r="G49" s="198"/>
      <c r="H49" s="199"/>
    </row>
    <row r="50" spans="1:14" x14ac:dyDescent="0.25">
      <c r="A50" s="116" t="s">
        <v>46</v>
      </c>
      <c r="B50" s="116"/>
      <c r="C50" s="116" t="s">
        <v>118</v>
      </c>
      <c r="D50" s="185"/>
      <c r="E50" s="185" t="s">
        <v>47</v>
      </c>
      <c r="F50" s="29" t="s">
        <v>43</v>
      </c>
      <c r="G50" s="196" t="s">
        <v>30</v>
      </c>
      <c r="H50" s="196"/>
    </row>
    <row r="51" spans="1:14" x14ac:dyDescent="0.25">
      <c r="A51" s="237" t="s">
        <v>49</v>
      </c>
      <c r="B51" s="237"/>
      <c r="C51" s="237"/>
      <c r="D51" s="237"/>
      <c r="E51" s="237"/>
      <c r="F51" s="237"/>
      <c r="G51" s="237"/>
      <c r="H51" s="237"/>
    </row>
    <row r="52" spans="1:14" x14ac:dyDescent="0.25">
      <c r="A52" s="166" t="s">
        <v>103</v>
      </c>
      <c r="B52" s="166"/>
      <c r="C52" s="166"/>
      <c r="D52" s="169">
        <f>E43</f>
        <v>99501.93</v>
      </c>
      <c r="E52" s="169"/>
      <c r="F52" s="169"/>
      <c r="G52" s="169"/>
      <c r="H52" s="169"/>
    </row>
    <row r="53" spans="1:14" x14ac:dyDescent="0.25">
      <c r="A53" s="166" t="s">
        <v>50</v>
      </c>
      <c r="B53" s="169"/>
      <c r="C53" s="169"/>
      <c r="D53" s="169" t="s">
        <v>217</v>
      </c>
      <c r="E53" s="169"/>
      <c r="F53" s="169"/>
      <c r="G53" s="169"/>
      <c r="H53" s="169"/>
      <c r="I53" s="36"/>
    </row>
    <row r="54" spans="1:14" ht="49.5" customHeight="1" x14ac:dyDescent="0.25">
      <c r="A54" s="177" t="s">
        <v>51</v>
      </c>
      <c r="B54" s="178"/>
      <c r="C54" s="179"/>
      <c r="D54" s="175" t="s">
        <v>219</v>
      </c>
      <c r="E54" s="176"/>
      <c r="F54" s="176"/>
      <c r="G54" s="176"/>
      <c r="H54" s="176"/>
      <c r="I54" s="37"/>
    </row>
    <row r="55" spans="1:14" ht="15.75" customHeight="1" x14ac:dyDescent="0.25">
      <c r="A55" s="166" t="s">
        <v>101</v>
      </c>
      <c r="B55" s="166"/>
      <c r="C55" s="166"/>
      <c r="D55" s="169" t="s">
        <v>264</v>
      </c>
      <c r="E55" s="169"/>
      <c r="F55" s="169"/>
      <c r="G55" s="169"/>
      <c r="H55" s="169"/>
      <c r="I55" s="37"/>
    </row>
    <row r="56" spans="1:14" ht="15.75" customHeight="1" x14ac:dyDescent="0.25">
      <c r="A56" s="166"/>
      <c r="B56" s="166"/>
      <c r="C56" s="166"/>
      <c r="D56" s="169" t="s">
        <v>220</v>
      </c>
      <c r="E56" s="169"/>
      <c r="F56" s="169"/>
      <c r="G56" s="169"/>
      <c r="H56" s="169"/>
      <c r="I56" s="37"/>
    </row>
    <row r="57" spans="1:14" ht="15.75" customHeight="1" x14ac:dyDescent="0.25">
      <c r="A57" s="166"/>
      <c r="B57" s="166"/>
      <c r="C57" s="166"/>
      <c r="D57" s="169" t="s">
        <v>221</v>
      </c>
      <c r="E57" s="169"/>
      <c r="F57" s="169"/>
      <c r="G57" s="169"/>
      <c r="H57" s="169"/>
      <c r="I57" s="37"/>
    </row>
    <row r="58" spans="1:14" ht="15.75" customHeight="1" x14ac:dyDescent="0.25">
      <c r="A58" s="114" t="s">
        <v>48</v>
      </c>
      <c r="B58" s="114"/>
      <c r="C58" s="114"/>
      <c r="D58" s="167" t="s">
        <v>176</v>
      </c>
      <c r="E58" s="167"/>
      <c r="F58" s="167"/>
      <c r="G58" s="167"/>
      <c r="H58" s="167"/>
      <c r="J58" s="38"/>
      <c r="K58" s="36"/>
      <c r="N58" s="36"/>
    </row>
    <row r="59" spans="1:14" ht="15.75" customHeight="1" x14ac:dyDescent="0.25">
      <c r="A59" s="114" t="s">
        <v>99</v>
      </c>
      <c r="B59" s="114"/>
      <c r="C59" s="114"/>
      <c r="D59" s="186" t="str">
        <f>(IF(G50="NA","60 Years After Completion",IF(G50&lt;&gt;"NA",""&amp;60-ROUNDDOWN((E3-G50)/360,0)&amp;" Years"," ")))</f>
        <v>60 Years After Completion</v>
      </c>
      <c r="E59" s="186"/>
      <c r="F59" s="186"/>
      <c r="G59" s="186"/>
      <c r="H59" s="186"/>
      <c r="N59" s="36"/>
    </row>
    <row r="60" spans="1:14" ht="15.75" customHeight="1" x14ac:dyDescent="0.25">
      <c r="A60" s="114" t="s">
        <v>100</v>
      </c>
      <c r="B60" s="114"/>
      <c r="C60" s="114"/>
      <c r="D60" s="167" t="s">
        <v>24</v>
      </c>
      <c r="E60" s="167"/>
      <c r="F60" s="167"/>
      <c r="G60" s="167"/>
      <c r="H60" s="167"/>
      <c r="J60" s="39"/>
      <c r="K60" s="39"/>
    </row>
    <row r="61" spans="1:14" ht="15.75" customHeight="1" thickBot="1" x14ac:dyDescent="0.3">
      <c r="A61" s="114" t="s">
        <v>98</v>
      </c>
      <c r="B61" s="114"/>
      <c r="C61" s="114"/>
      <c r="D61" s="166" t="str">
        <f ca="1">(IF(G66&gt;95%,"Nothing",IF(G66&gt;0%,"Cement, Aggregate, Steel, etc",IF(G66=0%,"Work not yet Started"))))</f>
        <v>Cement, Aggregate, Steel, etc</v>
      </c>
      <c r="E61" s="166"/>
      <c r="F61" s="166"/>
      <c r="G61" s="166"/>
      <c r="H61" s="166"/>
      <c r="J61" s="39"/>
    </row>
    <row r="62" spans="1:14" ht="15.75" customHeight="1" x14ac:dyDescent="0.25">
      <c r="A62" s="216" t="s">
        <v>155</v>
      </c>
      <c r="B62" s="216"/>
      <c r="C62" s="216" t="s">
        <v>259</v>
      </c>
      <c r="D62" s="216"/>
      <c r="E62" s="216"/>
      <c r="F62" s="216"/>
      <c r="G62" s="216"/>
      <c r="H62" s="216"/>
      <c r="I62" s="16" t="str">
        <f ca="1">(IF(E66&gt;99%,"All work completed. Please provide OC.",IF(E66&gt;89.8%,"Plinth, RCC, Brick, Plaster, Flooring, Painting work Completed. Finishing work is in process.",IF(E66&lt;94%,(IF(C66=0,"Work not yet Started.",IF(D66=25%,"Piling work in process",IF(D66=50%,"Excavation work in process",IF(D66=100%,"Excavation work Completed. ","0")))&amp;(IF(C67=0%,"",IF(C67=J68,"Footing work is process",IF(C67=J69,"Footing work Completed",IF(C67=J70,"1st Basement Completed",IF(C67=J71,"1st &amp; 2nd Basement Completed",IF(C67=J72,"1st to 3rd Basement Completed",IF(C67=J73,"1st to 4th Basement Completed",IF(C67=J74,"Plinth work is process",IF(C67=J75,"Plinth work completed","0")))))))))))&amp;(IF(C68=(D63+F63+H63),", RCC Slab",IF(C68&gt;0,", RCC upto "&amp;C68&amp;" Slab",""))&amp;(IF(C69=H63,", Brickwork",IF(C69&gt;0,", Brickwork upto "&amp;C69&amp;" Floor",""))&amp;(IF(C70=H63,", Internal Plaster",IF(C70&gt;0,", Internal Plaster upto "&amp;C70&amp;" Floor",""))&amp;(IF(C71=H63,", External Plaster",IF(C71&gt;0,", External Plaster upto "&amp;C71&amp;" Floor",""))&amp;(IF(C72=H63,", Flooring",IF(C72&gt;0,", Flooring upto "&amp;C72&amp;" Floor",""))&amp;(IF(C73=H63,", Painting",IF(C73&gt;0,", Painting upto "&amp;C73&amp;" Floor",""))&amp;(IF(C74&gt;0,", Finishing upto "&amp;C74&amp;" Floor","")&amp;(IF(C68&gt;0.5," Completed",""))))))))))))))</f>
        <v>Excavation work Completed. Plinth work completed, RCC upto 19 Slab, Brickwork upto 18 Floor, Internal Plaster upto 13.5 Floor, External Plaster upto 12.6 Floor Completed</v>
      </c>
      <c r="J62" s="40"/>
    </row>
    <row r="63" spans="1:14" x14ac:dyDescent="0.25">
      <c r="A63" s="19" t="s">
        <v>157</v>
      </c>
      <c r="B63" s="19">
        <v>0</v>
      </c>
      <c r="C63" s="19" t="s">
        <v>79</v>
      </c>
      <c r="D63" s="19">
        <v>1</v>
      </c>
      <c r="E63" s="19" t="s">
        <v>78</v>
      </c>
      <c r="F63" s="19">
        <v>0</v>
      </c>
      <c r="G63" s="19" t="s">
        <v>92</v>
      </c>
      <c r="H63" s="19">
        <f ca="1">--TRIM(RIGHT(SUBSTITUTE(LEFT(C62,_xlfn.AGGREGATE(16,6,FIND({0,1,2,3,4,5,6,7,8,9},C62,ROW(INDIRECT("1:"&amp;LEN(C62)))),1))," ",REPT(" ",LEN(C62))),LEN(C62)))</f>
        <v>30</v>
      </c>
      <c r="I63" s="17"/>
      <c r="J63" s="41"/>
    </row>
    <row r="64" spans="1:14" ht="47.1" customHeight="1" x14ac:dyDescent="0.25">
      <c r="A64" s="92" t="s">
        <v>102</v>
      </c>
      <c r="B64" s="92"/>
      <c r="C64" s="91" t="str">
        <f ca="1">I62</f>
        <v>Excavation work Completed. Plinth work completed, RCC upto 19 Slab, Brickwork upto 18 Floor, Internal Plaster upto 13.5 Floor, External Plaster upto 12.6 Floor Completed</v>
      </c>
      <c r="D64" s="91"/>
      <c r="E64" s="91"/>
      <c r="F64" s="91"/>
      <c r="G64" s="91"/>
      <c r="H64" s="91"/>
      <c r="I64" s="17" t="s">
        <v>117</v>
      </c>
      <c r="J64" s="41"/>
    </row>
    <row r="65" spans="1:10" ht="15.75" customHeight="1" x14ac:dyDescent="0.25">
      <c r="A65" s="107" t="s">
        <v>52</v>
      </c>
      <c r="B65" s="93"/>
      <c r="C65" s="25" t="s">
        <v>154</v>
      </c>
      <c r="D65" s="25" t="s">
        <v>95</v>
      </c>
      <c r="E65" s="93" t="s">
        <v>97</v>
      </c>
      <c r="F65" s="93"/>
      <c r="G65" s="93" t="s">
        <v>96</v>
      </c>
      <c r="H65" s="108"/>
      <c r="I65" s="21" t="s">
        <v>156</v>
      </c>
      <c r="J65" s="42">
        <f ca="1">H63*25%</f>
        <v>7.5</v>
      </c>
    </row>
    <row r="66" spans="1:10" x14ac:dyDescent="0.25">
      <c r="A66" s="107" t="s">
        <v>143</v>
      </c>
      <c r="B66" s="93"/>
      <c r="C66" s="43">
        <f ca="1">J67</f>
        <v>30</v>
      </c>
      <c r="D66" s="44">
        <f ca="1">((100/H63)*C66)/100</f>
        <v>1</v>
      </c>
      <c r="E66" s="94">
        <f ca="1">(((C67/H63*10)+(40/(D63+F63+H63)*C68)+(7.5/(H63)*C69)+(7.5/(H63)*C70)+(10/H63*C71)+(10/H63*C72)+(5/H63*C73)+(5/H63*C74)+(5/H63*C75))/100)</f>
        <v>0.46591129032258066</v>
      </c>
      <c r="F66" s="94"/>
      <c r="G66" s="94">
        <f ca="1">((((C66/H63)*20)+((C67/H63)*25)+(30/(H63+F63+D63)*C68)+(5/H63*C69)+(5/H63*C70)+(5/H63*C71)+(5/H63*C72)+(0/H63*C73)+(0/H63*C74)+(5/H63*C75))/100)</f>
        <v>0.70737096774193542</v>
      </c>
      <c r="H66" s="110"/>
      <c r="I66" s="21" t="s">
        <v>112</v>
      </c>
      <c r="J66" s="45">
        <f ca="1">H63*50%</f>
        <v>15</v>
      </c>
    </row>
    <row r="67" spans="1:10" x14ac:dyDescent="0.25">
      <c r="A67" s="107" t="s">
        <v>53</v>
      </c>
      <c r="B67" s="93"/>
      <c r="C67" s="46">
        <f ca="1">J75</f>
        <v>30</v>
      </c>
      <c r="D67" s="44">
        <f ca="1">((100/H63)*C67)/100</f>
        <v>1</v>
      </c>
      <c r="E67" s="94"/>
      <c r="F67" s="94"/>
      <c r="G67" s="94"/>
      <c r="H67" s="110"/>
      <c r="I67" s="21" t="s">
        <v>113</v>
      </c>
      <c r="J67" s="45">
        <f ca="1">H63</f>
        <v>30</v>
      </c>
    </row>
    <row r="68" spans="1:10" ht="15.75" customHeight="1" x14ac:dyDescent="0.25">
      <c r="A68" s="107" t="s">
        <v>144</v>
      </c>
      <c r="B68" s="93"/>
      <c r="C68" s="46">
        <v>19</v>
      </c>
      <c r="D68" s="44">
        <f ca="1">((100/(D63+F63+H63))*C68)/100</f>
        <v>0.61290322580645162</v>
      </c>
      <c r="E68" s="94"/>
      <c r="F68" s="94"/>
      <c r="G68" s="94"/>
      <c r="H68" s="110"/>
      <c r="I68" s="21" t="s">
        <v>114</v>
      </c>
      <c r="J68" s="47">
        <f ca="1">(IF(B63&gt;1,(H63/(B63+2)),H63/4))</f>
        <v>7.5</v>
      </c>
    </row>
    <row r="69" spans="1:10" ht="15.75" customHeight="1" x14ac:dyDescent="0.25">
      <c r="A69" s="107" t="s">
        <v>151</v>
      </c>
      <c r="B69" s="93" t="s">
        <v>145</v>
      </c>
      <c r="C69" s="46">
        <f>C68-1</f>
        <v>18</v>
      </c>
      <c r="D69" s="44">
        <f ca="1">((100/H63)*C69)/100</f>
        <v>0.6</v>
      </c>
      <c r="E69" s="94"/>
      <c r="F69" s="94"/>
      <c r="G69" s="94"/>
      <c r="H69" s="110"/>
      <c r="I69" s="21" t="s">
        <v>115</v>
      </c>
      <c r="J69" s="47">
        <f ca="1">(IF(B63&gt;1,(H63/(B63+2)+J68),H63/4+J68))</f>
        <v>15</v>
      </c>
    </row>
    <row r="70" spans="1:10" ht="15.75" customHeight="1" x14ac:dyDescent="0.25">
      <c r="A70" s="107" t="s">
        <v>152</v>
      </c>
      <c r="B70" s="93" t="s">
        <v>145</v>
      </c>
      <c r="C70" s="46">
        <f>C69*0.75</f>
        <v>13.5</v>
      </c>
      <c r="D70" s="44">
        <f ca="1">((100/H63)*C70)/100</f>
        <v>0.45</v>
      </c>
      <c r="E70" s="94"/>
      <c r="F70" s="94"/>
      <c r="G70" s="94"/>
      <c r="H70" s="110"/>
      <c r="I70" s="21" t="s">
        <v>161</v>
      </c>
      <c r="J70" s="47">
        <f>(IF(B63&gt;1,(H63/(B63+2)+J69),0))</f>
        <v>0</v>
      </c>
    </row>
    <row r="71" spans="1:10" ht="15" customHeight="1" x14ac:dyDescent="0.25">
      <c r="A71" s="107" t="s">
        <v>150</v>
      </c>
      <c r="B71" s="93" t="s">
        <v>147</v>
      </c>
      <c r="C71" s="46">
        <f>C69*0.7</f>
        <v>12.6</v>
      </c>
      <c r="D71" s="44">
        <f ca="1">((100/(H63))*C71)/100</f>
        <v>0.42</v>
      </c>
      <c r="E71" s="94"/>
      <c r="F71" s="94"/>
      <c r="G71" s="94"/>
      <c r="H71" s="110"/>
      <c r="I71" s="21" t="s">
        <v>158</v>
      </c>
      <c r="J71" s="47">
        <f>(IF(B63&gt;2,(H63/(B63+2)+J70),0))</f>
        <v>0</v>
      </c>
    </row>
    <row r="72" spans="1:10" ht="15.75" customHeight="1" x14ac:dyDescent="0.25">
      <c r="A72" s="107" t="s">
        <v>146</v>
      </c>
      <c r="B72" s="93" t="s">
        <v>146</v>
      </c>
      <c r="C72" s="43">
        <v>0</v>
      </c>
      <c r="D72" s="44">
        <f ca="1">((100/H63)*C72)/100</f>
        <v>0</v>
      </c>
      <c r="E72" s="94"/>
      <c r="F72" s="94"/>
      <c r="G72" s="94"/>
      <c r="H72" s="110"/>
      <c r="I72" s="21" t="s">
        <v>159</v>
      </c>
      <c r="J72" s="48">
        <f>(IF(B63&gt;3,(H63/(B63+2)+J71),0))</f>
        <v>0</v>
      </c>
    </row>
    <row r="73" spans="1:10" ht="15.75" customHeight="1" x14ac:dyDescent="0.25">
      <c r="A73" s="107" t="s">
        <v>153</v>
      </c>
      <c r="B73" s="93"/>
      <c r="C73" s="43">
        <v>0</v>
      </c>
      <c r="D73" s="44">
        <f ca="1">((100/H63)*C73)/100</f>
        <v>0</v>
      </c>
      <c r="E73" s="94"/>
      <c r="F73" s="94"/>
      <c r="G73" s="94"/>
      <c r="H73" s="110"/>
      <c r="I73" s="21" t="s">
        <v>160</v>
      </c>
      <c r="J73" s="47">
        <f>(IF(B63&gt;4,(H63/(B63+2)+J72),0))</f>
        <v>0</v>
      </c>
    </row>
    <row r="74" spans="1:10" ht="15.75" customHeight="1" x14ac:dyDescent="0.25">
      <c r="A74" s="107" t="s">
        <v>148</v>
      </c>
      <c r="B74" s="93" t="s">
        <v>148</v>
      </c>
      <c r="C74" s="43">
        <v>0</v>
      </c>
      <c r="D74" s="44">
        <f ca="1">((100/(H63))*C74)/100</f>
        <v>0</v>
      </c>
      <c r="E74" s="94"/>
      <c r="F74" s="94"/>
      <c r="G74" s="94"/>
      <c r="H74" s="110"/>
      <c r="I74" s="21" t="s">
        <v>162</v>
      </c>
      <c r="J74" s="47">
        <f ca="1">(IF(B63=1,(H63/(B63+3)+J69),IF(B63=0,(H63/4+J69),IF(B63&gt;1,0))))</f>
        <v>22.5</v>
      </c>
    </row>
    <row r="75" spans="1:10" ht="16.5" thickBot="1" x14ac:dyDescent="0.3">
      <c r="A75" s="112" t="s">
        <v>149</v>
      </c>
      <c r="B75" s="113"/>
      <c r="C75" s="49">
        <v>0</v>
      </c>
      <c r="D75" s="50">
        <f ca="1">((100/(H63))*C75)/100</f>
        <v>0</v>
      </c>
      <c r="E75" s="109"/>
      <c r="F75" s="109"/>
      <c r="G75" s="109"/>
      <c r="H75" s="111"/>
      <c r="I75" s="22" t="s">
        <v>116</v>
      </c>
      <c r="J75" s="51">
        <f ca="1">(IF(B63&gt;1.5,(H63/(B63+2)+J69+MAX(0,J70-J69)+MAX(0,J71-J70)+MAX(0,J72-J71)+MAX(0,J73-J72)+MAX(0,J74-J73)),IF(B63=1,(H63/(B63+3)+J74),IF(B63=0,H63/4+J74))))</f>
        <v>30</v>
      </c>
    </row>
    <row r="76" spans="1:10" ht="15.75" customHeight="1" x14ac:dyDescent="0.25">
      <c r="A76" s="102" t="s">
        <v>155</v>
      </c>
      <c r="B76" s="103"/>
      <c r="C76" s="104" t="s">
        <v>260</v>
      </c>
      <c r="D76" s="105"/>
      <c r="E76" s="105"/>
      <c r="F76" s="105"/>
      <c r="G76" s="105"/>
      <c r="H76" s="106"/>
      <c r="I76" s="16" t="str">
        <f ca="1">(IF(E80&gt;99%,"All work completed. Please provide OC.",IF(E80&gt;89.8%,"Plinth, RCC, Brick, Plaster, Flooring, Painting work Completed. Finishing work is in process.",IF(E80&lt;94%,(IF(C80=0,"Work not yet Started.",IF(D80=25%,"Piling work in process",IF(D80=50%,"Excavation work in process",IF(D80=100%,"Excavation work Completed. ","0")))&amp;(IF(C81=0%,"",IF(C81=J82,"Footing work is process",IF(C81=J83,"Footing work Completed",IF(C81=J84,"1st Basement Completed",IF(C81=J85,"1st &amp; 2nd Basement Completed",IF(C81=J86,"1st to 3rd Basement Completed",IF(C81=J87,"1st to 4th Basement Completed",IF(C81=J88,"Plinth work is process",IF(C81=J89,"Plinth work completed","0")))))))))))&amp;(IF(C82=(D77+F77+H77),", RCC Slab",IF(C82&gt;0,", RCC upto "&amp;C82&amp;" Slab",""))&amp;(IF(C83=H77,", Brickwork",IF(C83&gt;0,", Brickwork upto "&amp;C83&amp;" Floor",""))&amp;(IF(C84=H77,", Internal Plaster",IF(C84&gt;0,", Internal Plaster upto "&amp;C84&amp;" Floor",""))&amp;(IF(C85=H77,", External Plaster",IF(C85&gt;0,", External Plaster upto "&amp;C85&amp;" Floor",""))&amp;(IF(C86=H77,", Flooring",IF(C86&gt;0,", Flooring upto "&amp;C86&amp;" Floor",""))&amp;(IF(C87=H77,", Painting",IF(C87&gt;0,", Painting upto "&amp;C87&amp;" Floor",""))&amp;(IF(C88&gt;0,", Finishing upto "&amp;C88&amp;" Floor","")&amp;(IF(C82&gt;0.5," Completed",""))))))))))))))</f>
        <v>Excavation work Completed. Plinth work completed, RCC upto 24 Slab, Brickwork upto 23 Floor, Internal Plaster upto 17.25 Floor, External Plaster upto 16.1 Floor Completed</v>
      </c>
      <c r="J76" s="40"/>
    </row>
    <row r="77" spans="1:10" x14ac:dyDescent="0.25">
      <c r="A77" s="18" t="s">
        <v>157</v>
      </c>
      <c r="B77" s="19">
        <v>0</v>
      </c>
      <c r="C77" s="19" t="s">
        <v>79</v>
      </c>
      <c r="D77" s="19">
        <v>1</v>
      </c>
      <c r="E77" s="19" t="s">
        <v>78</v>
      </c>
      <c r="F77" s="19">
        <v>0</v>
      </c>
      <c r="G77" s="19" t="s">
        <v>92</v>
      </c>
      <c r="H77" s="20">
        <f ca="1">--TRIM(RIGHT(SUBSTITUTE(LEFT(C76,_xlfn.AGGREGATE(16,6,FIND({0,1,2,3,4,5,6,7,8,9},C76,ROW(INDIRECT("1:"&amp;LEN(C76)))),1))," ",REPT(" ",LEN(C76))),LEN(C76)))</f>
        <v>30</v>
      </c>
      <c r="I77" s="17"/>
      <c r="J77" s="41"/>
    </row>
    <row r="78" spans="1:10" ht="47.1" customHeight="1" x14ac:dyDescent="0.25">
      <c r="A78" s="100" t="s">
        <v>102</v>
      </c>
      <c r="B78" s="92"/>
      <c r="C78" s="91" t="str">
        <f ca="1">I76</f>
        <v>Excavation work Completed. Plinth work completed, RCC upto 24 Slab, Brickwork upto 23 Floor, Internal Plaster upto 17.25 Floor, External Plaster upto 16.1 Floor Completed</v>
      </c>
      <c r="D78" s="91"/>
      <c r="E78" s="91"/>
      <c r="F78" s="91"/>
      <c r="G78" s="91"/>
      <c r="H78" s="101"/>
      <c r="I78" s="17" t="s">
        <v>117</v>
      </c>
      <c r="J78" s="41"/>
    </row>
    <row r="79" spans="1:10" ht="15.75" customHeight="1" x14ac:dyDescent="0.25">
      <c r="A79" s="107" t="s">
        <v>52</v>
      </c>
      <c r="B79" s="93"/>
      <c r="C79" s="79" t="s">
        <v>154</v>
      </c>
      <c r="D79" s="79" t="s">
        <v>95</v>
      </c>
      <c r="E79" s="93" t="s">
        <v>97</v>
      </c>
      <c r="F79" s="93"/>
      <c r="G79" s="93" t="s">
        <v>96</v>
      </c>
      <c r="H79" s="108"/>
      <c r="I79" s="21" t="s">
        <v>156</v>
      </c>
      <c r="J79" s="42">
        <f ca="1">H77*25%</f>
        <v>7.5</v>
      </c>
    </row>
    <row r="80" spans="1:10" x14ac:dyDescent="0.25">
      <c r="A80" s="107" t="s">
        <v>143</v>
      </c>
      <c r="B80" s="93"/>
      <c r="C80" s="43">
        <f ca="1">J81</f>
        <v>30</v>
      </c>
      <c r="D80" s="80">
        <f ca="1">((100/H77)*C80)/100</f>
        <v>1</v>
      </c>
      <c r="E80" s="94">
        <f ca="1">(((C81/H77*10)+(40/(D77+F77+H77)*C82)+(7.5/(H77)*C83)+(7.5/(H77)*C84)+(10/H77*C85)+(10/H77*C86)+(5/H77*C87)+(5/H77*C88)+(5/H77*C89))/100)</f>
        <v>0.56396908602150542</v>
      </c>
      <c r="F80" s="94"/>
      <c r="G80" s="94">
        <f ca="1">((((C80/H77)*20)+((C81/H77)*25)+(30/(H77+F77+D77)*C82)+(5/H77*C83)+(5/H77*C84)+(5/H77*C85)+(5/H77*C86)+(0/H77*C87)+(0/H77*C88)+(5/H77*C89))/100)</f>
        <v>0.77617473118279567</v>
      </c>
      <c r="H80" s="110"/>
      <c r="I80" s="21" t="s">
        <v>112</v>
      </c>
      <c r="J80" s="45">
        <f ca="1">H77*50%</f>
        <v>15</v>
      </c>
    </row>
    <row r="81" spans="1:10" x14ac:dyDescent="0.25">
      <c r="A81" s="107" t="s">
        <v>53</v>
      </c>
      <c r="B81" s="93"/>
      <c r="C81" s="46">
        <f ca="1">J89</f>
        <v>30</v>
      </c>
      <c r="D81" s="80">
        <f ca="1">((100/H77)*C81)/100</f>
        <v>1</v>
      </c>
      <c r="E81" s="94"/>
      <c r="F81" s="94"/>
      <c r="G81" s="94"/>
      <c r="H81" s="110"/>
      <c r="I81" s="21" t="s">
        <v>113</v>
      </c>
      <c r="J81" s="45">
        <f ca="1">H77</f>
        <v>30</v>
      </c>
    </row>
    <row r="82" spans="1:10" ht="15.75" customHeight="1" x14ac:dyDescent="0.25">
      <c r="A82" s="107" t="s">
        <v>144</v>
      </c>
      <c r="B82" s="93"/>
      <c r="C82" s="46">
        <v>24</v>
      </c>
      <c r="D82" s="80">
        <f ca="1">((100/(D77+F77+H77))*C82)/100</f>
        <v>0.77419354838709664</v>
      </c>
      <c r="E82" s="94"/>
      <c r="F82" s="94"/>
      <c r="G82" s="94"/>
      <c r="H82" s="110"/>
      <c r="I82" s="21" t="s">
        <v>114</v>
      </c>
      <c r="J82" s="47">
        <f ca="1">(IF(B77&gt;1,(H77/(B77+2)),H77/4))</f>
        <v>7.5</v>
      </c>
    </row>
    <row r="83" spans="1:10" ht="15.75" customHeight="1" x14ac:dyDescent="0.25">
      <c r="A83" s="107" t="s">
        <v>151</v>
      </c>
      <c r="B83" s="93" t="s">
        <v>145</v>
      </c>
      <c r="C83" s="46">
        <f>C82-1</f>
        <v>23</v>
      </c>
      <c r="D83" s="80">
        <f ca="1">((100/H77)*C83)/100</f>
        <v>0.76666666666666672</v>
      </c>
      <c r="E83" s="94"/>
      <c r="F83" s="94"/>
      <c r="G83" s="94"/>
      <c r="H83" s="110"/>
      <c r="I83" s="21" t="s">
        <v>115</v>
      </c>
      <c r="J83" s="47">
        <f ca="1">(IF(B77&gt;1,(H77/(B77+2)+J82),H77/4+J82))</f>
        <v>15</v>
      </c>
    </row>
    <row r="84" spans="1:10" ht="15.75" customHeight="1" x14ac:dyDescent="0.25">
      <c r="A84" s="107" t="s">
        <v>152</v>
      </c>
      <c r="B84" s="93" t="s">
        <v>145</v>
      </c>
      <c r="C84" s="46">
        <f>C83*0.75</f>
        <v>17.25</v>
      </c>
      <c r="D84" s="80">
        <f ca="1">((100/H77)*C84)/100</f>
        <v>0.57499999999999996</v>
      </c>
      <c r="E84" s="94"/>
      <c r="F84" s="94"/>
      <c r="G84" s="94"/>
      <c r="H84" s="110"/>
      <c r="I84" s="21" t="s">
        <v>161</v>
      </c>
      <c r="J84" s="47">
        <f>(IF(B77&gt;1,(H77/(B77+2)+J83),0))</f>
        <v>0</v>
      </c>
    </row>
    <row r="85" spans="1:10" ht="15" customHeight="1" x14ac:dyDescent="0.25">
      <c r="A85" s="107" t="s">
        <v>150</v>
      </c>
      <c r="B85" s="93" t="s">
        <v>147</v>
      </c>
      <c r="C85" s="46">
        <f>C83*0.7</f>
        <v>16.099999999999998</v>
      </c>
      <c r="D85" s="80">
        <f ca="1">((100/(H77))*C85)/100</f>
        <v>0.53666666666666663</v>
      </c>
      <c r="E85" s="94"/>
      <c r="F85" s="94"/>
      <c r="G85" s="94"/>
      <c r="H85" s="110"/>
      <c r="I85" s="21" t="s">
        <v>158</v>
      </c>
      <c r="J85" s="47">
        <f>(IF(B77&gt;2,(H77/(B77+2)+J84),0))</f>
        <v>0</v>
      </c>
    </row>
    <row r="86" spans="1:10" ht="15.75" customHeight="1" x14ac:dyDescent="0.25">
      <c r="A86" s="107" t="s">
        <v>146</v>
      </c>
      <c r="B86" s="93" t="s">
        <v>146</v>
      </c>
      <c r="C86" s="43">
        <v>0</v>
      </c>
      <c r="D86" s="80">
        <f ca="1">((100/H77)*C86)/100</f>
        <v>0</v>
      </c>
      <c r="E86" s="94"/>
      <c r="F86" s="94"/>
      <c r="G86" s="94"/>
      <c r="H86" s="110"/>
      <c r="I86" s="21" t="s">
        <v>159</v>
      </c>
      <c r="J86" s="48">
        <f>(IF(B77&gt;3,(H77/(B77+2)+J85),0))</f>
        <v>0</v>
      </c>
    </row>
    <row r="87" spans="1:10" ht="15.75" customHeight="1" x14ac:dyDescent="0.25">
      <c r="A87" s="107" t="s">
        <v>153</v>
      </c>
      <c r="B87" s="93"/>
      <c r="C87" s="43">
        <v>0</v>
      </c>
      <c r="D87" s="80">
        <f ca="1">((100/H77)*C87)/100</f>
        <v>0</v>
      </c>
      <c r="E87" s="94"/>
      <c r="F87" s="94"/>
      <c r="G87" s="94"/>
      <c r="H87" s="110"/>
      <c r="I87" s="21" t="s">
        <v>160</v>
      </c>
      <c r="J87" s="47">
        <f>(IF(B77&gt;4,(H77/(B77+2)+J86),0))</f>
        <v>0</v>
      </c>
    </row>
    <row r="88" spans="1:10" ht="15.75" customHeight="1" x14ac:dyDescent="0.25">
      <c r="A88" s="107" t="s">
        <v>148</v>
      </c>
      <c r="B88" s="93" t="s">
        <v>148</v>
      </c>
      <c r="C88" s="43">
        <v>0</v>
      </c>
      <c r="D88" s="80">
        <f ca="1">((100/(H77))*C88)/100</f>
        <v>0</v>
      </c>
      <c r="E88" s="94"/>
      <c r="F88" s="94"/>
      <c r="G88" s="94"/>
      <c r="H88" s="110"/>
      <c r="I88" s="21" t="s">
        <v>162</v>
      </c>
      <c r="J88" s="47">
        <f ca="1">(IF(B77=1,(H77/(B77+3)+J83),IF(B77=0,(H77/4+J83),IF(B77&gt;1,0))))</f>
        <v>22.5</v>
      </c>
    </row>
    <row r="89" spans="1:10" ht="16.5" thickBot="1" x14ac:dyDescent="0.3">
      <c r="A89" s="112" t="s">
        <v>149</v>
      </c>
      <c r="B89" s="113"/>
      <c r="C89" s="49">
        <v>0</v>
      </c>
      <c r="D89" s="81">
        <f ca="1">((100/(H77))*C89)/100</f>
        <v>0</v>
      </c>
      <c r="E89" s="109"/>
      <c r="F89" s="109"/>
      <c r="G89" s="109"/>
      <c r="H89" s="111"/>
      <c r="I89" s="22" t="s">
        <v>116</v>
      </c>
      <c r="J89" s="51">
        <f ca="1">(IF(B77&gt;1.5,(H77/(B77+2)+J83+MAX(0,J84-J83)+MAX(0,J85-J84)+MAX(0,J86-J85)+MAX(0,J87-J86)+MAX(0,J88-J87)),IF(B77=1,(H77/(B77+3)+J88),IF(B77=0,H77/4+J88))))</f>
        <v>30</v>
      </c>
    </row>
    <row r="90" spans="1:10" ht="15.75" customHeight="1" x14ac:dyDescent="0.25">
      <c r="A90" s="95" t="s">
        <v>155</v>
      </c>
      <c r="B90" s="96"/>
      <c r="C90" s="97" t="s">
        <v>250</v>
      </c>
      <c r="D90" s="98"/>
      <c r="E90" s="98"/>
      <c r="F90" s="98"/>
      <c r="G90" s="98"/>
      <c r="H90" s="99"/>
      <c r="I90" s="16" t="str">
        <f ca="1">(IF(E94&gt;99%,"All work completed. Please provide OC.",IF(E94&gt;89.8%,"Plinth, RCC, Brick, Plaster, Flooring, Painting work Completed. Finishing work is in process.",IF(E94&lt;94%,(IF(C94=0,"Work not yet Started.",IF(D94=25%,"Piling work in process",IF(D94=50%,"Excavation work in process",IF(D94=100%,"Excavation work Completed. ","0")))&amp;(IF(C95=0%,"",IF(C95=J96,"Footing work is process",IF(C95=J97,"Footing work Completed",IF(C95=J98,"1st Basement Completed",IF(C95=J99,"1st &amp; 2nd Basement Completed",IF(C95=J100,"1st to 3rd Basement Completed",IF(C95=J101,"1st to 4th Basement Completed",IF(C95=J102,"Plinth work is process",IF(C95=J103,"Plinth work completed","0")))))))))))&amp;(IF(C96=(D91+F91+H91),", RCC Slab",IF(C96&gt;0,", RCC upto "&amp;C96&amp;" Slab",""))&amp;(IF(C97=H91,", Brickwork",IF(C97&gt;0,", Brickwork upto "&amp;C97&amp;" Floor",""))&amp;(IF(C98=H91,", Internal Plaster",IF(C98&gt;0,", Internal Plaster upto "&amp;C98&amp;" Floor",""))&amp;(IF(C99=H91,", External Plaster",IF(C99&gt;0,", External Plaster upto "&amp;C99&amp;" Floor",""))&amp;(IF(C100=H91,", Flooring",IF(C100&gt;0,", Flooring upto "&amp;C100&amp;" Floor",""))&amp;(IF(C101=H91,", Painting",IF(C101&gt;0,", Painting upto "&amp;C101&amp;" Floor",""))&amp;(IF(C102&gt;0,", Finishing upto "&amp;C102&amp;" Floor","")&amp;(IF(C96&gt;0.5," Completed",""))))))))))))))</f>
        <v>Excavation work Completed. Plinth work completed, RCC upto 1 Slab Completed</v>
      </c>
      <c r="J90" s="40"/>
    </row>
    <row r="91" spans="1:10" x14ac:dyDescent="0.25">
      <c r="A91" s="18" t="s">
        <v>157</v>
      </c>
      <c r="B91" s="19">
        <v>0</v>
      </c>
      <c r="C91" s="19" t="s">
        <v>79</v>
      </c>
      <c r="D91" s="19">
        <v>1</v>
      </c>
      <c r="E91" s="19" t="s">
        <v>78</v>
      </c>
      <c r="F91" s="19">
        <v>0</v>
      </c>
      <c r="G91" s="19" t="s">
        <v>92</v>
      </c>
      <c r="H91" s="20">
        <f ca="1">--TRIM(RIGHT(SUBSTITUTE(LEFT(C90,_xlfn.AGGREGATE(16,6,FIND({0,1,2,3,4,5,6,7,8,9},C90,ROW(INDIRECT("1:"&amp;LEN(C90)))),1))," ",REPT(" ",LEN(C90))),LEN(C90)))</f>
        <v>25</v>
      </c>
      <c r="I91" s="17"/>
      <c r="J91" s="41"/>
    </row>
    <row r="92" spans="1:10" ht="30.95" customHeight="1" x14ac:dyDescent="0.25">
      <c r="A92" s="100" t="s">
        <v>102</v>
      </c>
      <c r="B92" s="92"/>
      <c r="C92" s="91" t="str">
        <f ca="1">I90</f>
        <v>Excavation work Completed. Plinth work completed, RCC upto 1 Slab Completed</v>
      </c>
      <c r="D92" s="91"/>
      <c r="E92" s="91"/>
      <c r="F92" s="91"/>
      <c r="G92" s="91"/>
      <c r="H92" s="101"/>
      <c r="I92" s="17" t="s">
        <v>117</v>
      </c>
      <c r="J92" s="41"/>
    </row>
    <row r="93" spans="1:10" ht="15.75" customHeight="1" x14ac:dyDescent="0.25">
      <c r="A93" s="107" t="s">
        <v>52</v>
      </c>
      <c r="B93" s="93"/>
      <c r="C93" s="25" t="s">
        <v>154</v>
      </c>
      <c r="D93" s="25" t="s">
        <v>95</v>
      </c>
      <c r="E93" s="93" t="s">
        <v>97</v>
      </c>
      <c r="F93" s="93"/>
      <c r="G93" s="93" t="s">
        <v>96</v>
      </c>
      <c r="H93" s="108"/>
      <c r="I93" s="21" t="s">
        <v>156</v>
      </c>
      <c r="J93" s="42">
        <f ca="1">H91*25%</f>
        <v>6.25</v>
      </c>
    </row>
    <row r="94" spans="1:10" x14ac:dyDescent="0.25">
      <c r="A94" s="107" t="s">
        <v>143</v>
      </c>
      <c r="B94" s="93"/>
      <c r="C94" s="43">
        <f ca="1">J95</f>
        <v>25</v>
      </c>
      <c r="D94" s="44">
        <f ca="1">((100/H91)*C94)/100</f>
        <v>1</v>
      </c>
      <c r="E94" s="94">
        <f ca="1">(((C95/H91*10)+(40/(D91+F91+H91)*C96)+(7.5/(H91)*C97)+(7.5/(H91)*C98)+(10/H91*C99)+(10/H91*C100)+(5/H91*C101)+(5/H91*C102)+(5/H91*C103))/100)</f>
        <v>0.11538461538461538</v>
      </c>
      <c r="F94" s="94"/>
      <c r="G94" s="94">
        <f ca="1">((((C94/H91)*20)+((C95/H91)*25)+(30/(H91+F91+D91)*C96)+(5/H91*C97)+(5/H91*C98)+(5/H91*C99)+(5/H91*C100)+(0/H91*C101)+(0/H91*C102)+(5/H91*C103))/100)</f>
        <v>0.46153846153846151</v>
      </c>
      <c r="H94" s="110"/>
      <c r="I94" s="21" t="s">
        <v>112</v>
      </c>
      <c r="J94" s="45">
        <f ca="1">H91*50%</f>
        <v>12.5</v>
      </c>
    </row>
    <row r="95" spans="1:10" x14ac:dyDescent="0.25">
      <c r="A95" s="107" t="s">
        <v>53</v>
      </c>
      <c r="B95" s="93"/>
      <c r="C95" s="46">
        <f ca="1">J103</f>
        <v>25</v>
      </c>
      <c r="D95" s="44">
        <f ca="1">((100/H91)*C95)/100</f>
        <v>1</v>
      </c>
      <c r="E95" s="94"/>
      <c r="F95" s="94"/>
      <c r="G95" s="94"/>
      <c r="H95" s="110"/>
      <c r="I95" s="21" t="s">
        <v>113</v>
      </c>
      <c r="J95" s="45">
        <f ca="1">H91</f>
        <v>25</v>
      </c>
    </row>
    <row r="96" spans="1:10" ht="15.75" customHeight="1" x14ac:dyDescent="0.25">
      <c r="A96" s="107" t="s">
        <v>144</v>
      </c>
      <c r="B96" s="93"/>
      <c r="C96" s="46">
        <v>1</v>
      </c>
      <c r="D96" s="44">
        <f ca="1">((100/(D91+F91+H91))*C96)/100</f>
        <v>3.8461538461538464E-2</v>
      </c>
      <c r="E96" s="94"/>
      <c r="F96" s="94"/>
      <c r="G96" s="94"/>
      <c r="H96" s="110"/>
      <c r="I96" s="21" t="s">
        <v>114</v>
      </c>
      <c r="J96" s="47">
        <f ca="1">(IF(B91&gt;1,(H91/(B91+2)),H91/4))</f>
        <v>6.25</v>
      </c>
    </row>
    <row r="97" spans="1:12" ht="15.75" customHeight="1" x14ac:dyDescent="0.25">
      <c r="A97" s="107" t="s">
        <v>151</v>
      </c>
      <c r="B97" s="93" t="s">
        <v>145</v>
      </c>
      <c r="C97" s="43">
        <v>0</v>
      </c>
      <c r="D97" s="44">
        <f ca="1">((100/H91)*C97)/100</f>
        <v>0</v>
      </c>
      <c r="E97" s="94"/>
      <c r="F97" s="94"/>
      <c r="G97" s="94"/>
      <c r="H97" s="110"/>
      <c r="I97" s="21" t="s">
        <v>115</v>
      </c>
      <c r="J97" s="47">
        <f ca="1">(IF(B91&gt;1,(H91/(B91+2)+J96),H91/4+J96))</f>
        <v>12.5</v>
      </c>
      <c r="L97" s="32" t="s">
        <v>261</v>
      </c>
    </row>
    <row r="98" spans="1:12" ht="15.75" customHeight="1" x14ac:dyDescent="0.25">
      <c r="A98" s="107" t="s">
        <v>152</v>
      </c>
      <c r="B98" s="93" t="s">
        <v>145</v>
      </c>
      <c r="C98" s="43">
        <v>0</v>
      </c>
      <c r="D98" s="44">
        <f ca="1">((100/H91)*C98)/100</f>
        <v>0</v>
      </c>
      <c r="E98" s="94"/>
      <c r="F98" s="94"/>
      <c r="G98" s="94"/>
      <c r="H98" s="110"/>
      <c r="I98" s="21" t="s">
        <v>161</v>
      </c>
      <c r="J98" s="47">
        <f>(IF(B91&gt;1,(H91/(B91+2)+J97),0))</f>
        <v>0</v>
      </c>
      <c r="L98" s="32" t="s">
        <v>265</v>
      </c>
    </row>
    <row r="99" spans="1:12" ht="15" customHeight="1" x14ac:dyDescent="0.25">
      <c r="A99" s="107" t="s">
        <v>150</v>
      </c>
      <c r="B99" s="93" t="s">
        <v>147</v>
      </c>
      <c r="C99" s="43">
        <v>0</v>
      </c>
      <c r="D99" s="44">
        <f ca="1">((100/(H91))*C99)/100</f>
        <v>0</v>
      </c>
      <c r="E99" s="94"/>
      <c r="F99" s="94"/>
      <c r="G99" s="94"/>
      <c r="H99" s="110"/>
      <c r="I99" s="21" t="s">
        <v>158</v>
      </c>
      <c r="J99" s="47">
        <f>(IF(B91&gt;2,(H91/(B91+2)+J98),0))</f>
        <v>0</v>
      </c>
    </row>
    <row r="100" spans="1:12" ht="15.75" customHeight="1" x14ac:dyDescent="0.25">
      <c r="A100" s="107" t="s">
        <v>146</v>
      </c>
      <c r="B100" s="93" t="s">
        <v>146</v>
      </c>
      <c r="C100" s="43">
        <v>0</v>
      </c>
      <c r="D100" s="44">
        <f ca="1">((100/H91)*C100)/100</f>
        <v>0</v>
      </c>
      <c r="E100" s="94"/>
      <c r="F100" s="94"/>
      <c r="G100" s="94"/>
      <c r="H100" s="110"/>
      <c r="I100" s="21" t="s">
        <v>159</v>
      </c>
      <c r="J100" s="48">
        <f>(IF(B91&gt;3,(H91/(B91+2)+J99),0))</f>
        <v>0</v>
      </c>
    </row>
    <row r="101" spans="1:12" ht="15.75" customHeight="1" x14ac:dyDescent="0.25">
      <c r="A101" s="107" t="s">
        <v>153</v>
      </c>
      <c r="B101" s="93"/>
      <c r="C101" s="43">
        <v>0</v>
      </c>
      <c r="D101" s="44">
        <f ca="1">((100/H91)*C101)/100</f>
        <v>0</v>
      </c>
      <c r="E101" s="94"/>
      <c r="F101" s="94"/>
      <c r="G101" s="94"/>
      <c r="H101" s="110"/>
      <c r="I101" s="21" t="s">
        <v>160</v>
      </c>
      <c r="J101" s="47">
        <f>(IF(B91&gt;4,(H91/(B91+2)+J100),0))</f>
        <v>0</v>
      </c>
    </row>
    <row r="102" spans="1:12" ht="15.75" customHeight="1" x14ac:dyDescent="0.25">
      <c r="A102" s="107" t="s">
        <v>148</v>
      </c>
      <c r="B102" s="93" t="s">
        <v>148</v>
      </c>
      <c r="C102" s="43">
        <v>0</v>
      </c>
      <c r="D102" s="44">
        <f ca="1">((100/(H91))*C102)/100</f>
        <v>0</v>
      </c>
      <c r="E102" s="94"/>
      <c r="F102" s="94"/>
      <c r="G102" s="94"/>
      <c r="H102" s="110"/>
      <c r="I102" s="21" t="s">
        <v>162</v>
      </c>
      <c r="J102" s="47">
        <f ca="1">(IF(B91=1,(H91/(B91+3)+J97),IF(B91=0,(H91/4+J97),IF(B91&gt;1,0))))</f>
        <v>18.75</v>
      </c>
    </row>
    <row r="103" spans="1:12" ht="16.5" thickBot="1" x14ac:dyDescent="0.3">
      <c r="A103" s="112" t="s">
        <v>149</v>
      </c>
      <c r="B103" s="113"/>
      <c r="C103" s="49">
        <v>0</v>
      </c>
      <c r="D103" s="50">
        <f ca="1">((100/(H91))*C103)/100</f>
        <v>0</v>
      </c>
      <c r="E103" s="109"/>
      <c r="F103" s="109"/>
      <c r="G103" s="109"/>
      <c r="H103" s="111"/>
      <c r="I103" s="22" t="s">
        <v>116</v>
      </c>
      <c r="J103" s="51">
        <f ca="1">(IF(B91&gt;1.5,(H91/(B91+2)+J97+MAX(0,J98-J97)+MAX(0,J99-J98)+MAX(0,J100-J99)+MAX(0,J101-J100)+MAX(0,J102-J101)),IF(B91=1,(H91/(B91+3)+J102),IF(B91=0,H91/4+J102))))</f>
        <v>25</v>
      </c>
    </row>
    <row r="104" spans="1:12" ht="15.75" customHeight="1" x14ac:dyDescent="0.25">
      <c r="A104" s="95" t="s">
        <v>155</v>
      </c>
      <c r="B104" s="96"/>
      <c r="C104" s="97" t="s">
        <v>251</v>
      </c>
      <c r="D104" s="98"/>
      <c r="E104" s="98"/>
      <c r="F104" s="98"/>
      <c r="G104" s="98"/>
      <c r="H104" s="99"/>
      <c r="I104" s="16" t="str">
        <f ca="1">(IF(E108&gt;99%,"All work completed. Please provide OC.",IF(E108&gt;89.8%,"Plinth, RCC, Brick, Plaster, Flooring, Painting work Completed. Finishing work is in process.",IF(E108&lt;94%,(IF(C108=0,"Work not yet Started.",IF(D108=25%,"Piling work in process",IF(D108=50%,"Excavation work in process",IF(D108=100%,"Excavation work Completed. ","0")))&amp;(IF(C109=0%,"",IF(C109=J110,"Footing work is process",IF(C109=J111,"Footing work Completed",IF(C109=J112,"1st Basement Completed",IF(C109=J113,"1st &amp; 2nd Basement Completed",IF(C109=J114,"1st to 3rd Basement Completed",IF(C109=J115,"1st to 4th Basement Completed",IF(C109=J116,"Plinth work is process",IF(C109=J117,"Plinth work completed","0")))))))))))&amp;(IF(C110=(D105+F105+H105),", RCC Slab",IF(C110&gt;0,", RCC upto "&amp;C110&amp;" Slab",""))&amp;(IF(C111=H105,", Brickwork",IF(C111&gt;0,", Brickwork upto "&amp;C111&amp;" Floor",""))&amp;(IF(C112=H105,", Internal Plaster",IF(C112&gt;0,", Internal Plaster upto "&amp;C112&amp;" Floor",""))&amp;(IF(C113=H105,", External Plaster",IF(C113&gt;0,", External Plaster upto "&amp;C113&amp;" Floor",""))&amp;(IF(C114=H105,", Flooring",IF(C114&gt;0,", Flooring upto "&amp;C114&amp;" Floor",""))&amp;(IF(C115=H105,", Painting",IF(C115&gt;0,", Painting upto "&amp;C115&amp;" Floor",""))&amp;(IF(C116&gt;0,", Finishing upto "&amp;C116&amp;" Floor","")&amp;(IF(C110&gt;0.5," Completed",""))))))))))))))</f>
        <v>Excavation work Completed. Plinth work completed</v>
      </c>
      <c r="J104" s="40"/>
    </row>
    <row r="105" spans="1:12" x14ac:dyDescent="0.25">
      <c r="A105" s="18" t="s">
        <v>157</v>
      </c>
      <c r="B105" s="19">
        <v>0</v>
      </c>
      <c r="C105" s="19" t="s">
        <v>79</v>
      </c>
      <c r="D105" s="19">
        <v>1</v>
      </c>
      <c r="E105" s="19" t="s">
        <v>78</v>
      </c>
      <c r="F105" s="19">
        <v>0</v>
      </c>
      <c r="G105" s="19" t="s">
        <v>92</v>
      </c>
      <c r="H105" s="20">
        <f ca="1">--TRIM(RIGHT(SUBSTITUTE(LEFT(C104,_xlfn.AGGREGATE(16,6,FIND({0,1,2,3,4,5,6,7,8,9},C104,ROW(INDIRECT("1:"&amp;LEN(C104)))),1))," ",REPT(" ",LEN(C104))),LEN(C104)))</f>
        <v>25</v>
      </c>
      <c r="I105" s="17"/>
      <c r="J105" s="41"/>
    </row>
    <row r="106" spans="1:12" ht="15.75" customHeight="1" x14ac:dyDescent="0.25">
      <c r="A106" s="100" t="s">
        <v>102</v>
      </c>
      <c r="B106" s="92"/>
      <c r="C106" s="91" t="str">
        <f ca="1">I104</f>
        <v>Excavation work Completed. Plinth work completed</v>
      </c>
      <c r="D106" s="91"/>
      <c r="E106" s="91"/>
      <c r="F106" s="91"/>
      <c r="G106" s="91"/>
      <c r="H106" s="101"/>
      <c r="I106" s="17" t="s">
        <v>117</v>
      </c>
      <c r="J106" s="41"/>
    </row>
    <row r="107" spans="1:12" ht="15.75" customHeight="1" x14ac:dyDescent="0.25">
      <c r="A107" s="107" t="s">
        <v>52</v>
      </c>
      <c r="B107" s="93"/>
      <c r="C107" s="71" t="s">
        <v>154</v>
      </c>
      <c r="D107" s="71" t="s">
        <v>95</v>
      </c>
      <c r="E107" s="93" t="s">
        <v>97</v>
      </c>
      <c r="F107" s="93"/>
      <c r="G107" s="93" t="s">
        <v>96</v>
      </c>
      <c r="H107" s="108"/>
      <c r="I107" s="21" t="s">
        <v>156</v>
      </c>
      <c r="J107" s="42">
        <f ca="1">H105*25%</f>
        <v>6.25</v>
      </c>
    </row>
    <row r="108" spans="1:12" x14ac:dyDescent="0.25">
      <c r="A108" s="107" t="s">
        <v>143</v>
      </c>
      <c r="B108" s="93"/>
      <c r="C108" s="43">
        <f ca="1">J109</f>
        <v>25</v>
      </c>
      <c r="D108" s="72">
        <f ca="1">((100/H105)*C108)/100</f>
        <v>1</v>
      </c>
      <c r="E108" s="94">
        <f ca="1">(((C109/H105*10)+(40/(D105+F105+H105)*C110)+(7.5/(H105)*C111)+(7.5/(H105)*C112)+(10/H105*C113)+(10/H105*C114)+(5/H105*C115)+(5/H105*C116)+(5/H105*C117))/100)</f>
        <v>0.1</v>
      </c>
      <c r="F108" s="94"/>
      <c r="G108" s="94">
        <f ca="1">((((C108/H105)*20)+((C109/H105)*25)+(30/(H105+F105+D105)*C110)+(5/H105*C111)+(5/H105*C112)+(5/H105*C113)+(5/H105*C114)+(0/H105*C115)+(0/H105*C116)+(5/H105*C117))/100)</f>
        <v>0.45</v>
      </c>
      <c r="H108" s="110"/>
      <c r="I108" s="21" t="s">
        <v>112</v>
      </c>
      <c r="J108" s="45">
        <f ca="1">H105*50%</f>
        <v>12.5</v>
      </c>
    </row>
    <row r="109" spans="1:12" x14ac:dyDescent="0.25">
      <c r="A109" s="107" t="s">
        <v>53</v>
      </c>
      <c r="B109" s="93"/>
      <c r="C109" s="46">
        <f ca="1">J117</f>
        <v>25</v>
      </c>
      <c r="D109" s="72">
        <f ca="1">((100/H105)*C109)/100</f>
        <v>1</v>
      </c>
      <c r="E109" s="94"/>
      <c r="F109" s="94"/>
      <c r="G109" s="94"/>
      <c r="H109" s="110"/>
      <c r="I109" s="21" t="s">
        <v>113</v>
      </c>
      <c r="J109" s="45">
        <f ca="1">H105</f>
        <v>25</v>
      </c>
    </row>
    <row r="110" spans="1:12" ht="15.75" customHeight="1" x14ac:dyDescent="0.25">
      <c r="A110" s="107" t="s">
        <v>144</v>
      </c>
      <c r="B110" s="93"/>
      <c r="C110" s="46">
        <v>0</v>
      </c>
      <c r="D110" s="72">
        <f ca="1">((100/(D105+F105+H105))*C110)/100</f>
        <v>0</v>
      </c>
      <c r="E110" s="94"/>
      <c r="F110" s="94"/>
      <c r="G110" s="94"/>
      <c r="H110" s="110"/>
      <c r="I110" s="21" t="s">
        <v>114</v>
      </c>
      <c r="J110" s="47">
        <f ca="1">(IF(B105&gt;1,(H105/(B105+2)),H105/4))</f>
        <v>6.25</v>
      </c>
    </row>
    <row r="111" spans="1:12" ht="15.75" customHeight="1" x14ac:dyDescent="0.25">
      <c r="A111" s="107" t="s">
        <v>151</v>
      </c>
      <c r="B111" s="93" t="s">
        <v>145</v>
      </c>
      <c r="C111" s="43">
        <v>0</v>
      </c>
      <c r="D111" s="72">
        <f ca="1">((100/H105)*C111)/100</f>
        <v>0</v>
      </c>
      <c r="E111" s="94"/>
      <c r="F111" s="94"/>
      <c r="G111" s="94"/>
      <c r="H111" s="110"/>
      <c r="I111" s="21" t="s">
        <v>115</v>
      </c>
      <c r="J111" s="47">
        <f ca="1">(IF(B105&gt;1,(H105/(B105+2)+J110),H105/4+J110))</f>
        <v>12.5</v>
      </c>
    </row>
    <row r="112" spans="1:12" ht="15.75" customHeight="1" x14ac:dyDescent="0.25">
      <c r="A112" s="107" t="s">
        <v>152</v>
      </c>
      <c r="B112" s="93" t="s">
        <v>145</v>
      </c>
      <c r="C112" s="43">
        <v>0</v>
      </c>
      <c r="D112" s="72">
        <f ca="1">((100/H105)*C112)/100</f>
        <v>0</v>
      </c>
      <c r="E112" s="94"/>
      <c r="F112" s="94"/>
      <c r="G112" s="94"/>
      <c r="H112" s="110"/>
      <c r="I112" s="21" t="s">
        <v>161</v>
      </c>
      <c r="J112" s="47">
        <f>(IF(B105&gt;1,(H105/(B105+2)+J111),0))</f>
        <v>0</v>
      </c>
    </row>
    <row r="113" spans="1:10" ht="15" customHeight="1" x14ac:dyDescent="0.25">
      <c r="A113" s="107" t="s">
        <v>150</v>
      </c>
      <c r="B113" s="93" t="s">
        <v>147</v>
      </c>
      <c r="C113" s="43">
        <v>0</v>
      </c>
      <c r="D113" s="72">
        <f ca="1">((100/(H105))*C113)/100</f>
        <v>0</v>
      </c>
      <c r="E113" s="94"/>
      <c r="F113" s="94"/>
      <c r="G113" s="94"/>
      <c r="H113" s="110"/>
      <c r="I113" s="21" t="s">
        <v>158</v>
      </c>
      <c r="J113" s="47">
        <f>(IF(B105&gt;2,(H105/(B105+2)+J112),0))</f>
        <v>0</v>
      </c>
    </row>
    <row r="114" spans="1:10" ht="15.75" customHeight="1" x14ac:dyDescent="0.25">
      <c r="A114" s="107" t="s">
        <v>146</v>
      </c>
      <c r="B114" s="93" t="s">
        <v>146</v>
      </c>
      <c r="C114" s="43">
        <v>0</v>
      </c>
      <c r="D114" s="72">
        <f ca="1">((100/H105)*C114)/100</f>
        <v>0</v>
      </c>
      <c r="E114" s="94"/>
      <c r="F114" s="94"/>
      <c r="G114" s="94"/>
      <c r="H114" s="110"/>
      <c r="I114" s="21" t="s">
        <v>159</v>
      </c>
      <c r="J114" s="48">
        <f>(IF(B105&gt;3,(H105/(B105+2)+J113),0))</f>
        <v>0</v>
      </c>
    </row>
    <row r="115" spans="1:10" ht="15.75" customHeight="1" x14ac:dyDescent="0.25">
      <c r="A115" s="107" t="s">
        <v>153</v>
      </c>
      <c r="B115" s="93"/>
      <c r="C115" s="43">
        <v>0</v>
      </c>
      <c r="D115" s="72">
        <f ca="1">((100/H105)*C115)/100</f>
        <v>0</v>
      </c>
      <c r="E115" s="94"/>
      <c r="F115" s="94"/>
      <c r="G115" s="94"/>
      <c r="H115" s="110"/>
      <c r="I115" s="21" t="s">
        <v>160</v>
      </c>
      <c r="J115" s="47">
        <f>(IF(B105&gt;4,(H105/(B105+2)+J114),0))</f>
        <v>0</v>
      </c>
    </row>
    <row r="116" spans="1:10" ht="15.75" customHeight="1" x14ac:dyDescent="0.25">
      <c r="A116" s="107" t="s">
        <v>148</v>
      </c>
      <c r="B116" s="93" t="s">
        <v>148</v>
      </c>
      <c r="C116" s="43">
        <v>0</v>
      </c>
      <c r="D116" s="72">
        <f ca="1">((100/(H105))*C116)/100</f>
        <v>0</v>
      </c>
      <c r="E116" s="94"/>
      <c r="F116" s="94"/>
      <c r="G116" s="94"/>
      <c r="H116" s="110"/>
      <c r="I116" s="21" t="s">
        <v>162</v>
      </c>
      <c r="J116" s="47">
        <f ca="1">(IF(B105=1,(H105/(B105+3)+J111),IF(B105=0,(H105/4+J111),IF(B105&gt;1,0))))</f>
        <v>18.75</v>
      </c>
    </row>
    <row r="117" spans="1:10" ht="16.5" thickBot="1" x14ac:dyDescent="0.3">
      <c r="A117" s="112" t="s">
        <v>149</v>
      </c>
      <c r="B117" s="113"/>
      <c r="C117" s="49">
        <v>0</v>
      </c>
      <c r="D117" s="73">
        <f ca="1">((100/(H105))*C117)/100</f>
        <v>0</v>
      </c>
      <c r="E117" s="109"/>
      <c r="F117" s="109"/>
      <c r="G117" s="109"/>
      <c r="H117" s="111"/>
      <c r="I117" s="22" t="s">
        <v>116</v>
      </c>
      <c r="J117" s="51">
        <f ca="1">(IF(B105&gt;1.5,(H105/(B105+2)+J111+MAX(0,J112-J111)+MAX(0,J113-J112)+MAX(0,J114-J113)+MAX(0,J115-J114)+MAX(0,J116-J115)),IF(B105=1,(H105/(B105+3)+J116),IF(B105=0,H105/4+J116))))</f>
        <v>25</v>
      </c>
    </row>
    <row r="118" spans="1:10" ht="15.75" customHeight="1" x14ac:dyDescent="0.25">
      <c r="A118" s="95" t="s">
        <v>155</v>
      </c>
      <c r="B118" s="96"/>
      <c r="C118" s="97" t="s">
        <v>262</v>
      </c>
      <c r="D118" s="98"/>
      <c r="E118" s="98"/>
      <c r="F118" s="98"/>
      <c r="G118" s="98"/>
      <c r="H118" s="99"/>
      <c r="I118" s="16" t="str">
        <f ca="1">(IF(E122&gt;99%,"All work completed. Please provide OC.",IF(E122&gt;89.8%,"Plinth, RCC, Brick, Plaster, Flooring, Painting work Completed. Finishing work is in process.",IF(E122&lt;94%,(IF(C122=0,"Work not yet Started.",IF(D122=25%,"Piling work in process",IF(D122=50%,"Excavation work in process",IF(D122=100%,"Excavation work Completed. ","0")))&amp;(IF(C123=0%,"",IF(C123=J124,"Footing work is process",IF(C123=J125,"Footing work Completed",IF(C123=J126,"1st Basement Completed",IF(C123=J127,"1st &amp; 2nd Basement Completed",IF(C123=J128,"1st to 3rd Basement Completed",IF(C123=J129,"1st to 4th Basement Completed",IF(C123=J130,"Plinth work is process",IF(C123=J131,"Plinth work completed","0")))))))))))&amp;(IF(C124=(D119+F119+H119),", RCC Slab",IF(C124&gt;0,", RCC upto "&amp;C124&amp;" Slab",""))&amp;(IF(C125=H119,", Brickwork",IF(C125&gt;0,", Brickwork upto "&amp;C125&amp;" Floor",""))&amp;(IF(C126=H119,", Internal Plaster",IF(C126&gt;0,", Internal Plaster upto "&amp;C126&amp;" Floor",""))&amp;(IF(C127=H119,", External Plaster",IF(C127&gt;0,", External Plaster upto "&amp;C127&amp;" Floor",""))&amp;(IF(C128=H119,", Flooring",IF(C128&gt;0,", Flooring upto "&amp;C128&amp;" Floor",""))&amp;(IF(C129=H119,", Painting",IF(C129&gt;0,", Painting upto "&amp;C129&amp;" Floor",""))&amp;(IF(C130&gt;0,", Finishing upto "&amp;C130&amp;" Floor","")&amp;(IF(C124&gt;0.5," Completed",""))))))))))))))</f>
        <v>Excavation work Completed. Plinth work is process</v>
      </c>
      <c r="J118" s="40"/>
    </row>
    <row r="119" spans="1:10" x14ac:dyDescent="0.25">
      <c r="A119" s="18" t="s">
        <v>157</v>
      </c>
      <c r="B119" s="19">
        <v>1</v>
      </c>
      <c r="C119" s="19" t="s">
        <v>79</v>
      </c>
      <c r="D119" s="19">
        <v>1</v>
      </c>
      <c r="E119" s="19" t="s">
        <v>78</v>
      </c>
      <c r="F119" s="19">
        <v>1</v>
      </c>
      <c r="G119" s="19" t="s">
        <v>92</v>
      </c>
      <c r="H119" s="20">
        <f ca="1">--TRIM(RIGHT(SUBSTITUTE(LEFT(C118,_xlfn.AGGREGATE(16,6,FIND({0,1,2,3,4,5,6,7,8,9},C118,ROW(INDIRECT("1:"&amp;LEN(C118)))),1))," ",REPT(" ",LEN(C118))),LEN(C118)))</f>
        <v>30</v>
      </c>
      <c r="I119" s="17"/>
      <c r="J119" s="41"/>
    </row>
    <row r="120" spans="1:10" ht="15.75" customHeight="1" x14ac:dyDescent="0.25">
      <c r="A120" s="100" t="s">
        <v>102</v>
      </c>
      <c r="B120" s="92"/>
      <c r="C120" s="91" t="str">
        <f ca="1">I118</f>
        <v>Excavation work Completed. Plinth work is process</v>
      </c>
      <c r="D120" s="91"/>
      <c r="E120" s="91"/>
      <c r="F120" s="91"/>
      <c r="G120" s="91"/>
      <c r="H120" s="101"/>
      <c r="I120" s="17" t="s">
        <v>117</v>
      </c>
      <c r="J120" s="41"/>
    </row>
    <row r="121" spans="1:10" ht="15.75" customHeight="1" x14ac:dyDescent="0.25">
      <c r="A121" s="107" t="s">
        <v>52</v>
      </c>
      <c r="B121" s="93"/>
      <c r="C121" s="62" t="s">
        <v>154</v>
      </c>
      <c r="D121" s="62" t="s">
        <v>95</v>
      </c>
      <c r="E121" s="93" t="s">
        <v>97</v>
      </c>
      <c r="F121" s="93"/>
      <c r="G121" s="93" t="s">
        <v>96</v>
      </c>
      <c r="H121" s="108"/>
      <c r="I121" s="21" t="s">
        <v>156</v>
      </c>
      <c r="J121" s="42">
        <f ca="1">H119*25%</f>
        <v>7.5</v>
      </c>
    </row>
    <row r="122" spans="1:10" x14ac:dyDescent="0.25">
      <c r="A122" s="107" t="s">
        <v>143</v>
      </c>
      <c r="B122" s="93"/>
      <c r="C122" s="46">
        <f ca="1">J123</f>
        <v>30</v>
      </c>
      <c r="D122" s="63">
        <f ca="1">((100/H119)*C122)/100</f>
        <v>1</v>
      </c>
      <c r="E122" s="94">
        <f ca="1">(((C123/H119*10)+(40/(D119+F119+H119)*C124)+(7.5/(H119)*C125)+(7.5/(H119)*C126)+(10/H119*C127)+(10/H119*C128)+(5/H119*C129)+(5/H119*C130)+(5/H119*C131))/100)</f>
        <v>7.4999999999999997E-2</v>
      </c>
      <c r="F122" s="94"/>
      <c r="G122" s="94">
        <f ca="1">((((C122/H119)*20)+((C123/H119)*25)+(30/(H119+F119+D119)*C124)+(5/H119*C125)+(5/H119*C126)+(5/H119*C127)+(5/H119*C128)+(0/H119*C129)+(0/H119*C130)+(5/H119*C131))/100)</f>
        <v>0.38750000000000001</v>
      </c>
      <c r="H122" s="110"/>
      <c r="I122" s="21" t="s">
        <v>112</v>
      </c>
      <c r="J122" s="45">
        <f ca="1">H119*50%</f>
        <v>15</v>
      </c>
    </row>
    <row r="123" spans="1:10" x14ac:dyDescent="0.25">
      <c r="A123" s="107" t="s">
        <v>53</v>
      </c>
      <c r="B123" s="93"/>
      <c r="C123" s="46">
        <f ca="1">J130</f>
        <v>22.5</v>
      </c>
      <c r="D123" s="63">
        <f ca="1">((100/H119)*C123)/100</f>
        <v>0.75</v>
      </c>
      <c r="E123" s="94"/>
      <c r="F123" s="94"/>
      <c r="G123" s="94"/>
      <c r="H123" s="110"/>
      <c r="I123" s="21" t="s">
        <v>113</v>
      </c>
      <c r="J123" s="45">
        <f ca="1">H119</f>
        <v>30</v>
      </c>
    </row>
    <row r="124" spans="1:10" ht="15.75" customHeight="1" x14ac:dyDescent="0.25">
      <c r="A124" s="107" t="s">
        <v>144</v>
      </c>
      <c r="B124" s="93"/>
      <c r="C124" s="46">
        <v>0</v>
      </c>
      <c r="D124" s="63">
        <f ca="1">((100/(D119+F119+H119))*C124)/100</f>
        <v>0</v>
      </c>
      <c r="E124" s="94"/>
      <c r="F124" s="94"/>
      <c r="G124" s="94"/>
      <c r="H124" s="110"/>
      <c r="I124" s="21" t="s">
        <v>114</v>
      </c>
      <c r="J124" s="47">
        <f ca="1">(IF(B119&gt;1,(H119/(B119+2)),H119/4))</f>
        <v>7.5</v>
      </c>
    </row>
    <row r="125" spans="1:10" ht="15.75" customHeight="1" x14ac:dyDescent="0.25">
      <c r="A125" s="107" t="s">
        <v>151</v>
      </c>
      <c r="B125" s="93" t="s">
        <v>145</v>
      </c>
      <c r="C125" s="43">
        <v>0</v>
      </c>
      <c r="D125" s="63">
        <f ca="1">((100/H119)*C125)/100</f>
        <v>0</v>
      </c>
      <c r="E125" s="94"/>
      <c r="F125" s="94"/>
      <c r="G125" s="94"/>
      <c r="H125" s="110"/>
      <c r="I125" s="21" t="s">
        <v>115</v>
      </c>
      <c r="J125" s="47">
        <f ca="1">(IF(B119&gt;1,(H119/(B119+2)+J124),H119/4+J124))</f>
        <v>15</v>
      </c>
    </row>
    <row r="126" spans="1:10" ht="15.75" customHeight="1" x14ac:dyDescent="0.25">
      <c r="A126" s="107" t="s">
        <v>152</v>
      </c>
      <c r="B126" s="93" t="s">
        <v>145</v>
      </c>
      <c r="C126" s="43">
        <v>0</v>
      </c>
      <c r="D126" s="63">
        <f ca="1">((100/H119)*C126)/100</f>
        <v>0</v>
      </c>
      <c r="E126" s="94"/>
      <c r="F126" s="94"/>
      <c r="G126" s="94"/>
      <c r="H126" s="110"/>
      <c r="I126" s="21" t="s">
        <v>161</v>
      </c>
      <c r="J126" s="47">
        <f>(IF(B119&gt;1,(H119/(B119+2)+J125),0))</f>
        <v>0</v>
      </c>
    </row>
    <row r="127" spans="1:10" ht="15" customHeight="1" x14ac:dyDescent="0.25">
      <c r="A127" s="107" t="s">
        <v>150</v>
      </c>
      <c r="B127" s="93" t="s">
        <v>147</v>
      </c>
      <c r="C127" s="43">
        <v>0</v>
      </c>
      <c r="D127" s="63">
        <f ca="1">((100/(H119))*C127)/100</f>
        <v>0</v>
      </c>
      <c r="E127" s="94"/>
      <c r="F127" s="94"/>
      <c r="G127" s="94"/>
      <c r="H127" s="110"/>
      <c r="I127" s="21" t="s">
        <v>158</v>
      </c>
      <c r="J127" s="47">
        <f>(IF(B119&gt;2,(H119/(B119+2)+J126),0))</f>
        <v>0</v>
      </c>
    </row>
    <row r="128" spans="1:10" ht="15.75" customHeight="1" x14ac:dyDescent="0.25">
      <c r="A128" s="107" t="s">
        <v>146</v>
      </c>
      <c r="B128" s="93" t="s">
        <v>146</v>
      </c>
      <c r="C128" s="43">
        <v>0</v>
      </c>
      <c r="D128" s="63">
        <f ca="1">((100/H119)*C128)/100</f>
        <v>0</v>
      </c>
      <c r="E128" s="94"/>
      <c r="F128" s="94"/>
      <c r="G128" s="94"/>
      <c r="H128" s="110"/>
      <c r="I128" s="21" t="s">
        <v>159</v>
      </c>
      <c r="J128" s="48">
        <f>(IF(B119&gt;3,(H119/(B119+2)+J127),0))</f>
        <v>0</v>
      </c>
    </row>
    <row r="129" spans="1:10" ht="15.75" customHeight="1" x14ac:dyDescent="0.25">
      <c r="A129" s="107" t="s">
        <v>153</v>
      </c>
      <c r="B129" s="93"/>
      <c r="C129" s="43">
        <v>0</v>
      </c>
      <c r="D129" s="63">
        <f ca="1">((100/H119)*C129)/100</f>
        <v>0</v>
      </c>
      <c r="E129" s="94"/>
      <c r="F129" s="94"/>
      <c r="G129" s="94"/>
      <c r="H129" s="110"/>
      <c r="I129" s="21" t="s">
        <v>160</v>
      </c>
      <c r="J129" s="47">
        <f>(IF(B119&gt;4,(H119/(B119+2)+J128),0))</f>
        <v>0</v>
      </c>
    </row>
    <row r="130" spans="1:10" ht="15.75" customHeight="1" x14ac:dyDescent="0.25">
      <c r="A130" s="107" t="s">
        <v>148</v>
      </c>
      <c r="B130" s="93" t="s">
        <v>148</v>
      </c>
      <c r="C130" s="43">
        <v>0</v>
      </c>
      <c r="D130" s="63">
        <f ca="1">((100/(H119))*C130)/100</f>
        <v>0</v>
      </c>
      <c r="E130" s="94"/>
      <c r="F130" s="94"/>
      <c r="G130" s="94"/>
      <c r="H130" s="110"/>
      <c r="I130" s="21" t="s">
        <v>162</v>
      </c>
      <c r="J130" s="47">
        <f ca="1">(IF(B119=1,(H119/(B119+3)+J125),IF(B119=0,(H119/4+J125),IF(B119&gt;1,0))))</f>
        <v>22.5</v>
      </c>
    </row>
    <row r="131" spans="1:10" ht="16.5" thickBot="1" x14ac:dyDescent="0.3">
      <c r="A131" s="228" t="s">
        <v>149</v>
      </c>
      <c r="B131" s="229"/>
      <c r="C131" s="86">
        <v>0</v>
      </c>
      <c r="D131" s="87">
        <f ca="1">((100/(H119))*C131)/100</f>
        <v>0</v>
      </c>
      <c r="E131" s="238"/>
      <c r="F131" s="238"/>
      <c r="G131" s="238"/>
      <c r="H131" s="239"/>
      <c r="I131" s="22" t="s">
        <v>116</v>
      </c>
      <c r="J131" s="51">
        <f ca="1">(IF(B119&gt;1.5,(H119/(B119+2)+J125+MAX(0,J126-J125)+MAX(0,J127-J126)+MAX(0,J128-J127)+MAX(0,J129-J128)+MAX(0,J130-J129)),IF(B119=1,(H119/(B119+3)+J130),IF(B119=0,H119/4+J130))))</f>
        <v>30</v>
      </c>
    </row>
    <row r="132" spans="1:10" ht="15.75" customHeight="1" x14ac:dyDescent="0.25">
      <c r="A132" s="91" t="s">
        <v>155</v>
      </c>
      <c r="B132" s="91"/>
      <c r="C132" s="91" t="s">
        <v>263</v>
      </c>
      <c r="D132" s="91"/>
      <c r="E132" s="91"/>
      <c r="F132" s="91"/>
      <c r="G132" s="91"/>
      <c r="H132" s="91"/>
      <c r="I132" s="16" t="str">
        <f ca="1">(IF(E136&gt;99%,"All work completed. Please provide OC.",IF(E136&gt;89.8%,"Plinth, RCC, Brick, Plaster, Flooring, Painting work Completed. Finishing work is in process.",IF(E136&lt;94%,(IF(C136=0,"Work not yet Started.",IF(D136=25%,"Piling work in process",IF(D136=50%,"Excavation work in process",IF(D136=100%,"Excavation work Completed. ","0")))&amp;(IF(C137=0%,"",IF(C137=J138,"Footing work is process",IF(C137=J139,"Footing work Completed",IF(C137=J140,"1st Basement Completed",IF(C137=J141,"1st &amp; 2nd Basement Completed",IF(C137=J142,"1st to 3rd Basement Completed",IF(C137=J143,"1st to 4th Basement Completed",IF(C137=J144,"Plinth work is process",IF(C137=J145,"Plinth work completed","0")))))))))))&amp;(IF(C138=(D133+F133+H133),", RCC Slab",IF(C138&gt;0,", RCC upto "&amp;C138&amp;" Slab",""))&amp;(IF(C139=H133,", Brickwork",IF(C139&gt;0,", Brickwork upto "&amp;C139&amp;" Floor",""))&amp;(IF(C140=H133,", Internal Plaster",IF(C140&gt;0,", Internal Plaster upto "&amp;C140&amp;" Floor",""))&amp;(IF(C141=H133,", External Plaster",IF(C141&gt;0,", External Plaster upto "&amp;C141&amp;" Floor",""))&amp;(IF(C142=H133,", Flooring",IF(C142&gt;0,", Flooring upto "&amp;C142&amp;" Floor",""))&amp;(IF(C143=H133,", Painting",IF(C143&gt;0,", Painting upto "&amp;C143&amp;" Floor",""))&amp;(IF(C144&gt;0,", Finishing upto "&amp;C144&amp;" Floor","")&amp;(IF(C138&gt;0.5," Completed",""))))))))))))))</f>
        <v>Excavation work Completed. Plinth work completed</v>
      </c>
      <c r="J132" s="40"/>
    </row>
    <row r="133" spans="1:10" x14ac:dyDescent="0.25">
      <c r="A133" s="19" t="s">
        <v>157</v>
      </c>
      <c r="B133" s="19">
        <v>1</v>
      </c>
      <c r="C133" s="19" t="s">
        <v>79</v>
      </c>
      <c r="D133" s="19">
        <v>1</v>
      </c>
      <c r="E133" s="19" t="s">
        <v>78</v>
      </c>
      <c r="F133" s="19">
        <v>1</v>
      </c>
      <c r="G133" s="19" t="s">
        <v>92</v>
      </c>
      <c r="H133" s="19">
        <f ca="1">--TRIM(RIGHT(SUBSTITUTE(LEFT(C132,_xlfn.AGGREGATE(16,6,FIND({0,1,2,3,4,5,6,7,8,9},C132,ROW(INDIRECT("1:"&amp;LEN(C132)))),1))," ",REPT(" ",LEN(C132))),LEN(C132)))</f>
        <v>30</v>
      </c>
      <c r="I133" s="17"/>
      <c r="J133" s="41"/>
    </row>
    <row r="134" spans="1:10" ht="15.75" customHeight="1" x14ac:dyDescent="0.25">
      <c r="A134" s="92" t="s">
        <v>102</v>
      </c>
      <c r="B134" s="92"/>
      <c r="C134" s="91" t="str">
        <f ca="1">I132</f>
        <v>Excavation work Completed. Plinth work completed</v>
      </c>
      <c r="D134" s="91"/>
      <c r="E134" s="91"/>
      <c r="F134" s="91"/>
      <c r="G134" s="91"/>
      <c r="H134" s="91"/>
      <c r="I134" s="17" t="s">
        <v>117</v>
      </c>
      <c r="J134" s="41"/>
    </row>
    <row r="135" spans="1:10" ht="15.75" customHeight="1" x14ac:dyDescent="0.25">
      <c r="A135" s="93" t="s">
        <v>52</v>
      </c>
      <c r="B135" s="93"/>
      <c r="C135" s="82" t="s">
        <v>154</v>
      </c>
      <c r="D135" s="82" t="s">
        <v>95</v>
      </c>
      <c r="E135" s="93" t="s">
        <v>97</v>
      </c>
      <c r="F135" s="93"/>
      <c r="G135" s="93" t="s">
        <v>96</v>
      </c>
      <c r="H135" s="93"/>
      <c r="I135" s="21" t="s">
        <v>156</v>
      </c>
      <c r="J135" s="42">
        <f ca="1">H133*25%</f>
        <v>7.5</v>
      </c>
    </row>
    <row r="136" spans="1:10" x14ac:dyDescent="0.25">
      <c r="A136" s="93" t="s">
        <v>143</v>
      </c>
      <c r="B136" s="93"/>
      <c r="C136" s="46">
        <f ca="1">J137</f>
        <v>30</v>
      </c>
      <c r="D136" s="83">
        <f ca="1">((100/H133)*C136)/100</f>
        <v>1</v>
      </c>
      <c r="E136" s="94">
        <f ca="1">(((C137/H133*10)+(40/(D133+F133+H133)*C138)+(7.5/(H133)*C139)+(7.5/(H133)*C140)+(10/H133*C141)+(10/H133*C142)+(5/H133*C143)+(5/H133*C144)+(5/H133*C145))/100)</f>
        <v>0.1</v>
      </c>
      <c r="F136" s="94"/>
      <c r="G136" s="94">
        <f ca="1">((((C136/H133)*20)+((C137/H133)*25)+(30/(H133+F133+D133)*C138)+(5/H133*C139)+(5/H133*C140)+(5/H133*C141)+(5/H133*C142)+(0/H133*C143)+(0/H133*C144)+(5/H133*C145))/100)</f>
        <v>0.45</v>
      </c>
      <c r="H136" s="94"/>
      <c r="I136" s="21" t="s">
        <v>112</v>
      </c>
      <c r="J136" s="45">
        <f ca="1">H133*50%</f>
        <v>15</v>
      </c>
    </row>
    <row r="137" spans="1:10" x14ac:dyDescent="0.25">
      <c r="A137" s="93" t="s">
        <v>53</v>
      </c>
      <c r="B137" s="93"/>
      <c r="C137" s="46">
        <f ca="1">J145</f>
        <v>30</v>
      </c>
      <c r="D137" s="83">
        <f ca="1">((100/H133)*C137)/100</f>
        <v>1</v>
      </c>
      <c r="E137" s="94"/>
      <c r="F137" s="94"/>
      <c r="G137" s="94"/>
      <c r="H137" s="94"/>
      <c r="I137" s="21" t="s">
        <v>113</v>
      </c>
      <c r="J137" s="45">
        <f ca="1">H133</f>
        <v>30</v>
      </c>
    </row>
    <row r="138" spans="1:10" ht="15.75" customHeight="1" x14ac:dyDescent="0.25">
      <c r="A138" s="93" t="s">
        <v>144</v>
      </c>
      <c r="B138" s="93"/>
      <c r="C138" s="46">
        <v>0</v>
      </c>
      <c r="D138" s="83">
        <f ca="1">((100/(D133+F133+H133))*C138)/100</f>
        <v>0</v>
      </c>
      <c r="E138" s="94"/>
      <c r="F138" s="94"/>
      <c r="G138" s="94"/>
      <c r="H138" s="94"/>
      <c r="I138" s="21" t="s">
        <v>114</v>
      </c>
      <c r="J138" s="47">
        <f ca="1">(IF(B133&gt;1,(H133/(B133+2)),H133/4))</f>
        <v>7.5</v>
      </c>
    </row>
    <row r="139" spans="1:10" ht="15.75" customHeight="1" x14ac:dyDescent="0.25">
      <c r="A139" s="93" t="s">
        <v>151</v>
      </c>
      <c r="B139" s="93" t="s">
        <v>145</v>
      </c>
      <c r="C139" s="43">
        <v>0</v>
      </c>
      <c r="D139" s="83">
        <f ca="1">((100/H133)*C139)/100</f>
        <v>0</v>
      </c>
      <c r="E139" s="94"/>
      <c r="F139" s="94"/>
      <c r="G139" s="94"/>
      <c r="H139" s="94"/>
      <c r="I139" s="21" t="s">
        <v>115</v>
      </c>
      <c r="J139" s="47">
        <f ca="1">(IF(B133&gt;1,(H133/(B133+2)+J138),H133/4+J138))</f>
        <v>15</v>
      </c>
    </row>
    <row r="140" spans="1:10" ht="15.75" customHeight="1" x14ac:dyDescent="0.25">
      <c r="A140" s="93" t="s">
        <v>152</v>
      </c>
      <c r="B140" s="93" t="s">
        <v>145</v>
      </c>
      <c r="C140" s="43">
        <v>0</v>
      </c>
      <c r="D140" s="83">
        <f ca="1">((100/H133)*C140)/100</f>
        <v>0</v>
      </c>
      <c r="E140" s="94"/>
      <c r="F140" s="94"/>
      <c r="G140" s="94"/>
      <c r="H140" s="94"/>
      <c r="I140" s="21" t="s">
        <v>161</v>
      </c>
      <c r="J140" s="47">
        <f>(IF(B133&gt;1,(H133/(B133+2)+J139),0))</f>
        <v>0</v>
      </c>
    </row>
    <row r="141" spans="1:10" ht="15" customHeight="1" x14ac:dyDescent="0.25">
      <c r="A141" s="93" t="s">
        <v>150</v>
      </c>
      <c r="B141" s="93" t="s">
        <v>147</v>
      </c>
      <c r="C141" s="43">
        <v>0</v>
      </c>
      <c r="D141" s="83">
        <f ca="1">((100/(H133))*C141)/100</f>
        <v>0</v>
      </c>
      <c r="E141" s="94"/>
      <c r="F141" s="94"/>
      <c r="G141" s="94"/>
      <c r="H141" s="94"/>
      <c r="I141" s="21" t="s">
        <v>158</v>
      </c>
      <c r="J141" s="47">
        <f>(IF(B133&gt;2,(H133/(B133+2)+J140),0))</f>
        <v>0</v>
      </c>
    </row>
    <row r="142" spans="1:10" ht="15.75" customHeight="1" x14ac:dyDescent="0.25">
      <c r="A142" s="93" t="s">
        <v>146</v>
      </c>
      <c r="B142" s="93" t="s">
        <v>146</v>
      </c>
      <c r="C142" s="43">
        <v>0</v>
      </c>
      <c r="D142" s="83">
        <f ca="1">((100/H133)*C142)/100</f>
        <v>0</v>
      </c>
      <c r="E142" s="94"/>
      <c r="F142" s="94"/>
      <c r="G142" s="94"/>
      <c r="H142" s="94"/>
      <c r="I142" s="21" t="s">
        <v>159</v>
      </c>
      <c r="J142" s="48">
        <f>(IF(B133&gt;3,(H133/(B133+2)+J141),0))</f>
        <v>0</v>
      </c>
    </row>
    <row r="143" spans="1:10" ht="15.75" customHeight="1" x14ac:dyDescent="0.25">
      <c r="A143" s="93" t="s">
        <v>153</v>
      </c>
      <c r="B143" s="93"/>
      <c r="C143" s="43">
        <v>0</v>
      </c>
      <c r="D143" s="83">
        <f ca="1">((100/H133)*C143)/100</f>
        <v>0</v>
      </c>
      <c r="E143" s="94"/>
      <c r="F143" s="94"/>
      <c r="G143" s="94"/>
      <c r="H143" s="94"/>
      <c r="I143" s="21" t="s">
        <v>160</v>
      </c>
      <c r="J143" s="47">
        <f>(IF(B133&gt;4,(H133/(B133+2)+J142),0))</f>
        <v>0</v>
      </c>
    </row>
    <row r="144" spans="1:10" ht="15.75" customHeight="1" x14ac:dyDescent="0.25">
      <c r="A144" s="93" t="s">
        <v>148</v>
      </c>
      <c r="B144" s="93" t="s">
        <v>148</v>
      </c>
      <c r="C144" s="43">
        <v>0</v>
      </c>
      <c r="D144" s="83">
        <f ca="1">((100/(H133))*C144)/100</f>
        <v>0</v>
      </c>
      <c r="E144" s="94"/>
      <c r="F144" s="94"/>
      <c r="G144" s="94"/>
      <c r="H144" s="94"/>
      <c r="I144" s="21" t="s">
        <v>162</v>
      </c>
      <c r="J144" s="47">
        <f ca="1">(IF(B133=1,(H133/(B133+3)+J139),IF(B133=0,(H133/4+J139),IF(B133&gt;1,0))))</f>
        <v>22.5</v>
      </c>
    </row>
    <row r="145" spans="1:10" ht="16.5" thickBot="1" x14ac:dyDescent="0.3">
      <c r="A145" s="93" t="s">
        <v>149</v>
      </c>
      <c r="B145" s="93"/>
      <c r="C145" s="43">
        <v>0</v>
      </c>
      <c r="D145" s="83">
        <f ca="1">((100/(H133))*C145)/100</f>
        <v>0</v>
      </c>
      <c r="E145" s="94"/>
      <c r="F145" s="94"/>
      <c r="G145" s="94"/>
      <c r="H145" s="94"/>
      <c r="I145" s="22" t="s">
        <v>116</v>
      </c>
      <c r="J145" s="51">
        <f ca="1">(IF(B133&gt;1.5,(H133/(B133+2)+J139+MAX(0,J140-J139)+MAX(0,J141-J140)+MAX(0,J142-J141)+MAX(0,J143-J142)+MAX(0,J144-J143)),IF(B133=1,(H133/(B133+3)+J144),IF(B133=0,H133/4+J144))))</f>
        <v>30</v>
      </c>
    </row>
    <row r="146" spans="1:10" ht="15.75" customHeight="1" x14ac:dyDescent="0.25">
      <c r="A146" s="204" t="s">
        <v>155</v>
      </c>
      <c r="B146" s="205"/>
      <c r="C146" s="206" t="s">
        <v>254</v>
      </c>
      <c r="D146" s="207"/>
      <c r="E146" s="207"/>
      <c r="F146" s="207"/>
      <c r="G146" s="207"/>
      <c r="H146" s="208"/>
      <c r="I146" s="16" t="str">
        <f ca="1">(IF(E150&gt;99%,"All work completed. Please provide OC.",IF(E150&gt;89.8%,"Plinth, RCC, Brick, Plaster, Flooring, Painting work Completed. Finishing work is in process.",IF(E150&lt;94%,(IF(C150=0,"Work not yet Started.",IF(D150=25%,"Piling work in process",IF(D150=50%,"Excavation work in process",IF(D150=100%,"Excavation work Completed. ","0")))&amp;(IF(C151=0%,"",IF(C151=J152,"Footing work is process",IF(C151=J153,"Footing work Completed",IF(C151=J154,"1st Basement Completed",IF(C151=J155,"1st &amp; 2nd Basement Completed",IF(C151=J156,"1st to 3rd Basement Completed",IF(C151=J157,"1st to 4th Basement Completed",IF(C151=J158,"Plinth work is process",IF(C151=J159,"Plinth work completed","0")))))))))))&amp;(IF(C152=(D147+F147+H147),", RCC Slab",IF(C152&gt;0,", RCC upto "&amp;C152&amp;" Slab",""))&amp;(IF(C153=H147,", Brickwork",IF(C153&gt;0,", Brickwork upto "&amp;C153&amp;" Floor",""))&amp;(IF(C154=H147,", Internal Plaster",IF(C154&gt;0,", Internal Plaster upto "&amp;C154&amp;" Floor",""))&amp;(IF(C155=H147,", External Plaster",IF(C155&gt;0,", External Plaster upto "&amp;C155&amp;" Floor",""))&amp;(IF(C156=H147,", Flooring",IF(C156&gt;0,", Flooring upto "&amp;C156&amp;" Floor",""))&amp;(IF(C157=H147,", Painting",IF(C157&gt;0,", Painting upto "&amp;C157&amp;" Floor",""))&amp;(IF(C158&gt;0,", Finishing upto "&amp;C158&amp;" Floor","")&amp;(IF(C152&gt;0.5," Completed",""))))))))))))))</f>
        <v>Excavation work Completed. Plinth work completed, RCC upto 26 Slab, Brickwork upto 24 Floor, Internal Plaster upto 16.8 Floor, External Plaster upto 16.8 Floor Completed</v>
      </c>
      <c r="J146" s="40"/>
    </row>
    <row r="147" spans="1:10" x14ac:dyDescent="0.25">
      <c r="A147" s="18" t="s">
        <v>157</v>
      </c>
      <c r="B147" s="19">
        <v>1</v>
      </c>
      <c r="C147" s="19" t="s">
        <v>79</v>
      </c>
      <c r="D147" s="19">
        <v>1</v>
      </c>
      <c r="E147" s="19" t="s">
        <v>78</v>
      </c>
      <c r="F147" s="19">
        <v>1</v>
      </c>
      <c r="G147" s="19" t="s">
        <v>92</v>
      </c>
      <c r="H147" s="20">
        <f ca="1">--TRIM(RIGHT(SUBSTITUTE(LEFT(C146,_xlfn.AGGREGATE(16,6,FIND({0,1,2,3,4,5,6,7,8,9},C146,ROW(INDIRECT("1:"&amp;LEN(C146)))),1))," ",REPT(" ",LEN(C146))),LEN(C146)))</f>
        <v>30</v>
      </c>
      <c r="I147" s="17"/>
      <c r="J147" s="41"/>
    </row>
    <row r="148" spans="1:10" ht="48" customHeight="1" x14ac:dyDescent="0.25">
      <c r="A148" s="100" t="s">
        <v>102</v>
      </c>
      <c r="B148" s="92"/>
      <c r="C148" s="91" t="str">
        <f ca="1">I146</f>
        <v>Excavation work Completed. Plinth work completed, RCC upto 26 Slab, Brickwork upto 24 Floor, Internal Plaster upto 16.8 Floor, External Plaster upto 16.8 Floor Completed</v>
      </c>
      <c r="D148" s="91"/>
      <c r="E148" s="91"/>
      <c r="F148" s="91"/>
      <c r="G148" s="91"/>
      <c r="H148" s="101"/>
      <c r="I148" s="17" t="s">
        <v>117</v>
      </c>
      <c r="J148" s="41"/>
    </row>
    <row r="149" spans="1:10" ht="15.75" customHeight="1" x14ac:dyDescent="0.25">
      <c r="A149" s="107" t="s">
        <v>52</v>
      </c>
      <c r="B149" s="93"/>
      <c r="C149" s="62" t="s">
        <v>154</v>
      </c>
      <c r="D149" s="62" t="s">
        <v>95</v>
      </c>
      <c r="E149" s="93" t="s">
        <v>97</v>
      </c>
      <c r="F149" s="93"/>
      <c r="G149" s="93" t="s">
        <v>96</v>
      </c>
      <c r="H149" s="108"/>
      <c r="I149" s="21" t="s">
        <v>156</v>
      </c>
      <c r="J149" s="42">
        <f ca="1">H147*25%</f>
        <v>7.5</v>
      </c>
    </row>
    <row r="150" spans="1:10" x14ac:dyDescent="0.25">
      <c r="A150" s="107" t="s">
        <v>143</v>
      </c>
      <c r="B150" s="93"/>
      <c r="C150" s="46">
        <f ca="1">J151</f>
        <v>30</v>
      </c>
      <c r="D150" s="63">
        <f ca="1">((100/H147)*C150)/100</f>
        <v>1</v>
      </c>
      <c r="E150" s="94">
        <f ca="1">(((C151/H147*10)+(40/(D147+F147+H147)*C152)+(7.5/(H147)*C153)+(7.5/(H147)*C154)+(10/H147*C155)+(10/H147*C156)+(5/H147*C157)+(5/H147*C158)+(5/H147*C159))/100)</f>
        <v>0.58300000000000007</v>
      </c>
      <c r="F150" s="94"/>
      <c r="G150" s="94">
        <f ca="1">((((C150/H147)*20)+((C151/H147)*25)+(30/(H147+F147+D147)*C152)+(5/H147*C153)+(5/H147*C154)+(5/H147*C155)+(5/H147*C156)+(0/H147*C157)+(0/H147*C158)+(5/H147*C159))/100)</f>
        <v>0.78974999999999995</v>
      </c>
      <c r="H150" s="110"/>
      <c r="I150" s="21" t="s">
        <v>112</v>
      </c>
      <c r="J150" s="45">
        <f ca="1">H147*50%</f>
        <v>15</v>
      </c>
    </row>
    <row r="151" spans="1:10" x14ac:dyDescent="0.25">
      <c r="A151" s="107" t="s">
        <v>53</v>
      </c>
      <c r="B151" s="93"/>
      <c r="C151" s="46">
        <f ca="1">J159</f>
        <v>30</v>
      </c>
      <c r="D151" s="63">
        <f ca="1">((100/H147)*C151)/100</f>
        <v>1</v>
      </c>
      <c r="E151" s="94"/>
      <c r="F151" s="94"/>
      <c r="G151" s="94"/>
      <c r="H151" s="110"/>
      <c r="I151" s="21" t="s">
        <v>113</v>
      </c>
      <c r="J151" s="45">
        <f ca="1">H147</f>
        <v>30</v>
      </c>
    </row>
    <row r="152" spans="1:10" ht="15.75" customHeight="1" x14ac:dyDescent="0.25">
      <c r="A152" s="107" t="s">
        <v>144</v>
      </c>
      <c r="B152" s="93"/>
      <c r="C152" s="46">
        <v>26</v>
      </c>
      <c r="D152" s="63">
        <f ca="1">((100/(D147+F147+H147))*C152)/100</f>
        <v>0.8125</v>
      </c>
      <c r="E152" s="94"/>
      <c r="F152" s="94"/>
      <c r="G152" s="94"/>
      <c r="H152" s="110"/>
      <c r="I152" s="21" t="s">
        <v>114</v>
      </c>
      <c r="J152" s="47">
        <f ca="1">(IF(B147&gt;1,(H147/(B147+2)),H147/4))</f>
        <v>7.5</v>
      </c>
    </row>
    <row r="153" spans="1:10" ht="15.75" customHeight="1" x14ac:dyDescent="0.25">
      <c r="A153" s="107" t="s">
        <v>151</v>
      </c>
      <c r="B153" s="93" t="s">
        <v>145</v>
      </c>
      <c r="C153" s="46">
        <f>C152-D147-F147</f>
        <v>24</v>
      </c>
      <c r="D153" s="63">
        <f ca="1">((100/H147)*C153)/100</f>
        <v>0.8</v>
      </c>
      <c r="E153" s="94"/>
      <c r="F153" s="94"/>
      <c r="G153" s="94"/>
      <c r="H153" s="110"/>
      <c r="I153" s="21" t="s">
        <v>115</v>
      </c>
      <c r="J153" s="47">
        <f ca="1">(IF(B147&gt;1,(H147/(B147+2)+J152),H147/4+J152))</f>
        <v>15</v>
      </c>
    </row>
    <row r="154" spans="1:10" ht="15.75" customHeight="1" x14ac:dyDescent="0.25">
      <c r="A154" s="107" t="s">
        <v>152</v>
      </c>
      <c r="B154" s="93" t="s">
        <v>145</v>
      </c>
      <c r="C154" s="46">
        <f>C153*0.7</f>
        <v>16.799999999999997</v>
      </c>
      <c r="D154" s="63">
        <f ca="1">((100/H147)*C154)/100</f>
        <v>0.55999999999999994</v>
      </c>
      <c r="E154" s="94"/>
      <c r="F154" s="94"/>
      <c r="G154" s="94"/>
      <c r="H154" s="110"/>
      <c r="I154" s="21" t="s">
        <v>161</v>
      </c>
      <c r="J154" s="47">
        <f>(IF(B147&gt;1,(H147/(B147+2)+J153),0))</f>
        <v>0</v>
      </c>
    </row>
    <row r="155" spans="1:10" ht="15" customHeight="1" x14ac:dyDescent="0.25">
      <c r="A155" s="107" t="s">
        <v>150</v>
      </c>
      <c r="B155" s="93" t="s">
        <v>147</v>
      </c>
      <c r="C155" s="46">
        <f>C154</f>
        <v>16.799999999999997</v>
      </c>
      <c r="D155" s="63">
        <f ca="1">((100/(H147))*C155)/100</f>
        <v>0.55999999999999994</v>
      </c>
      <c r="E155" s="94"/>
      <c r="F155" s="94"/>
      <c r="G155" s="94"/>
      <c r="H155" s="110"/>
      <c r="I155" s="21" t="s">
        <v>158</v>
      </c>
      <c r="J155" s="47">
        <f>(IF(B147&gt;2,(H147/(B147+2)+J154),0))</f>
        <v>0</v>
      </c>
    </row>
    <row r="156" spans="1:10" ht="15.75" customHeight="1" x14ac:dyDescent="0.25">
      <c r="A156" s="107" t="s">
        <v>146</v>
      </c>
      <c r="B156" s="93" t="s">
        <v>146</v>
      </c>
      <c r="C156" s="43">
        <v>0</v>
      </c>
      <c r="D156" s="63">
        <f ca="1">((100/H147)*C156)/100</f>
        <v>0</v>
      </c>
      <c r="E156" s="94"/>
      <c r="F156" s="94"/>
      <c r="G156" s="94"/>
      <c r="H156" s="110"/>
      <c r="I156" s="21" t="s">
        <v>159</v>
      </c>
      <c r="J156" s="48">
        <f>(IF(B147&gt;3,(H147/(B147+2)+J155),0))</f>
        <v>0</v>
      </c>
    </row>
    <row r="157" spans="1:10" ht="15.75" customHeight="1" x14ac:dyDescent="0.25">
      <c r="A157" s="107" t="s">
        <v>153</v>
      </c>
      <c r="B157" s="93"/>
      <c r="C157" s="43">
        <v>0</v>
      </c>
      <c r="D157" s="63">
        <f ca="1">((100/H147)*C157)/100</f>
        <v>0</v>
      </c>
      <c r="E157" s="94"/>
      <c r="F157" s="94"/>
      <c r="G157" s="94"/>
      <c r="H157" s="110"/>
      <c r="I157" s="21" t="s">
        <v>160</v>
      </c>
      <c r="J157" s="47">
        <f>(IF(B147&gt;4,(H147/(B147+2)+J156),0))</f>
        <v>0</v>
      </c>
    </row>
    <row r="158" spans="1:10" ht="15.75" customHeight="1" x14ac:dyDescent="0.25">
      <c r="A158" s="107" t="s">
        <v>148</v>
      </c>
      <c r="B158" s="93" t="s">
        <v>148</v>
      </c>
      <c r="C158" s="43">
        <v>0</v>
      </c>
      <c r="D158" s="63">
        <f ca="1">((100/(H147))*C158)/100</f>
        <v>0</v>
      </c>
      <c r="E158" s="94"/>
      <c r="F158" s="94"/>
      <c r="G158" s="94"/>
      <c r="H158" s="110"/>
      <c r="I158" s="21" t="s">
        <v>162</v>
      </c>
      <c r="J158" s="47">
        <f ca="1">(IF(B147=1,(H147/(B147+3)+J153),IF(B147=0,(H147/4+J153),IF(B147&gt;1,0))))</f>
        <v>22.5</v>
      </c>
    </row>
    <row r="159" spans="1:10" ht="16.5" thickBot="1" x14ac:dyDescent="0.3">
      <c r="A159" s="112" t="s">
        <v>149</v>
      </c>
      <c r="B159" s="113"/>
      <c r="C159" s="49">
        <v>0</v>
      </c>
      <c r="D159" s="64">
        <f ca="1">((100/(H147))*C159)/100</f>
        <v>0</v>
      </c>
      <c r="E159" s="109"/>
      <c r="F159" s="109"/>
      <c r="G159" s="109"/>
      <c r="H159" s="111"/>
      <c r="I159" s="22" t="s">
        <v>116</v>
      </c>
      <c r="J159" s="51">
        <f ca="1">(IF(B147&gt;1.5,(H147/(B147+2)+J153+MAX(0,J154-J153)+MAX(0,J155-J154)+MAX(0,J156-J155)+MAX(0,J157-J156)+MAX(0,J158-J157)),IF(B147=1,(H147/(B147+3)+J158),IF(B147=0,H147/4+J158))))</f>
        <v>30</v>
      </c>
    </row>
    <row r="160" spans="1:10" ht="15.75" customHeight="1" x14ac:dyDescent="0.25">
      <c r="A160" s="95" t="s">
        <v>155</v>
      </c>
      <c r="B160" s="96"/>
      <c r="C160" s="97" t="s">
        <v>253</v>
      </c>
      <c r="D160" s="98"/>
      <c r="E160" s="98"/>
      <c r="F160" s="98"/>
      <c r="G160" s="98"/>
      <c r="H160" s="99"/>
      <c r="I160" s="16" t="str">
        <f ca="1">(IF(E164&gt;99%,"All work completed. Please provide OC.",IF(E164&gt;89.8%,"Plinth, RCC, Brick, Plaster, Flooring, Painting work Completed. Finishing work is in process.",IF(E164&lt;94%,(IF(C164=0,"Work not yet Started.",IF(D164=25%,"Piling work in process",IF(D164=50%,"Excavation work in process",IF(D164=100%,"Excavation work Completed. ","0")))&amp;(IF(C165=0%,"",IF(C165=J166,"Footing work is process",IF(C165=J167,"Footing work Completed",IF(C165=J168,"1st Basement Completed",IF(C165=J169,"1st &amp; 2nd Basement Completed",IF(C165=J170,"1st to 3rd Basement Completed",IF(C165=J171,"1st to 4th Basement Completed",IF(C165=J172,"Plinth work is process",IF(C165=J173,"Plinth work completed","0")))))))))))&amp;(IF(C166=(D161+F161+H161),", RCC Slab",IF(C166&gt;0,", RCC upto "&amp;C166&amp;" Slab",""))&amp;(IF(C167=H161,", Brickwork",IF(C167&gt;0,", Brickwork upto "&amp;C167&amp;" Floor",""))&amp;(IF(C168=H161,", Internal Plaster",IF(C168&gt;0,", Internal Plaster upto "&amp;C168&amp;" Floor",""))&amp;(IF(C169=H161,", External Plaster",IF(C169&gt;0,", External Plaster upto "&amp;C169&amp;" Floor",""))&amp;(IF(C170=H161,", Flooring",IF(C170&gt;0,", Flooring upto "&amp;C170&amp;" Floor",""))&amp;(IF(C171=H161,", Painting",IF(C171&gt;0,", Painting upto "&amp;C171&amp;" Floor",""))&amp;(IF(C172&gt;0,", Finishing upto "&amp;C172&amp;" Floor","")&amp;(IF(C166&gt;0.5," Completed",""))))))))))))))</f>
        <v>Excavation work Completed. Plinth work completed, RCC upto 25 Slab, Brickwork upto 23 Floor, Internal Plaster upto 16.1 Floor, External Plaster upto 16.1 Floor Completed</v>
      </c>
      <c r="J160" s="40"/>
    </row>
    <row r="161" spans="1:10" x14ac:dyDescent="0.25">
      <c r="A161" s="18" t="s">
        <v>157</v>
      </c>
      <c r="B161" s="19">
        <v>1</v>
      </c>
      <c r="C161" s="19" t="s">
        <v>79</v>
      </c>
      <c r="D161" s="19">
        <v>1</v>
      </c>
      <c r="E161" s="19" t="s">
        <v>78</v>
      </c>
      <c r="F161" s="19">
        <v>1</v>
      </c>
      <c r="G161" s="19" t="s">
        <v>92</v>
      </c>
      <c r="H161" s="20">
        <f ca="1">--TRIM(RIGHT(SUBSTITUTE(LEFT(C160,_xlfn.AGGREGATE(16,6,FIND({0,1,2,3,4,5,6,7,8,9},C160,ROW(INDIRECT("1:"&amp;LEN(C160)))),1))," ",REPT(" ",LEN(C160))),LEN(C160)))</f>
        <v>30</v>
      </c>
      <c r="I161" s="17"/>
      <c r="J161" s="41"/>
    </row>
    <row r="162" spans="1:10" ht="48" customHeight="1" x14ac:dyDescent="0.25">
      <c r="A162" s="100" t="s">
        <v>102</v>
      </c>
      <c r="B162" s="92"/>
      <c r="C162" s="91" t="str">
        <f ca="1">I160</f>
        <v>Excavation work Completed. Plinth work completed, RCC upto 25 Slab, Brickwork upto 23 Floor, Internal Plaster upto 16.1 Floor, External Plaster upto 16.1 Floor Completed</v>
      </c>
      <c r="D162" s="91"/>
      <c r="E162" s="91"/>
      <c r="F162" s="91"/>
      <c r="G162" s="91"/>
      <c r="H162" s="101"/>
      <c r="I162" s="17" t="s">
        <v>117</v>
      </c>
      <c r="J162" s="41"/>
    </row>
    <row r="163" spans="1:10" ht="15.75" customHeight="1" x14ac:dyDescent="0.25">
      <c r="A163" s="107" t="s">
        <v>52</v>
      </c>
      <c r="B163" s="93"/>
      <c r="C163" s="74" t="s">
        <v>154</v>
      </c>
      <c r="D163" s="74" t="s">
        <v>95</v>
      </c>
      <c r="E163" s="93" t="s">
        <v>97</v>
      </c>
      <c r="F163" s="93"/>
      <c r="G163" s="93" t="s">
        <v>96</v>
      </c>
      <c r="H163" s="108"/>
      <c r="I163" s="21" t="s">
        <v>156</v>
      </c>
      <c r="J163" s="42">
        <f ca="1">H161*25%</f>
        <v>7.5</v>
      </c>
    </row>
    <row r="164" spans="1:10" x14ac:dyDescent="0.25">
      <c r="A164" s="107" t="s">
        <v>143</v>
      </c>
      <c r="B164" s="93"/>
      <c r="C164" s="46">
        <f ca="1">J165</f>
        <v>30</v>
      </c>
      <c r="D164" s="75">
        <f ca="1">((100/H161)*C164)/100</f>
        <v>1</v>
      </c>
      <c r="E164" s="94">
        <f ca="1">(((C165/H161*10)+(40/(D161+F161+H161)*C166)+(7.5/(H161)*C167)+(7.5/(H161)*C168)+(10/H161*C169)+(10/H161*C170)+(5/H161*C171)+(5/H161*C172)+(5/H161*C173))/100)</f>
        <v>0.56391666666666662</v>
      </c>
      <c r="F164" s="94"/>
      <c r="G164" s="94">
        <f ca="1">((((C164/H161)*20)+((C165/H161)*25)+(30/(H161+F161+D161)*C166)+(5/H161*C167)+(5/H161*C168)+(5/H161*C169)+(5/H161*C170)+(0/H161*C171)+(0/H161*C172)+(5/H161*C173))/100)</f>
        <v>0.77637500000000004</v>
      </c>
      <c r="H164" s="110"/>
      <c r="I164" s="21" t="s">
        <v>112</v>
      </c>
      <c r="J164" s="45">
        <f ca="1">H161*50%</f>
        <v>15</v>
      </c>
    </row>
    <row r="165" spans="1:10" x14ac:dyDescent="0.25">
      <c r="A165" s="107" t="s">
        <v>53</v>
      </c>
      <c r="B165" s="93"/>
      <c r="C165" s="46">
        <f ca="1">J173</f>
        <v>30</v>
      </c>
      <c r="D165" s="75">
        <f ca="1">((100/H161)*C165)/100</f>
        <v>1</v>
      </c>
      <c r="E165" s="94"/>
      <c r="F165" s="94"/>
      <c r="G165" s="94"/>
      <c r="H165" s="110"/>
      <c r="I165" s="21" t="s">
        <v>113</v>
      </c>
      <c r="J165" s="45">
        <f ca="1">H161</f>
        <v>30</v>
      </c>
    </row>
    <row r="166" spans="1:10" ht="15.75" customHeight="1" x14ac:dyDescent="0.25">
      <c r="A166" s="107" t="s">
        <v>144</v>
      </c>
      <c r="B166" s="93"/>
      <c r="C166" s="46">
        <v>25</v>
      </c>
      <c r="D166" s="75">
        <f ca="1">((100/(D161+F161+H161))*C166)/100</f>
        <v>0.78125</v>
      </c>
      <c r="E166" s="94"/>
      <c r="F166" s="94"/>
      <c r="G166" s="94"/>
      <c r="H166" s="110"/>
      <c r="I166" s="21" t="s">
        <v>114</v>
      </c>
      <c r="J166" s="47">
        <f ca="1">(IF(B161&gt;1,(H161/(B161+2)),H161/4))</f>
        <v>7.5</v>
      </c>
    </row>
    <row r="167" spans="1:10" ht="15.75" customHeight="1" x14ac:dyDescent="0.25">
      <c r="A167" s="107" t="s">
        <v>151</v>
      </c>
      <c r="B167" s="93" t="s">
        <v>145</v>
      </c>
      <c r="C167" s="46">
        <f>C166-D161-F161</f>
        <v>23</v>
      </c>
      <c r="D167" s="75">
        <f ca="1">((100/H161)*C167)/100</f>
        <v>0.76666666666666672</v>
      </c>
      <c r="E167" s="94"/>
      <c r="F167" s="94"/>
      <c r="G167" s="94"/>
      <c r="H167" s="110"/>
      <c r="I167" s="21" t="s">
        <v>115</v>
      </c>
      <c r="J167" s="47">
        <f ca="1">(IF(B161&gt;1,(H161/(B161+2)+J166),H161/4+J166))</f>
        <v>15</v>
      </c>
    </row>
    <row r="168" spans="1:10" ht="15.75" customHeight="1" x14ac:dyDescent="0.25">
      <c r="A168" s="107" t="s">
        <v>152</v>
      </c>
      <c r="B168" s="93" t="s">
        <v>145</v>
      </c>
      <c r="C168" s="46">
        <f>C167*0.7</f>
        <v>16.099999999999998</v>
      </c>
      <c r="D168" s="75">
        <f ca="1">((100/H161)*C168)/100</f>
        <v>0.53666666666666663</v>
      </c>
      <c r="E168" s="94"/>
      <c r="F168" s="94"/>
      <c r="G168" s="94"/>
      <c r="H168" s="110"/>
      <c r="I168" s="21" t="s">
        <v>161</v>
      </c>
      <c r="J168" s="47">
        <f>(IF(B161&gt;1,(H161/(B161+2)+J167),0))</f>
        <v>0</v>
      </c>
    </row>
    <row r="169" spans="1:10" ht="15" customHeight="1" x14ac:dyDescent="0.25">
      <c r="A169" s="107" t="s">
        <v>150</v>
      </c>
      <c r="B169" s="93" t="s">
        <v>147</v>
      </c>
      <c r="C169" s="46">
        <f>C168</f>
        <v>16.099999999999998</v>
      </c>
      <c r="D169" s="75">
        <f ca="1">((100/(H161))*C169)/100</f>
        <v>0.53666666666666663</v>
      </c>
      <c r="E169" s="94"/>
      <c r="F169" s="94"/>
      <c r="G169" s="94"/>
      <c r="H169" s="110"/>
      <c r="I169" s="21" t="s">
        <v>158</v>
      </c>
      <c r="J169" s="47">
        <f>(IF(B161&gt;2,(H161/(B161+2)+J168),0))</f>
        <v>0</v>
      </c>
    </row>
    <row r="170" spans="1:10" ht="15.75" customHeight="1" x14ac:dyDescent="0.25">
      <c r="A170" s="107" t="s">
        <v>146</v>
      </c>
      <c r="B170" s="93" t="s">
        <v>146</v>
      </c>
      <c r="C170" s="43">
        <v>0</v>
      </c>
      <c r="D170" s="75">
        <f ca="1">((100/H161)*C170)/100</f>
        <v>0</v>
      </c>
      <c r="E170" s="94"/>
      <c r="F170" s="94"/>
      <c r="G170" s="94"/>
      <c r="H170" s="110"/>
      <c r="I170" s="21" t="s">
        <v>159</v>
      </c>
      <c r="J170" s="48">
        <f>(IF(B161&gt;3,(H161/(B161+2)+J169),0))</f>
        <v>0</v>
      </c>
    </row>
    <row r="171" spans="1:10" ht="15.75" customHeight="1" x14ac:dyDescent="0.25">
      <c r="A171" s="107" t="s">
        <v>153</v>
      </c>
      <c r="B171" s="93"/>
      <c r="C171" s="43">
        <v>0</v>
      </c>
      <c r="D171" s="75">
        <f ca="1">((100/H161)*C171)/100</f>
        <v>0</v>
      </c>
      <c r="E171" s="94"/>
      <c r="F171" s="94"/>
      <c r="G171" s="94"/>
      <c r="H171" s="110"/>
      <c r="I171" s="21" t="s">
        <v>160</v>
      </c>
      <c r="J171" s="47">
        <f>(IF(B161&gt;4,(H161/(B161+2)+J170),0))</f>
        <v>0</v>
      </c>
    </row>
    <row r="172" spans="1:10" ht="15.75" customHeight="1" x14ac:dyDescent="0.25">
      <c r="A172" s="107" t="s">
        <v>148</v>
      </c>
      <c r="B172" s="93" t="s">
        <v>148</v>
      </c>
      <c r="C172" s="43">
        <v>0</v>
      </c>
      <c r="D172" s="75">
        <f ca="1">((100/(H161))*C172)/100</f>
        <v>0</v>
      </c>
      <c r="E172" s="94"/>
      <c r="F172" s="94"/>
      <c r="G172" s="94"/>
      <c r="H172" s="110"/>
      <c r="I172" s="21" t="s">
        <v>162</v>
      </c>
      <c r="J172" s="47">
        <f ca="1">(IF(B161=1,(H161/(B161+3)+J167),IF(B161=0,(H161/4+J167),IF(B161&gt;1,0))))</f>
        <v>22.5</v>
      </c>
    </row>
    <row r="173" spans="1:10" ht="16.5" thickBot="1" x14ac:dyDescent="0.3">
      <c r="A173" s="112" t="s">
        <v>149</v>
      </c>
      <c r="B173" s="113"/>
      <c r="C173" s="49">
        <v>0</v>
      </c>
      <c r="D173" s="76">
        <f ca="1">((100/(H161))*C173)/100</f>
        <v>0</v>
      </c>
      <c r="E173" s="109"/>
      <c r="F173" s="109"/>
      <c r="G173" s="109"/>
      <c r="H173" s="111"/>
      <c r="I173" s="22" t="s">
        <v>116</v>
      </c>
      <c r="J173" s="51">
        <f ca="1">(IF(B161&gt;1.5,(H161/(B161+2)+J167+MAX(0,J168-J167)+MAX(0,J169-J168)+MAX(0,J170-J169)+MAX(0,J171-J170)+MAX(0,J172-J171)),IF(B161=1,(H161/(B161+3)+J172),IF(B161=0,H161/4+J172))))</f>
        <v>30</v>
      </c>
    </row>
    <row r="174" spans="1:10" x14ac:dyDescent="0.25">
      <c r="A174" s="211" t="s">
        <v>132</v>
      </c>
      <c r="B174" s="212"/>
      <c r="C174" s="212"/>
      <c r="D174" s="212"/>
      <c r="E174" s="213"/>
      <c r="F174" s="211" t="str">
        <f ca="1">(IF(D61="Nothing","Yes",IF(D61="Cement, Aggregate, Steel, etc","Under Construction",IF(D61="Work not yet Started","Work not yet Started"))))</f>
        <v>Under Construction</v>
      </c>
      <c r="G174" s="212"/>
      <c r="H174" s="213"/>
    </row>
    <row r="175" spans="1:10" x14ac:dyDescent="0.25">
      <c r="A175" s="114" t="s">
        <v>54</v>
      </c>
      <c r="B175" s="114"/>
      <c r="C175" s="114"/>
      <c r="D175" s="114"/>
      <c r="E175" s="114"/>
      <c r="F175" s="114"/>
      <c r="G175" s="114"/>
      <c r="H175" s="114"/>
    </row>
    <row r="176" spans="1:10" ht="15" customHeight="1" x14ac:dyDescent="0.25">
      <c r="A176" s="185" t="s">
        <v>82</v>
      </c>
      <c r="B176" s="185"/>
      <c r="C176" s="116" t="s">
        <v>83</v>
      </c>
      <c r="D176" s="116"/>
      <c r="E176" s="116"/>
      <c r="F176" s="116"/>
      <c r="G176" s="116"/>
      <c r="H176" s="116"/>
    </row>
    <row r="177" spans="1:12" x14ac:dyDescent="0.25">
      <c r="A177" s="159" t="s">
        <v>55</v>
      </c>
      <c r="B177" s="159"/>
      <c r="C177" s="159"/>
      <c r="D177" s="159"/>
      <c r="E177" s="159"/>
      <c r="F177" s="159"/>
      <c r="G177" s="159"/>
      <c r="H177" s="159"/>
    </row>
    <row r="178" spans="1:12" x14ac:dyDescent="0.25">
      <c r="A178" s="114" t="s">
        <v>84</v>
      </c>
      <c r="B178" s="114"/>
      <c r="C178" s="114"/>
      <c r="D178" s="114"/>
      <c r="E178" s="114"/>
      <c r="F178" s="200">
        <v>7500</v>
      </c>
      <c r="G178" s="200"/>
      <c r="H178" s="200"/>
      <c r="I178" s="67"/>
      <c r="J178" s="78" t="s">
        <v>256</v>
      </c>
      <c r="K178" s="65"/>
      <c r="L178" s="66"/>
    </row>
    <row r="179" spans="1:12" ht="15.75" customHeight="1" x14ac:dyDescent="0.25">
      <c r="A179" s="114" t="s">
        <v>90</v>
      </c>
      <c r="B179" s="114"/>
      <c r="C179" s="114"/>
      <c r="D179" s="114"/>
      <c r="E179" s="114"/>
      <c r="F179" s="115">
        <v>11000</v>
      </c>
      <c r="G179" s="115"/>
      <c r="H179" s="115"/>
      <c r="I179" s="67"/>
    </row>
    <row r="180" spans="1:12" ht="15.75" hidden="1" customHeight="1" x14ac:dyDescent="0.25">
      <c r="A180" s="114" t="s">
        <v>91</v>
      </c>
      <c r="B180" s="114"/>
      <c r="C180" s="114"/>
      <c r="D180" s="114"/>
      <c r="E180" s="114"/>
      <c r="F180" s="115"/>
      <c r="G180" s="115"/>
      <c r="H180" s="115"/>
      <c r="I180" s="67"/>
    </row>
    <row r="181" spans="1:12" s="52" customFormat="1" x14ac:dyDescent="0.25">
      <c r="A181" s="114" t="s">
        <v>235</v>
      </c>
      <c r="B181" s="114"/>
      <c r="C181" s="114"/>
      <c r="D181" s="114"/>
      <c r="E181" s="114"/>
      <c r="F181" s="215" t="s">
        <v>255</v>
      </c>
      <c r="G181" s="215"/>
      <c r="H181" s="215"/>
      <c r="I181" s="67"/>
    </row>
    <row r="182" spans="1:12" s="52" customFormat="1" x14ac:dyDescent="0.25">
      <c r="A182" s="114" t="s">
        <v>107</v>
      </c>
      <c r="B182" s="114"/>
      <c r="C182" s="114"/>
      <c r="D182" s="114"/>
      <c r="E182" s="114"/>
      <c r="F182" s="115">
        <v>275000</v>
      </c>
      <c r="G182" s="115"/>
      <c r="H182" s="115"/>
    </row>
    <row r="183" spans="1:12" s="52" customFormat="1" x14ac:dyDescent="0.25">
      <c r="A183" s="114" t="s">
        <v>236</v>
      </c>
      <c r="B183" s="114"/>
      <c r="C183" s="114"/>
      <c r="D183" s="114"/>
      <c r="E183" s="114"/>
      <c r="F183" s="115">
        <v>400000</v>
      </c>
      <c r="G183" s="115"/>
      <c r="H183" s="115"/>
    </row>
    <row r="184" spans="1:12" s="52" customFormat="1" hidden="1" x14ac:dyDescent="0.25">
      <c r="A184" s="114" t="s">
        <v>108</v>
      </c>
      <c r="B184" s="114"/>
      <c r="C184" s="114"/>
      <c r="D184" s="114"/>
      <c r="E184" s="114"/>
      <c r="F184" s="115" t="s">
        <v>30</v>
      </c>
      <c r="G184" s="115"/>
      <c r="H184" s="115"/>
    </row>
    <row r="185" spans="1:12" s="52" customFormat="1" hidden="1" x14ac:dyDescent="0.25">
      <c r="A185" s="114" t="s">
        <v>109</v>
      </c>
      <c r="B185" s="114"/>
      <c r="C185" s="114"/>
      <c r="D185" s="114"/>
      <c r="E185" s="114"/>
      <c r="F185" s="115" t="s">
        <v>30</v>
      </c>
      <c r="G185" s="115"/>
      <c r="H185" s="115"/>
    </row>
    <row r="186" spans="1:12" s="52" customFormat="1" hidden="1" x14ac:dyDescent="0.25">
      <c r="A186" s="114" t="s">
        <v>110</v>
      </c>
      <c r="B186" s="114"/>
      <c r="C186" s="114"/>
      <c r="D186" s="114"/>
      <c r="E186" s="114"/>
      <c r="F186" s="115" t="s">
        <v>30</v>
      </c>
      <c r="G186" s="115"/>
      <c r="H186" s="115"/>
    </row>
    <row r="187" spans="1:12" s="52" customFormat="1" hidden="1" x14ac:dyDescent="0.25">
      <c r="A187" s="114" t="s">
        <v>111</v>
      </c>
      <c r="B187" s="114"/>
      <c r="C187" s="114"/>
      <c r="D187" s="114"/>
      <c r="E187" s="114"/>
      <c r="F187" s="115" t="s">
        <v>30</v>
      </c>
      <c r="G187" s="115"/>
      <c r="H187" s="115"/>
    </row>
    <row r="188" spans="1:12" x14ac:dyDescent="0.25">
      <c r="A188" s="114" t="s">
        <v>56</v>
      </c>
      <c r="B188" s="114"/>
      <c r="C188" s="114"/>
      <c r="D188" s="114"/>
      <c r="E188" s="114"/>
      <c r="F188" s="115">
        <v>400000</v>
      </c>
      <c r="G188" s="115"/>
      <c r="H188" s="115"/>
    </row>
    <row r="189" spans="1:12" s="53" customFormat="1" x14ac:dyDescent="0.25">
      <c r="A189" s="159" t="s">
        <v>57</v>
      </c>
      <c r="B189" s="159"/>
      <c r="C189" s="159"/>
      <c r="D189" s="159"/>
      <c r="E189" s="159"/>
      <c r="F189" s="115">
        <f>F178*0.8</f>
        <v>6000</v>
      </c>
      <c r="G189" s="115"/>
      <c r="H189" s="115"/>
    </row>
    <row r="190" spans="1:12" s="54" customFormat="1" ht="15.75" customHeight="1" x14ac:dyDescent="0.25">
      <c r="A190" s="192" t="s">
        <v>85</v>
      </c>
      <c r="B190" s="192"/>
      <c r="C190" s="192"/>
      <c r="D190" s="192"/>
      <c r="E190" s="192"/>
      <c r="F190" s="192"/>
      <c r="G190" s="192"/>
      <c r="H190" s="192"/>
    </row>
    <row r="191" spans="1:12" s="54" customFormat="1" ht="15.75" customHeight="1" x14ac:dyDescent="0.25">
      <c r="A191" s="188" t="s">
        <v>58</v>
      </c>
      <c r="B191" s="188"/>
      <c r="C191" s="187" t="s">
        <v>88</v>
      </c>
      <c r="D191" s="187"/>
      <c r="E191" s="210" t="s">
        <v>59</v>
      </c>
      <c r="F191" s="210"/>
      <c r="G191" s="188" t="s">
        <v>60</v>
      </c>
      <c r="H191" s="188"/>
    </row>
    <row r="192" spans="1:12" s="54" customFormat="1" x14ac:dyDescent="0.25">
      <c r="A192" s="24" t="s">
        <v>226</v>
      </c>
      <c r="B192" s="232" t="s">
        <v>207</v>
      </c>
      <c r="C192" s="146">
        <f>COUNT(D214:D227)</f>
        <v>14</v>
      </c>
      <c r="D192" s="147"/>
      <c r="E192" s="148">
        <f>SUM(D214:D227)</f>
        <v>4144.1399999999994</v>
      </c>
      <c r="F192" s="149"/>
      <c r="G192" s="148">
        <f>SUM(F214:F227)</f>
        <v>6630.6240000000016</v>
      </c>
      <c r="H192" s="149"/>
    </row>
    <row r="193" spans="1:11" s="54" customFormat="1" x14ac:dyDescent="0.25">
      <c r="A193" s="24" t="s">
        <v>227</v>
      </c>
      <c r="B193" s="233"/>
      <c r="C193" s="146">
        <f>COUNT(D230:D236)</f>
        <v>7</v>
      </c>
      <c r="D193" s="147"/>
      <c r="E193" s="148">
        <f>SUM(D230:D236)</f>
        <v>2165.93208</v>
      </c>
      <c r="F193" s="149"/>
      <c r="G193" s="148">
        <f>SUM(F230:F236)</f>
        <v>3465.4913280000001</v>
      </c>
      <c r="H193" s="149"/>
    </row>
    <row r="194" spans="1:11" s="54" customFormat="1" x14ac:dyDescent="0.25">
      <c r="A194" s="24" t="s">
        <v>228</v>
      </c>
      <c r="B194" s="234"/>
      <c r="C194" s="146">
        <f>COUNT(D239:D252)</f>
        <v>14</v>
      </c>
      <c r="D194" s="147"/>
      <c r="E194" s="148">
        <f>SUM(D239:D252)</f>
        <v>4453.28208</v>
      </c>
      <c r="F194" s="149"/>
      <c r="G194" s="148">
        <f>SUM(F239:F252)</f>
        <v>7125.2513280000003</v>
      </c>
      <c r="H194" s="149"/>
    </row>
    <row r="195" spans="1:11" s="54" customFormat="1" x14ac:dyDescent="0.25">
      <c r="A195" s="192" t="s">
        <v>61</v>
      </c>
      <c r="B195" s="192"/>
      <c r="C195" s="230">
        <f>SUM(C192:C194)</f>
        <v>35</v>
      </c>
      <c r="D195" s="187"/>
      <c r="E195" s="231">
        <f>SUM(E192:E194)</f>
        <v>10763.354159999999</v>
      </c>
      <c r="F195" s="210"/>
      <c r="G195" s="188">
        <f>SUM(G192:G194)</f>
        <v>17221.366656000002</v>
      </c>
      <c r="H195" s="188"/>
      <c r="J195" s="70"/>
      <c r="K195" s="70"/>
    </row>
    <row r="196" spans="1:11" s="54" customFormat="1" x14ac:dyDescent="0.25">
      <c r="A196" s="192" t="s">
        <v>77</v>
      </c>
      <c r="B196" s="192"/>
      <c r="C196" s="192"/>
      <c r="D196" s="192"/>
      <c r="E196" s="192"/>
      <c r="F196" s="192"/>
      <c r="G196" s="192"/>
      <c r="H196" s="192"/>
    </row>
    <row r="197" spans="1:11" s="54" customFormat="1" ht="15.75" customHeight="1" x14ac:dyDescent="0.25">
      <c r="A197" s="188" t="s">
        <v>58</v>
      </c>
      <c r="B197" s="188"/>
      <c r="C197" s="187" t="s">
        <v>88</v>
      </c>
      <c r="D197" s="187"/>
      <c r="E197" s="210" t="s">
        <v>59</v>
      </c>
      <c r="F197" s="210"/>
      <c r="G197" s="188" t="s">
        <v>60</v>
      </c>
      <c r="H197" s="188"/>
    </row>
    <row r="198" spans="1:11" s="54" customFormat="1" x14ac:dyDescent="0.25">
      <c r="A198" s="24" t="s">
        <v>226</v>
      </c>
      <c r="B198" s="23" t="s">
        <v>212</v>
      </c>
      <c r="C198" s="147">
        <f>COUNT(D258:D267)+COUNT(D269:D278)*24+COUNT(D280:D288)*5</f>
        <v>295</v>
      </c>
      <c r="D198" s="147"/>
      <c r="E198" s="148">
        <f>SUM(D258:D267)+SUM(D269:D278)*24+SUM(D280:D288)*5</f>
        <v>105537.05884799999</v>
      </c>
      <c r="F198" s="148"/>
      <c r="G198" s="148">
        <f>SUM(F258:F267)+SUM(F269:F278)*24+SUM(F280:F288)*5</f>
        <v>158935.1724792</v>
      </c>
      <c r="H198" s="148"/>
    </row>
    <row r="199" spans="1:11" s="54" customFormat="1" x14ac:dyDescent="0.25">
      <c r="A199" s="235" t="s">
        <v>227</v>
      </c>
      <c r="B199" s="23" t="s">
        <v>212</v>
      </c>
      <c r="C199" s="147">
        <f>COUNT(D306:D311)*13+COUNT(D313:D316,D318)*3</f>
        <v>93</v>
      </c>
      <c r="D199" s="147"/>
      <c r="E199" s="148">
        <f>SUM(D306:D311)*13+SUM(D313:D316,D318)*3</f>
        <v>33004.684439999997</v>
      </c>
      <c r="F199" s="148"/>
      <c r="G199" s="148">
        <f>SUM(F306:F311)*13+SUM(F313:F316,F318)*3</f>
        <v>49507.026659999996</v>
      </c>
      <c r="H199" s="148"/>
    </row>
    <row r="200" spans="1:11" s="54" customFormat="1" x14ac:dyDescent="0.25">
      <c r="A200" s="236"/>
      <c r="B200" s="23" t="s">
        <v>211</v>
      </c>
      <c r="C200" s="147">
        <f>COUNT(D292:D297)+COUNT(D299:D304)*12</f>
        <v>78</v>
      </c>
      <c r="D200" s="147"/>
      <c r="E200" s="148">
        <f>SUM(D292:D297)+SUM(D299:D304)*12</f>
        <v>27661.598452800001</v>
      </c>
      <c r="F200" s="148"/>
      <c r="G200" s="148">
        <f>SUM(F292:F297)+SUM(F299:F304)*12</f>
        <v>41748.167362199994</v>
      </c>
      <c r="H200" s="148"/>
    </row>
    <row r="201" spans="1:11" s="54" customFormat="1" x14ac:dyDescent="0.25">
      <c r="A201" s="24" t="s">
        <v>228</v>
      </c>
      <c r="B201" s="23" t="s">
        <v>212</v>
      </c>
      <c r="C201" s="147">
        <f>COUNT(D321:D332)+COUNT(D334:D345)*19+COUNT(D347:D354,D356:D358)*4+COUNT(D360:D364)</f>
        <v>289</v>
      </c>
      <c r="D201" s="147"/>
      <c r="E201" s="148">
        <f>SUM(D321:D332)+SUM(D334:D345)*19+SUM(D347:D354,D356:D358)*4+SUM(D360:D364)</f>
        <v>102437.87074559998</v>
      </c>
      <c r="F201" s="148"/>
      <c r="G201" s="148">
        <f>SUM(F321:F332)+SUM(F334:F345)*19+SUM(F347:F354,F356:F358)*4+SUM(F360:F364)</f>
        <v>154134.10699440003</v>
      </c>
      <c r="H201" s="148"/>
    </row>
    <row r="202" spans="1:11" s="54" customFormat="1" x14ac:dyDescent="0.25">
      <c r="A202" s="24" t="s">
        <v>229</v>
      </c>
      <c r="B202" s="23" t="s">
        <v>212</v>
      </c>
      <c r="C202" s="147">
        <f>COUNT(D377:D382)*24+COUNT(D384:D386,D388:D389)*5</f>
        <v>169</v>
      </c>
      <c r="D202" s="147"/>
      <c r="E202" s="148">
        <f>SUM(D377:D382)*24+SUM(D384:D386,D388:D389)*5</f>
        <v>59976.254520000002</v>
      </c>
      <c r="F202" s="148"/>
      <c r="G202" s="148">
        <f>SUM(F377:F382)*24+SUM(F384:F386,F388:F389)*5</f>
        <v>89964.381779999996</v>
      </c>
      <c r="H202" s="148"/>
    </row>
    <row r="203" spans="1:11" s="54" customFormat="1" x14ac:dyDescent="0.25">
      <c r="A203" s="24" t="s">
        <v>230</v>
      </c>
      <c r="B203" s="23" t="s">
        <v>212</v>
      </c>
      <c r="C203" s="147">
        <f>COUNT(D395:D398)*24+COUNT(D400:D403)*5</f>
        <v>116</v>
      </c>
      <c r="D203" s="147"/>
      <c r="E203" s="148">
        <f>SUM(D395:D398)*24+SUM(D400:D403)*5</f>
        <v>76625.90208</v>
      </c>
      <c r="F203" s="148"/>
      <c r="G203" s="148">
        <f>SUM(F395:F398)*24+SUM(F400:F403)*5</f>
        <v>114938.85312</v>
      </c>
      <c r="H203" s="148"/>
    </row>
    <row r="204" spans="1:11" s="54" customFormat="1" x14ac:dyDescent="0.25">
      <c r="A204" s="24" t="s">
        <v>231</v>
      </c>
      <c r="B204" s="23" t="s">
        <v>212</v>
      </c>
      <c r="C204" s="147">
        <f>COUNT(D409:D412)*24+COUNT(D414:D417)*5</f>
        <v>116</v>
      </c>
      <c r="D204" s="147"/>
      <c r="E204" s="148">
        <f>SUM(D409:D412)*24+SUM(D414:D417)*5</f>
        <v>76625.90208</v>
      </c>
      <c r="F204" s="148"/>
      <c r="G204" s="148">
        <f>SUM(F409:F412)*24+SUM(F414:F417)*5</f>
        <v>114938.85312</v>
      </c>
      <c r="H204" s="148"/>
    </row>
    <row r="205" spans="1:11" s="54" customFormat="1" x14ac:dyDescent="0.25">
      <c r="A205" s="24" t="s">
        <v>232</v>
      </c>
      <c r="B205" s="23" t="s">
        <v>212</v>
      </c>
      <c r="C205" s="147">
        <f>COUNT(D423:D426)*24+COUNT(D428:D431)*5</f>
        <v>116</v>
      </c>
      <c r="D205" s="147"/>
      <c r="E205" s="148">
        <f>SUM(D423:D426)*24+SUM(D428:D431)*5</f>
        <v>76625.90208</v>
      </c>
      <c r="F205" s="148"/>
      <c r="G205" s="148">
        <f>SUM(F423:F426)*24+SUM(F428:F431)*5</f>
        <v>114938.85312</v>
      </c>
      <c r="H205" s="148"/>
    </row>
    <row r="206" spans="1:11" s="54" customFormat="1" ht="16.5" thickBot="1" x14ac:dyDescent="0.3">
      <c r="A206" s="226" t="s">
        <v>61</v>
      </c>
      <c r="B206" s="226"/>
      <c r="C206" s="201">
        <f>SUM(C198:C205)</f>
        <v>1272</v>
      </c>
      <c r="D206" s="201"/>
      <c r="E206" s="202">
        <f>SUM(E198:E205)</f>
        <v>558495.17324640008</v>
      </c>
      <c r="F206" s="203"/>
      <c r="G206" s="227">
        <f>SUM(G198:G205)</f>
        <v>839105.41463580006</v>
      </c>
      <c r="H206" s="227"/>
    </row>
    <row r="207" spans="1:11" s="54" customFormat="1" ht="16.5" thickBot="1" x14ac:dyDescent="0.3">
      <c r="A207" s="135" t="s">
        <v>245</v>
      </c>
      <c r="B207" s="136"/>
      <c r="C207" s="137">
        <f>C195+C206</f>
        <v>1307</v>
      </c>
      <c r="D207" s="138"/>
      <c r="E207" s="139">
        <f>E195+E206</f>
        <v>569258.52740640007</v>
      </c>
      <c r="F207" s="140"/>
      <c r="G207" s="141">
        <f>G195+G206</f>
        <v>856326.78129180009</v>
      </c>
      <c r="H207" s="142"/>
    </row>
    <row r="208" spans="1:11" s="53" customFormat="1" x14ac:dyDescent="0.25">
      <c r="A208" s="214" t="s">
        <v>62</v>
      </c>
      <c r="B208" s="214"/>
      <c r="C208" s="214"/>
      <c r="D208" s="214"/>
      <c r="E208" s="214"/>
      <c r="F208" s="214"/>
      <c r="G208" s="214"/>
      <c r="H208" s="214"/>
    </row>
    <row r="209" spans="1:14" x14ac:dyDescent="0.25">
      <c r="A209" s="151" t="s">
        <v>63</v>
      </c>
      <c r="B209" s="151"/>
      <c r="C209" s="151"/>
      <c r="D209" s="151"/>
      <c r="E209" s="151"/>
      <c r="F209" s="151"/>
      <c r="G209" s="151"/>
      <c r="H209" s="151"/>
    </row>
    <row r="210" spans="1:14" ht="47.25" customHeight="1" x14ac:dyDescent="0.25">
      <c r="A210" s="152" t="s">
        <v>134</v>
      </c>
      <c r="B210" s="131" t="s">
        <v>206</v>
      </c>
      <c r="C210" s="152" t="s">
        <v>64</v>
      </c>
      <c r="D210" s="152" t="s">
        <v>65</v>
      </c>
      <c r="E210" s="129" t="s">
        <v>66</v>
      </c>
      <c r="F210" s="26" t="s">
        <v>133</v>
      </c>
      <c r="G210" s="131" t="s">
        <v>67</v>
      </c>
      <c r="H210" s="132"/>
    </row>
    <row r="211" spans="1:14" s="55" customFormat="1" x14ac:dyDescent="0.25">
      <c r="A211" s="153"/>
      <c r="B211" s="133"/>
      <c r="C211" s="153"/>
      <c r="D211" s="153"/>
      <c r="E211" s="130"/>
      <c r="F211" s="15">
        <v>0.6</v>
      </c>
      <c r="G211" s="133"/>
      <c r="H211" s="134"/>
    </row>
    <row r="212" spans="1:14" s="53" customFormat="1" x14ac:dyDescent="0.25">
      <c r="A212" s="151" t="s">
        <v>208</v>
      </c>
      <c r="B212" s="151"/>
      <c r="C212" s="151"/>
      <c r="D212" s="151"/>
      <c r="E212" s="151"/>
      <c r="F212" s="151"/>
      <c r="G212" s="151"/>
      <c r="H212" s="151"/>
    </row>
    <row r="213" spans="1:14" s="55" customFormat="1" x14ac:dyDescent="0.25">
      <c r="A213" s="126" t="s">
        <v>180</v>
      </c>
      <c r="B213" s="127"/>
      <c r="C213" s="127"/>
      <c r="D213" s="127"/>
      <c r="E213" s="127"/>
      <c r="F213" s="127"/>
      <c r="G213" s="127"/>
      <c r="H213" s="128"/>
    </row>
    <row r="214" spans="1:14" s="55" customFormat="1" x14ac:dyDescent="0.25">
      <c r="A214" s="27">
        <v>22</v>
      </c>
      <c r="B214" s="27" t="s">
        <v>189</v>
      </c>
      <c r="C214" s="27" t="s">
        <v>181</v>
      </c>
      <c r="D214" s="27">
        <f>(22.84)*10.764</f>
        <v>245.84975999999997</v>
      </c>
      <c r="E214" s="27">
        <v>0</v>
      </c>
      <c r="F214" s="27">
        <f>D214*(($F$211)+1)+E214</f>
        <v>393.35961599999996</v>
      </c>
      <c r="G214" s="144" t="str">
        <f>A213</f>
        <v>Ground Floor for Commercial &amp; Parking</v>
      </c>
      <c r="H214" s="145"/>
      <c r="I214" s="56"/>
      <c r="L214" s="143"/>
      <c r="M214" s="143"/>
      <c r="N214" s="56"/>
    </row>
    <row r="215" spans="1:14" s="55" customFormat="1" x14ac:dyDescent="0.25">
      <c r="A215" s="27">
        <f>A214+1</f>
        <v>23</v>
      </c>
      <c r="B215" s="27" t="s">
        <v>189</v>
      </c>
      <c r="C215" s="27" t="s">
        <v>181</v>
      </c>
      <c r="D215" s="27">
        <f>(41.43)*10.764</f>
        <v>445.95251999999999</v>
      </c>
      <c r="E215" s="27">
        <v>0</v>
      </c>
      <c r="F215" s="27">
        <f t="shared" ref="F215:F216" si="0">D215*(($F$211)+1)+E215</f>
        <v>713.52403200000003</v>
      </c>
      <c r="G215" s="144" t="str">
        <f t="shared" ref="G215:G227" si="1">G214</f>
        <v>Ground Floor for Commercial &amp; Parking</v>
      </c>
      <c r="H215" s="145"/>
      <c r="I215" s="56"/>
      <c r="L215" s="143"/>
      <c r="M215" s="143"/>
      <c r="N215" s="56"/>
    </row>
    <row r="216" spans="1:14" s="55" customFormat="1" x14ac:dyDescent="0.25">
      <c r="A216" s="27">
        <f t="shared" ref="A216:A218" si="2">A215+1</f>
        <v>24</v>
      </c>
      <c r="B216" s="27" t="s">
        <v>189</v>
      </c>
      <c r="C216" s="27" t="s">
        <v>181</v>
      </c>
      <c r="D216" s="27">
        <f>(30.41)*10.764</f>
        <v>327.33323999999999</v>
      </c>
      <c r="E216" s="27">
        <v>0</v>
      </c>
      <c r="F216" s="27">
        <f t="shared" si="0"/>
        <v>523.73318400000005</v>
      </c>
      <c r="G216" s="144" t="str">
        <f t="shared" si="1"/>
        <v>Ground Floor for Commercial &amp; Parking</v>
      </c>
      <c r="H216" s="145"/>
      <c r="I216" s="56"/>
      <c r="L216" s="143"/>
      <c r="M216" s="143"/>
      <c r="N216" s="56"/>
    </row>
    <row r="217" spans="1:14" s="55" customFormat="1" x14ac:dyDescent="0.25">
      <c r="A217" s="27">
        <f t="shared" si="2"/>
        <v>25</v>
      </c>
      <c r="B217" s="27" t="s">
        <v>189</v>
      </c>
      <c r="C217" s="27" t="s">
        <v>181</v>
      </c>
      <c r="D217" s="27">
        <f>(25.36)*10.764</f>
        <v>272.97503999999998</v>
      </c>
      <c r="E217" s="27">
        <v>0</v>
      </c>
      <c r="F217" s="27">
        <f t="shared" ref="F217:F218" si="3">D217*(($F$211)+1)+E217</f>
        <v>436.760064</v>
      </c>
      <c r="G217" s="144" t="str">
        <f t="shared" si="1"/>
        <v>Ground Floor for Commercial &amp; Parking</v>
      </c>
      <c r="H217" s="145"/>
      <c r="I217" s="56"/>
      <c r="L217" s="143"/>
      <c r="M217" s="143"/>
      <c r="N217" s="56"/>
    </row>
    <row r="218" spans="1:14" s="55" customFormat="1" x14ac:dyDescent="0.25">
      <c r="A218" s="27">
        <f t="shared" si="2"/>
        <v>26</v>
      </c>
      <c r="B218" s="27" t="s">
        <v>189</v>
      </c>
      <c r="C218" s="27" t="s">
        <v>181</v>
      </c>
      <c r="D218" s="27">
        <f>(25.49)*10.764</f>
        <v>274.37435999999997</v>
      </c>
      <c r="E218" s="27">
        <v>0</v>
      </c>
      <c r="F218" s="27">
        <f t="shared" si="3"/>
        <v>438.99897599999997</v>
      </c>
      <c r="G218" s="144" t="str">
        <f t="shared" si="1"/>
        <v>Ground Floor for Commercial &amp; Parking</v>
      </c>
      <c r="H218" s="145"/>
      <c r="I218" s="56"/>
      <c r="L218" s="143"/>
      <c r="M218" s="143"/>
      <c r="N218" s="56"/>
    </row>
    <row r="219" spans="1:14" s="55" customFormat="1" x14ac:dyDescent="0.25">
      <c r="A219" s="27">
        <f t="shared" ref="A219:A227" si="4">A218+1</f>
        <v>27</v>
      </c>
      <c r="B219" s="27" t="s">
        <v>189</v>
      </c>
      <c r="C219" s="27" t="s">
        <v>181</v>
      </c>
      <c r="D219" s="27">
        <f>(27.7)*10.764</f>
        <v>298.16279999999995</v>
      </c>
      <c r="E219" s="27">
        <v>0</v>
      </c>
      <c r="F219" s="27">
        <f t="shared" ref="F219:F220" si="5">D219*(($F$211)+1)+E219</f>
        <v>477.06047999999993</v>
      </c>
      <c r="G219" s="144" t="str">
        <f t="shared" si="1"/>
        <v>Ground Floor for Commercial &amp; Parking</v>
      </c>
      <c r="H219" s="145"/>
      <c r="I219" s="56"/>
      <c r="L219" s="143"/>
      <c r="M219" s="143"/>
      <c r="N219" s="56"/>
    </row>
    <row r="220" spans="1:14" s="55" customFormat="1" x14ac:dyDescent="0.25">
      <c r="A220" s="27">
        <f t="shared" si="4"/>
        <v>28</v>
      </c>
      <c r="B220" s="27" t="s">
        <v>189</v>
      </c>
      <c r="C220" s="27" t="s">
        <v>181</v>
      </c>
      <c r="D220" s="27">
        <f>(27.7)*10.764</f>
        <v>298.16279999999995</v>
      </c>
      <c r="E220" s="27">
        <v>0</v>
      </c>
      <c r="F220" s="27">
        <f t="shared" si="5"/>
        <v>477.06047999999993</v>
      </c>
      <c r="G220" s="144" t="str">
        <f t="shared" si="1"/>
        <v>Ground Floor for Commercial &amp; Parking</v>
      </c>
      <c r="H220" s="145"/>
      <c r="I220" s="56"/>
      <c r="L220" s="143"/>
      <c r="M220" s="143"/>
      <c r="N220" s="56"/>
    </row>
    <row r="221" spans="1:14" s="55" customFormat="1" x14ac:dyDescent="0.25">
      <c r="A221" s="27">
        <f t="shared" si="4"/>
        <v>29</v>
      </c>
      <c r="B221" s="27" t="s">
        <v>189</v>
      </c>
      <c r="C221" s="27" t="s">
        <v>181</v>
      </c>
      <c r="D221" s="27">
        <f>(25.49)*10.764</f>
        <v>274.37435999999997</v>
      </c>
      <c r="E221" s="27">
        <v>0</v>
      </c>
      <c r="F221" s="27">
        <f t="shared" ref="F221:F225" si="6">D221*(($F$211)+1)+E221</f>
        <v>438.99897599999997</v>
      </c>
      <c r="G221" s="144" t="str">
        <f t="shared" si="1"/>
        <v>Ground Floor for Commercial &amp; Parking</v>
      </c>
      <c r="H221" s="145"/>
      <c r="I221" s="56"/>
      <c r="L221" s="143"/>
      <c r="M221" s="143"/>
      <c r="N221" s="56"/>
    </row>
    <row r="222" spans="1:14" s="55" customFormat="1" x14ac:dyDescent="0.25">
      <c r="A222" s="27">
        <f t="shared" si="4"/>
        <v>30</v>
      </c>
      <c r="B222" s="27" t="s">
        <v>189</v>
      </c>
      <c r="C222" s="27" t="s">
        <v>181</v>
      </c>
      <c r="D222" s="27">
        <f>(25.49)*10.764</f>
        <v>274.37435999999997</v>
      </c>
      <c r="E222" s="27">
        <v>0</v>
      </c>
      <c r="F222" s="27">
        <f t="shared" si="6"/>
        <v>438.99897599999997</v>
      </c>
      <c r="G222" s="144" t="str">
        <f t="shared" si="1"/>
        <v>Ground Floor for Commercial &amp; Parking</v>
      </c>
      <c r="H222" s="145"/>
      <c r="I222" s="56"/>
      <c r="L222" s="143"/>
      <c r="M222" s="143"/>
      <c r="N222" s="56"/>
    </row>
    <row r="223" spans="1:14" s="55" customFormat="1" x14ac:dyDescent="0.25">
      <c r="A223" s="84">
        <f t="shared" si="4"/>
        <v>31</v>
      </c>
      <c r="B223" s="84" t="s">
        <v>189</v>
      </c>
      <c r="C223" s="84" t="s">
        <v>181</v>
      </c>
      <c r="D223" s="84">
        <f>(27.7)*10.764</f>
        <v>298.16279999999995</v>
      </c>
      <c r="E223" s="84">
        <v>0</v>
      </c>
      <c r="F223" s="84">
        <f t="shared" si="6"/>
        <v>477.06047999999993</v>
      </c>
      <c r="G223" s="150" t="str">
        <f t="shared" si="1"/>
        <v>Ground Floor for Commercial &amp; Parking</v>
      </c>
      <c r="H223" s="150"/>
      <c r="I223" s="56"/>
      <c r="L223" s="143"/>
      <c r="M223" s="143"/>
      <c r="N223" s="56"/>
    </row>
    <row r="224" spans="1:14" s="55" customFormat="1" x14ac:dyDescent="0.25">
      <c r="A224" s="84">
        <f t="shared" si="4"/>
        <v>32</v>
      </c>
      <c r="B224" s="84" t="s">
        <v>189</v>
      </c>
      <c r="C224" s="84" t="s">
        <v>181</v>
      </c>
      <c r="D224" s="84">
        <f>(27.7)*10.764</f>
        <v>298.16279999999995</v>
      </c>
      <c r="E224" s="84">
        <v>0</v>
      </c>
      <c r="F224" s="84">
        <f t="shared" si="6"/>
        <v>477.06047999999993</v>
      </c>
      <c r="G224" s="150" t="str">
        <f t="shared" si="1"/>
        <v>Ground Floor for Commercial &amp; Parking</v>
      </c>
      <c r="H224" s="150"/>
      <c r="I224" s="56"/>
      <c r="L224" s="143"/>
      <c r="M224" s="143"/>
      <c r="N224" s="56"/>
    </row>
    <row r="225" spans="1:14" s="55" customFormat="1" x14ac:dyDescent="0.25">
      <c r="A225" s="84">
        <f t="shared" si="4"/>
        <v>33</v>
      </c>
      <c r="B225" s="84" t="s">
        <v>189</v>
      </c>
      <c r="C225" s="84" t="s">
        <v>181</v>
      </c>
      <c r="D225" s="84">
        <f>(25.1)*10.764</f>
        <v>270.1764</v>
      </c>
      <c r="E225" s="84">
        <v>0</v>
      </c>
      <c r="F225" s="84">
        <f t="shared" si="6"/>
        <v>432.28224</v>
      </c>
      <c r="G225" s="150" t="str">
        <f t="shared" si="1"/>
        <v>Ground Floor for Commercial &amp; Parking</v>
      </c>
      <c r="H225" s="150"/>
      <c r="I225" s="56"/>
      <c r="L225" s="143"/>
      <c r="M225" s="143"/>
      <c r="N225" s="56"/>
    </row>
    <row r="226" spans="1:14" s="55" customFormat="1" x14ac:dyDescent="0.25">
      <c r="A226" s="84">
        <f t="shared" si="4"/>
        <v>34</v>
      </c>
      <c r="B226" s="84" t="s">
        <v>189</v>
      </c>
      <c r="C226" s="84" t="s">
        <v>181</v>
      </c>
      <c r="D226" s="84">
        <f>(25.1)*10.764</f>
        <v>270.1764</v>
      </c>
      <c r="E226" s="84">
        <v>0</v>
      </c>
      <c r="F226" s="84">
        <f t="shared" ref="F226:F227" si="7">D226*(($F$211)+1)+E226</f>
        <v>432.28224</v>
      </c>
      <c r="G226" s="150" t="str">
        <f t="shared" si="1"/>
        <v>Ground Floor for Commercial &amp; Parking</v>
      </c>
      <c r="H226" s="150"/>
      <c r="I226" s="56"/>
      <c r="L226" s="143"/>
      <c r="M226" s="143"/>
      <c r="N226" s="56"/>
    </row>
    <row r="227" spans="1:14" s="55" customFormat="1" x14ac:dyDescent="0.25">
      <c r="A227" s="84">
        <f t="shared" si="4"/>
        <v>35</v>
      </c>
      <c r="B227" s="84" t="s">
        <v>189</v>
      </c>
      <c r="C227" s="84" t="s">
        <v>181</v>
      </c>
      <c r="D227" s="84">
        <f>(27.49)*10.764</f>
        <v>295.90235999999999</v>
      </c>
      <c r="E227" s="84">
        <v>0</v>
      </c>
      <c r="F227" s="84">
        <f t="shared" si="7"/>
        <v>473.44377600000001</v>
      </c>
      <c r="G227" s="150" t="str">
        <f t="shared" si="1"/>
        <v>Ground Floor for Commercial &amp; Parking</v>
      </c>
      <c r="H227" s="150"/>
      <c r="I227" s="56"/>
      <c r="L227" s="143"/>
      <c r="M227" s="143"/>
      <c r="N227" s="56"/>
    </row>
    <row r="228" spans="1:14" s="53" customFormat="1" x14ac:dyDescent="0.25">
      <c r="A228" s="151" t="s">
        <v>209</v>
      </c>
      <c r="B228" s="151"/>
      <c r="C228" s="151"/>
      <c r="D228" s="151"/>
      <c r="E228" s="151"/>
      <c r="F228" s="151"/>
      <c r="G228" s="151"/>
      <c r="H228" s="151"/>
    </row>
    <row r="229" spans="1:14" s="55" customFormat="1" x14ac:dyDescent="0.25">
      <c r="A229" s="193" t="s">
        <v>180</v>
      </c>
      <c r="B229" s="193"/>
      <c r="C229" s="193"/>
      <c r="D229" s="193"/>
      <c r="E229" s="193"/>
      <c r="F229" s="193"/>
      <c r="G229" s="193"/>
      <c r="H229" s="193"/>
    </row>
    <row r="230" spans="1:14" s="55" customFormat="1" x14ac:dyDescent="0.25">
      <c r="A230" s="27">
        <v>15</v>
      </c>
      <c r="B230" s="27" t="s">
        <v>189</v>
      </c>
      <c r="C230" s="27" t="s">
        <v>181</v>
      </c>
      <c r="D230" s="27">
        <f>(26.99)*10.764</f>
        <v>290.52035999999998</v>
      </c>
      <c r="E230" s="27">
        <v>0</v>
      </c>
      <c r="F230" s="27">
        <f>D230*(($F$211)+1)+E230</f>
        <v>464.83257600000002</v>
      </c>
      <c r="G230" s="144" t="str">
        <f>A229</f>
        <v>Ground Floor for Commercial &amp; Parking</v>
      </c>
      <c r="H230" s="145"/>
      <c r="I230" s="56"/>
      <c r="L230" s="143"/>
      <c r="M230" s="143"/>
      <c r="N230" s="56"/>
    </row>
    <row r="231" spans="1:14" s="55" customFormat="1" x14ac:dyDescent="0.25">
      <c r="A231" s="27">
        <f>A230+1</f>
        <v>16</v>
      </c>
      <c r="B231" s="27" t="s">
        <v>189</v>
      </c>
      <c r="C231" s="27" t="s">
        <v>181</v>
      </c>
      <c r="D231" s="27">
        <f>(28.59)*10.764</f>
        <v>307.74275999999998</v>
      </c>
      <c r="E231" s="27">
        <v>0</v>
      </c>
      <c r="F231" s="27">
        <f t="shared" ref="F231:F236" si="8">D231*(($F$211)+1)+E231</f>
        <v>492.38841600000001</v>
      </c>
      <c r="G231" s="144" t="str">
        <f t="shared" ref="G231:G236" si="9">G230</f>
        <v>Ground Floor for Commercial &amp; Parking</v>
      </c>
      <c r="H231" s="145"/>
      <c r="I231" s="56"/>
      <c r="L231" s="143"/>
      <c r="M231" s="143"/>
      <c r="N231" s="56"/>
    </row>
    <row r="232" spans="1:14" s="55" customFormat="1" x14ac:dyDescent="0.25">
      <c r="A232" s="27">
        <f t="shared" ref="A232:A236" si="10">A231+1</f>
        <v>17</v>
      </c>
      <c r="B232" s="27" t="s">
        <v>189</v>
      </c>
      <c r="C232" s="27" t="s">
        <v>181</v>
      </c>
      <c r="D232" s="27">
        <f>(33.62)*10.764</f>
        <v>361.88567999999992</v>
      </c>
      <c r="E232" s="27">
        <v>0</v>
      </c>
      <c r="F232" s="27">
        <f t="shared" si="8"/>
        <v>579.01708799999994</v>
      </c>
      <c r="G232" s="144" t="str">
        <f t="shared" si="9"/>
        <v>Ground Floor for Commercial &amp; Parking</v>
      </c>
      <c r="H232" s="145"/>
      <c r="I232" s="56"/>
      <c r="L232" s="143"/>
      <c r="M232" s="143"/>
      <c r="N232" s="56"/>
    </row>
    <row r="233" spans="1:14" s="55" customFormat="1" x14ac:dyDescent="0.25">
      <c r="A233" s="27">
        <f t="shared" si="10"/>
        <v>18</v>
      </c>
      <c r="B233" s="27" t="s">
        <v>189</v>
      </c>
      <c r="C233" s="27" t="s">
        <v>181</v>
      </c>
      <c r="D233" s="27">
        <f>(29.03)*10.764</f>
        <v>312.47892000000002</v>
      </c>
      <c r="E233" s="27">
        <v>0</v>
      </c>
      <c r="F233" s="27">
        <f t="shared" si="8"/>
        <v>499.96627200000006</v>
      </c>
      <c r="G233" s="144" t="str">
        <f t="shared" si="9"/>
        <v>Ground Floor for Commercial &amp; Parking</v>
      </c>
      <c r="H233" s="145"/>
      <c r="I233" s="56"/>
      <c r="L233" s="143"/>
      <c r="M233" s="143"/>
      <c r="N233" s="56"/>
    </row>
    <row r="234" spans="1:14" s="55" customFormat="1" x14ac:dyDescent="0.25">
      <c r="A234" s="27">
        <f t="shared" si="10"/>
        <v>19</v>
      </c>
      <c r="B234" s="27" t="s">
        <v>189</v>
      </c>
      <c r="C234" s="27" t="s">
        <v>181</v>
      </c>
      <c r="D234" s="27">
        <f>(26.55)*10.764</f>
        <v>285.7842</v>
      </c>
      <c r="E234" s="27">
        <v>0</v>
      </c>
      <c r="F234" s="27">
        <f t="shared" si="8"/>
        <v>457.25472000000002</v>
      </c>
      <c r="G234" s="144" t="str">
        <f t="shared" si="9"/>
        <v>Ground Floor for Commercial &amp; Parking</v>
      </c>
      <c r="H234" s="145"/>
      <c r="I234" s="56"/>
      <c r="L234" s="143"/>
      <c r="M234" s="143"/>
      <c r="N234" s="56"/>
    </row>
    <row r="235" spans="1:14" s="55" customFormat="1" x14ac:dyDescent="0.25">
      <c r="A235" s="27">
        <f t="shared" si="10"/>
        <v>20</v>
      </c>
      <c r="B235" s="27" t="s">
        <v>189</v>
      </c>
      <c r="C235" s="27" t="s">
        <v>181</v>
      </c>
      <c r="D235" s="27">
        <f>(26.55)*10.764</f>
        <v>285.7842</v>
      </c>
      <c r="E235" s="27">
        <v>0</v>
      </c>
      <c r="F235" s="27">
        <f t="shared" si="8"/>
        <v>457.25472000000002</v>
      </c>
      <c r="G235" s="144" t="str">
        <f t="shared" si="9"/>
        <v>Ground Floor for Commercial &amp; Parking</v>
      </c>
      <c r="H235" s="145"/>
      <c r="I235" s="56"/>
      <c r="L235" s="143"/>
      <c r="M235" s="143"/>
      <c r="N235" s="56"/>
    </row>
    <row r="236" spans="1:14" s="55" customFormat="1" x14ac:dyDescent="0.25">
      <c r="A236" s="27">
        <f t="shared" si="10"/>
        <v>21</v>
      </c>
      <c r="B236" s="27" t="s">
        <v>189</v>
      </c>
      <c r="C236" s="27" t="s">
        <v>181</v>
      </c>
      <c r="D236" s="27">
        <f>(29.89)*10.764</f>
        <v>321.73595999999998</v>
      </c>
      <c r="E236" s="27">
        <v>0</v>
      </c>
      <c r="F236" s="27">
        <f t="shared" si="8"/>
        <v>514.77753599999994</v>
      </c>
      <c r="G236" s="144" t="str">
        <f t="shared" si="9"/>
        <v>Ground Floor for Commercial &amp; Parking</v>
      </c>
      <c r="H236" s="145"/>
      <c r="I236" s="56"/>
      <c r="L236" s="143"/>
      <c r="M236" s="143"/>
      <c r="N236" s="56"/>
    </row>
    <row r="237" spans="1:14" s="53" customFormat="1" x14ac:dyDescent="0.25">
      <c r="A237" s="151" t="s">
        <v>210</v>
      </c>
      <c r="B237" s="151"/>
      <c r="C237" s="151"/>
      <c r="D237" s="151"/>
      <c r="E237" s="151"/>
      <c r="F237" s="151"/>
      <c r="G237" s="151"/>
      <c r="H237" s="151"/>
    </row>
    <row r="238" spans="1:14" s="55" customFormat="1" x14ac:dyDescent="0.25">
      <c r="A238" s="126" t="s">
        <v>180</v>
      </c>
      <c r="B238" s="127"/>
      <c r="C238" s="127"/>
      <c r="D238" s="127"/>
      <c r="E238" s="127"/>
      <c r="F238" s="127"/>
      <c r="G238" s="127"/>
      <c r="H238" s="128"/>
    </row>
    <row r="239" spans="1:14" s="55" customFormat="1" x14ac:dyDescent="0.25">
      <c r="A239" s="27">
        <v>1</v>
      </c>
      <c r="B239" s="27" t="s">
        <v>189</v>
      </c>
      <c r="C239" s="27" t="s">
        <v>181</v>
      </c>
      <c r="D239" s="27">
        <f>(29.03)*10.764</f>
        <v>312.47892000000002</v>
      </c>
      <c r="E239" s="27">
        <v>0</v>
      </c>
      <c r="F239" s="27">
        <f>D239*(($F$211)+1)+E239</f>
        <v>499.96627200000006</v>
      </c>
      <c r="G239" s="144" t="str">
        <f>A238</f>
        <v>Ground Floor for Commercial &amp; Parking</v>
      </c>
      <c r="H239" s="145"/>
      <c r="I239" s="56"/>
      <c r="L239" s="143"/>
      <c r="M239" s="143"/>
      <c r="N239" s="56"/>
    </row>
    <row r="240" spans="1:14" s="55" customFormat="1" x14ac:dyDescent="0.25">
      <c r="A240" s="27">
        <f>A239+1</f>
        <v>2</v>
      </c>
      <c r="B240" s="27" t="s">
        <v>189</v>
      </c>
      <c r="C240" s="27" t="s">
        <v>181</v>
      </c>
      <c r="D240" s="27">
        <f>(26.77)*10.764</f>
        <v>288.15227999999996</v>
      </c>
      <c r="E240" s="27">
        <v>0</v>
      </c>
      <c r="F240" s="27">
        <f t="shared" ref="F240:F252" si="11">D240*(($F$211)+1)+E240</f>
        <v>461.04364799999996</v>
      </c>
      <c r="G240" s="144" t="str">
        <f t="shared" ref="G240:G252" si="12">G239</f>
        <v>Ground Floor for Commercial &amp; Parking</v>
      </c>
      <c r="H240" s="145"/>
      <c r="I240" s="56"/>
      <c r="L240" s="143"/>
      <c r="M240" s="143"/>
      <c r="N240" s="56"/>
    </row>
    <row r="241" spans="1:14" s="55" customFormat="1" x14ac:dyDescent="0.25">
      <c r="A241" s="27">
        <f t="shared" ref="A241:A252" si="13">A240+1</f>
        <v>3</v>
      </c>
      <c r="B241" s="27" t="s">
        <v>189</v>
      </c>
      <c r="C241" s="27" t="s">
        <v>181</v>
      </c>
      <c r="D241" s="27">
        <f>(26.77)*10.764</f>
        <v>288.15227999999996</v>
      </c>
      <c r="E241" s="27">
        <v>0</v>
      </c>
      <c r="F241" s="27">
        <f t="shared" si="11"/>
        <v>461.04364799999996</v>
      </c>
      <c r="G241" s="144" t="str">
        <f t="shared" si="12"/>
        <v>Ground Floor for Commercial &amp; Parking</v>
      </c>
      <c r="H241" s="145"/>
      <c r="I241" s="56"/>
      <c r="L241" s="143"/>
      <c r="M241" s="143"/>
      <c r="N241" s="56"/>
    </row>
    <row r="242" spans="1:14" s="55" customFormat="1" x14ac:dyDescent="0.25">
      <c r="A242" s="27">
        <f t="shared" si="13"/>
        <v>4</v>
      </c>
      <c r="B242" s="27" t="s">
        <v>189</v>
      </c>
      <c r="C242" s="27" t="s">
        <v>181</v>
      </c>
      <c r="D242" s="27">
        <f>(29.03)*10.764</f>
        <v>312.47892000000002</v>
      </c>
      <c r="E242" s="27">
        <v>0</v>
      </c>
      <c r="F242" s="27">
        <f t="shared" si="11"/>
        <v>499.96627200000006</v>
      </c>
      <c r="G242" s="144" t="str">
        <f t="shared" si="12"/>
        <v>Ground Floor for Commercial &amp; Parking</v>
      </c>
      <c r="H242" s="145"/>
      <c r="I242" s="56"/>
      <c r="L242" s="143"/>
      <c r="M242" s="143"/>
      <c r="N242" s="56"/>
    </row>
    <row r="243" spans="1:14" s="55" customFormat="1" x14ac:dyDescent="0.25">
      <c r="A243" s="27">
        <f t="shared" si="13"/>
        <v>5</v>
      </c>
      <c r="B243" s="27" t="s">
        <v>189</v>
      </c>
      <c r="C243" s="27" t="s">
        <v>181</v>
      </c>
      <c r="D243" s="27">
        <f>(36.31)*10.764</f>
        <v>390.84084000000001</v>
      </c>
      <c r="E243" s="27">
        <v>0</v>
      </c>
      <c r="F243" s="27">
        <f t="shared" si="11"/>
        <v>625.34534400000007</v>
      </c>
      <c r="G243" s="144" t="str">
        <f t="shared" si="12"/>
        <v>Ground Floor for Commercial &amp; Parking</v>
      </c>
      <c r="H243" s="145"/>
      <c r="I243" s="56"/>
      <c r="L243" s="143"/>
      <c r="M243" s="143"/>
      <c r="N243" s="56"/>
    </row>
    <row r="244" spans="1:14" s="55" customFormat="1" x14ac:dyDescent="0.25">
      <c r="A244" s="27">
        <f t="shared" si="13"/>
        <v>6</v>
      </c>
      <c r="B244" s="27" t="s">
        <v>189</v>
      </c>
      <c r="C244" s="27" t="s">
        <v>181</v>
      </c>
      <c r="D244" s="27">
        <f>(29.03)*10.764</f>
        <v>312.47892000000002</v>
      </c>
      <c r="E244" s="27">
        <v>0</v>
      </c>
      <c r="F244" s="27">
        <f t="shared" si="11"/>
        <v>499.96627200000006</v>
      </c>
      <c r="G244" s="144" t="str">
        <f t="shared" si="12"/>
        <v>Ground Floor for Commercial &amp; Parking</v>
      </c>
      <c r="H244" s="145"/>
      <c r="I244" s="56"/>
      <c r="L244" s="143"/>
      <c r="M244" s="143"/>
      <c r="N244" s="56"/>
    </row>
    <row r="245" spans="1:14" s="55" customFormat="1" x14ac:dyDescent="0.25">
      <c r="A245" s="27">
        <f t="shared" si="13"/>
        <v>7</v>
      </c>
      <c r="B245" s="27" t="s">
        <v>189</v>
      </c>
      <c r="C245" s="27" t="s">
        <v>181</v>
      </c>
      <c r="D245" s="27">
        <f>(26.55)*10.764</f>
        <v>285.7842</v>
      </c>
      <c r="E245" s="27">
        <v>0</v>
      </c>
      <c r="F245" s="27">
        <f t="shared" si="11"/>
        <v>457.25472000000002</v>
      </c>
      <c r="G245" s="144" t="str">
        <f t="shared" si="12"/>
        <v>Ground Floor for Commercial &amp; Parking</v>
      </c>
      <c r="H245" s="145"/>
      <c r="I245" s="56"/>
      <c r="L245" s="143"/>
      <c r="M245" s="143"/>
      <c r="N245" s="56"/>
    </row>
    <row r="246" spans="1:14" s="55" customFormat="1" x14ac:dyDescent="0.25">
      <c r="A246" s="27">
        <f t="shared" si="13"/>
        <v>8</v>
      </c>
      <c r="B246" s="27" t="s">
        <v>189</v>
      </c>
      <c r="C246" s="27" t="s">
        <v>181</v>
      </c>
      <c r="D246" s="27">
        <f>(26.55)*10.764</f>
        <v>285.7842</v>
      </c>
      <c r="E246" s="27">
        <v>0</v>
      </c>
      <c r="F246" s="27">
        <f t="shared" si="11"/>
        <v>457.25472000000002</v>
      </c>
      <c r="G246" s="144" t="str">
        <f t="shared" si="12"/>
        <v>Ground Floor for Commercial &amp; Parking</v>
      </c>
      <c r="H246" s="145"/>
      <c r="I246" s="56"/>
      <c r="L246" s="143"/>
      <c r="M246" s="143"/>
      <c r="N246" s="56"/>
    </row>
    <row r="247" spans="1:14" s="55" customFormat="1" x14ac:dyDescent="0.25">
      <c r="A247" s="27">
        <f t="shared" si="13"/>
        <v>9</v>
      </c>
      <c r="B247" s="27" t="s">
        <v>189</v>
      </c>
      <c r="C247" s="27" t="s">
        <v>181</v>
      </c>
      <c r="D247" s="27">
        <f>(29.03)*10.764</f>
        <v>312.47892000000002</v>
      </c>
      <c r="E247" s="27">
        <v>0</v>
      </c>
      <c r="F247" s="27">
        <f t="shared" si="11"/>
        <v>499.96627200000006</v>
      </c>
      <c r="G247" s="144" t="str">
        <f t="shared" si="12"/>
        <v>Ground Floor for Commercial &amp; Parking</v>
      </c>
      <c r="H247" s="145"/>
      <c r="I247" s="56"/>
      <c r="L247" s="143"/>
      <c r="M247" s="143"/>
      <c r="N247" s="56"/>
    </row>
    <row r="248" spans="1:14" s="55" customFormat="1" x14ac:dyDescent="0.25">
      <c r="A248" s="27">
        <f t="shared" si="13"/>
        <v>10</v>
      </c>
      <c r="B248" s="27" t="s">
        <v>189</v>
      </c>
      <c r="C248" s="27" t="s">
        <v>181</v>
      </c>
      <c r="D248" s="27">
        <f>(42.62)*10.764</f>
        <v>458.76167999999996</v>
      </c>
      <c r="E248" s="27">
        <v>0</v>
      </c>
      <c r="F248" s="27">
        <f t="shared" si="11"/>
        <v>734.018688</v>
      </c>
      <c r="G248" s="144" t="str">
        <f t="shared" si="12"/>
        <v>Ground Floor for Commercial &amp; Parking</v>
      </c>
      <c r="H248" s="145"/>
      <c r="I248" s="56"/>
      <c r="L248" s="143"/>
      <c r="M248" s="143"/>
      <c r="N248" s="56"/>
    </row>
    <row r="249" spans="1:14" s="55" customFormat="1" x14ac:dyDescent="0.25">
      <c r="A249" s="27">
        <f t="shared" si="13"/>
        <v>11</v>
      </c>
      <c r="B249" s="27" t="s">
        <v>189</v>
      </c>
      <c r="C249" s="27" t="s">
        <v>181</v>
      </c>
      <c r="D249" s="27">
        <f>(29.03)*10.764</f>
        <v>312.47892000000002</v>
      </c>
      <c r="E249" s="27">
        <v>0</v>
      </c>
      <c r="F249" s="27">
        <f t="shared" si="11"/>
        <v>499.96627200000006</v>
      </c>
      <c r="G249" s="144" t="str">
        <f t="shared" si="12"/>
        <v>Ground Floor for Commercial &amp; Parking</v>
      </c>
      <c r="H249" s="145"/>
      <c r="I249" s="56"/>
      <c r="L249" s="143"/>
      <c r="M249" s="143"/>
      <c r="N249" s="56"/>
    </row>
    <row r="250" spans="1:14" s="55" customFormat="1" x14ac:dyDescent="0.25">
      <c r="A250" s="27">
        <f t="shared" si="13"/>
        <v>12</v>
      </c>
      <c r="B250" s="27" t="s">
        <v>189</v>
      </c>
      <c r="C250" s="27" t="s">
        <v>181</v>
      </c>
      <c r="D250" s="27">
        <f>(26.55)*10.764</f>
        <v>285.7842</v>
      </c>
      <c r="E250" s="27">
        <v>0</v>
      </c>
      <c r="F250" s="27">
        <f t="shared" si="11"/>
        <v>457.25472000000002</v>
      </c>
      <c r="G250" s="144" t="str">
        <f t="shared" si="12"/>
        <v>Ground Floor for Commercial &amp; Parking</v>
      </c>
      <c r="H250" s="145"/>
      <c r="I250" s="56"/>
      <c r="L250" s="143"/>
      <c r="M250" s="143"/>
      <c r="N250" s="56"/>
    </row>
    <row r="251" spans="1:14" s="55" customFormat="1" x14ac:dyDescent="0.25">
      <c r="A251" s="27">
        <f t="shared" si="13"/>
        <v>13</v>
      </c>
      <c r="B251" s="27" t="s">
        <v>189</v>
      </c>
      <c r="C251" s="27" t="s">
        <v>181</v>
      </c>
      <c r="D251" s="27">
        <f>(26.55)*10.764</f>
        <v>285.7842</v>
      </c>
      <c r="E251" s="27">
        <v>0</v>
      </c>
      <c r="F251" s="27">
        <f t="shared" si="11"/>
        <v>457.25472000000002</v>
      </c>
      <c r="G251" s="144" t="str">
        <f t="shared" si="12"/>
        <v>Ground Floor for Commercial &amp; Parking</v>
      </c>
      <c r="H251" s="145"/>
      <c r="I251" s="56"/>
      <c r="L251" s="143"/>
      <c r="M251" s="143"/>
      <c r="N251" s="56"/>
    </row>
    <row r="252" spans="1:14" s="55" customFormat="1" x14ac:dyDescent="0.25">
      <c r="A252" s="27">
        <f t="shared" si="13"/>
        <v>14</v>
      </c>
      <c r="B252" s="27" t="s">
        <v>189</v>
      </c>
      <c r="C252" s="27" t="s">
        <v>181</v>
      </c>
      <c r="D252" s="27">
        <f>(29.9)*10.764</f>
        <v>321.84359999999998</v>
      </c>
      <c r="E252" s="27">
        <v>0</v>
      </c>
      <c r="F252" s="27">
        <f t="shared" si="11"/>
        <v>514.94975999999997</v>
      </c>
      <c r="G252" s="144" t="str">
        <f t="shared" si="12"/>
        <v>Ground Floor for Commercial &amp; Parking</v>
      </c>
      <c r="H252" s="145"/>
      <c r="I252" s="56"/>
      <c r="L252" s="143"/>
      <c r="M252" s="143"/>
      <c r="N252" s="56"/>
    </row>
    <row r="253" spans="1:14" s="55" customFormat="1" x14ac:dyDescent="0.25">
      <c r="A253" s="144"/>
      <c r="B253" s="189"/>
      <c r="C253" s="189"/>
      <c r="D253" s="189"/>
      <c r="E253" s="189"/>
      <c r="F253" s="189"/>
      <c r="G253" s="189"/>
      <c r="H253" s="145"/>
      <c r="I253" s="56"/>
      <c r="N253" s="56"/>
    </row>
    <row r="254" spans="1:14" ht="47.25" customHeight="1" x14ac:dyDescent="0.25">
      <c r="A254" s="131" t="s">
        <v>135</v>
      </c>
      <c r="B254" s="131" t="s">
        <v>187</v>
      </c>
      <c r="C254" s="152" t="s">
        <v>64</v>
      </c>
      <c r="D254" s="152" t="s">
        <v>65</v>
      </c>
      <c r="E254" s="129" t="s">
        <v>66</v>
      </c>
      <c r="F254" s="26" t="s">
        <v>133</v>
      </c>
      <c r="G254" s="131" t="s">
        <v>67</v>
      </c>
      <c r="H254" s="132"/>
      <c r="I254" s="56"/>
    </row>
    <row r="255" spans="1:14" s="55" customFormat="1" x14ac:dyDescent="0.25">
      <c r="A255" s="133"/>
      <c r="B255" s="133"/>
      <c r="C255" s="153"/>
      <c r="D255" s="153"/>
      <c r="E255" s="130"/>
      <c r="F255" s="15">
        <v>0.5</v>
      </c>
      <c r="G255" s="133"/>
      <c r="H255" s="134"/>
      <c r="I255" s="56"/>
    </row>
    <row r="256" spans="1:14" s="53" customFormat="1" x14ac:dyDescent="0.25">
      <c r="A256" s="151" t="s">
        <v>208</v>
      </c>
      <c r="B256" s="151"/>
      <c r="C256" s="151"/>
      <c r="D256" s="151"/>
      <c r="E256" s="151"/>
      <c r="F256" s="151"/>
      <c r="G256" s="151"/>
      <c r="H256" s="151"/>
    </row>
    <row r="257" spans="1:16" s="55" customFormat="1" x14ac:dyDescent="0.25">
      <c r="A257" s="193" t="s">
        <v>182</v>
      </c>
      <c r="B257" s="193"/>
      <c r="C257" s="193"/>
      <c r="D257" s="193"/>
      <c r="E257" s="193"/>
      <c r="F257" s="193"/>
      <c r="G257" s="193"/>
      <c r="H257" s="193"/>
      <c r="I257" s="56"/>
      <c r="L257" s="143"/>
      <c r="M257" s="143"/>
    </row>
    <row r="258" spans="1:16" s="55" customFormat="1" x14ac:dyDescent="0.25">
      <c r="A258" s="27">
        <v>1</v>
      </c>
      <c r="B258" s="27" t="s">
        <v>189</v>
      </c>
      <c r="C258" s="27" t="s">
        <v>183</v>
      </c>
      <c r="D258" s="27">
        <f>(1.05*0.2+3.3*3+1.82*2.41+3.05*2.95+0.95*0.45+1.45*1.2+1.25*1.64+1*1.3+1.15*0.1+0.8*0.6+1*(1.77+1.22)+1.43*0.6)*10.764</f>
        <v>360.10100879999993</v>
      </c>
      <c r="E258" s="27">
        <f>(1.33*2.5)*10.764</f>
        <v>35.790300000000002</v>
      </c>
      <c r="F258" s="27">
        <f>D258*(($F$255)+1)+(IF(E258&lt;101,E258,IF(E258&lt;201,E258/2,IF(E258&lt;=301,E258/3,E258/4))))</f>
        <v>575.94181319999996</v>
      </c>
      <c r="G258" s="150" t="str">
        <f>A257</f>
        <v>1st Floor for Residential</v>
      </c>
      <c r="H258" s="150"/>
      <c r="I258" s="56"/>
      <c r="N258" s="56"/>
    </row>
    <row r="259" spans="1:16" s="55" customFormat="1" x14ac:dyDescent="0.25">
      <c r="A259" s="27">
        <f>A258+1</f>
        <v>2</v>
      </c>
      <c r="B259" s="27" t="s">
        <v>189</v>
      </c>
      <c r="C259" s="27" t="s">
        <v>183</v>
      </c>
      <c r="D259" s="27">
        <f>(1.05*0.2+3.3*3+1.82*2.41+3.05*2.95+0.95*0.45+1.45*1.2+1.25*1.64+1*1.3+1.15*0.1+0.8*0.6+1*(1.77+1.22)+1.43*0.6+1.33*1)*10.764</f>
        <v>374.41712879999989</v>
      </c>
      <c r="E259" s="27">
        <v>0</v>
      </c>
      <c r="F259" s="27">
        <f t="shared" ref="F259:F288" si="14">D259*(($F$255)+1)+(IF(E259&lt;101,E259,IF(E259&lt;201,E259/2,IF(E259&lt;=301,E259/3,E259/4))))</f>
        <v>561.62569319999989</v>
      </c>
      <c r="G259" s="150" t="str">
        <f t="shared" ref="G259:G267" si="15">G258</f>
        <v>1st Floor for Residential</v>
      </c>
      <c r="H259" s="150"/>
      <c r="I259" s="56"/>
      <c r="N259" s="56"/>
    </row>
    <row r="260" spans="1:16" s="55" customFormat="1" x14ac:dyDescent="0.25">
      <c r="A260" s="27">
        <f>A259+1</f>
        <v>3</v>
      </c>
      <c r="B260" s="27" t="s">
        <v>189</v>
      </c>
      <c r="C260" s="27" t="s">
        <v>183</v>
      </c>
      <c r="D260" s="27">
        <f>(1.05*0.2+3.3*3+1.2*3.16+0.62*2.61+3.05*2.95+0.95*0.45+1.45*1.2+1.25*1.64+1*1.3+1.15*0.1+0.8*0.6+1*(1.77+1.22)+1.43*0.6+1.33*1)*10.764</f>
        <v>385.43946479999988</v>
      </c>
      <c r="E260" s="27">
        <v>0</v>
      </c>
      <c r="F260" s="27">
        <f t="shared" si="14"/>
        <v>578.15919719999988</v>
      </c>
      <c r="G260" s="150" t="str">
        <f t="shared" si="15"/>
        <v>1st Floor for Residential</v>
      </c>
      <c r="H260" s="150"/>
      <c r="I260" s="56">
        <f>4000000/F260</f>
        <v>6918.5096758329328</v>
      </c>
      <c r="N260" s="56"/>
    </row>
    <row r="261" spans="1:16" s="55" customFormat="1" x14ac:dyDescent="0.25">
      <c r="A261" s="27">
        <f t="shared" ref="A261:A267" si="16">A260+1</f>
        <v>4</v>
      </c>
      <c r="B261" s="27" t="s">
        <v>189</v>
      </c>
      <c r="C261" s="27" t="s">
        <v>183</v>
      </c>
      <c r="D261" s="27">
        <f>(1*0.2+3.3*3+1.15*1+1.2*3.16+0.62*2.61+3.05*2.95+1.45*1.2+1*1.3+0.95*0.45+1.25*1.64+0.6*0.8+1.43*0.6)*10.764</f>
        <v>349.97208479999995</v>
      </c>
      <c r="E261" s="27">
        <f>(4.26*1.33+2.12*0.3+1.5*1)*10.764</f>
        <v>83.978575199999995</v>
      </c>
      <c r="F261" s="27">
        <f t="shared" si="14"/>
        <v>608.93670239999994</v>
      </c>
      <c r="G261" s="150" t="str">
        <f t="shared" si="15"/>
        <v>1st Floor for Residential</v>
      </c>
      <c r="H261" s="150"/>
      <c r="I261" s="56"/>
      <c r="N261" s="56"/>
    </row>
    <row r="262" spans="1:16" s="55" customFormat="1" x14ac:dyDescent="0.25">
      <c r="A262" s="27">
        <f t="shared" si="16"/>
        <v>5</v>
      </c>
      <c r="B262" s="27" t="s">
        <v>189</v>
      </c>
      <c r="C262" s="27" t="s">
        <v>183</v>
      </c>
      <c r="D262" s="27">
        <f>(1.05*0.2+3.3*3+1.82*2.41+3.05*2.95+1.45*1.2+0.6*0.8+1.25*1.64+1*1.3+0.95*0.45+1.43*0.6)*10.764</f>
        <v>326.67878879999995</v>
      </c>
      <c r="E262" s="27">
        <f>(1.2*1+1*1.64+1.43*2+1.97*1+1.2*1)*10.764</f>
        <v>95.476679999999988</v>
      </c>
      <c r="F262" s="27">
        <f t="shared" si="14"/>
        <v>585.49486319999994</v>
      </c>
      <c r="G262" s="150" t="str">
        <f t="shared" si="15"/>
        <v>1st Floor for Residential</v>
      </c>
      <c r="H262" s="150"/>
      <c r="I262" s="56"/>
      <c r="N262" s="56"/>
    </row>
    <row r="263" spans="1:16" s="55" customFormat="1" x14ac:dyDescent="0.25">
      <c r="A263" s="27">
        <f t="shared" si="16"/>
        <v>6</v>
      </c>
      <c r="B263" s="27" t="s">
        <v>189</v>
      </c>
      <c r="C263" s="27" t="s">
        <v>183</v>
      </c>
      <c r="D263" s="27">
        <f>(1.05*0.2+3.3*3+1.82*2.41+3.05*2.95+1.45*1.2+0.6*0.8+1.25*1.64+1*1.3+0.95*0.45+1.43*0.6)*10.764</f>
        <v>326.67878879999995</v>
      </c>
      <c r="E263" s="27">
        <f>(1.2*1+1*1.64+1.43*2+1.97*1+1.2*1)*10.764</f>
        <v>95.476679999999988</v>
      </c>
      <c r="F263" s="27">
        <f t="shared" si="14"/>
        <v>585.49486319999994</v>
      </c>
      <c r="G263" s="150" t="str">
        <f t="shared" si="15"/>
        <v>1st Floor for Residential</v>
      </c>
      <c r="H263" s="150"/>
      <c r="I263" s="56"/>
      <c r="N263" s="56"/>
    </row>
    <row r="264" spans="1:16" s="55" customFormat="1" x14ac:dyDescent="0.25">
      <c r="A264" s="27">
        <f>A263+1</f>
        <v>7</v>
      </c>
      <c r="B264" s="27" t="s">
        <v>189</v>
      </c>
      <c r="C264" s="27" t="s">
        <v>183</v>
      </c>
      <c r="D264" s="27">
        <f>(1.05*0.2+3.3*3+1.82*2.41+3.05*2.95+1.45*1.2+0.6*0.8+1.25*1.64+1*1.3+0.95*0.45+1.43*0.6)*10.764</f>
        <v>326.67878879999995</v>
      </c>
      <c r="E264" s="27">
        <f>(1.2*1+1*1.64+1.43*3.3+1.97*0.8+1.2*1)*10.764</f>
        <v>111.24593999999999</v>
      </c>
      <c r="F264" s="27">
        <f t="shared" si="14"/>
        <v>545.64115319999996</v>
      </c>
      <c r="G264" s="150" t="str">
        <f t="shared" si="15"/>
        <v>1st Floor for Residential</v>
      </c>
      <c r="H264" s="150"/>
      <c r="I264" s="56"/>
      <c r="N264" s="56"/>
    </row>
    <row r="265" spans="1:16" s="55" customFormat="1" x14ac:dyDescent="0.25">
      <c r="A265" s="27">
        <f t="shared" si="16"/>
        <v>8</v>
      </c>
      <c r="B265" s="27" t="s">
        <v>189</v>
      </c>
      <c r="C265" s="27" t="s">
        <v>183</v>
      </c>
      <c r="D265" s="27">
        <f>(1.05*0.2+3.3*3+1.82*2.41+3.05*2.95+1.45*1.2+0.6*0.8+1.25*1.64+1*1.3+0.95*0.45+1.43*0.6+1.64*1)*10.764</f>
        <v>344.33174879999996</v>
      </c>
      <c r="E265" s="27">
        <f>(1.2*1+1.43*3.3+1.97*0.8+1.2*1)*10.764</f>
        <v>93.592979999999983</v>
      </c>
      <c r="F265" s="27">
        <f t="shared" si="14"/>
        <v>610.09060319999992</v>
      </c>
      <c r="G265" s="150" t="str">
        <f t="shared" si="15"/>
        <v>1st Floor for Residential</v>
      </c>
      <c r="H265" s="150"/>
      <c r="I265" s="56"/>
      <c r="N265" s="56"/>
    </row>
    <row r="266" spans="1:16" s="55" customFormat="1" x14ac:dyDescent="0.25">
      <c r="A266" s="27">
        <f t="shared" si="16"/>
        <v>9</v>
      </c>
      <c r="B266" s="27" t="s">
        <v>189</v>
      </c>
      <c r="C266" s="27" t="s">
        <v>183</v>
      </c>
      <c r="D266" s="27">
        <f>(1.05*0.2+3.3*3+1.82*2.41+3.05*2.95+1.45*1.2+0.6*0.8+1.25*1.64+1*1.3+0.95*0.45+1.43*0.6+1.64*1)*10.764</f>
        <v>344.33174879999996</v>
      </c>
      <c r="E266" s="27">
        <f>(3.8*1.72+0.5*5*2.5+0.5*2.5*1.53+1.97*0.5)*10.764</f>
        <v>168.81719399999997</v>
      </c>
      <c r="F266" s="27">
        <f t="shared" si="14"/>
        <v>600.90622019999989</v>
      </c>
      <c r="G266" s="150" t="str">
        <f t="shared" si="15"/>
        <v>1st Floor for Residential</v>
      </c>
      <c r="H266" s="150"/>
      <c r="I266" s="56"/>
      <c r="N266" s="56"/>
    </row>
    <row r="267" spans="1:16" s="55" customFormat="1" x14ac:dyDescent="0.25">
      <c r="A267" s="27">
        <f t="shared" si="16"/>
        <v>10</v>
      </c>
      <c r="B267" s="27" t="s">
        <v>189</v>
      </c>
      <c r="C267" s="27" t="s">
        <v>183</v>
      </c>
      <c r="D267" s="27">
        <f>(1*0.2+3.3*3+2.51*1.15+2.41*0.67+3.05*2.95+0.45*0.95+1.64*1.25+1.3*1+0.6*0.8+1.2*1.45)*10.764</f>
        <v>318.57349679999999</v>
      </c>
      <c r="E267" s="27">
        <f>(1.3*0.5+2.8*1.5+1.33*4+1.97*1.5+1.4*1+1.75*0.75)*10.764</f>
        <v>170.47485</v>
      </c>
      <c r="F267" s="27">
        <f t="shared" si="14"/>
        <v>563.09767020000004</v>
      </c>
      <c r="G267" s="150" t="str">
        <f t="shared" si="15"/>
        <v>1st Floor for Residential</v>
      </c>
      <c r="H267" s="150"/>
      <c r="I267" s="56"/>
      <c r="N267" s="56"/>
    </row>
    <row r="268" spans="1:16" s="55" customFormat="1" ht="15.75" customHeight="1" x14ac:dyDescent="0.25">
      <c r="A268" s="193" t="s">
        <v>184</v>
      </c>
      <c r="B268" s="193"/>
      <c r="C268" s="193"/>
      <c r="D268" s="193"/>
      <c r="E268" s="193"/>
      <c r="F268" s="193"/>
      <c r="G268" s="193"/>
      <c r="H268" s="193"/>
      <c r="I268" s="56"/>
      <c r="P268" s="57"/>
    </row>
    <row r="269" spans="1:16" s="55" customFormat="1" x14ac:dyDescent="0.25">
      <c r="A269" s="84">
        <v>1</v>
      </c>
      <c r="B269" s="84" t="s">
        <v>189</v>
      </c>
      <c r="C269" s="84" t="s">
        <v>183</v>
      </c>
      <c r="D269" s="84">
        <f>(32.97)*10.764</f>
        <v>354.88907999999998</v>
      </c>
      <c r="E269" s="84">
        <v>0</v>
      </c>
      <c r="F269" s="84">
        <f t="shared" si="14"/>
        <v>532.33362</v>
      </c>
      <c r="G269" s="150" t="str">
        <f>A268</f>
        <v>2nd to 7th, 9th to 12th, 14th to 17th, 19th to 22nd, 24th to 27th, 29th &amp; 30th Floor</v>
      </c>
      <c r="H269" s="150"/>
      <c r="I269" s="56"/>
      <c r="N269" s="55" t="str">
        <f t="shared" ref="N269:N274" ca="1" si="17">O269&amp;""&amp;",..,"&amp;""&amp;P269</f>
        <v>2701,..,3001</v>
      </c>
      <c r="O269" s="55">
        <f ca="1">(SUMPRODUCT(MID(0&amp;(LEFT(A268,SUM(LEN(A268)-LEN(SUBSTITUTE(A268,{"0","1","2"},""))))), LARGE(INDEX(ISNUMBER(--MID((LEFT(A268,SUM(LEN(A268)-LEN(SUBSTITUTE(A268,{"0","1","2"},""))))), ROW(INDIRECT("1:"&amp;LEN((LEFT(A268,SUM(LEN(A268)-LEN(SUBSTITUTE(A268,{"0","1","2"},"")))))))), 1)) * ROW(INDIRECT("1:"&amp;LEN((LEFT(A268,SUM(LEN(A268)-LEN(SUBSTITUTE(A268,{"0","1","2"},"")))))))), 0), ROW(INDIRECT("1:"&amp;LEN((LEFT(A268,SUM(LEN(A268)-LEN(SUBSTITUTE(A268,{"0","1","2"},"")))))))))+1, 1) * 10^ROW(INDIRECT("1:"&amp;LEN((LEFT(A268,SUM(LEN(A268)-LEN(SUBSTITUTE(A268,{"0","1","2"},""))))))))/10))*100+1</f>
        <v>2701</v>
      </c>
      <c r="P269" s="55">
        <f ca="1">(SUMPRODUCT(MID(0&amp;(--TRIM(RIGHT(SUBSTITUTE(LEFT(A268,_xlfn.AGGREGATE(16,6,FIND({0,1,2,3,4,5,6,7,8,9},A268,ROW(INDIRECT("1:"&amp;LEN(A268)))),1))," ",REPT(" ",LEN(A268))),LEN(A268)))), LARGE(INDEX(ISNUMBER(--MID((--TRIM(RIGHT(SUBSTITUTE(LEFT(A268,_xlfn.AGGREGATE(16,6,FIND({0,1,2,3,4,5,6,7,8,9},A268,ROW(INDIRECT("1:"&amp;LEN(A268)))),1))," ",REPT(" ",LEN(A268))),LEN(A268)))), ROW(INDIRECT("1:"&amp;LEN((--TRIM(RIGHT(SUBSTITUTE(LEFT(A268,_xlfn.AGGREGATE(16,6,FIND({0,1,2,3,4,5,6,7,8,9},A268,ROW(INDIRECT("1:"&amp;LEN(A268)))),1))," ",REPT(" ",LEN(A268))),LEN(A268))))))), 1)) * ROW(INDIRECT("1:"&amp;LEN((--TRIM(RIGHT(SUBSTITUTE(LEFT(A268,_xlfn.AGGREGATE(16,6,FIND({0,1,2,3,4,5,6,7,8,9},A268,ROW(INDIRECT("1:"&amp;LEN(A268)))),1))," ",REPT(" ",LEN(A268))),LEN(A268))))))), 0), ROW(INDIRECT("1:"&amp;LEN((--TRIM(RIGHT(SUBSTITUTE(LEFT(A268,_xlfn.AGGREGATE(16,6,FIND({0,1,2,3,4,5,6,7,8,9},A268,ROW(INDIRECT("1:"&amp;LEN(A268)))),1))," ",REPT(" ",LEN(A268))),LEN(A268))))))))+1, 1) * 10^ROW(INDIRECT("1:"&amp;LEN((--TRIM(RIGHT(SUBSTITUTE(LEFT(A268,_xlfn.AGGREGATE(16,6,FIND({0,1,2,3,4,5,6,7,8,9},A268,ROW(INDIRECT("1:"&amp;LEN(A268)))),1))," ",REPT(" ",LEN(A268))),LEN(A268)))))))/10))*100+1</f>
        <v>3001</v>
      </c>
    </row>
    <row r="270" spans="1:16" s="55" customFormat="1" x14ac:dyDescent="0.25">
      <c r="A270" s="84">
        <v>2</v>
      </c>
      <c r="B270" s="84" t="s">
        <v>189</v>
      </c>
      <c r="C270" s="84" t="s">
        <v>183</v>
      </c>
      <c r="D270" s="84">
        <f t="shared" ref="D270:D278" si="18">(32.97)*10.764</f>
        <v>354.88907999999998</v>
      </c>
      <c r="E270" s="84">
        <v>0</v>
      </c>
      <c r="F270" s="84">
        <f t="shared" si="14"/>
        <v>532.33362</v>
      </c>
      <c r="G270" s="150" t="str">
        <f t="shared" ref="G270:G278" si="19">G269</f>
        <v>2nd to 7th, 9th to 12th, 14th to 17th, 19th to 22nd, 24th to 27th, 29th &amp; 30th Floor</v>
      </c>
      <c r="H270" s="150"/>
      <c r="I270" s="56"/>
      <c r="N270" s="55" t="str">
        <f t="shared" ca="1" si="17"/>
        <v>2702,..,3002</v>
      </c>
      <c r="O270" s="55">
        <f t="shared" ref="O270:P273" ca="1" si="20">O269+1</f>
        <v>2702</v>
      </c>
      <c r="P270" s="55">
        <f t="shared" ca="1" si="20"/>
        <v>3002</v>
      </c>
    </row>
    <row r="271" spans="1:16" s="55" customFormat="1" ht="15.75" customHeight="1" x14ac:dyDescent="0.25">
      <c r="A271" s="27">
        <v>3</v>
      </c>
      <c r="B271" s="27" t="s">
        <v>189</v>
      </c>
      <c r="C271" s="27" t="s">
        <v>183</v>
      </c>
      <c r="D271" s="27">
        <f>(34.47)*10.764</f>
        <v>371.03507999999999</v>
      </c>
      <c r="E271" s="27">
        <v>0</v>
      </c>
      <c r="F271" s="27">
        <f t="shared" si="14"/>
        <v>556.55261999999993</v>
      </c>
      <c r="G271" s="144" t="str">
        <f t="shared" si="19"/>
        <v>2nd to 7th, 9th to 12th, 14th to 17th, 19th to 22nd, 24th to 27th, 29th &amp; 30th Floor</v>
      </c>
      <c r="H271" s="145"/>
      <c r="I271" s="56"/>
      <c r="N271" s="55" t="str">
        <f t="shared" ca="1" si="17"/>
        <v>2703,..,3003</v>
      </c>
      <c r="O271" s="55">
        <f t="shared" ca="1" si="20"/>
        <v>2703</v>
      </c>
      <c r="P271" s="55">
        <f t="shared" ca="1" si="20"/>
        <v>3003</v>
      </c>
    </row>
    <row r="272" spans="1:16" s="55" customFormat="1" ht="15.75" customHeight="1" x14ac:dyDescent="0.25">
      <c r="A272" s="27">
        <v>4</v>
      </c>
      <c r="B272" s="27" t="s">
        <v>189</v>
      </c>
      <c r="C272" s="27" t="s">
        <v>183</v>
      </c>
      <c r="D272" s="27">
        <f>(34.47)*10.764</f>
        <v>371.03507999999999</v>
      </c>
      <c r="E272" s="27">
        <v>0</v>
      </c>
      <c r="F272" s="27">
        <f t="shared" si="14"/>
        <v>556.55261999999993</v>
      </c>
      <c r="G272" s="144" t="str">
        <f t="shared" si="19"/>
        <v>2nd to 7th, 9th to 12th, 14th to 17th, 19th to 22nd, 24th to 27th, 29th &amp; 30th Floor</v>
      </c>
      <c r="H272" s="145"/>
      <c r="I272" s="56"/>
      <c r="N272" s="55" t="str">
        <f t="shared" ca="1" si="17"/>
        <v>2704,..,3004</v>
      </c>
      <c r="O272" s="55">
        <f t="shared" ca="1" si="20"/>
        <v>2704</v>
      </c>
      <c r="P272" s="55">
        <f t="shared" ca="1" si="20"/>
        <v>3004</v>
      </c>
    </row>
    <row r="273" spans="1:16" s="55" customFormat="1" ht="15.75" customHeight="1" x14ac:dyDescent="0.25">
      <c r="A273" s="27">
        <v>5</v>
      </c>
      <c r="B273" s="27" t="s">
        <v>189</v>
      </c>
      <c r="C273" s="27" t="s">
        <v>183</v>
      </c>
      <c r="D273" s="27">
        <f t="shared" si="18"/>
        <v>354.88907999999998</v>
      </c>
      <c r="E273" s="27">
        <v>0</v>
      </c>
      <c r="F273" s="27">
        <f t="shared" si="14"/>
        <v>532.33362</v>
      </c>
      <c r="G273" s="144" t="str">
        <f t="shared" si="19"/>
        <v>2nd to 7th, 9th to 12th, 14th to 17th, 19th to 22nd, 24th to 27th, 29th &amp; 30th Floor</v>
      </c>
      <c r="H273" s="145"/>
      <c r="I273" s="56"/>
      <c r="N273" s="55" t="str">
        <f t="shared" ca="1" si="17"/>
        <v>2705,..,3005</v>
      </c>
      <c r="O273" s="55">
        <f t="shared" ca="1" si="20"/>
        <v>2705</v>
      </c>
      <c r="P273" s="55">
        <f t="shared" ca="1" si="20"/>
        <v>3005</v>
      </c>
    </row>
    <row r="274" spans="1:16" s="55" customFormat="1" ht="15.75" customHeight="1" x14ac:dyDescent="0.25">
      <c r="A274" s="27">
        <v>6</v>
      </c>
      <c r="B274" s="27" t="s">
        <v>189</v>
      </c>
      <c r="C274" s="27" t="s">
        <v>183</v>
      </c>
      <c r="D274" s="27">
        <f t="shared" si="18"/>
        <v>354.88907999999998</v>
      </c>
      <c r="E274" s="27">
        <v>0</v>
      </c>
      <c r="F274" s="27">
        <f t="shared" si="14"/>
        <v>532.33362</v>
      </c>
      <c r="G274" s="144" t="str">
        <f t="shared" si="19"/>
        <v>2nd to 7th, 9th to 12th, 14th to 17th, 19th to 22nd, 24th to 27th, 29th &amp; 30th Floor</v>
      </c>
      <c r="H274" s="145"/>
      <c r="I274" s="56"/>
      <c r="N274" s="55" t="str">
        <f t="shared" ca="1" si="17"/>
        <v>2706,..,3006</v>
      </c>
      <c r="O274" s="55">
        <f t="shared" ref="O274:P274" ca="1" si="21">O273+1</f>
        <v>2706</v>
      </c>
      <c r="P274" s="55">
        <f t="shared" ca="1" si="21"/>
        <v>3006</v>
      </c>
    </row>
    <row r="275" spans="1:16" s="55" customFormat="1" ht="15.75" customHeight="1" x14ac:dyDescent="0.25">
      <c r="A275" s="27">
        <v>7</v>
      </c>
      <c r="B275" s="27" t="s">
        <v>189</v>
      </c>
      <c r="C275" s="27" t="s">
        <v>183</v>
      </c>
      <c r="D275" s="27">
        <f t="shared" si="18"/>
        <v>354.88907999999998</v>
      </c>
      <c r="E275" s="27">
        <v>0</v>
      </c>
      <c r="F275" s="27">
        <f t="shared" si="14"/>
        <v>532.33362</v>
      </c>
      <c r="G275" s="144" t="str">
        <f t="shared" si="19"/>
        <v>2nd to 7th, 9th to 12th, 14th to 17th, 19th to 22nd, 24th to 27th, 29th &amp; 30th Floor</v>
      </c>
      <c r="H275" s="145"/>
      <c r="I275" s="56"/>
      <c r="N275" s="55" t="str">
        <f t="shared" ref="N275:N278" ca="1" si="22">O275&amp;""&amp;",..,"&amp;""&amp;P275</f>
        <v>2707,..,3007</v>
      </c>
      <c r="O275" s="55">
        <f t="shared" ref="O275:P275" ca="1" si="23">O274+1</f>
        <v>2707</v>
      </c>
      <c r="P275" s="55">
        <f t="shared" ca="1" si="23"/>
        <v>3007</v>
      </c>
    </row>
    <row r="276" spans="1:16" s="55" customFormat="1" ht="15.75" customHeight="1" x14ac:dyDescent="0.25">
      <c r="A276" s="27">
        <v>8</v>
      </c>
      <c r="B276" s="27" t="s">
        <v>189</v>
      </c>
      <c r="C276" s="27" t="s">
        <v>183</v>
      </c>
      <c r="D276" s="27">
        <f t="shared" si="18"/>
        <v>354.88907999999998</v>
      </c>
      <c r="E276" s="27">
        <v>0</v>
      </c>
      <c r="F276" s="27">
        <f t="shared" si="14"/>
        <v>532.33362</v>
      </c>
      <c r="G276" s="144" t="str">
        <f t="shared" si="19"/>
        <v>2nd to 7th, 9th to 12th, 14th to 17th, 19th to 22nd, 24th to 27th, 29th &amp; 30th Floor</v>
      </c>
      <c r="H276" s="145"/>
      <c r="I276" s="56"/>
      <c r="N276" s="55" t="str">
        <f t="shared" ca="1" si="22"/>
        <v>2708,..,3008</v>
      </c>
      <c r="O276" s="55">
        <f t="shared" ref="O276:P276" ca="1" si="24">O275+1</f>
        <v>2708</v>
      </c>
      <c r="P276" s="55">
        <f t="shared" ca="1" si="24"/>
        <v>3008</v>
      </c>
    </row>
    <row r="277" spans="1:16" s="55" customFormat="1" ht="15.75" customHeight="1" x14ac:dyDescent="0.25">
      <c r="A277" s="27">
        <v>9</v>
      </c>
      <c r="B277" s="27" t="s">
        <v>189</v>
      </c>
      <c r="C277" s="27" t="s">
        <v>183</v>
      </c>
      <c r="D277" s="27">
        <f t="shared" si="18"/>
        <v>354.88907999999998</v>
      </c>
      <c r="E277" s="27">
        <v>0</v>
      </c>
      <c r="F277" s="27">
        <f t="shared" si="14"/>
        <v>532.33362</v>
      </c>
      <c r="G277" s="144" t="str">
        <f t="shared" si="19"/>
        <v>2nd to 7th, 9th to 12th, 14th to 17th, 19th to 22nd, 24th to 27th, 29th &amp; 30th Floor</v>
      </c>
      <c r="H277" s="145"/>
      <c r="I277" s="56"/>
      <c r="N277" s="55" t="str">
        <f t="shared" ca="1" si="22"/>
        <v>2709,..,3009</v>
      </c>
      <c r="O277" s="55">
        <f t="shared" ref="O277:P277" ca="1" si="25">O276+1</f>
        <v>2709</v>
      </c>
      <c r="P277" s="55">
        <f t="shared" ca="1" si="25"/>
        <v>3009</v>
      </c>
    </row>
    <row r="278" spans="1:16" s="55" customFormat="1" ht="15.75" customHeight="1" x14ac:dyDescent="0.25">
      <c r="A278" s="27">
        <v>10</v>
      </c>
      <c r="B278" s="27" t="s">
        <v>189</v>
      </c>
      <c r="C278" s="27" t="s">
        <v>183</v>
      </c>
      <c r="D278" s="27">
        <f t="shared" si="18"/>
        <v>354.88907999999998</v>
      </c>
      <c r="E278" s="27">
        <v>0</v>
      </c>
      <c r="F278" s="27">
        <f t="shared" si="14"/>
        <v>532.33362</v>
      </c>
      <c r="G278" s="144" t="str">
        <f t="shared" si="19"/>
        <v>2nd to 7th, 9th to 12th, 14th to 17th, 19th to 22nd, 24th to 27th, 29th &amp; 30th Floor</v>
      </c>
      <c r="H278" s="145"/>
      <c r="I278" s="56"/>
      <c r="N278" s="55" t="str">
        <f t="shared" ca="1" si="22"/>
        <v>2710,..,3010</v>
      </c>
      <c r="O278" s="55">
        <f t="shared" ref="O278:P278" ca="1" si="26">O277+1</f>
        <v>2710</v>
      </c>
      <c r="P278" s="55">
        <f t="shared" ca="1" si="26"/>
        <v>3010</v>
      </c>
    </row>
    <row r="279" spans="1:16" s="55" customFormat="1" ht="15.75" customHeight="1" x14ac:dyDescent="0.25">
      <c r="A279" s="126" t="s">
        <v>186</v>
      </c>
      <c r="B279" s="127"/>
      <c r="C279" s="127"/>
      <c r="D279" s="127"/>
      <c r="E279" s="127"/>
      <c r="F279" s="127"/>
      <c r="G279" s="127"/>
      <c r="H279" s="128"/>
      <c r="I279" s="56"/>
      <c r="P279" s="57"/>
    </row>
    <row r="280" spans="1:16" s="55" customFormat="1" x14ac:dyDescent="0.25">
      <c r="A280" s="27">
        <v>1</v>
      </c>
      <c r="B280" s="27" t="s">
        <v>189</v>
      </c>
      <c r="C280" s="27" t="s">
        <v>183</v>
      </c>
      <c r="D280" s="27">
        <f>(32.97)*10.764</f>
        <v>354.88907999999998</v>
      </c>
      <c r="E280" s="27">
        <v>0</v>
      </c>
      <c r="F280" s="27">
        <f t="shared" si="14"/>
        <v>532.33362</v>
      </c>
      <c r="G280" s="144" t="str">
        <f>A279</f>
        <v>8th, 13th, 18th, 23rd &amp; 28th Floor (Part Refuge Area)</v>
      </c>
      <c r="H280" s="145"/>
      <c r="I280" s="56"/>
      <c r="N280" s="55" t="str">
        <f t="shared" ref="N280:N289" ca="1" si="27">O280&amp;""&amp;",..,"&amp;""&amp;P280</f>
        <v>801,..,2801</v>
      </c>
      <c r="O280" s="55">
        <f ca="1">(SUMPRODUCT(MID(0&amp;(LEFT(A279,SUM(LEN(A279)-LEN(SUBSTITUTE(A279,{"0","1","2"},""))))), LARGE(INDEX(ISNUMBER(--MID((LEFT(A279,SUM(LEN(A279)-LEN(SUBSTITUTE(A279,{"0","1","2"},""))))), ROW(INDIRECT("1:"&amp;LEN((LEFT(A279,SUM(LEN(A279)-LEN(SUBSTITUTE(A279,{"0","1","2"},"")))))))), 1)) * ROW(INDIRECT("1:"&amp;LEN((LEFT(A279,SUM(LEN(A279)-LEN(SUBSTITUTE(A279,{"0","1","2"},"")))))))), 0), ROW(INDIRECT("1:"&amp;LEN((LEFT(A279,SUM(LEN(A279)-LEN(SUBSTITUTE(A279,{"0","1","2"},"")))))))))+1, 1) * 10^ROW(INDIRECT("1:"&amp;LEN((LEFT(A279,SUM(LEN(A279)-LEN(SUBSTITUTE(A279,{"0","1","2"},""))))))))/10))*100+1</f>
        <v>801</v>
      </c>
      <c r="P280" s="55">
        <f ca="1">(SUMPRODUCT(MID(0&amp;(--TRIM(RIGHT(SUBSTITUTE(LEFT(A279,_xlfn.AGGREGATE(16,6,FIND({0,1,2,3,4,5,6,7,8,9},A279,ROW(INDIRECT("1:"&amp;LEN(A279)))),1))," ",REPT(" ",LEN(A279))),LEN(A279)))), LARGE(INDEX(ISNUMBER(--MID((--TRIM(RIGHT(SUBSTITUTE(LEFT(A279,_xlfn.AGGREGATE(16,6,FIND({0,1,2,3,4,5,6,7,8,9},A279,ROW(INDIRECT("1:"&amp;LEN(A279)))),1))," ",REPT(" ",LEN(A279))),LEN(A279)))), ROW(INDIRECT("1:"&amp;LEN((--TRIM(RIGHT(SUBSTITUTE(LEFT(A279,_xlfn.AGGREGATE(16,6,FIND({0,1,2,3,4,5,6,7,8,9},A279,ROW(INDIRECT("1:"&amp;LEN(A279)))),1))," ",REPT(" ",LEN(A279))),LEN(A279))))))), 1)) * ROW(INDIRECT("1:"&amp;LEN((--TRIM(RIGHT(SUBSTITUTE(LEFT(A279,_xlfn.AGGREGATE(16,6,FIND({0,1,2,3,4,5,6,7,8,9},A279,ROW(INDIRECT("1:"&amp;LEN(A279)))),1))," ",REPT(" ",LEN(A279))),LEN(A279))))))), 0), ROW(INDIRECT("1:"&amp;LEN((--TRIM(RIGHT(SUBSTITUTE(LEFT(A279,_xlfn.AGGREGATE(16,6,FIND({0,1,2,3,4,5,6,7,8,9},A279,ROW(INDIRECT("1:"&amp;LEN(A279)))),1))," ",REPT(" ",LEN(A279))),LEN(A279))))))))+1, 1) * 10^ROW(INDIRECT("1:"&amp;LEN((--TRIM(RIGHT(SUBSTITUTE(LEFT(A279,_xlfn.AGGREGATE(16,6,FIND({0,1,2,3,4,5,6,7,8,9},A279,ROW(INDIRECT("1:"&amp;LEN(A279)))),1))," ",REPT(" ",LEN(A279))),LEN(A279)))))))/10))*100+1</f>
        <v>2801</v>
      </c>
    </row>
    <row r="281" spans="1:16" s="55" customFormat="1" x14ac:dyDescent="0.25">
      <c r="A281" s="27">
        <v>2</v>
      </c>
      <c r="B281" s="27" t="s">
        <v>189</v>
      </c>
      <c r="C281" s="27" t="s">
        <v>183</v>
      </c>
      <c r="D281" s="27">
        <f t="shared" ref="D281:D288" si="28">(32.97)*10.764</f>
        <v>354.88907999999998</v>
      </c>
      <c r="E281" s="27">
        <v>0</v>
      </c>
      <c r="F281" s="27">
        <f t="shared" si="14"/>
        <v>532.33362</v>
      </c>
      <c r="G281" s="144" t="str">
        <f t="shared" ref="G281:G289" si="29">G280</f>
        <v>8th, 13th, 18th, 23rd &amp; 28th Floor (Part Refuge Area)</v>
      </c>
      <c r="H281" s="145"/>
      <c r="I281" s="56"/>
      <c r="N281" s="55" t="str">
        <f t="shared" ca="1" si="27"/>
        <v>802,..,2802</v>
      </c>
      <c r="O281" s="55">
        <f t="shared" ref="O281:P281" ca="1" si="30">O280+1</f>
        <v>802</v>
      </c>
      <c r="P281" s="55">
        <f t="shared" ca="1" si="30"/>
        <v>2802</v>
      </c>
    </row>
    <row r="282" spans="1:16" s="55" customFormat="1" ht="15.75" customHeight="1" x14ac:dyDescent="0.25">
      <c r="A282" s="27">
        <v>3</v>
      </c>
      <c r="B282" s="27" t="s">
        <v>189</v>
      </c>
      <c r="C282" s="27" t="s">
        <v>183</v>
      </c>
      <c r="D282" s="27">
        <f>(34.47)*10.764</f>
        <v>371.03507999999999</v>
      </c>
      <c r="E282" s="27">
        <v>0</v>
      </c>
      <c r="F282" s="27">
        <f t="shared" si="14"/>
        <v>556.55261999999993</v>
      </c>
      <c r="G282" s="144" t="str">
        <f t="shared" si="29"/>
        <v>8th, 13th, 18th, 23rd &amp; 28th Floor (Part Refuge Area)</v>
      </c>
      <c r="H282" s="145"/>
      <c r="I282" s="56"/>
      <c r="N282" s="55" t="str">
        <f t="shared" ca="1" si="27"/>
        <v>803,..,2803</v>
      </c>
      <c r="O282" s="55">
        <f t="shared" ref="O282:P282" ca="1" si="31">O281+1</f>
        <v>803</v>
      </c>
      <c r="P282" s="55">
        <f t="shared" ca="1" si="31"/>
        <v>2803</v>
      </c>
    </row>
    <row r="283" spans="1:16" s="55" customFormat="1" ht="15.75" customHeight="1" x14ac:dyDescent="0.25">
      <c r="A283" s="27">
        <v>4</v>
      </c>
      <c r="B283" s="27" t="s">
        <v>189</v>
      </c>
      <c r="C283" s="27" t="s">
        <v>183</v>
      </c>
      <c r="D283" s="27">
        <f>(34.47)*10.764</f>
        <v>371.03507999999999</v>
      </c>
      <c r="E283" s="27">
        <v>0</v>
      </c>
      <c r="F283" s="27">
        <f t="shared" si="14"/>
        <v>556.55261999999993</v>
      </c>
      <c r="G283" s="144" t="str">
        <f t="shared" si="29"/>
        <v>8th, 13th, 18th, 23rd &amp; 28th Floor (Part Refuge Area)</v>
      </c>
      <c r="H283" s="145"/>
      <c r="I283" s="56"/>
      <c r="N283" s="55" t="str">
        <f t="shared" ca="1" si="27"/>
        <v>804,..,2804</v>
      </c>
      <c r="O283" s="55">
        <f t="shared" ref="O283:P283" ca="1" si="32">O282+1</f>
        <v>804</v>
      </c>
      <c r="P283" s="55">
        <f t="shared" ca="1" si="32"/>
        <v>2804</v>
      </c>
    </row>
    <row r="284" spans="1:16" s="55" customFormat="1" ht="15.75" customHeight="1" x14ac:dyDescent="0.25">
      <c r="A284" s="27">
        <v>5</v>
      </c>
      <c r="B284" s="27" t="s">
        <v>189</v>
      </c>
      <c r="C284" s="27" t="s">
        <v>183</v>
      </c>
      <c r="D284" s="27">
        <f t="shared" si="28"/>
        <v>354.88907999999998</v>
      </c>
      <c r="E284" s="27">
        <v>0</v>
      </c>
      <c r="F284" s="27">
        <f t="shared" si="14"/>
        <v>532.33362</v>
      </c>
      <c r="G284" s="144" t="str">
        <f t="shared" si="29"/>
        <v>8th, 13th, 18th, 23rd &amp; 28th Floor (Part Refuge Area)</v>
      </c>
      <c r="H284" s="145"/>
      <c r="I284" s="56"/>
      <c r="N284" s="55" t="str">
        <f t="shared" ca="1" si="27"/>
        <v>805,..,2805</v>
      </c>
      <c r="O284" s="55">
        <f t="shared" ref="O284:P284" ca="1" si="33">O283+1</f>
        <v>805</v>
      </c>
      <c r="P284" s="55">
        <f t="shared" ca="1" si="33"/>
        <v>2805</v>
      </c>
    </row>
    <row r="285" spans="1:16" s="55" customFormat="1" ht="15.75" customHeight="1" x14ac:dyDescent="0.25">
      <c r="A285" s="27">
        <v>6</v>
      </c>
      <c r="B285" s="27" t="s">
        <v>189</v>
      </c>
      <c r="C285" s="27" t="s">
        <v>183</v>
      </c>
      <c r="D285" s="27">
        <f t="shared" si="28"/>
        <v>354.88907999999998</v>
      </c>
      <c r="E285" s="27">
        <v>0</v>
      </c>
      <c r="F285" s="27">
        <f t="shared" si="14"/>
        <v>532.33362</v>
      </c>
      <c r="G285" s="144" t="str">
        <f t="shared" si="29"/>
        <v>8th, 13th, 18th, 23rd &amp; 28th Floor (Part Refuge Area)</v>
      </c>
      <c r="H285" s="145"/>
      <c r="I285" s="56"/>
      <c r="N285" s="55" t="str">
        <f t="shared" ca="1" si="27"/>
        <v>806,..,2806</v>
      </c>
      <c r="O285" s="55">
        <f t="shared" ref="O285:P285" ca="1" si="34">O284+1</f>
        <v>806</v>
      </c>
      <c r="P285" s="55">
        <f t="shared" ca="1" si="34"/>
        <v>2806</v>
      </c>
    </row>
    <row r="286" spans="1:16" s="55" customFormat="1" ht="15.75" customHeight="1" x14ac:dyDescent="0.25">
      <c r="A286" s="27">
        <v>7</v>
      </c>
      <c r="B286" s="27" t="s">
        <v>189</v>
      </c>
      <c r="C286" s="27" t="s">
        <v>183</v>
      </c>
      <c r="D286" s="27">
        <f t="shared" si="28"/>
        <v>354.88907999999998</v>
      </c>
      <c r="E286" s="27">
        <v>0</v>
      </c>
      <c r="F286" s="27">
        <f t="shared" si="14"/>
        <v>532.33362</v>
      </c>
      <c r="G286" s="144" t="str">
        <f t="shared" si="29"/>
        <v>8th, 13th, 18th, 23rd &amp; 28th Floor (Part Refuge Area)</v>
      </c>
      <c r="H286" s="145"/>
      <c r="I286" s="56"/>
      <c r="N286" s="55" t="str">
        <f t="shared" ca="1" si="27"/>
        <v>807,..,2807</v>
      </c>
      <c r="O286" s="55">
        <f t="shared" ref="O286:P286" ca="1" si="35">O285+1</f>
        <v>807</v>
      </c>
      <c r="P286" s="55">
        <f t="shared" ca="1" si="35"/>
        <v>2807</v>
      </c>
    </row>
    <row r="287" spans="1:16" s="55" customFormat="1" ht="15.75" customHeight="1" x14ac:dyDescent="0.25">
      <c r="A287" s="27">
        <v>8</v>
      </c>
      <c r="B287" s="27" t="s">
        <v>189</v>
      </c>
      <c r="C287" s="27" t="s">
        <v>183</v>
      </c>
      <c r="D287" s="27">
        <f t="shared" si="28"/>
        <v>354.88907999999998</v>
      </c>
      <c r="E287" s="27">
        <v>0</v>
      </c>
      <c r="F287" s="27">
        <f t="shared" si="14"/>
        <v>532.33362</v>
      </c>
      <c r="G287" s="144" t="str">
        <f t="shared" si="29"/>
        <v>8th, 13th, 18th, 23rd &amp; 28th Floor (Part Refuge Area)</v>
      </c>
      <c r="H287" s="145"/>
      <c r="I287" s="56"/>
      <c r="N287" s="55" t="str">
        <f t="shared" ca="1" si="27"/>
        <v>808,..,2808</v>
      </c>
      <c r="O287" s="55">
        <f t="shared" ref="O287:P287" ca="1" si="36">O286+1</f>
        <v>808</v>
      </c>
      <c r="P287" s="55">
        <f t="shared" ca="1" si="36"/>
        <v>2808</v>
      </c>
    </row>
    <row r="288" spans="1:16" s="55" customFormat="1" ht="15.75" customHeight="1" x14ac:dyDescent="0.25">
      <c r="A288" s="27">
        <v>9</v>
      </c>
      <c r="B288" s="27" t="s">
        <v>189</v>
      </c>
      <c r="C288" s="27" t="s">
        <v>183</v>
      </c>
      <c r="D288" s="27">
        <f t="shared" si="28"/>
        <v>354.88907999999998</v>
      </c>
      <c r="E288" s="27">
        <v>0</v>
      </c>
      <c r="F288" s="27">
        <f t="shared" si="14"/>
        <v>532.33362</v>
      </c>
      <c r="G288" s="144" t="str">
        <f t="shared" si="29"/>
        <v>8th, 13th, 18th, 23rd &amp; 28th Floor (Part Refuge Area)</v>
      </c>
      <c r="H288" s="145"/>
      <c r="I288" s="56"/>
      <c r="N288" s="55" t="str">
        <f t="shared" ca="1" si="27"/>
        <v>809,..,2809</v>
      </c>
      <c r="O288" s="55">
        <f t="shared" ref="O288:P288" ca="1" si="37">O287+1</f>
        <v>809</v>
      </c>
      <c r="P288" s="55">
        <f t="shared" ca="1" si="37"/>
        <v>2809</v>
      </c>
    </row>
    <row r="289" spans="1:16" s="55" customFormat="1" ht="15.75" customHeight="1" x14ac:dyDescent="0.25">
      <c r="A289" s="27">
        <v>10</v>
      </c>
      <c r="B289" s="27" t="s">
        <v>188</v>
      </c>
      <c r="C289" s="144" t="s">
        <v>185</v>
      </c>
      <c r="D289" s="189"/>
      <c r="E289" s="189"/>
      <c r="F289" s="145"/>
      <c r="G289" s="144" t="str">
        <f t="shared" si="29"/>
        <v>8th, 13th, 18th, 23rd &amp; 28th Floor (Part Refuge Area)</v>
      </c>
      <c r="H289" s="145"/>
      <c r="I289" s="56"/>
      <c r="N289" s="55" t="str">
        <f t="shared" ca="1" si="27"/>
        <v>810,..,2810</v>
      </c>
      <c r="O289" s="55">
        <f t="shared" ref="O289:P289" ca="1" si="38">O288+1</f>
        <v>810</v>
      </c>
      <c r="P289" s="55">
        <f t="shared" ca="1" si="38"/>
        <v>2810</v>
      </c>
    </row>
    <row r="290" spans="1:16" s="53" customFormat="1" x14ac:dyDescent="0.25">
      <c r="A290" s="151" t="s">
        <v>209</v>
      </c>
      <c r="B290" s="151"/>
      <c r="C290" s="151"/>
      <c r="D290" s="151"/>
      <c r="E290" s="151"/>
      <c r="F290" s="151"/>
      <c r="G290" s="151"/>
      <c r="H290" s="151"/>
    </row>
    <row r="291" spans="1:16" s="55" customFormat="1" x14ac:dyDescent="0.25">
      <c r="A291" s="193" t="s">
        <v>182</v>
      </c>
      <c r="B291" s="193"/>
      <c r="C291" s="193"/>
      <c r="D291" s="193"/>
      <c r="E291" s="193"/>
      <c r="F291" s="193"/>
      <c r="G291" s="193"/>
      <c r="H291" s="193"/>
      <c r="I291" s="56"/>
      <c r="L291" s="143"/>
      <c r="M291" s="143"/>
    </row>
    <row r="292" spans="1:16" s="55" customFormat="1" x14ac:dyDescent="0.25">
      <c r="A292" s="27">
        <v>1</v>
      </c>
      <c r="B292" s="27" t="s">
        <v>190</v>
      </c>
      <c r="C292" s="27" t="s">
        <v>183</v>
      </c>
      <c r="D292" s="27">
        <f>(1.05*0.2+3.3*3+1.82*2.41+3.05*2.95+1.45*1.2+0.6*0.8+1*1.3+0.95*0.45+1.25*1.64+1.33*0.6)*10.764</f>
        <v>326.03294879999999</v>
      </c>
      <c r="E292" s="27">
        <f>(3.5*3+1.2*5.4+1.82*2.9+1.35*0.9+1.5*0.5)*10.764</f>
        <v>260.73637199999996</v>
      </c>
      <c r="F292" s="27">
        <f t="shared" ref="F292:F297" si="39">D292*(($F$255)+1)+(IF(E292&lt;101,E292,IF(E292&lt;201,E292/2,IF(E292&lt;=301,E292/3,E292/4))))</f>
        <v>575.96154719999993</v>
      </c>
      <c r="G292" s="150" t="str">
        <f>A291</f>
        <v>1st Floor for Residential</v>
      </c>
      <c r="H292" s="150"/>
      <c r="I292" s="56"/>
      <c r="N292" s="56"/>
    </row>
    <row r="293" spans="1:16" s="55" customFormat="1" x14ac:dyDescent="0.25">
      <c r="A293" s="27">
        <f>A292+1</f>
        <v>2</v>
      </c>
      <c r="B293" s="27" t="s">
        <v>190</v>
      </c>
      <c r="C293" s="27" t="s">
        <v>183</v>
      </c>
      <c r="D293" s="27">
        <f>(1.05*0.2+3.3*3+1.82*2.41+3.05*2.95+1.45*1.2+0.6*0.8+1*1.3+0.95*0.45+1.25*1.64+1*(1.53+1.3+1.92)+1.33*0.6)*10.764</f>
        <v>377.1619488</v>
      </c>
      <c r="E293" s="27">
        <v>0</v>
      </c>
      <c r="F293" s="27">
        <f t="shared" si="39"/>
        <v>565.74292319999995</v>
      </c>
      <c r="G293" s="150" t="str">
        <f t="shared" ref="G293:G297" si="40">G292</f>
        <v>1st Floor for Residential</v>
      </c>
      <c r="H293" s="150"/>
      <c r="I293" s="56"/>
      <c r="N293" s="56"/>
    </row>
    <row r="294" spans="1:16" s="55" customFormat="1" x14ac:dyDescent="0.25">
      <c r="A294" s="27">
        <f>A293+1</f>
        <v>3</v>
      </c>
      <c r="B294" s="27" t="s">
        <v>190</v>
      </c>
      <c r="C294" s="27" t="s">
        <v>183</v>
      </c>
      <c r="D294" s="27">
        <f t="shared" ref="D294:D295" si="41">(1.05*0.2+3.3*3+1.82*2.41+3.05*2.95+1.45*1.2+0.6*0.8+1*1.3+0.95*0.45+1.25*1.64+1*(1.53+1.3+1.92)+1.33*0.6)*10.764</f>
        <v>377.1619488</v>
      </c>
      <c r="E294" s="27">
        <v>0</v>
      </c>
      <c r="F294" s="27">
        <f t="shared" si="39"/>
        <v>565.74292319999995</v>
      </c>
      <c r="G294" s="150" t="str">
        <f t="shared" si="40"/>
        <v>1st Floor for Residential</v>
      </c>
      <c r="H294" s="150"/>
      <c r="I294" s="56"/>
      <c r="N294" s="56"/>
    </row>
    <row r="295" spans="1:16" s="55" customFormat="1" x14ac:dyDescent="0.25">
      <c r="A295" s="27">
        <f t="shared" ref="A295:A297" si="42">A294+1</f>
        <v>4</v>
      </c>
      <c r="B295" s="27" t="s">
        <v>190</v>
      </c>
      <c r="C295" s="27" t="s">
        <v>183</v>
      </c>
      <c r="D295" s="27">
        <f t="shared" si="41"/>
        <v>377.1619488</v>
      </c>
      <c r="E295" s="27">
        <v>0</v>
      </c>
      <c r="F295" s="27">
        <f t="shared" si="39"/>
        <v>565.74292319999995</v>
      </c>
      <c r="G295" s="150" t="str">
        <f t="shared" si="40"/>
        <v>1st Floor for Residential</v>
      </c>
      <c r="H295" s="150"/>
      <c r="I295" s="56"/>
      <c r="N295" s="56"/>
    </row>
    <row r="296" spans="1:16" s="55" customFormat="1" x14ac:dyDescent="0.25">
      <c r="A296" s="27">
        <f t="shared" si="42"/>
        <v>5</v>
      </c>
      <c r="B296" s="27" t="s">
        <v>190</v>
      </c>
      <c r="C296" s="27" t="s">
        <v>183</v>
      </c>
      <c r="D296" s="27">
        <f>(1.05*0.2+3.3*3+1.82*2.41+3.05*2.95+1.45*1.2+0.6*0.8+1*1.3+0.95*0.45+1.25*1.64+1.33*0.6)*10.764</f>
        <v>326.03294879999999</v>
      </c>
      <c r="E296" s="27">
        <f>(1.2*5.4+1.82*2.9+1.35*0.9+1.5*0.5)*10.764</f>
        <v>147.71437199999997</v>
      </c>
      <c r="F296" s="27">
        <f t="shared" si="39"/>
        <v>562.90660919999993</v>
      </c>
      <c r="G296" s="150" t="str">
        <f t="shared" si="40"/>
        <v>1st Floor for Residential</v>
      </c>
      <c r="H296" s="150"/>
      <c r="I296" s="56"/>
      <c r="N296" s="56"/>
    </row>
    <row r="297" spans="1:16" s="55" customFormat="1" x14ac:dyDescent="0.25">
      <c r="A297" s="27">
        <f t="shared" si="42"/>
        <v>6</v>
      </c>
      <c r="B297" s="27" t="s">
        <v>190</v>
      </c>
      <c r="C297" s="27" t="s">
        <v>183</v>
      </c>
      <c r="D297" s="27">
        <f>(1.05*0.2+3.3*3+1.82*2.41+3.05*2.95+1.45*1.2+0.6*0.8+1*1.3+0.95*0.45+1.25*1.64+1.33*0.6)*10.764</f>
        <v>326.03294879999999</v>
      </c>
      <c r="E297" s="27">
        <f>(1.9*5.8+2.2*4.8+1.2*5.4+1.82*2.9+1.35*0.9+1.5*0.5)*10.764</f>
        <v>380.00149200000004</v>
      </c>
      <c r="F297" s="27">
        <f t="shared" si="39"/>
        <v>584.04979619999995</v>
      </c>
      <c r="G297" s="150" t="str">
        <f t="shared" si="40"/>
        <v>1st Floor for Residential</v>
      </c>
      <c r="H297" s="150"/>
      <c r="I297" s="56"/>
      <c r="N297" s="56"/>
    </row>
    <row r="298" spans="1:16" s="55" customFormat="1" ht="15.75" customHeight="1" x14ac:dyDescent="0.25">
      <c r="A298" s="126" t="s">
        <v>191</v>
      </c>
      <c r="B298" s="127"/>
      <c r="C298" s="127"/>
      <c r="D298" s="127"/>
      <c r="E298" s="127"/>
      <c r="F298" s="127"/>
      <c r="G298" s="127"/>
      <c r="H298" s="128"/>
      <c r="I298" s="56"/>
      <c r="P298" s="57"/>
    </row>
    <row r="299" spans="1:16" s="55" customFormat="1" x14ac:dyDescent="0.25">
      <c r="A299" s="27">
        <v>1</v>
      </c>
      <c r="B299" s="27" t="s">
        <v>190</v>
      </c>
      <c r="C299" s="27" t="s">
        <v>183</v>
      </c>
      <c r="D299" s="27">
        <f>(32.97)*10.764</f>
        <v>354.88907999999998</v>
      </c>
      <c r="E299" s="27">
        <v>0</v>
      </c>
      <c r="F299" s="27">
        <f t="shared" ref="F299:F304" si="43">D299*(($F$255)+1)+(IF(E299&lt;101,E299,IF(E299&lt;201,E299/2,IF(E299&lt;=301,E299/3,E299/4))))</f>
        <v>532.33362</v>
      </c>
      <c r="G299" s="144" t="str">
        <f>A298</f>
        <v>2nd to 7th, 9th to 12th, 13th &amp; 14th Floor</v>
      </c>
      <c r="H299" s="145"/>
      <c r="I299" s="56"/>
      <c r="N299" s="55" t="str">
        <f t="shared" ref="N299:N304" ca="1" si="44">O299&amp;""&amp;",..,"&amp;""&amp;P299</f>
        <v>201,..,1401</v>
      </c>
      <c r="O299" s="55">
        <f ca="1">(SUMPRODUCT(MID(0&amp;(LEFT(A298,SUM(LEN(A298)-LEN(SUBSTITUTE(A298,{"0","1","2"},""))))), LARGE(INDEX(ISNUMBER(--MID((LEFT(A298,SUM(LEN(A298)-LEN(SUBSTITUTE(A298,{"0","1","2"},""))))), ROW(INDIRECT("1:"&amp;LEN((LEFT(A298,SUM(LEN(A298)-LEN(SUBSTITUTE(A298,{"0","1","2"},"")))))))), 1)) * ROW(INDIRECT("1:"&amp;LEN((LEFT(A298,SUM(LEN(A298)-LEN(SUBSTITUTE(A298,{"0","1","2"},"")))))))), 0), ROW(INDIRECT("1:"&amp;LEN((LEFT(A298,SUM(LEN(A298)-LEN(SUBSTITUTE(A298,{"0","1","2"},"")))))))))+1, 1) * 10^ROW(INDIRECT("1:"&amp;LEN((LEFT(A298,SUM(LEN(A298)-LEN(SUBSTITUTE(A298,{"0","1","2"},""))))))))/10))*100+1</f>
        <v>201</v>
      </c>
      <c r="P299" s="55">
        <f ca="1">(SUMPRODUCT(MID(0&amp;(--TRIM(RIGHT(SUBSTITUTE(LEFT(A298,_xlfn.AGGREGATE(16,6,FIND({0,1,2,3,4,5,6,7,8,9},A298,ROW(INDIRECT("1:"&amp;LEN(A298)))),1))," ",REPT(" ",LEN(A298))),LEN(A298)))), LARGE(INDEX(ISNUMBER(--MID((--TRIM(RIGHT(SUBSTITUTE(LEFT(A298,_xlfn.AGGREGATE(16,6,FIND({0,1,2,3,4,5,6,7,8,9},A298,ROW(INDIRECT("1:"&amp;LEN(A298)))),1))," ",REPT(" ",LEN(A298))),LEN(A298)))), ROW(INDIRECT("1:"&amp;LEN((--TRIM(RIGHT(SUBSTITUTE(LEFT(A298,_xlfn.AGGREGATE(16,6,FIND({0,1,2,3,4,5,6,7,8,9},A298,ROW(INDIRECT("1:"&amp;LEN(A298)))),1))," ",REPT(" ",LEN(A298))),LEN(A298))))))), 1)) * ROW(INDIRECT("1:"&amp;LEN((--TRIM(RIGHT(SUBSTITUTE(LEFT(A298,_xlfn.AGGREGATE(16,6,FIND({0,1,2,3,4,5,6,7,8,9},A298,ROW(INDIRECT("1:"&amp;LEN(A298)))),1))," ",REPT(" ",LEN(A298))),LEN(A298))))))), 0), ROW(INDIRECT("1:"&amp;LEN((--TRIM(RIGHT(SUBSTITUTE(LEFT(A298,_xlfn.AGGREGATE(16,6,FIND({0,1,2,3,4,5,6,7,8,9},A298,ROW(INDIRECT("1:"&amp;LEN(A298)))),1))," ",REPT(" ",LEN(A298))),LEN(A298))))))))+1, 1) * 10^ROW(INDIRECT("1:"&amp;LEN((--TRIM(RIGHT(SUBSTITUTE(LEFT(A298,_xlfn.AGGREGATE(16,6,FIND({0,1,2,3,4,5,6,7,8,9},A298,ROW(INDIRECT("1:"&amp;LEN(A298)))),1))," ",REPT(" ",LEN(A298))),LEN(A298)))))))/10))*100+1</f>
        <v>1401</v>
      </c>
    </row>
    <row r="300" spans="1:16" s="55" customFormat="1" x14ac:dyDescent="0.25">
      <c r="A300" s="27">
        <v>2</v>
      </c>
      <c r="B300" s="27" t="s">
        <v>190</v>
      </c>
      <c r="C300" s="27" t="s">
        <v>183</v>
      </c>
      <c r="D300" s="27">
        <f t="shared" ref="D300:D318" si="45">(32.97)*10.764</f>
        <v>354.88907999999998</v>
      </c>
      <c r="E300" s="27">
        <v>0</v>
      </c>
      <c r="F300" s="27">
        <f t="shared" si="43"/>
        <v>532.33362</v>
      </c>
      <c r="G300" s="144" t="str">
        <f t="shared" ref="G300:G304" si="46">G299</f>
        <v>2nd to 7th, 9th to 12th, 13th &amp; 14th Floor</v>
      </c>
      <c r="H300" s="145"/>
      <c r="I300" s="56"/>
      <c r="N300" s="55" t="str">
        <f t="shared" ca="1" si="44"/>
        <v>202,..,1402</v>
      </c>
      <c r="O300" s="55">
        <f t="shared" ref="O300:P300" ca="1" si="47">O299+1</f>
        <v>202</v>
      </c>
      <c r="P300" s="55">
        <f t="shared" ca="1" si="47"/>
        <v>1402</v>
      </c>
    </row>
    <row r="301" spans="1:16" s="55" customFormat="1" ht="15.75" customHeight="1" x14ac:dyDescent="0.25">
      <c r="A301" s="27">
        <v>3</v>
      </c>
      <c r="B301" s="27" t="s">
        <v>190</v>
      </c>
      <c r="C301" s="27" t="s">
        <v>183</v>
      </c>
      <c r="D301" s="27">
        <f t="shared" si="45"/>
        <v>354.88907999999998</v>
      </c>
      <c r="E301" s="27">
        <v>0</v>
      </c>
      <c r="F301" s="27">
        <f t="shared" si="43"/>
        <v>532.33362</v>
      </c>
      <c r="G301" s="144" t="str">
        <f t="shared" si="46"/>
        <v>2nd to 7th, 9th to 12th, 13th &amp; 14th Floor</v>
      </c>
      <c r="H301" s="145"/>
      <c r="I301" s="56"/>
      <c r="N301" s="55" t="str">
        <f t="shared" ca="1" si="44"/>
        <v>203,..,1403</v>
      </c>
      <c r="O301" s="55">
        <f t="shared" ref="O301:P301" ca="1" si="48">O300+1</f>
        <v>203</v>
      </c>
      <c r="P301" s="55">
        <f t="shared" ca="1" si="48"/>
        <v>1403</v>
      </c>
    </row>
    <row r="302" spans="1:16" s="55" customFormat="1" ht="15.75" customHeight="1" x14ac:dyDescent="0.25">
      <c r="A302" s="27">
        <v>4</v>
      </c>
      <c r="B302" s="27" t="s">
        <v>190</v>
      </c>
      <c r="C302" s="27" t="s">
        <v>183</v>
      </c>
      <c r="D302" s="27">
        <f t="shared" si="45"/>
        <v>354.88907999999998</v>
      </c>
      <c r="E302" s="27">
        <v>0</v>
      </c>
      <c r="F302" s="27">
        <f t="shared" si="43"/>
        <v>532.33362</v>
      </c>
      <c r="G302" s="144" t="str">
        <f t="shared" si="46"/>
        <v>2nd to 7th, 9th to 12th, 13th &amp; 14th Floor</v>
      </c>
      <c r="H302" s="145"/>
      <c r="I302" s="56"/>
      <c r="N302" s="55" t="str">
        <f t="shared" ca="1" si="44"/>
        <v>204,..,1404</v>
      </c>
      <c r="O302" s="55">
        <f t="shared" ref="O302:P302" ca="1" si="49">O301+1</f>
        <v>204</v>
      </c>
      <c r="P302" s="55">
        <f t="shared" ca="1" si="49"/>
        <v>1404</v>
      </c>
    </row>
    <row r="303" spans="1:16" s="55" customFormat="1" ht="15.75" customHeight="1" x14ac:dyDescent="0.25">
      <c r="A303" s="27">
        <v>5</v>
      </c>
      <c r="B303" s="27" t="s">
        <v>190</v>
      </c>
      <c r="C303" s="27" t="s">
        <v>183</v>
      </c>
      <c r="D303" s="27">
        <f t="shared" si="45"/>
        <v>354.88907999999998</v>
      </c>
      <c r="E303" s="27">
        <v>0</v>
      </c>
      <c r="F303" s="27">
        <f t="shared" si="43"/>
        <v>532.33362</v>
      </c>
      <c r="G303" s="144" t="str">
        <f t="shared" si="46"/>
        <v>2nd to 7th, 9th to 12th, 13th &amp; 14th Floor</v>
      </c>
      <c r="H303" s="145"/>
      <c r="I303" s="56"/>
      <c r="N303" s="55" t="str">
        <f t="shared" ca="1" si="44"/>
        <v>205,..,1405</v>
      </c>
      <c r="O303" s="55">
        <f t="shared" ref="O303:P303" ca="1" si="50">O302+1</f>
        <v>205</v>
      </c>
      <c r="P303" s="55">
        <f t="shared" ca="1" si="50"/>
        <v>1405</v>
      </c>
    </row>
    <row r="304" spans="1:16" s="55" customFormat="1" ht="15.75" customHeight="1" x14ac:dyDescent="0.25">
      <c r="A304" s="27">
        <v>6</v>
      </c>
      <c r="B304" s="27" t="s">
        <v>190</v>
      </c>
      <c r="C304" s="27" t="s">
        <v>183</v>
      </c>
      <c r="D304" s="27">
        <f t="shared" si="45"/>
        <v>354.88907999999998</v>
      </c>
      <c r="E304" s="27">
        <v>0</v>
      </c>
      <c r="F304" s="27">
        <f t="shared" si="43"/>
        <v>532.33362</v>
      </c>
      <c r="G304" s="144" t="str">
        <f t="shared" si="46"/>
        <v>2nd to 7th, 9th to 12th, 13th &amp; 14th Floor</v>
      </c>
      <c r="H304" s="145"/>
      <c r="I304" s="56"/>
      <c r="N304" s="55" t="str">
        <f t="shared" ca="1" si="44"/>
        <v>206,..,1406</v>
      </c>
      <c r="O304" s="55">
        <f t="shared" ref="O304:P304" ca="1" si="51">O303+1</f>
        <v>206</v>
      </c>
      <c r="P304" s="55">
        <f t="shared" ca="1" si="51"/>
        <v>1406</v>
      </c>
    </row>
    <row r="305" spans="1:16" s="55" customFormat="1" ht="15.75" customHeight="1" x14ac:dyDescent="0.25">
      <c r="A305" s="193" t="s">
        <v>192</v>
      </c>
      <c r="B305" s="193"/>
      <c r="C305" s="193"/>
      <c r="D305" s="193"/>
      <c r="E305" s="193"/>
      <c r="F305" s="193"/>
      <c r="G305" s="193"/>
      <c r="H305" s="193"/>
      <c r="I305" s="56"/>
      <c r="P305" s="57"/>
    </row>
    <row r="306" spans="1:16" s="55" customFormat="1" x14ac:dyDescent="0.25">
      <c r="A306" s="84">
        <v>1</v>
      </c>
      <c r="B306" s="84" t="s">
        <v>193</v>
      </c>
      <c r="C306" s="84" t="s">
        <v>183</v>
      </c>
      <c r="D306" s="84">
        <f t="shared" si="45"/>
        <v>354.88907999999998</v>
      </c>
      <c r="E306" s="84">
        <v>0</v>
      </c>
      <c r="F306" s="84">
        <f t="shared" ref="F306:F311" si="52">D306*(($F$255)+1)+(IF(E306&lt;101,E306,IF(E306&lt;201,E306/2,IF(E306&lt;=301,E306/3,E306/4))))</f>
        <v>532.33362</v>
      </c>
      <c r="G306" s="150" t="str">
        <f>A305</f>
        <v>15th to 17th, 19th to 22nd, 24th to 27th, 29th &amp; 30th Floor</v>
      </c>
      <c r="H306" s="150"/>
      <c r="I306" s="56"/>
      <c r="N306" s="55" t="str">
        <f t="shared" ref="N306:N311" ca="1" si="53">O306&amp;""&amp;",..,"&amp;""&amp;P306</f>
        <v>15101,..,3001</v>
      </c>
      <c r="O306" s="55">
        <f ca="1">(SUMPRODUCT(MID(0&amp;(LEFT(A305,SUM(LEN(A305)-LEN(SUBSTITUTE(A305,{"0","1","2"},""))))), LARGE(INDEX(ISNUMBER(--MID((LEFT(A305,SUM(LEN(A305)-LEN(SUBSTITUTE(A305,{"0","1","2"},""))))), ROW(INDIRECT("1:"&amp;LEN((LEFT(A305,SUM(LEN(A305)-LEN(SUBSTITUTE(A305,{"0","1","2"},"")))))))), 1)) * ROW(INDIRECT("1:"&amp;LEN((LEFT(A305,SUM(LEN(A305)-LEN(SUBSTITUTE(A305,{"0","1","2"},"")))))))), 0), ROW(INDIRECT("1:"&amp;LEN((LEFT(A305,SUM(LEN(A305)-LEN(SUBSTITUTE(A305,{"0","1","2"},"")))))))))+1, 1) * 10^ROW(INDIRECT("1:"&amp;LEN((LEFT(A305,SUM(LEN(A305)-LEN(SUBSTITUTE(A305,{"0","1","2"},""))))))))/10))*100+1</f>
        <v>15101</v>
      </c>
      <c r="P306" s="55">
        <f ca="1">(SUMPRODUCT(MID(0&amp;(--TRIM(RIGHT(SUBSTITUTE(LEFT(A305,_xlfn.AGGREGATE(16,6,FIND({0,1,2,3,4,5,6,7,8,9},A305,ROW(INDIRECT("1:"&amp;LEN(A305)))),1))," ",REPT(" ",LEN(A305))),LEN(A305)))), LARGE(INDEX(ISNUMBER(--MID((--TRIM(RIGHT(SUBSTITUTE(LEFT(A305,_xlfn.AGGREGATE(16,6,FIND({0,1,2,3,4,5,6,7,8,9},A305,ROW(INDIRECT("1:"&amp;LEN(A305)))),1))," ",REPT(" ",LEN(A305))),LEN(A305)))), ROW(INDIRECT("1:"&amp;LEN((--TRIM(RIGHT(SUBSTITUTE(LEFT(A305,_xlfn.AGGREGATE(16,6,FIND({0,1,2,3,4,5,6,7,8,9},A305,ROW(INDIRECT("1:"&amp;LEN(A305)))),1))," ",REPT(" ",LEN(A305))),LEN(A305))))))), 1)) * ROW(INDIRECT("1:"&amp;LEN((--TRIM(RIGHT(SUBSTITUTE(LEFT(A305,_xlfn.AGGREGATE(16,6,FIND({0,1,2,3,4,5,6,7,8,9},A305,ROW(INDIRECT("1:"&amp;LEN(A305)))),1))," ",REPT(" ",LEN(A305))),LEN(A305))))))), 0), ROW(INDIRECT("1:"&amp;LEN((--TRIM(RIGHT(SUBSTITUTE(LEFT(A305,_xlfn.AGGREGATE(16,6,FIND({0,1,2,3,4,5,6,7,8,9},A305,ROW(INDIRECT("1:"&amp;LEN(A305)))),1))," ",REPT(" ",LEN(A305))),LEN(A305))))))))+1, 1) * 10^ROW(INDIRECT("1:"&amp;LEN((--TRIM(RIGHT(SUBSTITUTE(LEFT(A305,_xlfn.AGGREGATE(16,6,FIND({0,1,2,3,4,5,6,7,8,9},A305,ROW(INDIRECT("1:"&amp;LEN(A305)))),1))," ",REPT(" ",LEN(A305))),LEN(A305)))))))/10))*100+1</f>
        <v>3001</v>
      </c>
    </row>
    <row r="307" spans="1:16" s="55" customFormat="1" x14ac:dyDescent="0.25">
      <c r="A307" s="84">
        <v>2</v>
      </c>
      <c r="B307" s="84" t="s">
        <v>193</v>
      </c>
      <c r="C307" s="84" t="s">
        <v>183</v>
      </c>
      <c r="D307" s="84">
        <f t="shared" si="45"/>
        <v>354.88907999999998</v>
      </c>
      <c r="E307" s="84">
        <v>0</v>
      </c>
      <c r="F307" s="84">
        <f t="shared" si="52"/>
        <v>532.33362</v>
      </c>
      <c r="G307" s="150" t="str">
        <f t="shared" ref="G307:G311" si="54">G306</f>
        <v>15th to 17th, 19th to 22nd, 24th to 27th, 29th &amp; 30th Floor</v>
      </c>
      <c r="H307" s="150"/>
      <c r="I307" s="56"/>
      <c r="N307" s="55" t="str">
        <f t="shared" ca="1" si="53"/>
        <v>15102,..,3002</v>
      </c>
      <c r="O307" s="55">
        <f t="shared" ref="O307:P307" ca="1" si="55">O306+1</f>
        <v>15102</v>
      </c>
      <c r="P307" s="55">
        <f t="shared" ca="1" si="55"/>
        <v>3002</v>
      </c>
    </row>
    <row r="308" spans="1:16" s="55" customFormat="1" ht="15.75" customHeight="1" x14ac:dyDescent="0.25">
      <c r="A308" s="84">
        <v>3</v>
      </c>
      <c r="B308" s="84" t="s">
        <v>193</v>
      </c>
      <c r="C308" s="84" t="s">
        <v>183</v>
      </c>
      <c r="D308" s="84">
        <f t="shared" si="45"/>
        <v>354.88907999999998</v>
      </c>
      <c r="E308" s="84">
        <v>0</v>
      </c>
      <c r="F308" s="84">
        <f t="shared" si="52"/>
        <v>532.33362</v>
      </c>
      <c r="G308" s="150" t="str">
        <f t="shared" si="54"/>
        <v>15th to 17th, 19th to 22nd, 24th to 27th, 29th &amp; 30th Floor</v>
      </c>
      <c r="H308" s="150"/>
      <c r="I308" s="56"/>
      <c r="N308" s="55" t="str">
        <f t="shared" ca="1" si="53"/>
        <v>15103,..,3003</v>
      </c>
      <c r="O308" s="55">
        <f t="shared" ref="O308:P308" ca="1" si="56">O307+1</f>
        <v>15103</v>
      </c>
      <c r="P308" s="55">
        <f t="shared" ca="1" si="56"/>
        <v>3003</v>
      </c>
    </row>
    <row r="309" spans="1:16" s="55" customFormat="1" ht="15.75" customHeight="1" x14ac:dyDescent="0.25">
      <c r="A309" s="84">
        <v>4</v>
      </c>
      <c r="B309" s="84" t="s">
        <v>193</v>
      </c>
      <c r="C309" s="84" t="s">
        <v>183</v>
      </c>
      <c r="D309" s="84">
        <f t="shared" si="45"/>
        <v>354.88907999999998</v>
      </c>
      <c r="E309" s="84">
        <v>0</v>
      </c>
      <c r="F309" s="84">
        <f t="shared" si="52"/>
        <v>532.33362</v>
      </c>
      <c r="G309" s="150" t="str">
        <f t="shared" si="54"/>
        <v>15th to 17th, 19th to 22nd, 24th to 27th, 29th &amp; 30th Floor</v>
      </c>
      <c r="H309" s="150"/>
      <c r="I309" s="56"/>
      <c r="N309" s="55" t="str">
        <f t="shared" ca="1" si="53"/>
        <v>15104,..,3004</v>
      </c>
      <c r="O309" s="55">
        <f t="shared" ref="O309:P309" ca="1" si="57">O308+1</f>
        <v>15104</v>
      </c>
      <c r="P309" s="55">
        <f t="shared" ca="1" si="57"/>
        <v>3004</v>
      </c>
    </row>
    <row r="310" spans="1:16" s="55" customFormat="1" ht="15.75" customHeight="1" x14ac:dyDescent="0.25">
      <c r="A310" s="84">
        <v>5</v>
      </c>
      <c r="B310" s="84" t="s">
        <v>193</v>
      </c>
      <c r="C310" s="84" t="s">
        <v>183</v>
      </c>
      <c r="D310" s="84">
        <f t="shared" si="45"/>
        <v>354.88907999999998</v>
      </c>
      <c r="E310" s="84">
        <v>0</v>
      </c>
      <c r="F310" s="84">
        <f t="shared" si="52"/>
        <v>532.33362</v>
      </c>
      <c r="G310" s="150" t="str">
        <f t="shared" si="54"/>
        <v>15th to 17th, 19th to 22nd, 24th to 27th, 29th &amp; 30th Floor</v>
      </c>
      <c r="H310" s="150"/>
      <c r="I310" s="56"/>
      <c r="N310" s="55" t="str">
        <f t="shared" ca="1" si="53"/>
        <v>15105,..,3005</v>
      </c>
      <c r="O310" s="55">
        <f t="shared" ref="O310:P310" ca="1" si="58">O309+1</f>
        <v>15105</v>
      </c>
      <c r="P310" s="55">
        <f t="shared" ca="1" si="58"/>
        <v>3005</v>
      </c>
    </row>
    <row r="311" spans="1:16" s="55" customFormat="1" ht="15.75" customHeight="1" x14ac:dyDescent="0.25">
      <c r="A311" s="84">
        <v>6</v>
      </c>
      <c r="B311" s="84" t="s">
        <v>193</v>
      </c>
      <c r="C311" s="84" t="s">
        <v>183</v>
      </c>
      <c r="D311" s="84">
        <f t="shared" si="45"/>
        <v>354.88907999999998</v>
      </c>
      <c r="E311" s="84">
        <v>0</v>
      </c>
      <c r="F311" s="84">
        <f t="shared" si="52"/>
        <v>532.33362</v>
      </c>
      <c r="G311" s="150" t="str">
        <f t="shared" si="54"/>
        <v>15th to 17th, 19th to 22nd, 24th to 27th, 29th &amp; 30th Floor</v>
      </c>
      <c r="H311" s="150"/>
      <c r="I311" s="56"/>
      <c r="N311" s="55" t="str">
        <f t="shared" ca="1" si="53"/>
        <v>15106,..,3006</v>
      </c>
      <c r="O311" s="55">
        <f t="shared" ref="O311:P311" ca="1" si="59">O310+1</f>
        <v>15106</v>
      </c>
      <c r="P311" s="55">
        <f t="shared" ca="1" si="59"/>
        <v>3006</v>
      </c>
    </row>
    <row r="312" spans="1:16" s="55" customFormat="1" ht="15.75" customHeight="1" x14ac:dyDescent="0.25">
      <c r="A312" s="193" t="s">
        <v>194</v>
      </c>
      <c r="B312" s="193"/>
      <c r="C312" s="193"/>
      <c r="D312" s="193"/>
      <c r="E312" s="193"/>
      <c r="F312" s="193"/>
      <c r="G312" s="193"/>
      <c r="H312" s="193"/>
      <c r="I312" s="56"/>
      <c r="P312" s="57"/>
    </row>
    <row r="313" spans="1:16" s="55" customFormat="1" x14ac:dyDescent="0.25">
      <c r="A313" s="84">
        <v>1</v>
      </c>
      <c r="B313" s="84" t="s">
        <v>193</v>
      </c>
      <c r="C313" s="84" t="s">
        <v>183</v>
      </c>
      <c r="D313" s="84">
        <f t="shared" si="45"/>
        <v>354.88907999999998</v>
      </c>
      <c r="E313" s="84">
        <v>0</v>
      </c>
      <c r="F313" s="84">
        <f t="shared" ref="F313:F316" si="60">D313*(($F$255)+1)+(IF(E313&lt;101,E313,IF(E313&lt;201,E313/2,IF(E313&lt;=301,E313/3,E313/4))))</f>
        <v>532.33362</v>
      </c>
      <c r="G313" s="150" t="str">
        <f>A312</f>
        <v>18th, 23rd &amp; 28th Floor (Part Refuge Area)</v>
      </c>
      <c r="H313" s="150"/>
      <c r="I313" s="56"/>
      <c r="N313" s="55" t="str">
        <f t="shared" ref="N313:N318" ca="1" si="61">O313&amp;""&amp;",..,"&amp;""&amp;P313</f>
        <v>1801,..,2801</v>
      </c>
      <c r="O313" s="55">
        <f ca="1">(SUMPRODUCT(MID(0&amp;(LEFT(A312,SUM(LEN(A312)-LEN(SUBSTITUTE(A312,{"0","1","2"},""))))), LARGE(INDEX(ISNUMBER(--MID((LEFT(A312,SUM(LEN(A312)-LEN(SUBSTITUTE(A312,{"0","1","2"},""))))), ROW(INDIRECT("1:"&amp;LEN((LEFT(A312,SUM(LEN(A312)-LEN(SUBSTITUTE(A312,{"0","1","2"},"")))))))), 1)) * ROW(INDIRECT("1:"&amp;LEN((LEFT(A312,SUM(LEN(A312)-LEN(SUBSTITUTE(A312,{"0","1","2"},"")))))))), 0), ROW(INDIRECT("1:"&amp;LEN((LEFT(A312,SUM(LEN(A312)-LEN(SUBSTITUTE(A312,{"0","1","2"},"")))))))))+1, 1) * 10^ROW(INDIRECT("1:"&amp;LEN((LEFT(A312,SUM(LEN(A312)-LEN(SUBSTITUTE(A312,{"0","1","2"},""))))))))/10))*100+1</f>
        <v>1801</v>
      </c>
      <c r="P313" s="55">
        <f ca="1">(SUMPRODUCT(MID(0&amp;(--TRIM(RIGHT(SUBSTITUTE(LEFT(A312,_xlfn.AGGREGATE(16,6,FIND({0,1,2,3,4,5,6,7,8,9},A312,ROW(INDIRECT("1:"&amp;LEN(A312)))),1))," ",REPT(" ",LEN(A312))),LEN(A312)))), LARGE(INDEX(ISNUMBER(--MID((--TRIM(RIGHT(SUBSTITUTE(LEFT(A312,_xlfn.AGGREGATE(16,6,FIND({0,1,2,3,4,5,6,7,8,9},A312,ROW(INDIRECT("1:"&amp;LEN(A312)))),1))," ",REPT(" ",LEN(A312))),LEN(A312)))), ROW(INDIRECT("1:"&amp;LEN((--TRIM(RIGHT(SUBSTITUTE(LEFT(A312,_xlfn.AGGREGATE(16,6,FIND({0,1,2,3,4,5,6,7,8,9},A312,ROW(INDIRECT("1:"&amp;LEN(A312)))),1))," ",REPT(" ",LEN(A312))),LEN(A312))))))), 1)) * ROW(INDIRECT("1:"&amp;LEN((--TRIM(RIGHT(SUBSTITUTE(LEFT(A312,_xlfn.AGGREGATE(16,6,FIND({0,1,2,3,4,5,6,7,8,9},A312,ROW(INDIRECT("1:"&amp;LEN(A312)))),1))," ",REPT(" ",LEN(A312))),LEN(A312))))))), 0), ROW(INDIRECT("1:"&amp;LEN((--TRIM(RIGHT(SUBSTITUTE(LEFT(A312,_xlfn.AGGREGATE(16,6,FIND({0,1,2,3,4,5,6,7,8,9},A312,ROW(INDIRECT("1:"&amp;LEN(A312)))),1))," ",REPT(" ",LEN(A312))),LEN(A312))))))))+1, 1) * 10^ROW(INDIRECT("1:"&amp;LEN((--TRIM(RIGHT(SUBSTITUTE(LEFT(A312,_xlfn.AGGREGATE(16,6,FIND({0,1,2,3,4,5,6,7,8,9},A312,ROW(INDIRECT("1:"&amp;LEN(A312)))),1))," ",REPT(" ",LEN(A312))),LEN(A312)))))))/10))*100+1</f>
        <v>2801</v>
      </c>
    </row>
    <row r="314" spans="1:16" s="55" customFormat="1" x14ac:dyDescent="0.25">
      <c r="A314" s="27">
        <v>2</v>
      </c>
      <c r="B314" s="27" t="s">
        <v>193</v>
      </c>
      <c r="C314" s="27" t="s">
        <v>183</v>
      </c>
      <c r="D314" s="27">
        <f t="shared" si="45"/>
        <v>354.88907999999998</v>
      </c>
      <c r="E314" s="27">
        <v>0</v>
      </c>
      <c r="F314" s="27">
        <f t="shared" si="60"/>
        <v>532.33362</v>
      </c>
      <c r="G314" s="144" t="str">
        <f t="shared" ref="G314:G318" si="62">G313</f>
        <v>18th, 23rd &amp; 28th Floor (Part Refuge Area)</v>
      </c>
      <c r="H314" s="145"/>
      <c r="I314" s="56"/>
      <c r="N314" s="55" t="str">
        <f t="shared" ca="1" si="61"/>
        <v>1802,..,2802</v>
      </c>
      <c r="O314" s="55">
        <f t="shared" ref="O314:P314" ca="1" si="63">O313+1</f>
        <v>1802</v>
      </c>
      <c r="P314" s="55">
        <f t="shared" ca="1" si="63"/>
        <v>2802</v>
      </c>
    </row>
    <row r="315" spans="1:16" s="55" customFormat="1" ht="15.75" customHeight="1" x14ac:dyDescent="0.25">
      <c r="A315" s="27">
        <v>3</v>
      </c>
      <c r="B315" s="27" t="s">
        <v>193</v>
      </c>
      <c r="C315" s="27" t="s">
        <v>183</v>
      </c>
      <c r="D315" s="27">
        <f t="shared" si="45"/>
        <v>354.88907999999998</v>
      </c>
      <c r="E315" s="27">
        <v>0</v>
      </c>
      <c r="F315" s="27">
        <f t="shared" si="60"/>
        <v>532.33362</v>
      </c>
      <c r="G315" s="144" t="str">
        <f t="shared" si="62"/>
        <v>18th, 23rd &amp; 28th Floor (Part Refuge Area)</v>
      </c>
      <c r="H315" s="145"/>
      <c r="I315" s="56"/>
      <c r="N315" s="55" t="str">
        <f t="shared" ca="1" si="61"/>
        <v>1803,..,2803</v>
      </c>
      <c r="O315" s="55">
        <f t="shared" ref="O315:P315" ca="1" si="64">O314+1</f>
        <v>1803</v>
      </c>
      <c r="P315" s="55">
        <f t="shared" ca="1" si="64"/>
        <v>2803</v>
      </c>
    </row>
    <row r="316" spans="1:16" s="55" customFormat="1" ht="15.75" customHeight="1" x14ac:dyDescent="0.25">
      <c r="A316" s="27">
        <v>4</v>
      </c>
      <c r="B316" s="27" t="s">
        <v>193</v>
      </c>
      <c r="C316" s="27" t="s">
        <v>183</v>
      </c>
      <c r="D316" s="27">
        <f t="shared" si="45"/>
        <v>354.88907999999998</v>
      </c>
      <c r="E316" s="27">
        <v>0</v>
      </c>
      <c r="F316" s="27">
        <f t="shared" si="60"/>
        <v>532.33362</v>
      </c>
      <c r="G316" s="144" t="str">
        <f t="shared" si="62"/>
        <v>18th, 23rd &amp; 28th Floor (Part Refuge Area)</v>
      </c>
      <c r="H316" s="145"/>
      <c r="I316" s="56"/>
      <c r="N316" s="55" t="str">
        <f t="shared" ca="1" si="61"/>
        <v>1804,..,2804</v>
      </c>
      <c r="O316" s="55">
        <f t="shared" ref="O316:P316" ca="1" si="65">O315+1</f>
        <v>1804</v>
      </c>
      <c r="P316" s="55">
        <f t="shared" ca="1" si="65"/>
        <v>2804</v>
      </c>
    </row>
    <row r="317" spans="1:16" s="55" customFormat="1" ht="15.75" customHeight="1" x14ac:dyDescent="0.25">
      <c r="A317" s="27">
        <v>5</v>
      </c>
      <c r="B317" s="27" t="s">
        <v>188</v>
      </c>
      <c r="C317" s="144" t="s">
        <v>185</v>
      </c>
      <c r="D317" s="189"/>
      <c r="E317" s="189"/>
      <c r="F317" s="145"/>
      <c r="G317" s="144" t="str">
        <f t="shared" si="62"/>
        <v>18th, 23rd &amp; 28th Floor (Part Refuge Area)</v>
      </c>
      <c r="H317" s="145"/>
      <c r="I317" s="56"/>
      <c r="N317" s="55" t="str">
        <f t="shared" ca="1" si="61"/>
        <v>1805,..,2805</v>
      </c>
      <c r="O317" s="55">
        <f t="shared" ref="O317:P317" ca="1" si="66">O316+1</f>
        <v>1805</v>
      </c>
      <c r="P317" s="55">
        <f t="shared" ca="1" si="66"/>
        <v>2805</v>
      </c>
    </row>
    <row r="318" spans="1:16" s="55" customFormat="1" ht="15.75" customHeight="1" x14ac:dyDescent="0.25">
      <c r="A318" s="27">
        <v>6</v>
      </c>
      <c r="B318" s="27" t="s">
        <v>193</v>
      </c>
      <c r="C318" s="27" t="s">
        <v>183</v>
      </c>
      <c r="D318" s="27">
        <f t="shared" si="45"/>
        <v>354.88907999999998</v>
      </c>
      <c r="E318" s="27">
        <v>0</v>
      </c>
      <c r="F318" s="27">
        <f t="shared" ref="F318" si="67">D318*(($F$255)+1)+(IF(E318&lt;101,E318,IF(E318&lt;201,E318/2,IF(E318&lt;=301,E318/3,E318/4))))</f>
        <v>532.33362</v>
      </c>
      <c r="G318" s="144" t="str">
        <f t="shared" si="62"/>
        <v>18th, 23rd &amp; 28th Floor (Part Refuge Area)</v>
      </c>
      <c r="H318" s="145"/>
      <c r="I318" s="56"/>
      <c r="N318" s="55" t="str">
        <f t="shared" ca="1" si="61"/>
        <v>1806,..,2806</v>
      </c>
      <c r="O318" s="55">
        <f t="shared" ref="O318:P318" ca="1" si="68">O317+1</f>
        <v>1806</v>
      </c>
      <c r="P318" s="55">
        <f t="shared" ca="1" si="68"/>
        <v>2806</v>
      </c>
    </row>
    <row r="319" spans="1:16" s="53" customFormat="1" x14ac:dyDescent="0.25">
      <c r="A319" s="151" t="s">
        <v>210</v>
      </c>
      <c r="B319" s="151"/>
      <c r="C319" s="151"/>
      <c r="D319" s="151"/>
      <c r="E319" s="151"/>
      <c r="F319" s="151"/>
      <c r="G319" s="151"/>
      <c r="H319" s="151"/>
    </row>
    <row r="320" spans="1:16" s="55" customFormat="1" x14ac:dyDescent="0.25">
      <c r="A320" s="193" t="s">
        <v>182</v>
      </c>
      <c r="B320" s="193"/>
      <c r="C320" s="193"/>
      <c r="D320" s="193"/>
      <c r="E320" s="193"/>
      <c r="F320" s="193"/>
      <c r="G320" s="193"/>
      <c r="H320" s="193"/>
      <c r="I320" s="56"/>
      <c r="L320" s="143"/>
      <c r="M320" s="143"/>
    </row>
    <row r="321" spans="1:14" s="55" customFormat="1" x14ac:dyDescent="0.25">
      <c r="A321" s="27">
        <v>1</v>
      </c>
      <c r="B321" s="27" t="s">
        <v>193</v>
      </c>
      <c r="C321" s="27" t="s">
        <v>183</v>
      </c>
      <c r="D321" s="27">
        <f>(1*0.2+3.3*3+1.82*2.41+3.05*2.95+1.1*0.4+1.45*1.2+0.6*0.8+1*1.3+1.25*1.64+1.43*0.6+1*(1+1+1.3))*10.764</f>
        <v>362.22689879999996</v>
      </c>
      <c r="E321" s="27">
        <v>0</v>
      </c>
      <c r="F321" s="27">
        <f t="shared" ref="F321:F332" si="69">D321*(($F$255)+1)+(IF(E321&lt;101,E321,IF(E321&lt;201,E321/2,IF(E321&lt;=301,E321/3,E321/4))))</f>
        <v>543.34034819999988</v>
      </c>
      <c r="G321" s="150" t="str">
        <f>A320</f>
        <v>1st Floor for Residential</v>
      </c>
      <c r="H321" s="150"/>
      <c r="I321" s="56"/>
      <c r="N321" s="56"/>
    </row>
    <row r="322" spans="1:14" s="55" customFormat="1" x14ac:dyDescent="0.25">
      <c r="A322" s="27">
        <f>A321+1</f>
        <v>2</v>
      </c>
      <c r="B322" s="27" t="s">
        <v>193</v>
      </c>
      <c r="C322" s="27" t="s">
        <v>183</v>
      </c>
      <c r="D322" s="27">
        <f t="shared" ref="D322:D326" si="70">(1*0.2+3.3*3+1.82*2.41+3.05*2.95+1.1*0.4+1.45*1.2+0.6*0.8+1*1.3+1.25*1.64+1.43*0.6+1*(1+1+1.3))*10.764</f>
        <v>362.22689879999996</v>
      </c>
      <c r="E322" s="27">
        <v>0</v>
      </c>
      <c r="F322" s="27">
        <f t="shared" si="69"/>
        <v>543.34034819999988</v>
      </c>
      <c r="G322" s="150" t="str">
        <f t="shared" ref="G322:G332" si="71">G321</f>
        <v>1st Floor for Residential</v>
      </c>
      <c r="H322" s="150"/>
      <c r="I322" s="56"/>
      <c r="N322" s="56"/>
    </row>
    <row r="323" spans="1:14" s="55" customFormat="1" x14ac:dyDescent="0.25">
      <c r="A323" s="27">
        <f>A322+1</f>
        <v>3</v>
      </c>
      <c r="B323" s="27" t="s">
        <v>193</v>
      </c>
      <c r="C323" s="27" t="s">
        <v>183</v>
      </c>
      <c r="D323" s="27">
        <f t="shared" si="70"/>
        <v>362.22689879999996</v>
      </c>
      <c r="E323" s="27">
        <v>0</v>
      </c>
      <c r="F323" s="27">
        <f t="shared" si="69"/>
        <v>543.34034819999988</v>
      </c>
      <c r="G323" s="150" t="str">
        <f t="shared" si="71"/>
        <v>1st Floor for Residential</v>
      </c>
      <c r="H323" s="150"/>
      <c r="I323" s="56"/>
      <c r="N323" s="56"/>
    </row>
    <row r="324" spans="1:14" s="55" customFormat="1" x14ac:dyDescent="0.25">
      <c r="A324" s="27">
        <f t="shared" ref="A324:A332" si="72">A323+1</f>
        <v>4</v>
      </c>
      <c r="B324" s="27" t="s">
        <v>193</v>
      </c>
      <c r="C324" s="27" t="s">
        <v>183</v>
      </c>
      <c r="D324" s="27">
        <f t="shared" si="70"/>
        <v>362.22689879999996</v>
      </c>
      <c r="E324" s="27">
        <v>0</v>
      </c>
      <c r="F324" s="27">
        <f t="shared" si="69"/>
        <v>543.34034819999988</v>
      </c>
      <c r="G324" s="150" t="str">
        <f t="shared" si="71"/>
        <v>1st Floor for Residential</v>
      </c>
      <c r="H324" s="150"/>
      <c r="I324" s="56"/>
      <c r="N324" s="56"/>
    </row>
    <row r="325" spans="1:14" s="55" customFormat="1" x14ac:dyDescent="0.25">
      <c r="A325" s="27">
        <f t="shared" si="72"/>
        <v>5</v>
      </c>
      <c r="B325" s="27" t="s">
        <v>193</v>
      </c>
      <c r="C325" s="27" t="s">
        <v>183</v>
      </c>
      <c r="D325" s="27">
        <f t="shared" si="70"/>
        <v>362.22689879999996</v>
      </c>
      <c r="E325" s="27">
        <v>0</v>
      </c>
      <c r="F325" s="27">
        <f t="shared" si="69"/>
        <v>543.34034819999988</v>
      </c>
      <c r="G325" s="150" t="str">
        <f t="shared" si="71"/>
        <v>1st Floor for Residential</v>
      </c>
      <c r="H325" s="150"/>
      <c r="I325" s="56"/>
      <c r="N325" s="56"/>
    </row>
    <row r="326" spans="1:14" s="55" customFormat="1" x14ac:dyDescent="0.25">
      <c r="A326" s="27">
        <f t="shared" si="72"/>
        <v>6</v>
      </c>
      <c r="B326" s="27" t="s">
        <v>193</v>
      </c>
      <c r="C326" s="27" t="s">
        <v>183</v>
      </c>
      <c r="D326" s="27">
        <f t="shared" si="70"/>
        <v>362.22689879999996</v>
      </c>
      <c r="E326" s="27">
        <v>0</v>
      </c>
      <c r="F326" s="27">
        <f t="shared" si="69"/>
        <v>543.34034819999988</v>
      </c>
      <c r="G326" s="150" t="str">
        <f t="shared" si="71"/>
        <v>1st Floor for Residential</v>
      </c>
      <c r="H326" s="150"/>
      <c r="I326" s="56"/>
      <c r="N326" s="56"/>
    </row>
    <row r="327" spans="1:14" s="55" customFormat="1" x14ac:dyDescent="0.25">
      <c r="A327" s="27">
        <f>A326+1</f>
        <v>7</v>
      </c>
      <c r="B327" s="27" t="s">
        <v>193</v>
      </c>
      <c r="C327" s="27" t="s">
        <v>183</v>
      </c>
      <c r="D327" s="27">
        <f>(1*0.2+3.3*3+1.82*2.41+3.05*2.95+1.1*0.4+1.45*1.2+0.6*0.8+1*1.3+1.25*1.64+1.43*0.6)*10.764</f>
        <v>326.70569879999999</v>
      </c>
      <c r="E327" s="27">
        <f>(1*(0.8+1+1.2)+1.2*2.2+1.82*1.5+1.45*0.5+1.4*0.3)*10.764</f>
        <v>102.41946</v>
      </c>
      <c r="F327" s="27">
        <f t="shared" si="69"/>
        <v>541.26827820000005</v>
      </c>
      <c r="G327" s="150" t="str">
        <f t="shared" si="71"/>
        <v>1st Floor for Residential</v>
      </c>
      <c r="H327" s="150"/>
      <c r="I327" s="56"/>
      <c r="N327" s="56"/>
    </row>
    <row r="328" spans="1:14" s="55" customFormat="1" x14ac:dyDescent="0.25">
      <c r="A328" s="27">
        <f t="shared" si="72"/>
        <v>8</v>
      </c>
      <c r="B328" s="27" t="s">
        <v>193</v>
      </c>
      <c r="C328" s="27" t="s">
        <v>183</v>
      </c>
      <c r="D328" s="27">
        <f t="shared" ref="D328:D332" si="73">(1*0.2+3.3*3+1.82*2.41+3.05*2.95+1.1*0.4+1.45*1.2+0.6*0.8+1*1.3+1.25*1.64+1.43*0.6)*10.764</f>
        <v>326.70569879999999</v>
      </c>
      <c r="E328" s="27">
        <f>(1*(0.8+1+1.2)+1.2*2.2+1.82*1.5+1.45*0.5+1.4*0.3+1.7*6.4+0.8*2+1.12*4.9)*10.764</f>
        <v>295.82701200000002</v>
      </c>
      <c r="F328" s="27">
        <f t="shared" si="69"/>
        <v>588.66755220000005</v>
      </c>
      <c r="G328" s="150" t="str">
        <f t="shared" si="71"/>
        <v>1st Floor for Residential</v>
      </c>
      <c r="H328" s="150"/>
      <c r="I328" s="56"/>
      <c r="N328" s="56"/>
    </row>
    <row r="329" spans="1:14" s="55" customFormat="1" x14ac:dyDescent="0.25">
      <c r="A329" s="27">
        <f t="shared" si="72"/>
        <v>9</v>
      </c>
      <c r="B329" s="27" t="s">
        <v>193</v>
      </c>
      <c r="C329" s="27" t="s">
        <v>183</v>
      </c>
      <c r="D329" s="27">
        <f t="shared" si="73"/>
        <v>326.70569879999999</v>
      </c>
      <c r="E329" s="27">
        <f>(1*(0.8+1+1.2)+1.2*2.2+1.82*1.5+1.45*0.5+1.4*0.3+1.95*6.1+1.12*4.9)*10.764</f>
        <v>289.53007200000002</v>
      </c>
      <c r="F329" s="27">
        <f t="shared" si="69"/>
        <v>586.56857220000006</v>
      </c>
      <c r="G329" s="150" t="str">
        <f t="shared" si="71"/>
        <v>1st Floor for Residential</v>
      </c>
      <c r="H329" s="150"/>
      <c r="I329" s="56"/>
      <c r="N329" s="56"/>
    </row>
    <row r="330" spans="1:14" s="55" customFormat="1" x14ac:dyDescent="0.25">
      <c r="A330" s="27">
        <f t="shared" si="72"/>
        <v>10</v>
      </c>
      <c r="B330" s="27" t="s">
        <v>193</v>
      </c>
      <c r="C330" s="27" t="s">
        <v>183</v>
      </c>
      <c r="D330" s="27">
        <f t="shared" si="73"/>
        <v>326.70569879999999</v>
      </c>
      <c r="E330" s="27">
        <f>(1*(0.8+1+1.2)+1.2*2.2+1.82*1.5+1.45*0.5+1.4*0.3+1.95*6.1+1.12*4.9)*10.764</f>
        <v>289.53007200000002</v>
      </c>
      <c r="F330" s="27">
        <f t="shared" si="69"/>
        <v>586.56857220000006</v>
      </c>
      <c r="G330" s="150" t="str">
        <f t="shared" si="71"/>
        <v>1st Floor for Residential</v>
      </c>
      <c r="H330" s="150"/>
      <c r="I330" s="56"/>
      <c r="N330" s="56"/>
    </row>
    <row r="331" spans="1:14" s="55" customFormat="1" x14ac:dyDescent="0.25">
      <c r="A331" s="27">
        <f t="shared" si="72"/>
        <v>11</v>
      </c>
      <c r="B331" s="27" t="s">
        <v>193</v>
      </c>
      <c r="C331" s="27" t="s">
        <v>183</v>
      </c>
      <c r="D331" s="27">
        <f t="shared" si="73"/>
        <v>326.70569879999999</v>
      </c>
      <c r="E331" s="27">
        <f>(1*(0.8+1+1.2)+1.2*2.2+1.82*1.5+1.45*0.5+1.4*0.3+1*8.2+1.12*4.9)*10.764</f>
        <v>249.75709200000003</v>
      </c>
      <c r="F331" s="27">
        <f t="shared" si="69"/>
        <v>573.31091220000008</v>
      </c>
      <c r="G331" s="150" t="str">
        <f t="shared" si="71"/>
        <v>1st Floor for Residential</v>
      </c>
      <c r="H331" s="150"/>
      <c r="I331" s="56"/>
      <c r="N331" s="56"/>
    </row>
    <row r="332" spans="1:14" s="55" customFormat="1" x14ac:dyDescent="0.25">
      <c r="A332" s="27">
        <f t="shared" si="72"/>
        <v>12</v>
      </c>
      <c r="B332" s="27" t="s">
        <v>193</v>
      </c>
      <c r="C332" s="27" t="s">
        <v>183</v>
      </c>
      <c r="D332" s="27">
        <f t="shared" si="73"/>
        <v>326.70569879999999</v>
      </c>
      <c r="E332" s="27">
        <f>(1*(0.8+1+1.2)+1.2*2.2+1.82*1.5+1.45*0.5+1.4*0.3)*10.764</f>
        <v>102.41946</v>
      </c>
      <c r="F332" s="27">
        <f t="shared" si="69"/>
        <v>541.26827820000005</v>
      </c>
      <c r="G332" s="150" t="str">
        <f t="shared" si="71"/>
        <v>1st Floor for Residential</v>
      </c>
      <c r="H332" s="150"/>
      <c r="I332" s="56"/>
      <c r="N332" s="56"/>
    </row>
    <row r="333" spans="1:14" s="55" customFormat="1" x14ac:dyDescent="0.25">
      <c r="A333" s="193" t="s">
        <v>195</v>
      </c>
      <c r="B333" s="193"/>
      <c r="C333" s="193"/>
      <c r="D333" s="193"/>
      <c r="E333" s="193"/>
      <c r="F333" s="193"/>
      <c r="G333" s="193"/>
      <c r="H333" s="193"/>
      <c r="I333" s="56"/>
      <c r="L333" s="143"/>
      <c r="M333" s="143"/>
    </row>
    <row r="334" spans="1:14" s="55" customFormat="1" x14ac:dyDescent="0.25">
      <c r="A334" s="27">
        <v>1</v>
      </c>
      <c r="B334" s="27" t="s">
        <v>193</v>
      </c>
      <c r="C334" s="27" t="s">
        <v>183</v>
      </c>
      <c r="D334" s="27">
        <f>(32.97)*10.764</f>
        <v>354.88907999999998</v>
      </c>
      <c r="E334" s="27">
        <v>0</v>
      </c>
      <c r="F334" s="27">
        <f t="shared" ref="F334:F345" si="74">D334*(($F$255)+1)+(IF(E334&lt;101,E334,IF(E334&lt;201,E334/2,IF(E334&lt;=301,E334/3,E334/4))))</f>
        <v>532.33362</v>
      </c>
      <c r="G334" s="150" t="str">
        <f>A333</f>
        <v>2nd to 7th, 9th to 12th, 14th to 17th, 19th to 22nd, 24th Floor</v>
      </c>
      <c r="H334" s="150"/>
      <c r="I334" s="56"/>
      <c r="N334" s="56"/>
    </row>
    <row r="335" spans="1:14" s="55" customFormat="1" x14ac:dyDescent="0.25">
      <c r="A335" s="27">
        <f>A334+1</f>
        <v>2</v>
      </c>
      <c r="B335" s="27" t="s">
        <v>193</v>
      </c>
      <c r="C335" s="27" t="s">
        <v>183</v>
      </c>
      <c r="D335" s="27">
        <f t="shared" ref="D335:D345" si="75">(32.97)*10.764</f>
        <v>354.88907999999998</v>
      </c>
      <c r="E335" s="27">
        <v>0</v>
      </c>
      <c r="F335" s="27">
        <f t="shared" si="74"/>
        <v>532.33362</v>
      </c>
      <c r="G335" s="150" t="str">
        <f t="shared" ref="G335:G345" si="76">G334</f>
        <v>2nd to 7th, 9th to 12th, 14th to 17th, 19th to 22nd, 24th Floor</v>
      </c>
      <c r="H335" s="150"/>
      <c r="I335" s="56"/>
      <c r="N335" s="56"/>
    </row>
    <row r="336" spans="1:14" s="55" customFormat="1" x14ac:dyDescent="0.25">
      <c r="A336" s="27">
        <f>A335+1</f>
        <v>3</v>
      </c>
      <c r="B336" s="27" t="s">
        <v>193</v>
      </c>
      <c r="C336" s="27" t="s">
        <v>183</v>
      </c>
      <c r="D336" s="27">
        <f t="shared" si="75"/>
        <v>354.88907999999998</v>
      </c>
      <c r="E336" s="27">
        <v>0</v>
      </c>
      <c r="F336" s="27">
        <f t="shared" si="74"/>
        <v>532.33362</v>
      </c>
      <c r="G336" s="150" t="str">
        <f t="shared" si="76"/>
        <v>2nd to 7th, 9th to 12th, 14th to 17th, 19th to 22nd, 24th Floor</v>
      </c>
      <c r="H336" s="150"/>
      <c r="I336" s="56"/>
      <c r="N336" s="56"/>
    </row>
    <row r="337" spans="1:14" s="55" customFormat="1" x14ac:dyDescent="0.25">
      <c r="A337" s="27">
        <f t="shared" ref="A337:A345" si="77">A336+1</f>
        <v>4</v>
      </c>
      <c r="B337" s="27" t="s">
        <v>193</v>
      </c>
      <c r="C337" s="27" t="s">
        <v>183</v>
      </c>
      <c r="D337" s="27">
        <f t="shared" si="75"/>
        <v>354.88907999999998</v>
      </c>
      <c r="E337" s="27">
        <v>0</v>
      </c>
      <c r="F337" s="27">
        <f t="shared" si="74"/>
        <v>532.33362</v>
      </c>
      <c r="G337" s="150" t="str">
        <f t="shared" si="76"/>
        <v>2nd to 7th, 9th to 12th, 14th to 17th, 19th to 22nd, 24th Floor</v>
      </c>
      <c r="H337" s="150"/>
      <c r="I337" s="56"/>
      <c r="N337" s="56"/>
    </row>
    <row r="338" spans="1:14" s="55" customFormat="1" x14ac:dyDescent="0.25">
      <c r="A338" s="27">
        <f t="shared" si="77"/>
        <v>5</v>
      </c>
      <c r="B338" s="27" t="s">
        <v>193</v>
      </c>
      <c r="C338" s="27" t="s">
        <v>183</v>
      </c>
      <c r="D338" s="27">
        <f t="shared" si="75"/>
        <v>354.88907999999998</v>
      </c>
      <c r="E338" s="27">
        <v>0</v>
      </c>
      <c r="F338" s="27">
        <f t="shared" si="74"/>
        <v>532.33362</v>
      </c>
      <c r="G338" s="150" t="str">
        <f t="shared" si="76"/>
        <v>2nd to 7th, 9th to 12th, 14th to 17th, 19th to 22nd, 24th Floor</v>
      </c>
      <c r="H338" s="150"/>
      <c r="I338" s="56"/>
      <c r="N338" s="56"/>
    </row>
    <row r="339" spans="1:14" s="55" customFormat="1" x14ac:dyDescent="0.25">
      <c r="A339" s="27">
        <f t="shared" si="77"/>
        <v>6</v>
      </c>
      <c r="B339" s="27" t="s">
        <v>193</v>
      </c>
      <c r="C339" s="27" t="s">
        <v>183</v>
      </c>
      <c r="D339" s="27">
        <f t="shared" si="75"/>
        <v>354.88907999999998</v>
      </c>
      <c r="E339" s="27">
        <v>0</v>
      </c>
      <c r="F339" s="27">
        <f t="shared" si="74"/>
        <v>532.33362</v>
      </c>
      <c r="G339" s="150" t="str">
        <f t="shared" si="76"/>
        <v>2nd to 7th, 9th to 12th, 14th to 17th, 19th to 22nd, 24th Floor</v>
      </c>
      <c r="H339" s="150"/>
      <c r="I339" s="56"/>
      <c r="N339" s="56"/>
    </row>
    <row r="340" spans="1:14" s="55" customFormat="1" x14ac:dyDescent="0.25">
      <c r="A340" s="27">
        <f>A339+1</f>
        <v>7</v>
      </c>
      <c r="B340" s="27" t="s">
        <v>193</v>
      </c>
      <c r="C340" s="27" t="s">
        <v>183</v>
      </c>
      <c r="D340" s="27">
        <f t="shared" si="75"/>
        <v>354.88907999999998</v>
      </c>
      <c r="E340" s="27">
        <v>0</v>
      </c>
      <c r="F340" s="27">
        <f t="shared" si="74"/>
        <v>532.33362</v>
      </c>
      <c r="G340" s="150" t="str">
        <f t="shared" si="76"/>
        <v>2nd to 7th, 9th to 12th, 14th to 17th, 19th to 22nd, 24th Floor</v>
      </c>
      <c r="H340" s="150"/>
      <c r="I340" s="56"/>
      <c r="N340" s="56"/>
    </row>
    <row r="341" spans="1:14" s="55" customFormat="1" x14ac:dyDescent="0.25">
      <c r="A341" s="27">
        <f t="shared" si="77"/>
        <v>8</v>
      </c>
      <c r="B341" s="27" t="s">
        <v>193</v>
      </c>
      <c r="C341" s="27" t="s">
        <v>183</v>
      </c>
      <c r="D341" s="27">
        <f t="shared" si="75"/>
        <v>354.88907999999998</v>
      </c>
      <c r="E341" s="27">
        <v>0</v>
      </c>
      <c r="F341" s="27">
        <f t="shared" si="74"/>
        <v>532.33362</v>
      </c>
      <c r="G341" s="150" t="str">
        <f t="shared" si="76"/>
        <v>2nd to 7th, 9th to 12th, 14th to 17th, 19th to 22nd, 24th Floor</v>
      </c>
      <c r="H341" s="150"/>
      <c r="I341" s="56"/>
      <c r="N341" s="56"/>
    </row>
    <row r="342" spans="1:14" s="55" customFormat="1" x14ac:dyDescent="0.25">
      <c r="A342" s="27">
        <f t="shared" si="77"/>
        <v>9</v>
      </c>
      <c r="B342" s="27" t="s">
        <v>193</v>
      </c>
      <c r="C342" s="27" t="s">
        <v>183</v>
      </c>
      <c r="D342" s="27">
        <f t="shared" si="75"/>
        <v>354.88907999999998</v>
      </c>
      <c r="E342" s="27">
        <v>0</v>
      </c>
      <c r="F342" s="27">
        <f t="shared" si="74"/>
        <v>532.33362</v>
      </c>
      <c r="G342" s="150" t="str">
        <f t="shared" si="76"/>
        <v>2nd to 7th, 9th to 12th, 14th to 17th, 19th to 22nd, 24th Floor</v>
      </c>
      <c r="H342" s="150"/>
      <c r="I342" s="56"/>
      <c r="N342" s="56"/>
    </row>
    <row r="343" spans="1:14" s="55" customFormat="1" x14ac:dyDescent="0.25">
      <c r="A343" s="27">
        <f t="shared" si="77"/>
        <v>10</v>
      </c>
      <c r="B343" s="27" t="s">
        <v>193</v>
      </c>
      <c r="C343" s="27" t="s">
        <v>183</v>
      </c>
      <c r="D343" s="27">
        <f t="shared" si="75"/>
        <v>354.88907999999998</v>
      </c>
      <c r="E343" s="27">
        <v>0</v>
      </c>
      <c r="F343" s="27">
        <f t="shared" si="74"/>
        <v>532.33362</v>
      </c>
      <c r="G343" s="150" t="str">
        <f t="shared" si="76"/>
        <v>2nd to 7th, 9th to 12th, 14th to 17th, 19th to 22nd, 24th Floor</v>
      </c>
      <c r="H343" s="150"/>
      <c r="I343" s="56"/>
      <c r="N343" s="56"/>
    </row>
    <row r="344" spans="1:14" s="55" customFormat="1" x14ac:dyDescent="0.25">
      <c r="A344" s="27">
        <f t="shared" si="77"/>
        <v>11</v>
      </c>
      <c r="B344" s="27" t="s">
        <v>193</v>
      </c>
      <c r="C344" s="27" t="s">
        <v>183</v>
      </c>
      <c r="D344" s="27">
        <f t="shared" si="75"/>
        <v>354.88907999999998</v>
      </c>
      <c r="E344" s="27">
        <v>0</v>
      </c>
      <c r="F344" s="27">
        <f t="shared" si="74"/>
        <v>532.33362</v>
      </c>
      <c r="G344" s="150" t="str">
        <f t="shared" si="76"/>
        <v>2nd to 7th, 9th to 12th, 14th to 17th, 19th to 22nd, 24th Floor</v>
      </c>
      <c r="H344" s="150"/>
      <c r="I344" s="56"/>
      <c r="N344" s="56"/>
    </row>
    <row r="345" spans="1:14" s="55" customFormat="1" x14ac:dyDescent="0.25">
      <c r="A345" s="27">
        <f t="shared" si="77"/>
        <v>12</v>
      </c>
      <c r="B345" s="27" t="s">
        <v>193</v>
      </c>
      <c r="C345" s="27" t="s">
        <v>183</v>
      </c>
      <c r="D345" s="27">
        <f t="shared" si="75"/>
        <v>354.88907999999998</v>
      </c>
      <c r="E345" s="27">
        <v>0</v>
      </c>
      <c r="F345" s="27">
        <f t="shared" si="74"/>
        <v>532.33362</v>
      </c>
      <c r="G345" s="150" t="str">
        <f t="shared" si="76"/>
        <v>2nd to 7th, 9th to 12th, 14th to 17th, 19th to 22nd, 24th Floor</v>
      </c>
      <c r="H345" s="150"/>
      <c r="I345" s="56"/>
      <c r="N345" s="56"/>
    </row>
    <row r="346" spans="1:14" s="55" customFormat="1" x14ac:dyDescent="0.25">
      <c r="A346" s="193" t="s">
        <v>196</v>
      </c>
      <c r="B346" s="193"/>
      <c r="C346" s="193"/>
      <c r="D346" s="193"/>
      <c r="E346" s="193"/>
      <c r="F346" s="193"/>
      <c r="G346" s="193"/>
      <c r="H346" s="193"/>
      <c r="I346" s="56"/>
      <c r="L346" s="143"/>
      <c r="M346" s="143"/>
    </row>
    <row r="347" spans="1:14" s="55" customFormat="1" x14ac:dyDescent="0.25">
      <c r="A347" s="27">
        <v>1</v>
      </c>
      <c r="B347" s="27" t="s">
        <v>193</v>
      </c>
      <c r="C347" s="27" t="s">
        <v>183</v>
      </c>
      <c r="D347" s="27">
        <f>(32.97)*10.764</f>
        <v>354.88907999999998</v>
      </c>
      <c r="E347" s="27">
        <v>0</v>
      </c>
      <c r="F347" s="27">
        <f t="shared" ref="F347:F354" si="78">D347*(($F$255)+1)+(IF(E347&lt;101,E347,IF(E347&lt;201,E347/2,IF(E347&lt;=301,E347/3,E347/4))))</f>
        <v>532.33362</v>
      </c>
      <c r="G347" s="150" t="str">
        <f>A346</f>
        <v>8th, 13th, 18th, 23rd Floor (Part Refuge Area)</v>
      </c>
      <c r="H347" s="150"/>
      <c r="I347" s="56"/>
      <c r="N347" s="56"/>
    </row>
    <row r="348" spans="1:14" s="55" customFormat="1" x14ac:dyDescent="0.25">
      <c r="A348" s="27">
        <f>A347+1</f>
        <v>2</v>
      </c>
      <c r="B348" s="27" t="s">
        <v>193</v>
      </c>
      <c r="C348" s="27" t="s">
        <v>183</v>
      </c>
      <c r="D348" s="27">
        <f t="shared" ref="D348:D358" si="79">(32.97)*10.764</f>
        <v>354.88907999999998</v>
      </c>
      <c r="E348" s="27">
        <v>0</v>
      </c>
      <c r="F348" s="27">
        <f t="shared" si="78"/>
        <v>532.33362</v>
      </c>
      <c r="G348" s="150" t="str">
        <f t="shared" ref="G348:G358" si="80">G347</f>
        <v>8th, 13th, 18th, 23rd Floor (Part Refuge Area)</v>
      </c>
      <c r="H348" s="150"/>
      <c r="I348" s="56"/>
      <c r="N348" s="56"/>
    </row>
    <row r="349" spans="1:14" s="55" customFormat="1" x14ac:dyDescent="0.25">
      <c r="A349" s="27">
        <f>A348+1</f>
        <v>3</v>
      </c>
      <c r="B349" s="27" t="s">
        <v>193</v>
      </c>
      <c r="C349" s="27" t="s">
        <v>183</v>
      </c>
      <c r="D349" s="27">
        <f t="shared" si="79"/>
        <v>354.88907999999998</v>
      </c>
      <c r="E349" s="27">
        <v>0</v>
      </c>
      <c r="F349" s="27">
        <f t="shared" si="78"/>
        <v>532.33362</v>
      </c>
      <c r="G349" s="150" t="str">
        <f t="shared" si="80"/>
        <v>8th, 13th, 18th, 23rd Floor (Part Refuge Area)</v>
      </c>
      <c r="H349" s="150"/>
      <c r="I349" s="56"/>
      <c r="N349" s="56"/>
    </row>
    <row r="350" spans="1:14" s="55" customFormat="1" x14ac:dyDescent="0.25">
      <c r="A350" s="27">
        <f t="shared" ref="A350:A358" si="81">A349+1</f>
        <v>4</v>
      </c>
      <c r="B350" s="27" t="s">
        <v>193</v>
      </c>
      <c r="C350" s="27" t="s">
        <v>183</v>
      </c>
      <c r="D350" s="27">
        <f t="shared" si="79"/>
        <v>354.88907999999998</v>
      </c>
      <c r="E350" s="27">
        <v>0</v>
      </c>
      <c r="F350" s="27">
        <f t="shared" si="78"/>
        <v>532.33362</v>
      </c>
      <c r="G350" s="150" t="str">
        <f t="shared" si="80"/>
        <v>8th, 13th, 18th, 23rd Floor (Part Refuge Area)</v>
      </c>
      <c r="H350" s="150"/>
      <c r="I350" s="56"/>
      <c r="N350" s="56"/>
    </row>
    <row r="351" spans="1:14" s="55" customFormat="1" x14ac:dyDescent="0.25">
      <c r="A351" s="84">
        <f t="shared" si="81"/>
        <v>5</v>
      </c>
      <c r="B351" s="84" t="s">
        <v>193</v>
      </c>
      <c r="C351" s="84" t="s">
        <v>183</v>
      </c>
      <c r="D351" s="84">
        <f t="shared" si="79"/>
        <v>354.88907999999998</v>
      </c>
      <c r="E351" s="84">
        <v>0</v>
      </c>
      <c r="F351" s="84">
        <f t="shared" si="78"/>
        <v>532.33362</v>
      </c>
      <c r="G351" s="150" t="str">
        <f t="shared" si="80"/>
        <v>8th, 13th, 18th, 23rd Floor (Part Refuge Area)</v>
      </c>
      <c r="H351" s="150"/>
      <c r="I351" s="56"/>
      <c r="N351" s="56"/>
    </row>
    <row r="352" spans="1:14" s="55" customFormat="1" x14ac:dyDescent="0.25">
      <c r="A352" s="84">
        <f t="shared" si="81"/>
        <v>6</v>
      </c>
      <c r="B352" s="84" t="s">
        <v>193</v>
      </c>
      <c r="C352" s="84" t="s">
        <v>183</v>
      </c>
      <c r="D352" s="84">
        <f t="shared" si="79"/>
        <v>354.88907999999998</v>
      </c>
      <c r="E352" s="84">
        <v>0</v>
      </c>
      <c r="F352" s="84">
        <f t="shared" si="78"/>
        <v>532.33362</v>
      </c>
      <c r="G352" s="150" t="str">
        <f t="shared" si="80"/>
        <v>8th, 13th, 18th, 23rd Floor (Part Refuge Area)</v>
      </c>
      <c r="H352" s="150"/>
      <c r="I352" s="56"/>
      <c r="N352" s="56"/>
    </row>
    <row r="353" spans="1:14" s="55" customFormat="1" x14ac:dyDescent="0.25">
      <c r="A353" s="84">
        <f>A352+1</f>
        <v>7</v>
      </c>
      <c r="B353" s="84" t="s">
        <v>193</v>
      </c>
      <c r="C353" s="84" t="s">
        <v>183</v>
      </c>
      <c r="D353" s="84">
        <f t="shared" si="79"/>
        <v>354.88907999999998</v>
      </c>
      <c r="E353" s="84">
        <v>0</v>
      </c>
      <c r="F353" s="84">
        <f t="shared" si="78"/>
        <v>532.33362</v>
      </c>
      <c r="G353" s="150" t="str">
        <f t="shared" si="80"/>
        <v>8th, 13th, 18th, 23rd Floor (Part Refuge Area)</v>
      </c>
      <c r="H353" s="150"/>
      <c r="I353" s="56"/>
      <c r="N353" s="56"/>
    </row>
    <row r="354" spans="1:14" s="55" customFormat="1" x14ac:dyDescent="0.25">
      <c r="A354" s="84">
        <f t="shared" si="81"/>
        <v>8</v>
      </c>
      <c r="B354" s="84" t="s">
        <v>193</v>
      </c>
      <c r="C354" s="84" t="s">
        <v>183</v>
      </c>
      <c r="D354" s="84">
        <f t="shared" si="79"/>
        <v>354.88907999999998</v>
      </c>
      <c r="E354" s="84">
        <v>0</v>
      </c>
      <c r="F354" s="84">
        <f t="shared" si="78"/>
        <v>532.33362</v>
      </c>
      <c r="G354" s="150" t="str">
        <f t="shared" si="80"/>
        <v>8th, 13th, 18th, 23rd Floor (Part Refuge Area)</v>
      </c>
      <c r="H354" s="150"/>
      <c r="I354" s="56"/>
      <c r="N354" s="56"/>
    </row>
    <row r="355" spans="1:14" s="55" customFormat="1" x14ac:dyDescent="0.25">
      <c r="A355" s="84">
        <f t="shared" si="81"/>
        <v>9</v>
      </c>
      <c r="B355" s="84" t="s">
        <v>188</v>
      </c>
      <c r="C355" s="150" t="s">
        <v>185</v>
      </c>
      <c r="D355" s="150"/>
      <c r="E355" s="150"/>
      <c r="F355" s="150"/>
      <c r="G355" s="150" t="str">
        <f t="shared" si="80"/>
        <v>8th, 13th, 18th, 23rd Floor (Part Refuge Area)</v>
      </c>
      <c r="H355" s="150"/>
      <c r="I355" s="56"/>
      <c r="N355" s="56"/>
    </row>
    <row r="356" spans="1:14" s="55" customFormat="1" x14ac:dyDescent="0.25">
      <c r="A356" s="84">
        <f t="shared" si="81"/>
        <v>10</v>
      </c>
      <c r="B356" s="84" t="s">
        <v>193</v>
      </c>
      <c r="C356" s="84" t="s">
        <v>183</v>
      </c>
      <c r="D356" s="84">
        <f t="shared" si="79"/>
        <v>354.88907999999998</v>
      </c>
      <c r="E356" s="84">
        <v>0</v>
      </c>
      <c r="F356" s="84">
        <f t="shared" ref="F356:F358" si="82">D356*(($F$255)+1)+(IF(E356&lt;101,E356,IF(E356&lt;201,E356/2,IF(E356&lt;=301,E356/3,E356/4))))</f>
        <v>532.33362</v>
      </c>
      <c r="G356" s="150" t="str">
        <f t="shared" si="80"/>
        <v>8th, 13th, 18th, 23rd Floor (Part Refuge Area)</v>
      </c>
      <c r="H356" s="150"/>
      <c r="I356" s="56"/>
      <c r="N356" s="56"/>
    </row>
    <row r="357" spans="1:14" s="55" customFormat="1" x14ac:dyDescent="0.25">
      <c r="A357" s="84">
        <f t="shared" si="81"/>
        <v>11</v>
      </c>
      <c r="B357" s="84" t="s">
        <v>193</v>
      </c>
      <c r="C357" s="84" t="s">
        <v>183</v>
      </c>
      <c r="D357" s="84">
        <f t="shared" si="79"/>
        <v>354.88907999999998</v>
      </c>
      <c r="E357" s="84">
        <v>0</v>
      </c>
      <c r="F357" s="84">
        <f t="shared" si="82"/>
        <v>532.33362</v>
      </c>
      <c r="G357" s="150" t="str">
        <f t="shared" si="80"/>
        <v>8th, 13th, 18th, 23rd Floor (Part Refuge Area)</v>
      </c>
      <c r="H357" s="150"/>
      <c r="I357" s="56"/>
      <c r="N357" s="56"/>
    </row>
    <row r="358" spans="1:14" s="55" customFormat="1" x14ac:dyDescent="0.25">
      <c r="A358" s="27">
        <f t="shared" si="81"/>
        <v>12</v>
      </c>
      <c r="B358" s="27" t="s">
        <v>193</v>
      </c>
      <c r="C358" s="27" t="s">
        <v>183</v>
      </c>
      <c r="D358" s="27">
        <f t="shared" si="79"/>
        <v>354.88907999999998</v>
      </c>
      <c r="E358" s="27">
        <v>0</v>
      </c>
      <c r="F358" s="27">
        <f t="shared" si="82"/>
        <v>532.33362</v>
      </c>
      <c r="G358" s="150" t="str">
        <f t="shared" si="80"/>
        <v>8th, 13th, 18th, 23rd Floor (Part Refuge Area)</v>
      </c>
      <c r="H358" s="150"/>
      <c r="I358" s="56"/>
      <c r="N358" s="56"/>
    </row>
    <row r="359" spans="1:14" s="55" customFormat="1" x14ac:dyDescent="0.25">
      <c r="A359" s="193" t="s">
        <v>197</v>
      </c>
      <c r="B359" s="193"/>
      <c r="C359" s="193"/>
      <c r="D359" s="193"/>
      <c r="E359" s="193"/>
      <c r="F359" s="193"/>
      <c r="G359" s="193"/>
      <c r="H359" s="193"/>
      <c r="I359" s="56"/>
      <c r="L359" s="143"/>
      <c r="M359" s="143"/>
    </row>
    <row r="360" spans="1:14" s="55" customFormat="1" x14ac:dyDescent="0.25">
      <c r="A360" s="27">
        <v>1</v>
      </c>
      <c r="B360" s="27" t="s">
        <v>193</v>
      </c>
      <c r="C360" s="27" t="s">
        <v>183</v>
      </c>
      <c r="D360" s="27">
        <f>(32.97)*10.764</f>
        <v>354.88907999999998</v>
      </c>
      <c r="E360" s="27">
        <v>0</v>
      </c>
      <c r="F360" s="27">
        <f t="shared" ref="F360:F364" si="83">D360*(($F$255)+1)+(IF(E360&lt;101,E360,IF(E360&lt;201,E360/2,IF(E360&lt;=301,E360/3,E360/4))))</f>
        <v>532.33362</v>
      </c>
      <c r="G360" s="150" t="str">
        <f>A359</f>
        <v>25th Floor (Part Terrace Area)</v>
      </c>
      <c r="H360" s="150"/>
      <c r="I360" s="56"/>
      <c r="N360" s="56"/>
    </row>
    <row r="361" spans="1:14" s="55" customFormat="1" x14ac:dyDescent="0.25">
      <c r="A361" s="27">
        <f>A360+1</f>
        <v>2</v>
      </c>
      <c r="B361" s="27" t="s">
        <v>193</v>
      </c>
      <c r="C361" s="27" t="s">
        <v>183</v>
      </c>
      <c r="D361" s="27">
        <f t="shared" ref="D361:D364" si="84">(32.97)*10.764</f>
        <v>354.88907999999998</v>
      </c>
      <c r="E361" s="27">
        <v>0</v>
      </c>
      <c r="F361" s="27">
        <f t="shared" si="83"/>
        <v>532.33362</v>
      </c>
      <c r="G361" s="150" t="str">
        <f t="shared" ref="G361:G371" si="85">G360</f>
        <v>25th Floor (Part Terrace Area)</v>
      </c>
      <c r="H361" s="150"/>
      <c r="I361" s="56"/>
      <c r="N361" s="56"/>
    </row>
    <row r="362" spans="1:14" s="55" customFormat="1" x14ac:dyDescent="0.25">
      <c r="A362" s="27">
        <f>A361+1</f>
        <v>3</v>
      </c>
      <c r="B362" s="27" t="s">
        <v>193</v>
      </c>
      <c r="C362" s="27" t="s">
        <v>183</v>
      </c>
      <c r="D362" s="27">
        <f t="shared" si="84"/>
        <v>354.88907999999998</v>
      </c>
      <c r="E362" s="27">
        <v>0</v>
      </c>
      <c r="F362" s="27">
        <f t="shared" si="83"/>
        <v>532.33362</v>
      </c>
      <c r="G362" s="150" t="str">
        <f t="shared" si="85"/>
        <v>25th Floor (Part Terrace Area)</v>
      </c>
      <c r="H362" s="150"/>
      <c r="I362" s="56"/>
      <c r="N362" s="56"/>
    </row>
    <row r="363" spans="1:14" s="55" customFormat="1" x14ac:dyDescent="0.25">
      <c r="A363" s="27">
        <f t="shared" ref="A363:A371" si="86">A362+1</f>
        <v>4</v>
      </c>
      <c r="B363" s="27" t="s">
        <v>193</v>
      </c>
      <c r="C363" s="27" t="s">
        <v>183</v>
      </c>
      <c r="D363" s="27">
        <f t="shared" si="84"/>
        <v>354.88907999999998</v>
      </c>
      <c r="E363" s="27">
        <v>0</v>
      </c>
      <c r="F363" s="27">
        <f t="shared" si="83"/>
        <v>532.33362</v>
      </c>
      <c r="G363" s="150" t="str">
        <f t="shared" si="85"/>
        <v>25th Floor (Part Terrace Area)</v>
      </c>
      <c r="H363" s="150"/>
      <c r="I363" s="56"/>
      <c r="N363" s="56"/>
    </row>
    <row r="364" spans="1:14" s="55" customFormat="1" x14ac:dyDescent="0.25">
      <c r="A364" s="27">
        <f t="shared" si="86"/>
        <v>5</v>
      </c>
      <c r="B364" s="27" t="s">
        <v>193</v>
      </c>
      <c r="C364" s="27" t="s">
        <v>183</v>
      </c>
      <c r="D364" s="27">
        <f t="shared" si="84"/>
        <v>354.88907999999998</v>
      </c>
      <c r="E364" s="27">
        <v>0</v>
      </c>
      <c r="F364" s="27">
        <f t="shared" si="83"/>
        <v>532.33362</v>
      </c>
      <c r="G364" s="150" t="str">
        <f t="shared" si="85"/>
        <v>25th Floor (Part Terrace Area)</v>
      </c>
      <c r="H364" s="150"/>
      <c r="I364" s="56"/>
      <c r="N364" s="56"/>
    </row>
    <row r="365" spans="1:14" s="55" customFormat="1" x14ac:dyDescent="0.25">
      <c r="A365" s="27">
        <f t="shared" si="86"/>
        <v>6</v>
      </c>
      <c r="B365" s="27" t="s">
        <v>188</v>
      </c>
      <c r="C365" s="217" t="s">
        <v>198</v>
      </c>
      <c r="D365" s="218"/>
      <c r="E365" s="218"/>
      <c r="F365" s="219"/>
      <c r="G365" s="150" t="str">
        <f t="shared" si="85"/>
        <v>25th Floor (Part Terrace Area)</v>
      </c>
      <c r="H365" s="150"/>
      <c r="I365" s="56"/>
      <c r="N365" s="56"/>
    </row>
    <row r="366" spans="1:14" s="55" customFormat="1" x14ac:dyDescent="0.25">
      <c r="A366" s="27">
        <f>A365+1</f>
        <v>7</v>
      </c>
      <c r="B366" s="27" t="s">
        <v>188</v>
      </c>
      <c r="C366" s="220"/>
      <c r="D366" s="221"/>
      <c r="E366" s="221"/>
      <c r="F366" s="222"/>
      <c r="G366" s="150" t="str">
        <f t="shared" si="85"/>
        <v>25th Floor (Part Terrace Area)</v>
      </c>
      <c r="H366" s="150"/>
      <c r="I366" s="56"/>
      <c r="N366" s="56"/>
    </row>
    <row r="367" spans="1:14" s="55" customFormat="1" x14ac:dyDescent="0.25">
      <c r="A367" s="27">
        <f t="shared" si="86"/>
        <v>8</v>
      </c>
      <c r="B367" s="27" t="s">
        <v>188</v>
      </c>
      <c r="C367" s="223"/>
      <c r="D367" s="224"/>
      <c r="E367" s="224"/>
      <c r="F367" s="225"/>
      <c r="G367" s="150" t="str">
        <f t="shared" si="85"/>
        <v>25th Floor (Part Terrace Area)</v>
      </c>
      <c r="H367" s="150"/>
      <c r="I367" s="56"/>
      <c r="N367" s="56"/>
    </row>
    <row r="368" spans="1:14" s="55" customFormat="1" x14ac:dyDescent="0.25">
      <c r="A368" s="27">
        <f t="shared" si="86"/>
        <v>9</v>
      </c>
      <c r="B368" s="27" t="s">
        <v>188</v>
      </c>
      <c r="C368" s="217" t="s">
        <v>198</v>
      </c>
      <c r="D368" s="218"/>
      <c r="E368" s="218"/>
      <c r="F368" s="219"/>
      <c r="G368" s="150" t="str">
        <f t="shared" si="85"/>
        <v>25th Floor (Part Terrace Area)</v>
      </c>
      <c r="H368" s="150"/>
      <c r="I368" s="56"/>
      <c r="N368" s="56"/>
    </row>
    <row r="369" spans="1:14" s="55" customFormat="1" x14ac:dyDescent="0.25">
      <c r="A369" s="27">
        <f t="shared" si="86"/>
        <v>10</v>
      </c>
      <c r="B369" s="27" t="s">
        <v>188</v>
      </c>
      <c r="C369" s="220"/>
      <c r="D369" s="221"/>
      <c r="E369" s="221"/>
      <c r="F369" s="222"/>
      <c r="G369" s="150" t="str">
        <f t="shared" si="85"/>
        <v>25th Floor (Part Terrace Area)</v>
      </c>
      <c r="H369" s="150"/>
      <c r="I369" s="56"/>
      <c r="N369" s="56"/>
    </row>
    <row r="370" spans="1:14" s="55" customFormat="1" x14ac:dyDescent="0.25">
      <c r="A370" s="27">
        <f t="shared" si="86"/>
        <v>11</v>
      </c>
      <c r="B370" s="27" t="s">
        <v>188</v>
      </c>
      <c r="C370" s="220"/>
      <c r="D370" s="221"/>
      <c r="E370" s="221"/>
      <c r="F370" s="222"/>
      <c r="G370" s="150" t="str">
        <f t="shared" si="85"/>
        <v>25th Floor (Part Terrace Area)</v>
      </c>
      <c r="H370" s="150"/>
      <c r="I370" s="56"/>
      <c r="N370" s="56"/>
    </row>
    <row r="371" spans="1:14" s="55" customFormat="1" x14ac:dyDescent="0.25">
      <c r="A371" s="27">
        <f t="shared" si="86"/>
        <v>12</v>
      </c>
      <c r="B371" s="27" t="s">
        <v>188</v>
      </c>
      <c r="C371" s="223"/>
      <c r="D371" s="224"/>
      <c r="E371" s="224"/>
      <c r="F371" s="225"/>
      <c r="G371" s="150" t="str">
        <f t="shared" si="85"/>
        <v>25th Floor (Part Terrace Area)</v>
      </c>
      <c r="H371" s="150"/>
      <c r="I371" s="56"/>
      <c r="N371" s="56"/>
    </row>
    <row r="372" spans="1:14" s="53" customFormat="1" x14ac:dyDescent="0.25">
      <c r="A372" s="151" t="s">
        <v>213</v>
      </c>
      <c r="B372" s="151"/>
      <c r="C372" s="151"/>
      <c r="D372" s="151"/>
      <c r="E372" s="151"/>
      <c r="F372" s="151"/>
      <c r="G372" s="151"/>
      <c r="H372" s="151"/>
    </row>
    <row r="373" spans="1:14" s="53" customFormat="1" x14ac:dyDescent="0.25">
      <c r="A373" s="151" t="s">
        <v>199</v>
      </c>
      <c r="B373" s="151"/>
      <c r="C373" s="151"/>
      <c r="D373" s="151"/>
      <c r="E373" s="151"/>
      <c r="F373" s="151"/>
      <c r="G373" s="151"/>
      <c r="H373" s="151"/>
    </row>
    <row r="374" spans="1:14" s="53" customFormat="1" x14ac:dyDescent="0.25">
      <c r="A374" s="151" t="s">
        <v>200</v>
      </c>
      <c r="B374" s="151"/>
      <c r="C374" s="151"/>
      <c r="D374" s="151"/>
      <c r="E374" s="151"/>
      <c r="F374" s="151"/>
      <c r="G374" s="151"/>
      <c r="H374" s="151"/>
    </row>
    <row r="375" spans="1:14" s="53" customFormat="1" x14ac:dyDescent="0.25">
      <c r="A375" s="151" t="s">
        <v>201</v>
      </c>
      <c r="B375" s="151"/>
      <c r="C375" s="151"/>
      <c r="D375" s="151"/>
      <c r="E375" s="151"/>
      <c r="F375" s="151"/>
      <c r="G375" s="151"/>
      <c r="H375" s="151"/>
    </row>
    <row r="376" spans="1:14" s="55" customFormat="1" x14ac:dyDescent="0.25">
      <c r="A376" s="193" t="s">
        <v>202</v>
      </c>
      <c r="B376" s="193"/>
      <c r="C376" s="193"/>
      <c r="D376" s="193"/>
      <c r="E376" s="193"/>
      <c r="F376" s="193"/>
      <c r="G376" s="193"/>
      <c r="H376" s="193"/>
      <c r="I376" s="56"/>
      <c r="L376" s="143"/>
      <c r="M376" s="143"/>
    </row>
    <row r="377" spans="1:14" s="55" customFormat="1" x14ac:dyDescent="0.25">
      <c r="A377" s="27">
        <v>1</v>
      </c>
      <c r="B377" s="27" t="s">
        <v>193</v>
      </c>
      <c r="C377" s="27" t="s">
        <v>183</v>
      </c>
      <c r="D377" s="27">
        <f>(32.97)*10.764</f>
        <v>354.88907999999998</v>
      </c>
      <c r="E377" s="27">
        <v>0</v>
      </c>
      <c r="F377" s="27">
        <f t="shared" ref="F377:F382" si="87">D377*(($F$255)+1)+(IF(E377&lt;101,E377,IF(E377&lt;201,E377/2,IF(E377&lt;=301,E377/3,E377/4))))</f>
        <v>532.33362</v>
      </c>
      <c r="G377" s="150" t="str">
        <f>A376</f>
        <v>1st to 5th, 7th to 10th, 12th to 15th, 17th to 20th, 22nd to 25th &amp; 28th to 30th Floor</v>
      </c>
      <c r="H377" s="150"/>
      <c r="I377" s="56"/>
      <c r="N377" s="56"/>
    </row>
    <row r="378" spans="1:14" s="55" customFormat="1" x14ac:dyDescent="0.25">
      <c r="A378" s="27">
        <f>A377+1</f>
        <v>2</v>
      </c>
      <c r="B378" s="27" t="s">
        <v>193</v>
      </c>
      <c r="C378" s="27" t="s">
        <v>183</v>
      </c>
      <c r="D378" s="27">
        <f t="shared" ref="D378:D382" si="88">(32.97)*10.764</f>
        <v>354.88907999999998</v>
      </c>
      <c r="E378" s="27">
        <v>0</v>
      </c>
      <c r="F378" s="27">
        <f t="shared" si="87"/>
        <v>532.33362</v>
      </c>
      <c r="G378" s="150" t="str">
        <f t="shared" ref="G378:G382" si="89">G377</f>
        <v>1st to 5th, 7th to 10th, 12th to 15th, 17th to 20th, 22nd to 25th &amp; 28th to 30th Floor</v>
      </c>
      <c r="H378" s="150"/>
      <c r="I378" s="56"/>
      <c r="N378" s="56"/>
    </row>
    <row r="379" spans="1:14" s="55" customFormat="1" x14ac:dyDescent="0.25">
      <c r="A379" s="27">
        <f>A378+1</f>
        <v>3</v>
      </c>
      <c r="B379" s="27" t="s">
        <v>193</v>
      </c>
      <c r="C379" s="27" t="s">
        <v>183</v>
      </c>
      <c r="D379" s="27">
        <f t="shared" si="88"/>
        <v>354.88907999999998</v>
      </c>
      <c r="E379" s="27">
        <v>0</v>
      </c>
      <c r="F379" s="27">
        <f t="shared" si="87"/>
        <v>532.33362</v>
      </c>
      <c r="G379" s="150" t="str">
        <f t="shared" si="89"/>
        <v>1st to 5th, 7th to 10th, 12th to 15th, 17th to 20th, 22nd to 25th &amp; 28th to 30th Floor</v>
      </c>
      <c r="H379" s="150"/>
      <c r="I379" s="56"/>
      <c r="N379" s="56"/>
    </row>
    <row r="380" spans="1:14" s="55" customFormat="1" x14ac:dyDescent="0.25">
      <c r="A380" s="27">
        <f t="shared" ref="A380:A382" si="90">A379+1</f>
        <v>4</v>
      </c>
      <c r="B380" s="27" t="s">
        <v>193</v>
      </c>
      <c r="C380" s="27" t="s">
        <v>183</v>
      </c>
      <c r="D380" s="27">
        <f t="shared" si="88"/>
        <v>354.88907999999998</v>
      </c>
      <c r="E380" s="27">
        <v>0</v>
      </c>
      <c r="F380" s="27">
        <f t="shared" si="87"/>
        <v>532.33362</v>
      </c>
      <c r="G380" s="150" t="str">
        <f t="shared" si="89"/>
        <v>1st to 5th, 7th to 10th, 12th to 15th, 17th to 20th, 22nd to 25th &amp; 28th to 30th Floor</v>
      </c>
      <c r="H380" s="150"/>
      <c r="I380" s="56"/>
      <c r="N380" s="56"/>
    </row>
    <row r="381" spans="1:14" s="55" customFormat="1" x14ac:dyDescent="0.25">
      <c r="A381" s="27">
        <f t="shared" si="90"/>
        <v>5</v>
      </c>
      <c r="B381" s="27" t="s">
        <v>193</v>
      </c>
      <c r="C381" s="27" t="s">
        <v>183</v>
      </c>
      <c r="D381" s="27">
        <f t="shared" si="88"/>
        <v>354.88907999999998</v>
      </c>
      <c r="E381" s="27">
        <v>0</v>
      </c>
      <c r="F381" s="27">
        <f t="shared" si="87"/>
        <v>532.33362</v>
      </c>
      <c r="G381" s="150" t="str">
        <f t="shared" si="89"/>
        <v>1st to 5th, 7th to 10th, 12th to 15th, 17th to 20th, 22nd to 25th &amp; 28th to 30th Floor</v>
      </c>
      <c r="H381" s="150"/>
      <c r="I381" s="56"/>
      <c r="N381" s="56"/>
    </row>
    <row r="382" spans="1:14" s="55" customFormat="1" x14ac:dyDescent="0.25">
      <c r="A382" s="27">
        <f t="shared" si="90"/>
        <v>6</v>
      </c>
      <c r="B382" s="27" t="s">
        <v>193</v>
      </c>
      <c r="C382" s="27" t="s">
        <v>183</v>
      </c>
      <c r="D382" s="27">
        <f t="shared" si="88"/>
        <v>354.88907999999998</v>
      </c>
      <c r="E382" s="27">
        <v>0</v>
      </c>
      <c r="F382" s="27">
        <f t="shared" si="87"/>
        <v>532.33362</v>
      </c>
      <c r="G382" s="150" t="str">
        <f t="shared" si="89"/>
        <v>1st to 5th, 7th to 10th, 12th to 15th, 17th to 20th, 22nd to 25th &amp; 28th to 30th Floor</v>
      </c>
      <c r="H382" s="150"/>
      <c r="I382" s="56"/>
      <c r="N382" s="56"/>
    </row>
    <row r="383" spans="1:14" s="55" customFormat="1" x14ac:dyDescent="0.25">
      <c r="A383" s="193" t="s">
        <v>203</v>
      </c>
      <c r="B383" s="193"/>
      <c r="C383" s="193"/>
      <c r="D383" s="193"/>
      <c r="E383" s="193"/>
      <c r="F383" s="193"/>
      <c r="G383" s="193"/>
      <c r="H383" s="193"/>
      <c r="I383" s="56"/>
      <c r="L383" s="143"/>
      <c r="M383" s="143"/>
    </row>
    <row r="384" spans="1:14" s="55" customFormat="1" x14ac:dyDescent="0.25">
      <c r="A384" s="27">
        <v>1</v>
      </c>
      <c r="B384" s="27" t="s">
        <v>193</v>
      </c>
      <c r="C384" s="27" t="s">
        <v>183</v>
      </c>
      <c r="D384" s="27">
        <f>(32.97)*10.764</f>
        <v>354.88907999999998</v>
      </c>
      <c r="E384" s="27">
        <v>0</v>
      </c>
      <c r="F384" s="27">
        <f t="shared" ref="F384:F386" si="91">D384*(($F$255)+1)+(IF(E384&lt;101,E384,IF(E384&lt;201,E384/2,IF(E384&lt;=301,E384/3,E384/4))))</f>
        <v>532.33362</v>
      </c>
      <c r="G384" s="150" t="str">
        <f>A383</f>
        <v>6th, 11th, 16th, 21st &amp; 26th Floor (Part Refuge Area)</v>
      </c>
      <c r="H384" s="150"/>
      <c r="I384" s="56"/>
      <c r="N384" s="56"/>
    </row>
    <row r="385" spans="1:16" s="55" customFormat="1" x14ac:dyDescent="0.25">
      <c r="A385" s="27">
        <f>A384+1</f>
        <v>2</v>
      </c>
      <c r="B385" s="27" t="s">
        <v>193</v>
      </c>
      <c r="C385" s="27" t="s">
        <v>183</v>
      </c>
      <c r="D385" s="27">
        <f t="shared" ref="D385:D389" si="92">(32.97)*10.764</f>
        <v>354.88907999999998</v>
      </c>
      <c r="E385" s="27">
        <v>0</v>
      </c>
      <c r="F385" s="27">
        <f t="shared" si="91"/>
        <v>532.33362</v>
      </c>
      <c r="G385" s="150" t="str">
        <f t="shared" ref="G385:G389" si="93">G384</f>
        <v>6th, 11th, 16th, 21st &amp; 26th Floor (Part Refuge Area)</v>
      </c>
      <c r="H385" s="150"/>
      <c r="I385" s="56"/>
      <c r="N385" s="56"/>
    </row>
    <row r="386" spans="1:16" s="55" customFormat="1" x14ac:dyDescent="0.25">
      <c r="A386" s="27">
        <f>A385+1</f>
        <v>3</v>
      </c>
      <c r="B386" s="27" t="s">
        <v>193</v>
      </c>
      <c r="C386" s="27" t="s">
        <v>183</v>
      </c>
      <c r="D386" s="27">
        <f t="shared" si="92"/>
        <v>354.88907999999998</v>
      </c>
      <c r="E386" s="27">
        <v>0</v>
      </c>
      <c r="F386" s="27">
        <f t="shared" si="91"/>
        <v>532.33362</v>
      </c>
      <c r="G386" s="150" t="str">
        <f t="shared" si="93"/>
        <v>6th, 11th, 16th, 21st &amp; 26th Floor (Part Refuge Area)</v>
      </c>
      <c r="H386" s="150"/>
      <c r="I386" s="56"/>
      <c r="N386" s="56"/>
    </row>
    <row r="387" spans="1:16" s="55" customFormat="1" x14ac:dyDescent="0.25">
      <c r="A387" s="27">
        <f t="shared" ref="A387:A389" si="94">A386+1</f>
        <v>4</v>
      </c>
      <c r="B387" s="27" t="s">
        <v>188</v>
      </c>
      <c r="C387" s="144" t="s">
        <v>185</v>
      </c>
      <c r="D387" s="189"/>
      <c r="E387" s="189"/>
      <c r="F387" s="145"/>
      <c r="G387" s="150" t="str">
        <f t="shared" si="93"/>
        <v>6th, 11th, 16th, 21st &amp; 26th Floor (Part Refuge Area)</v>
      </c>
      <c r="H387" s="150"/>
      <c r="I387" s="56"/>
      <c r="N387" s="56"/>
    </row>
    <row r="388" spans="1:16" s="55" customFormat="1" x14ac:dyDescent="0.25">
      <c r="A388" s="27">
        <f t="shared" si="94"/>
        <v>5</v>
      </c>
      <c r="B388" s="27" t="s">
        <v>193</v>
      </c>
      <c r="C388" s="27" t="s">
        <v>183</v>
      </c>
      <c r="D388" s="27">
        <f t="shared" si="92"/>
        <v>354.88907999999998</v>
      </c>
      <c r="E388" s="27">
        <v>0</v>
      </c>
      <c r="F388" s="27">
        <f t="shared" ref="F388:F389" si="95">D388*(($F$255)+1)+(IF(E388&lt;101,E388,IF(E388&lt;201,E388/2,IF(E388&lt;=301,E388/3,E388/4))))</f>
        <v>532.33362</v>
      </c>
      <c r="G388" s="150" t="str">
        <f t="shared" si="93"/>
        <v>6th, 11th, 16th, 21st &amp; 26th Floor (Part Refuge Area)</v>
      </c>
      <c r="H388" s="150"/>
      <c r="I388" s="56"/>
      <c r="N388" s="56"/>
    </row>
    <row r="389" spans="1:16" s="55" customFormat="1" x14ac:dyDescent="0.25">
      <c r="A389" s="27">
        <f t="shared" si="94"/>
        <v>6</v>
      </c>
      <c r="B389" s="27" t="s">
        <v>193</v>
      </c>
      <c r="C389" s="27" t="s">
        <v>183</v>
      </c>
      <c r="D389" s="27">
        <f t="shared" si="92"/>
        <v>354.88907999999998</v>
      </c>
      <c r="E389" s="27">
        <v>0</v>
      </c>
      <c r="F389" s="27">
        <f t="shared" si="95"/>
        <v>532.33362</v>
      </c>
      <c r="G389" s="150" t="str">
        <f t="shared" si="93"/>
        <v>6th, 11th, 16th, 21st &amp; 26th Floor (Part Refuge Area)</v>
      </c>
      <c r="H389" s="150"/>
      <c r="I389" s="56"/>
      <c r="N389" s="56"/>
    </row>
    <row r="390" spans="1:16" s="53" customFormat="1" x14ac:dyDescent="0.25">
      <c r="A390" s="151" t="s">
        <v>214</v>
      </c>
      <c r="B390" s="151"/>
      <c r="C390" s="151"/>
      <c r="D390" s="151"/>
      <c r="E390" s="151"/>
      <c r="F390" s="151"/>
      <c r="G390" s="151"/>
      <c r="H390" s="151"/>
    </row>
    <row r="391" spans="1:16" s="53" customFormat="1" x14ac:dyDescent="0.25">
      <c r="A391" s="151" t="s">
        <v>199</v>
      </c>
      <c r="B391" s="151"/>
      <c r="C391" s="151"/>
      <c r="D391" s="151"/>
      <c r="E391" s="151"/>
      <c r="F391" s="151"/>
      <c r="G391" s="151"/>
      <c r="H391" s="151"/>
    </row>
    <row r="392" spans="1:16" s="53" customFormat="1" x14ac:dyDescent="0.25">
      <c r="A392" s="151" t="s">
        <v>200</v>
      </c>
      <c r="B392" s="151"/>
      <c r="C392" s="151"/>
      <c r="D392" s="151"/>
      <c r="E392" s="151"/>
      <c r="F392" s="151"/>
      <c r="G392" s="151"/>
      <c r="H392" s="151"/>
    </row>
    <row r="393" spans="1:16" s="53" customFormat="1" x14ac:dyDescent="0.25">
      <c r="A393" s="151" t="s">
        <v>201</v>
      </c>
      <c r="B393" s="151"/>
      <c r="C393" s="151"/>
      <c r="D393" s="151"/>
      <c r="E393" s="151"/>
      <c r="F393" s="151"/>
      <c r="G393" s="151"/>
      <c r="H393" s="151"/>
    </row>
    <row r="394" spans="1:16" s="55" customFormat="1" x14ac:dyDescent="0.25">
      <c r="A394" s="193" t="s">
        <v>202</v>
      </c>
      <c r="B394" s="193"/>
      <c r="C394" s="193"/>
      <c r="D394" s="193"/>
      <c r="E394" s="193"/>
      <c r="F394" s="193"/>
      <c r="G394" s="193"/>
      <c r="H394" s="193"/>
      <c r="I394" s="56"/>
      <c r="P394" s="57"/>
    </row>
    <row r="395" spans="1:16" s="55" customFormat="1" x14ac:dyDescent="0.25">
      <c r="A395" s="84">
        <v>1</v>
      </c>
      <c r="B395" s="84" t="s">
        <v>193</v>
      </c>
      <c r="C395" s="84" t="s">
        <v>205</v>
      </c>
      <c r="D395" s="84">
        <f>(60.45+1.47)*10.764</f>
        <v>666.50688000000002</v>
      </c>
      <c r="E395" s="84">
        <v>0</v>
      </c>
      <c r="F395" s="84">
        <f t="shared" ref="F395:F398" si="96">D395*(($F$255)+1)+(IF(E395&lt;101,E395,IF(E395&lt;201,E395/2,IF(E395&lt;=301,E395/3,E395/4))))</f>
        <v>999.76032000000009</v>
      </c>
      <c r="G395" s="150" t="str">
        <f>A394</f>
        <v>1st to 5th, 7th to 10th, 12th to 15th, 17th to 20th, 22nd to 25th &amp; 28th to 30th Floor</v>
      </c>
      <c r="H395" s="150"/>
      <c r="I395" s="56">
        <f>7800000/F395</f>
        <v>7801.8699521901399</v>
      </c>
      <c r="N395" s="55" t="str">
        <f t="shared" ref="N395:N398" ca="1" si="97">O395&amp;""&amp;" to "&amp;""&amp;P395</f>
        <v>15701 to 3001</v>
      </c>
      <c r="O395" s="55">
        <f ca="1">(SUMPRODUCT(MID(0&amp;(LEFT(A394,SUM(LEN(A394)-LEN(SUBSTITUTE(A394,{"0","1","2"},""))))), LARGE(INDEX(ISNUMBER(--MID((LEFT(A394,SUM(LEN(A394)-LEN(SUBSTITUTE(A394,{"0","1","2"},""))))), ROW(INDIRECT("1:"&amp;LEN((LEFT(A394,SUM(LEN(A394)-LEN(SUBSTITUTE(A394,{"0","1","2"},"")))))))), 1)) * ROW(INDIRECT("1:"&amp;LEN((LEFT(A394,SUM(LEN(A394)-LEN(SUBSTITUTE(A394,{"0","1","2"},"")))))))), 0), ROW(INDIRECT("1:"&amp;LEN((LEFT(A394,SUM(LEN(A394)-LEN(SUBSTITUTE(A394,{"0","1","2"},"")))))))))+1, 1) * 10^ROW(INDIRECT("1:"&amp;LEN((LEFT(A394,SUM(LEN(A394)-LEN(SUBSTITUTE(A394,{"0","1","2"},""))))))))/10))*100+1</f>
        <v>15701</v>
      </c>
      <c r="P395" s="55">
        <f ca="1">(SUMPRODUCT(MID(0&amp;(--TRIM(RIGHT(SUBSTITUTE(LEFT(A394,_xlfn.AGGREGATE(16,6,FIND({0,1,2,3,4,5,6,7,8,9},A394,ROW(INDIRECT("1:"&amp;LEN(A394)))),1))," ",REPT(" ",LEN(A394))),LEN(A394)))), LARGE(INDEX(ISNUMBER(--MID((--TRIM(RIGHT(SUBSTITUTE(LEFT(A394,_xlfn.AGGREGATE(16,6,FIND({0,1,2,3,4,5,6,7,8,9},A394,ROW(INDIRECT("1:"&amp;LEN(A394)))),1))," ",REPT(" ",LEN(A394))),LEN(A394)))), ROW(INDIRECT("1:"&amp;LEN((--TRIM(RIGHT(SUBSTITUTE(LEFT(A394,_xlfn.AGGREGATE(16,6,FIND({0,1,2,3,4,5,6,7,8,9},A394,ROW(INDIRECT("1:"&amp;LEN(A394)))),1))," ",REPT(" ",LEN(A394))),LEN(A394))))))), 1)) * ROW(INDIRECT("1:"&amp;LEN((--TRIM(RIGHT(SUBSTITUTE(LEFT(A394,_xlfn.AGGREGATE(16,6,FIND({0,1,2,3,4,5,6,7,8,9},A394,ROW(INDIRECT("1:"&amp;LEN(A394)))),1))," ",REPT(" ",LEN(A394))),LEN(A394))))))), 0), ROW(INDIRECT("1:"&amp;LEN((--TRIM(RIGHT(SUBSTITUTE(LEFT(A394,_xlfn.AGGREGATE(16,6,FIND({0,1,2,3,4,5,6,7,8,9},A394,ROW(INDIRECT("1:"&amp;LEN(A394)))),1))," ",REPT(" ",LEN(A394))),LEN(A394))))))))+1, 1) * 10^ROW(INDIRECT("1:"&amp;LEN((--TRIM(RIGHT(SUBSTITUTE(LEFT(A394,_xlfn.AGGREGATE(16,6,FIND({0,1,2,3,4,5,6,7,8,9},A394,ROW(INDIRECT("1:"&amp;LEN(A394)))),1))," ",REPT(" ",LEN(A394))),LEN(A394)))))))/10))*100+1</f>
        <v>3001</v>
      </c>
    </row>
    <row r="396" spans="1:16" s="55" customFormat="1" x14ac:dyDescent="0.25">
      <c r="A396" s="84">
        <v>2</v>
      </c>
      <c r="B396" s="84" t="s">
        <v>193</v>
      </c>
      <c r="C396" s="84" t="s">
        <v>205</v>
      </c>
      <c r="D396" s="84">
        <f t="shared" ref="D396:D398" si="98">(60.45+1.47)*10.764</f>
        <v>666.50688000000002</v>
      </c>
      <c r="E396" s="84">
        <v>0</v>
      </c>
      <c r="F396" s="84">
        <f t="shared" si="96"/>
        <v>999.76032000000009</v>
      </c>
      <c r="G396" s="150" t="str">
        <f t="shared" ref="G396:G398" si="99">G395</f>
        <v>1st to 5th, 7th to 10th, 12th to 15th, 17th to 20th, 22nd to 25th &amp; 28th to 30th Floor</v>
      </c>
      <c r="H396" s="150"/>
      <c r="I396" s="56"/>
      <c r="N396" s="55" t="str">
        <f t="shared" ca="1" si="97"/>
        <v>15702 to 3002</v>
      </c>
      <c r="O396" s="55">
        <f t="shared" ref="O396:P398" ca="1" si="100">O395+1</f>
        <v>15702</v>
      </c>
      <c r="P396" s="55">
        <f t="shared" ca="1" si="100"/>
        <v>3002</v>
      </c>
    </row>
    <row r="397" spans="1:16" s="55" customFormat="1" ht="15.75" customHeight="1" x14ac:dyDescent="0.25">
      <c r="A397" s="84">
        <v>3</v>
      </c>
      <c r="B397" s="84" t="s">
        <v>193</v>
      </c>
      <c r="C397" s="84" t="s">
        <v>205</v>
      </c>
      <c r="D397" s="84">
        <f t="shared" si="98"/>
        <v>666.50688000000002</v>
      </c>
      <c r="E397" s="84">
        <v>0</v>
      </c>
      <c r="F397" s="84">
        <f t="shared" si="96"/>
        <v>999.76032000000009</v>
      </c>
      <c r="G397" s="150" t="str">
        <f t="shared" si="99"/>
        <v>1st to 5th, 7th to 10th, 12th to 15th, 17th to 20th, 22nd to 25th &amp; 28th to 30th Floor</v>
      </c>
      <c r="H397" s="150"/>
      <c r="I397" s="56"/>
      <c r="N397" s="55" t="str">
        <f t="shared" ca="1" si="97"/>
        <v>15703 to 3003</v>
      </c>
      <c r="O397" s="55">
        <f t="shared" ca="1" si="100"/>
        <v>15703</v>
      </c>
      <c r="P397" s="55">
        <f t="shared" ca="1" si="100"/>
        <v>3003</v>
      </c>
    </row>
    <row r="398" spans="1:16" s="55" customFormat="1" ht="15.75" customHeight="1" x14ac:dyDescent="0.25">
      <c r="A398" s="84">
        <v>4</v>
      </c>
      <c r="B398" s="84" t="s">
        <v>193</v>
      </c>
      <c r="C398" s="84" t="s">
        <v>205</v>
      </c>
      <c r="D398" s="84">
        <f t="shared" si="98"/>
        <v>666.50688000000002</v>
      </c>
      <c r="E398" s="84">
        <v>0</v>
      </c>
      <c r="F398" s="84">
        <f t="shared" si="96"/>
        <v>999.76032000000009</v>
      </c>
      <c r="G398" s="150" t="str">
        <f t="shared" si="99"/>
        <v>1st to 5th, 7th to 10th, 12th to 15th, 17th to 20th, 22nd to 25th &amp; 28th to 30th Floor</v>
      </c>
      <c r="H398" s="150"/>
      <c r="I398" s="56"/>
      <c r="N398" s="55" t="str">
        <f t="shared" ca="1" si="97"/>
        <v>15704 to 3004</v>
      </c>
      <c r="O398" s="55">
        <f t="shared" ca="1" si="100"/>
        <v>15704</v>
      </c>
      <c r="P398" s="55">
        <f t="shared" ca="1" si="100"/>
        <v>3004</v>
      </c>
    </row>
    <row r="399" spans="1:16" s="55" customFormat="1" x14ac:dyDescent="0.25">
      <c r="A399" s="193" t="s">
        <v>203</v>
      </c>
      <c r="B399" s="193"/>
      <c r="C399" s="193"/>
      <c r="D399" s="193"/>
      <c r="E399" s="193"/>
      <c r="F399" s="193"/>
      <c r="G399" s="193"/>
      <c r="H399" s="193"/>
      <c r="I399" s="56"/>
      <c r="P399" s="57"/>
    </row>
    <row r="400" spans="1:16" s="55" customFormat="1" x14ac:dyDescent="0.25">
      <c r="A400" s="84">
        <v>1</v>
      </c>
      <c r="B400" s="84" t="s">
        <v>193</v>
      </c>
      <c r="C400" s="84" t="s">
        <v>204</v>
      </c>
      <c r="D400" s="84">
        <f>(54.05+1.47)*10.764</f>
        <v>597.61727999999994</v>
      </c>
      <c r="E400" s="84">
        <v>0</v>
      </c>
      <c r="F400" s="84">
        <f t="shared" ref="F400:F403" si="101">D400*(($F$255)+1)+(IF(E400&lt;101,E400,IF(E400&lt;201,E400/2,IF(E400&lt;=301,E400/3,E400/4))))</f>
        <v>896.42591999999991</v>
      </c>
      <c r="G400" s="150" t="str">
        <f>A399</f>
        <v>6th, 11th, 16th, 21st &amp; 26th Floor (Part Refuge Area)</v>
      </c>
      <c r="H400" s="150"/>
      <c r="I400" s="56"/>
      <c r="N400" s="55" t="str">
        <f t="shared" ref="N400:N403" ca="1" si="102">O400&amp;""&amp;" to "&amp;""&amp;P400</f>
        <v>6101 to 2601</v>
      </c>
      <c r="O400" s="55">
        <f ca="1">(SUMPRODUCT(MID(0&amp;(LEFT(A399,SUM(LEN(A399)-LEN(SUBSTITUTE(A399,{"0","1","2"},""))))), LARGE(INDEX(ISNUMBER(--MID((LEFT(A399,SUM(LEN(A399)-LEN(SUBSTITUTE(A399,{"0","1","2"},""))))), ROW(INDIRECT("1:"&amp;LEN((LEFT(A399,SUM(LEN(A399)-LEN(SUBSTITUTE(A399,{"0","1","2"},"")))))))), 1)) * ROW(INDIRECT("1:"&amp;LEN((LEFT(A399,SUM(LEN(A399)-LEN(SUBSTITUTE(A399,{"0","1","2"},"")))))))), 0), ROW(INDIRECT("1:"&amp;LEN((LEFT(A399,SUM(LEN(A399)-LEN(SUBSTITUTE(A399,{"0","1","2"},"")))))))))+1, 1) * 10^ROW(INDIRECT("1:"&amp;LEN((LEFT(A399,SUM(LEN(A399)-LEN(SUBSTITUTE(A399,{"0","1","2"},""))))))))/10))*100+1</f>
        <v>6101</v>
      </c>
      <c r="P400" s="55">
        <f ca="1">(SUMPRODUCT(MID(0&amp;(--TRIM(RIGHT(SUBSTITUTE(LEFT(A399,_xlfn.AGGREGATE(16,6,FIND({0,1,2,3,4,5,6,7,8,9},A399,ROW(INDIRECT("1:"&amp;LEN(A399)))),1))," ",REPT(" ",LEN(A399))),LEN(A399)))), LARGE(INDEX(ISNUMBER(--MID((--TRIM(RIGHT(SUBSTITUTE(LEFT(A399,_xlfn.AGGREGATE(16,6,FIND({0,1,2,3,4,5,6,7,8,9},A399,ROW(INDIRECT("1:"&amp;LEN(A399)))),1))," ",REPT(" ",LEN(A399))),LEN(A399)))), ROW(INDIRECT("1:"&amp;LEN((--TRIM(RIGHT(SUBSTITUTE(LEFT(A399,_xlfn.AGGREGATE(16,6,FIND({0,1,2,3,4,5,6,7,8,9},A399,ROW(INDIRECT("1:"&amp;LEN(A399)))),1))," ",REPT(" ",LEN(A399))),LEN(A399))))))), 1)) * ROW(INDIRECT("1:"&amp;LEN((--TRIM(RIGHT(SUBSTITUTE(LEFT(A399,_xlfn.AGGREGATE(16,6,FIND({0,1,2,3,4,5,6,7,8,9},A399,ROW(INDIRECT("1:"&amp;LEN(A399)))),1))," ",REPT(" ",LEN(A399))),LEN(A399))))))), 0), ROW(INDIRECT("1:"&amp;LEN((--TRIM(RIGHT(SUBSTITUTE(LEFT(A399,_xlfn.AGGREGATE(16,6,FIND({0,1,2,3,4,5,6,7,8,9},A399,ROW(INDIRECT("1:"&amp;LEN(A399)))),1))," ",REPT(" ",LEN(A399))),LEN(A399))))))))+1, 1) * 10^ROW(INDIRECT("1:"&amp;LEN((--TRIM(RIGHT(SUBSTITUTE(LEFT(A399,_xlfn.AGGREGATE(16,6,FIND({0,1,2,3,4,5,6,7,8,9},A399,ROW(INDIRECT("1:"&amp;LEN(A399)))),1))," ",REPT(" ",LEN(A399))),LEN(A399)))))))/10))*100+1</f>
        <v>2601</v>
      </c>
    </row>
    <row r="401" spans="1:16" s="55" customFormat="1" x14ac:dyDescent="0.25">
      <c r="A401" s="27">
        <v>2</v>
      </c>
      <c r="B401" s="27" t="s">
        <v>193</v>
      </c>
      <c r="C401" s="27" t="s">
        <v>204</v>
      </c>
      <c r="D401" s="27">
        <f>(54.05+1.47)*10.764</f>
        <v>597.61727999999994</v>
      </c>
      <c r="E401" s="27">
        <v>0</v>
      </c>
      <c r="F401" s="27">
        <f t="shared" si="101"/>
        <v>896.42591999999991</v>
      </c>
      <c r="G401" s="144" t="str">
        <f t="shared" ref="G401:G403" si="103">G400</f>
        <v>6th, 11th, 16th, 21st &amp; 26th Floor (Part Refuge Area)</v>
      </c>
      <c r="H401" s="145"/>
      <c r="I401" s="56"/>
      <c r="N401" s="55" t="str">
        <f t="shared" ca="1" si="102"/>
        <v>6102 to 2602</v>
      </c>
      <c r="O401" s="55">
        <f t="shared" ref="O401:P401" ca="1" si="104">O400+1</f>
        <v>6102</v>
      </c>
      <c r="P401" s="55">
        <f t="shared" ca="1" si="104"/>
        <v>2602</v>
      </c>
    </row>
    <row r="402" spans="1:16" s="55" customFormat="1" ht="15.75" customHeight="1" x14ac:dyDescent="0.25">
      <c r="A402" s="27">
        <v>3</v>
      </c>
      <c r="B402" s="27" t="s">
        <v>193</v>
      </c>
      <c r="C402" s="27" t="s">
        <v>205</v>
      </c>
      <c r="D402" s="27">
        <f t="shared" ref="D402:D403" si="105">(60.45+1.47)*10.764</f>
        <v>666.50688000000002</v>
      </c>
      <c r="E402" s="27">
        <v>0</v>
      </c>
      <c r="F402" s="27">
        <f t="shared" si="101"/>
        <v>999.76032000000009</v>
      </c>
      <c r="G402" s="144" t="str">
        <f t="shared" si="103"/>
        <v>6th, 11th, 16th, 21st &amp; 26th Floor (Part Refuge Area)</v>
      </c>
      <c r="H402" s="145"/>
      <c r="I402" s="56"/>
      <c r="N402" s="55" t="str">
        <f t="shared" ca="1" si="102"/>
        <v>6103 to 2603</v>
      </c>
      <c r="O402" s="55">
        <f t="shared" ref="O402:P402" ca="1" si="106">O401+1</f>
        <v>6103</v>
      </c>
      <c r="P402" s="55">
        <f t="shared" ca="1" si="106"/>
        <v>2603</v>
      </c>
    </row>
    <row r="403" spans="1:16" s="55" customFormat="1" ht="15.75" customHeight="1" x14ac:dyDescent="0.25">
      <c r="A403" s="27">
        <v>4</v>
      </c>
      <c r="B403" s="27" t="s">
        <v>193</v>
      </c>
      <c r="C403" s="27" t="s">
        <v>205</v>
      </c>
      <c r="D403" s="27">
        <f t="shared" si="105"/>
        <v>666.50688000000002</v>
      </c>
      <c r="E403" s="27">
        <v>0</v>
      </c>
      <c r="F403" s="27">
        <f t="shared" si="101"/>
        <v>999.76032000000009</v>
      </c>
      <c r="G403" s="144" t="str">
        <f t="shared" si="103"/>
        <v>6th, 11th, 16th, 21st &amp; 26th Floor (Part Refuge Area)</v>
      </c>
      <c r="H403" s="145"/>
      <c r="I403" s="56"/>
      <c r="N403" s="55" t="str">
        <f t="shared" ca="1" si="102"/>
        <v>6104 to 2604</v>
      </c>
      <c r="O403" s="55">
        <f t="shared" ref="O403:P403" ca="1" si="107">O402+1</f>
        <v>6104</v>
      </c>
      <c r="P403" s="55">
        <f t="shared" ca="1" si="107"/>
        <v>2604</v>
      </c>
    </row>
    <row r="404" spans="1:16" s="53" customFormat="1" x14ac:dyDescent="0.25">
      <c r="A404" s="151" t="s">
        <v>215</v>
      </c>
      <c r="B404" s="151"/>
      <c r="C404" s="151"/>
      <c r="D404" s="151"/>
      <c r="E404" s="151"/>
      <c r="F404" s="151"/>
      <c r="G404" s="151"/>
      <c r="H404" s="151"/>
    </row>
    <row r="405" spans="1:16" s="53" customFormat="1" x14ac:dyDescent="0.25">
      <c r="A405" s="151" t="s">
        <v>199</v>
      </c>
      <c r="B405" s="151"/>
      <c r="C405" s="151"/>
      <c r="D405" s="151"/>
      <c r="E405" s="151"/>
      <c r="F405" s="151"/>
      <c r="G405" s="151"/>
      <c r="H405" s="151"/>
    </row>
    <row r="406" spans="1:16" s="53" customFormat="1" x14ac:dyDescent="0.25">
      <c r="A406" s="151" t="s">
        <v>200</v>
      </c>
      <c r="B406" s="151"/>
      <c r="C406" s="151"/>
      <c r="D406" s="151"/>
      <c r="E406" s="151"/>
      <c r="F406" s="151"/>
      <c r="G406" s="151"/>
      <c r="H406" s="151"/>
    </row>
    <row r="407" spans="1:16" s="53" customFormat="1" x14ac:dyDescent="0.25">
      <c r="A407" s="151" t="s">
        <v>201</v>
      </c>
      <c r="B407" s="151"/>
      <c r="C407" s="151"/>
      <c r="D407" s="151"/>
      <c r="E407" s="151"/>
      <c r="F407" s="151"/>
      <c r="G407" s="151"/>
      <c r="H407" s="151"/>
    </row>
    <row r="408" spans="1:16" s="55" customFormat="1" x14ac:dyDescent="0.25">
      <c r="A408" s="126" t="s">
        <v>202</v>
      </c>
      <c r="B408" s="127"/>
      <c r="C408" s="127"/>
      <c r="D408" s="127"/>
      <c r="E408" s="127"/>
      <c r="F408" s="127"/>
      <c r="G408" s="127"/>
      <c r="H408" s="128"/>
      <c r="I408" s="56"/>
      <c r="P408" s="57"/>
    </row>
    <row r="409" spans="1:16" s="55" customFormat="1" x14ac:dyDescent="0.25">
      <c r="A409" s="27">
        <v>1</v>
      </c>
      <c r="B409" s="27" t="s">
        <v>193</v>
      </c>
      <c r="C409" s="27" t="s">
        <v>205</v>
      </c>
      <c r="D409" s="27">
        <f>(60.45+1.47)*10.764</f>
        <v>666.50688000000002</v>
      </c>
      <c r="E409" s="27">
        <v>0</v>
      </c>
      <c r="F409" s="27">
        <f t="shared" ref="F409:F412" si="108">D409*(($F$255)+1)+(IF(E409&lt;101,E409,IF(E409&lt;201,E409/2,IF(E409&lt;=301,E409/3,E409/4))))</f>
        <v>999.76032000000009</v>
      </c>
      <c r="G409" s="144" t="str">
        <f>A408</f>
        <v>1st to 5th, 7th to 10th, 12th to 15th, 17th to 20th, 22nd to 25th &amp; 28th to 30th Floor</v>
      </c>
      <c r="H409" s="145"/>
      <c r="I409" s="56"/>
      <c r="N409" s="55" t="str">
        <f t="shared" ref="N409:N412" ca="1" si="109">O409&amp;""&amp;" to "&amp;""&amp;P409</f>
        <v>15701 to 3001</v>
      </c>
      <c r="O409" s="55">
        <f ca="1">(SUMPRODUCT(MID(0&amp;(LEFT(A408,SUM(LEN(A408)-LEN(SUBSTITUTE(A408,{"0","1","2"},""))))), LARGE(INDEX(ISNUMBER(--MID((LEFT(A408,SUM(LEN(A408)-LEN(SUBSTITUTE(A408,{"0","1","2"},""))))), ROW(INDIRECT("1:"&amp;LEN((LEFT(A408,SUM(LEN(A408)-LEN(SUBSTITUTE(A408,{"0","1","2"},"")))))))), 1)) * ROW(INDIRECT("1:"&amp;LEN((LEFT(A408,SUM(LEN(A408)-LEN(SUBSTITUTE(A408,{"0","1","2"},"")))))))), 0), ROW(INDIRECT("1:"&amp;LEN((LEFT(A408,SUM(LEN(A408)-LEN(SUBSTITUTE(A408,{"0","1","2"},"")))))))))+1, 1) * 10^ROW(INDIRECT("1:"&amp;LEN((LEFT(A408,SUM(LEN(A408)-LEN(SUBSTITUTE(A408,{"0","1","2"},""))))))))/10))*100+1</f>
        <v>15701</v>
      </c>
      <c r="P409" s="55">
        <f ca="1">(SUMPRODUCT(MID(0&amp;(--TRIM(RIGHT(SUBSTITUTE(LEFT(A408,_xlfn.AGGREGATE(16,6,FIND({0,1,2,3,4,5,6,7,8,9},A408,ROW(INDIRECT("1:"&amp;LEN(A408)))),1))," ",REPT(" ",LEN(A408))),LEN(A408)))), LARGE(INDEX(ISNUMBER(--MID((--TRIM(RIGHT(SUBSTITUTE(LEFT(A408,_xlfn.AGGREGATE(16,6,FIND({0,1,2,3,4,5,6,7,8,9},A408,ROW(INDIRECT("1:"&amp;LEN(A408)))),1))," ",REPT(" ",LEN(A408))),LEN(A408)))), ROW(INDIRECT("1:"&amp;LEN((--TRIM(RIGHT(SUBSTITUTE(LEFT(A408,_xlfn.AGGREGATE(16,6,FIND({0,1,2,3,4,5,6,7,8,9},A408,ROW(INDIRECT("1:"&amp;LEN(A408)))),1))," ",REPT(" ",LEN(A408))),LEN(A408))))))), 1)) * ROW(INDIRECT("1:"&amp;LEN((--TRIM(RIGHT(SUBSTITUTE(LEFT(A408,_xlfn.AGGREGATE(16,6,FIND({0,1,2,3,4,5,6,7,8,9},A408,ROW(INDIRECT("1:"&amp;LEN(A408)))),1))," ",REPT(" ",LEN(A408))),LEN(A408))))))), 0), ROW(INDIRECT("1:"&amp;LEN((--TRIM(RIGHT(SUBSTITUTE(LEFT(A408,_xlfn.AGGREGATE(16,6,FIND({0,1,2,3,4,5,6,7,8,9},A408,ROW(INDIRECT("1:"&amp;LEN(A408)))),1))," ",REPT(" ",LEN(A408))),LEN(A408))))))))+1, 1) * 10^ROW(INDIRECT("1:"&amp;LEN((--TRIM(RIGHT(SUBSTITUTE(LEFT(A408,_xlfn.AGGREGATE(16,6,FIND({0,1,2,3,4,5,6,7,8,9},A408,ROW(INDIRECT("1:"&amp;LEN(A408)))),1))," ",REPT(" ",LEN(A408))),LEN(A408)))))))/10))*100+1</f>
        <v>3001</v>
      </c>
    </row>
    <row r="410" spans="1:16" s="55" customFormat="1" x14ac:dyDescent="0.25">
      <c r="A410" s="27">
        <v>2</v>
      </c>
      <c r="B410" s="27" t="s">
        <v>193</v>
      </c>
      <c r="C410" s="27" t="s">
        <v>205</v>
      </c>
      <c r="D410" s="27">
        <f t="shared" ref="D410:D412" si="110">(60.45+1.47)*10.764</f>
        <v>666.50688000000002</v>
      </c>
      <c r="E410" s="27">
        <v>0</v>
      </c>
      <c r="F410" s="27">
        <f t="shared" si="108"/>
        <v>999.76032000000009</v>
      </c>
      <c r="G410" s="144" t="str">
        <f t="shared" ref="G410:G412" si="111">G409</f>
        <v>1st to 5th, 7th to 10th, 12th to 15th, 17th to 20th, 22nd to 25th &amp; 28th to 30th Floor</v>
      </c>
      <c r="H410" s="145"/>
      <c r="I410" s="56"/>
      <c r="N410" s="55" t="str">
        <f t="shared" ca="1" si="109"/>
        <v>15702 to 3002</v>
      </c>
      <c r="O410" s="55">
        <f t="shared" ref="O410:P410" ca="1" si="112">O409+1</f>
        <v>15702</v>
      </c>
      <c r="P410" s="55">
        <f t="shared" ca="1" si="112"/>
        <v>3002</v>
      </c>
    </row>
    <row r="411" spans="1:16" s="55" customFormat="1" ht="15.75" customHeight="1" x14ac:dyDescent="0.25">
      <c r="A411" s="27">
        <v>3</v>
      </c>
      <c r="B411" s="27" t="s">
        <v>193</v>
      </c>
      <c r="C411" s="27" t="s">
        <v>205</v>
      </c>
      <c r="D411" s="27">
        <f t="shared" si="110"/>
        <v>666.50688000000002</v>
      </c>
      <c r="E411" s="27">
        <v>0</v>
      </c>
      <c r="F411" s="27">
        <f t="shared" si="108"/>
        <v>999.76032000000009</v>
      </c>
      <c r="G411" s="144" t="str">
        <f t="shared" si="111"/>
        <v>1st to 5th, 7th to 10th, 12th to 15th, 17th to 20th, 22nd to 25th &amp; 28th to 30th Floor</v>
      </c>
      <c r="H411" s="145"/>
      <c r="I411" s="56"/>
      <c r="N411" s="55" t="str">
        <f t="shared" ca="1" si="109"/>
        <v>15703 to 3003</v>
      </c>
      <c r="O411" s="55">
        <f t="shared" ref="O411:P411" ca="1" si="113">O410+1</f>
        <v>15703</v>
      </c>
      <c r="P411" s="55">
        <f t="shared" ca="1" si="113"/>
        <v>3003</v>
      </c>
    </row>
    <row r="412" spans="1:16" s="55" customFormat="1" ht="15.75" customHeight="1" x14ac:dyDescent="0.25">
      <c r="A412" s="27">
        <v>4</v>
      </c>
      <c r="B412" s="27" t="s">
        <v>193</v>
      </c>
      <c r="C412" s="27" t="s">
        <v>205</v>
      </c>
      <c r="D412" s="27">
        <f t="shared" si="110"/>
        <v>666.50688000000002</v>
      </c>
      <c r="E412" s="27">
        <v>0</v>
      </c>
      <c r="F412" s="27">
        <f t="shared" si="108"/>
        <v>999.76032000000009</v>
      </c>
      <c r="G412" s="144" t="str">
        <f t="shared" si="111"/>
        <v>1st to 5th, 7th to 10th, 12th to 15th, 17th to 20th, 22nd to 25th &amp; 28th to 30th Floor</v>
      </c>
      <c r="H412" s="145"/>
      <c r="I412" s="56"/>
      <c r="N412" s="55" t="str">
        <f t="shared" ca="1" si="109"/>
        <v>15704 to 3004</v>
      </c>
      <c r="O412" s="55">
        <f t="shared" ref="O412:P412" ca="1" si="114">O411+1</f>
        <v>15704</v>
      </c>
      <c r="P412" s="55">
        <f t="shared" ca="1" si="114"/>
        <v>3004</v>
      </c>
    </row>
    <row r="413" spans="1:16" s="55" customFormat="1" x14ac:dyDescent="0.25">
      <c r="A413" s="126" t="s">
        <v>203</v>
      </c>
      <c r="B413" s="127"/>
      <c r="C413" s="127"/>
      <c r="D413" s="127"/>
      <c r="E413" s="127"/>
      <c r="F413" s="127"/>
      <c r="G413" s="127"/>
      <c r="H413" s="128"/>
      <c r="I413" s="56"/>
      <c r="P413" s="57"/>
    </row>
    <row r="414" spans="1:16" s="55" customFormat="1" x14ac:dyDescent="0.25">
      <c r="A414" s="27">
        <v>1</v>
      </c>
      <c r="B414" s="27" t="s">
        <v>193</v>
      </c>
      <c r="C414" s="27" t="s">
        <v>204</v>
      </c>
      <c r="D414" s="27">
        <f>(54.05+1.47)*10.764</f>
        <v>597.61727999999994</v>
      </c>
      <c r="E414" s="27">
        <v>0</v>
      </c>
      <c r="F414" s="27">
        <f t="shared" ref="F414:F417" si="115">D414*(($F$255)+1)+(IF(E414&lt;101,E414,IF(E414&lt;201,E414/2,IF(E414&lt;=301,E414/3,E414/4))))</f>
        <v>896.42591999999991</v>
      </c>
      <c r="G414" s="144" t="str">
        <f>A413</f>
        <v>6th, 11th, 16th, 21st &amp; 26th Floor (Part Refuge Area)</v>
      </c>
      <c r="H414" s="145"/>
      <c r="I414" s="56"/>
      <c r="N414" s="55" t="str">
        <f t="shared" ref="N414:N417" ca="1" si="116">O414&amp;""&amp;" to "&amp;""&amp;P414</f>
        <v>6101 to 2601</v>
      </c>
      <c r="O414" s="55">
        <f ca="1">(SUMPRODUCT(MID(0&amp;(LEFT(A413,SUM(LEN(A413)-LEN(SUBSTITUTE(A413,{"0","1","2"},""))))), LARGE(INDEX(ISNUMBER(--MID((LEFT(A413,SUM(LEN(A413)-LEN(SUBSTITUTE(A413,{"0","1","2"},""))))), ROW(INDIRECT("1:"&amp;LEN((LEFT(A413,SUM(LEN(A413)-LEN(SUBSTITUTE(A413,{"0","1","2"},"")))))))), 1)) * ROW(INDIRECT("1:"&amp;LEN((LEFT(A413,SUM(LEN(A413)-LEN(SUBSTITUTE(A413,{"0","1","2"},"")))))))), 0), ROW(INDIRECT("1:"&amp;LEN((LEFT(A413,SUM(LEN(A413)-LEN(SUBSTITUTE(A413,{"0","1","2"},"")))))))))+1, 1) * 10^ROW(INDIRECT("1:"&amp;LEN((LEFT(A413,SUM(LEN(A413)-LEN(SUBSTITUTE(A413,{"0","1","2"},""))))))))/10))*100+1</f>
        <v>6101</v>
      </c>
      <c r="P414" s="55">
        <f ca="1">(SUMPRODUCT(MID(0&amp;(--TRIM(RIGHT(SUBSTITUTE(LEFT(A413,_xlfn.AGGREGATE(16,6,FIND({0,1,2,3,4,5,6,7,8,9},A413,ROW(INDIRECT("1:"&amp;LEN(A413)))),1))," ",REPT(" ",LEN(A413))),LEN(A413)))), LARGE(INDEX(ISNUMBER(--MID((--TRIM(RIGHT(SUBSTITUTE(LEFT(A413,_xlfn.AGGREGATE(16,6,FIND({0,1,2,3,4,5,6,7,8,9},A413,ROW(INDIRECT("1:"&amp;LEN(A413)))),1))," ",REPT(" ",LEN(A413))),LEN(A413)))), ROW(INDIRECT("1:"&amp;LEN((--TRIM(RIGHT(SUBSTITUTE(LEFT(A413,_xlfn.AGGREGATE(16,6,FIND({0,1,2,3,4,5,6,7,8,9},A413,ROW(INDIRECT("1:"&amp;LEN(A413)))),1))," ",REPT(" ",LEN(A413))),LEN(A413))))))), 1)) * ROW(INDIRECT("1:"&amp;LEN((--TRIM(RIGHT(SUBSTITUTE(LEFT(A413,_xlfn.AGGREGATE(16,6,FIND({0,1,2,3,4,5,6,7,8,9},A413,ROW(INDIRECT("1:"&amp;LEN(A413)))),1))," ",REPT(" ",LEN(A413))),LEN(A413))))))), 0), ROW(INDIRECT("1:"&amp;LEN((--TRIM(RIGHT(SUBSTITUTE(LEFT(A413,_xlfn.AGGREGATE(16,6,FIND({0,1,2,3,4,5,6,7,8,9},A413,ROW(INDIRECT("1:"&amp;LEN(A413)))),1))," ",REPT(" ",LEN(A413))),LEN(A413))))))))+1, 1) * 10^ROW(INDIRECT("1:"&amp;LEN((--TRIM(RIGHT(SUBSTITUTE(LEFT(A413,_xlfn.AGGREGATE(16,6,FIND({0,1,2,3,4,5,6,7,8,9},A413,ROW(INDIRECT("1:"&amp;LEN(A413)))),1))," ",REPT(" ",LEN(A413))),LEN(A413)))))))/10))*100+1</f>
        <v>2601</v>
      </c>
    </row>
    <row r="415" spans="1:16" s="55" customFormat="1" x14ac:dyDescent="0.25">
      <c r="A415" s="27">
        <v>2</v>
      </c>
      <c r="B415" s="27" t="s">
        <v>193</v>
      </c>
      <c r="C415" s="27" t="s">
        <v>204</v>
      </c>
      <c r="D415" s="27">
        <f>(54.05+1.47)*10.764</f>
        <v>597.61727999999994</v>
      </c>
      <c r="E415" s="27">
        <v>0</v>
      </c>
      <c r="F415" s="27">
        <f t="shared" si="115"/>
        <v>896.42591999999991</v>
      </c>
      <c r="G415" s="144" t="str">
        <f t="shared" ref="G415:G417" si="117">G414</f>
        <v>6th, 11th, 16th, 21st &amp; 26th Floor (Part Refuge Area)</v>
      </c>
      <c r="H415" s="145"/>
      <c r="I415" s="56"/>
      <c r="N415" s="55" t="str">
        <f t="shared" ca="1" si="116"/>
        <v>6102 to 2602</v>
      </c>
      <c r="O415" s="55">
        <f t="shared" ref="O415:P415" ca="1" si="118">O414+1</f>
        <v>6102</v>
      </c>
      <c r="P415" s="55">
        <f t="shared" ca="1" si="118"/>
        <v>2602</v>
      </c>
    </row>
    <row r="416" spans="1:16" s="55" customFormat="1" ht="15.75" customHeight="1" x14ac:dyDescent="0.25">
      <c r="A416" s="27">
        <v>3</v>
      </c>
      <c r="B416" s="27" t="s">
        <v>193</v>
      </c>
      <c r="C416" s="27" t="s">
        <v>205</v>
      </c>
      <c r="D416" s="27">
        <f>(60.45+1.47)*10.764</f>
        <v>666.50688000000002</v>
      </c>
      <c r="E416" s="27">
        <v>0</v>
      </c>
      <c r="F416" s="27">
        <f t="shared" si="115"/>
        <v>999.76032000000009</v>
      </c>
      <c r="G416" s="144" t="str">
        <f t="shared" si="117"/>
        <v>6th, 11th, 16th, 21st &amp; 26th Floor (Part Refuge Area)</v>
      </c>
      <c r="H416" s="145"/>
      <c r="I416" s="56"/>
      <c r="N416" s="55" t="str">
        <f t="shared" ca="1" si="116"/>
        <v>6103 to 2603</v>
      </c>
      <c r="O416" s="55">
        <f t="shared" ref="O416:P416" ca="1" si="119">O415+1</f>
        <v>6103</v>
      </c>
      <c r="P416" s="55">
        <f t="shared" ca="1" si="119"/>
        <v>2603</v>
      </c>
    </row>
    <row r="417" spans="1:16" s="55" customFormat="1" ht="15.75" customHeight="1" x14ac:dyDescent="0.25">
      <c r="A417" s="27">
        <v>4</v>
      </c>
      <c r="B417" s="27" t="s">
        <v>193</v>
      </c>
      <c r="C417" s="27" t="s">
        <v>205</v>
      </c>
      <c r="D417" s="27">
        <f>(60.45+1.47)*10.764</f>
        <v>666.50688000000002</v>
      </c>
      <c r="E417" s="27">
        <v>0</v>
      </c>
      <c r="F417" s="27">
        <f t="shared" si="115"/>
        <v>999.76032000000009</v>
      </c>
      <c r="G417" s="144" t="str">
        <f t="shared" si="117"/>
        <v>6th, 11th, 16th, 21st &amp; 26th Floor (Part Refuge Area)</v>
      </c>
      <c r="H417" s="145"/>
      <c r="I417" s="56"/>
      <c r="N417" s="55" t="str">
        <f t="shared" ca="1" si="116"/>
        <v>6104 to 2604</v>
      </c>
      <c r="O417" s="55">
        <f t="shared" ref="O417:P417" ca="1" si="120">O416+1</f>
        <v>6104</v>
      </c>
      <c r="P417" s="55">
        <f t="shared" ca="1" si="120"/>
        <v>2604</v>
      </c>
    </row>
    <row r="418" spans="1:16" s="53" customFormat="1" x14ac:dyDescent="0.25">
      <c r="A418" s="151" t="s">
        <v>216</v>
      </c>
      <c r="B418" s="151"/>
      <c r="C418" s="151"/>
      <c r="D418" s="151"/>
      <c r="E418" s="151"/>
      <c r="F418" s="151"/>
      <c r="G418" s="151"/>
      <c r="H418" s="151"/>
    </row>
    <row r="419" spans="1:16" s="53" customFormat="1" x14ac:dyDescent="0.25">
      <c r="A419" s="151" t="s">
        <v>199</v>
      </c>
      <c r="B419" s="151"/>
      <c r="C419" s="151"/>
      <c r="D419" s="151"/>
      <c r="E419" s="151"/>
      <c r="F419" s="151"/>
      <c r="G419" s="151"/>
      <c r="H419" s="151"/>
    </row>
    <row r="420" spans="1:16" s="53" customFormat="1" x14ac:dyDescent="0.25">
      <c r="A420" s="151" t="s">
        <v>200</v>
      </c>
      <c r="B420" s="151"/>
      <c r="C420" s="151"/>
      <c r="D420" s="151"/>
      <c r="E420" s="151"/>
      <c r="F420" s="151"/>
      <c r="G420" s="151"/>
      <c r="H420" s="151"/>
    </row>
    <row r="421" spans="1:16" s="53" customFormat="1" x14ac:dyDescent="0.25">
      <c r="A421" s="151" t="s">
        <v>201</v>
      </c>
      <c r="B421" s="151"/>
      <c r="C421" s="151"/>
      <c r="D421" s="151"/>
      <c r="E421" s="151"/>
      <c r="F421" s="151"/>
      <c r="G421" s="151"/>
      <c r="H421" s="151"/>
    </row>
    <row r="422" spans="1:16" s="55" customFormat="1" x14ac:dyDescent="0.25">
      <c r="A422" s="126" t="s">
        <v>202</v>
      </c>
      <c r="B422" s="127"/>
      <c r="C422" s="127"/>
      <c r="D422" s="127"/>
      <c r="E422" s="127"/>
      <c r="F422" s="127"/>
      <c r="G422" s="127"/>
      <c r="H422" s="128"/>
      <c r="I422" s="56"/>
      <c r="P422" s="57"/>
    </row>
    <row r="423" spans="1:16" s="55" customFormat="1" x14ac:dyDescent="0.25">
      <c r="A423" s="27">
        <v>1</v>
      </c>
      <c r="B423" s="27" t="s">
        <v>193</v>
      </c>
      <c r="C423" s="27" t="s">
        <v>205</v>
      </c>
      <c r="D423" s="27">
        <f>(60.45+1.47)*10.764</f>
        <v>666.50688000000002</v>
      </c>
      <c r="E423" s="27">
        <v>0</v>
      </c>
      <c r="F423" s="27">
        <f t="shared" ref="F423:F426" si="121">D423*(($F$255)+1)+(IF(E423&lt;101,E423,IF(E423&lt;201,E423/2,IF(E423&lt;=301,E423/3,E423/4))))</f>
        <v>999.76032000000009</v>
      </c>
      <c r="G423" s="144" t="str">
        <f>A422</f>
        <v>1st to 5th, 7th to 10th, 12th to 15th, 17th to 20th, 22nd to 25th &amp; 28th to 30th Floor</v>
      </c>
      <c r="H423" s="145"/>
      <c r="I423" s="56"/>
      <c r="N423" s="55" t="str">
        <f t="shared" ref="N423:N426" ca="1" si="122">O423&amp;""&amp;" to "&amp;""&amp;P423</f>
        <v>15701 to 3001</v>
      </c>
      <c r="O423" s="55">
        <f ca="1">(SUMPRODUCT(MID(0&amp;(LEFT(A422,SUM(LEN(A422)-LEN(SUBSTITUTE(A422,{"0","1","2"},""))))), LARGE(INDEX(ISNUMBER(--MID((LEFT(A422,SUM(LEN(A422)-LEN(SUBSTITUTE(A422,{"0","1","2"},""))))), ROW(INDIRECT("1:"&amp;LEN((LEFT(A422,SUM(LEN(A422)-LEN(SUBSTITUTE(A422,{"0","1","2"},"")))))))), 1)) * ROW(INDIRECT("1:"&amp;LEN((LEFT(A422,SUM(LEN(A422)-LEN(SUBSTITUTE(A422,{"0","1","2"},"")))))))), 0), ROW(INDIRECT("1:"&amp;LEN((LEFT(A422,SUM(LEN(A422)-LEN(SUBSTITUTE(A422,{"0","1","2"},"")))))))))+1, 1) * 10^ROW(INDIRECT("1:"&amp;LEN((LEFT(A422,SUM(LEN(A422)-LEN(SUBSTITUTE(A422,{"0","1","2"},""))))))))/10))*100+1</f>
        <v>15701</v>
      </c>
      <c r="P423" s="55">
        <f ca="1">(SUMPRODUCT(MID(0&amp;(--TRIM(RIGHT(SUBSTITUTE(LEFT(A422,_xlfn.AGGREGATE(16,6,FIND({0,1,2,3,4,5,6,7,8,9},A422,ROW(INDIRECT("1:"&amp;LEN(A422)))),1))," ",REPT(" ",LEN(A422))),LEN(A422)))), LARGE(INDEX(ISNUMBER(--MID((--TRIM(RIGHT(SUBSTITUTE(LEFT(A422,_xlfn.AGGREGATE(16,6,FIND({0,1,2,3,4,5,6,7,8,9},A422,ROW(INDIRECT("1:"&amp;LEN(A422)))),1))," ",REPT(" ",LEN(A422))),LEN(A422)))), ROW(INDIRECT("1:"&amp;LEN((--TRIM(RIGHT(SUBSTITUTE(LEFT(A422,_xlfn.AGGREGATE(16,6,FIND({0,1,2,3,4,5,6,7,8,9},A422,ROW(INDIRECT("1:"&amp;LEN(A422)))),1))," ",REPT(" ",LEN(A422))),LEN(A422))))))), 1)) * ROW(INDIRECT("1:"&amp;LEN((--TRIM(RIGHT(SUBSTITUTE(LEFT(A422,_xlfn.AGGREGATE(16,6,FIND({0,1,2,3,4,5,6,7,8,9},A422,ROW(INDIRECT("1:"&amp;LEN(A422)))),1))," ",REPT(" ",LEN(A422))),LEN(A422))))))), 0), ROW(INDIRECT("1:"&amp;LEN((--TRIM(RIGHT(SUBSTITUTE(LEFT(A422,_xlfn.AGGREGATE(16,6,FIND({0,1,2,3,4,5,6,7,8,9},A422,ROW(INDIRECT("1:"&amp;LEN(A422)))),1))," ",REPT(" ",LEN(A422))),LEN(A422))))))))+1, 1) * 10^ROW(INDIRECT("1:"&amp;LEN((--TRIM(RIGHT(SUBSTITUTE(LEFT(A422,_xlfn.AGGREGATE(16,6,FIND({0,1,2,3,4,5,6,7,8,9},A422,ROW(INDIRECT("1:"&amp;LEN(A422)))),1))," ",REPT(" ",LEN(A422))),LEN(A422)))))))/10))*100+1</f>
        <v>3001</v>
      </c>
    </row>
    <row r="424" spans="1:16" s="55" customFormat="1" x14ac:dyDescent="0.25">
      <c r="A424" s="27">
        <v>2</v>
      </c>
      <c r="B424" s="27" t="s">
        <v>193</v>
      </c>
      <c r="C424" s="27" t="s">
        <v>205</v>
      </c>
      <c r="D424" s="27">
        <f t="shared" ref="D424:D426" si="123">(60.45+1.47)*10.764</f>
        <v>666.50688000000002</v>
      </c>
      <c r="E424" s="27">
        <v>0</v>
      </c>
      <c r="F424" s="27">
        <f t="shared" si="121"/>
        <v>999.76032000000009</v>
      </c>
      <c r="G424" s="144" t="str">
        <f t="shared" ref="G424:G426" si="124">G423</f>
        <v>1st to 5th, 7th to 10th, 12th to 15th, 17th to 20th, 22nd to 25th &amp; 28th to 30th Floor</v>
      </c>
      <c r="H424" s="145"/>
      <c r="I424" s="56"/>
      <c r="N424" s="55" t="str">
        <f t="shared" ca="1" si="122"/>
        <v>15702 to 3002</v>
      </c>
      <c r="O424" s="55">
        <f t="shared" ref="O424:P424" ca="1" si="125">O423+1</f>
        <v>15702</v>
      </c>
      <c r="P424" s="55">
        <f t="shared" ca="1" si="125"/>
        <v>3002</v>
      </c>
    </row>
    <row r="425" spans="1:16" s="55" customFormat="1" ht="15.75" customHeight="1" x14ac:dyDescent="0.25">
      <c r="A425" s="27">
        <v>3</v>
      </c>
      <c r="B425" s="27" t="s">
        <v>193</v>
      </c>
      <c r="C425" s="27" t="s">
        <v>205</v>
      </c>
      <c r="D425" s="27">
        <f t="shared" si="123"/>
        <v>666.50688000000002</v>
      </c>
      <c r="E425" s="27">
        <v>0</v>
      </c>
      <c r="F425" s="27">
        <f t="shared" si="121"/>
        <v>999.76032000000009</v>
      </c>
      <c r="G425" s="144" t="str">
        <f t="shared" si="124"/>
        <v>1st to 5th, 7th to 10th, 12th to 15th, 17th to 20th, 22nd to 25th &amp; 28th to 30th Floor</v>
      </c>
      <c r="H425" s="145"/>
      <c r="I425" s="56"/>
      <c r="N425" s="55" t="str">
        <f t="shared" ca="1" si="122"/>
        <v>15703 to 3003</v>
      </c>
      <c r="O425" s="55">
        <f t="shared" ref="O425:P425" ca="1" si="126">O424+1</f>
        <v>15703</v>
      </c>
      <c r="P425" s="55">
        <f t="shared" ca="1" si="126"/>
        <v>3003</v>
      </c>
    </row>
    <row r="426" spans="1:16" s="55" customFormat="1" ht="15.75" customHeight="1" x14ac:dyDescent="0.25">
      <c r="A426" s="27">
        <v>4</v>
      </c>
      <c r="B426" s="27" t="s">
        <v>193</v>
      </c>
      <c r="C426" s="27" t="s">
        <v>205</v>
      </c>
      <c r="D426" s="27">
        <f t="shared" si="123"/>
        <v>666.50688000000002</v>
      </c>
      <c r="E426" s="27">
        <v>0</v>
      </c>
      <c r="F426" s="27">
        <f t="shared" si="121"/>
        <v>999.76032000000009</v>
      </c>
      <c r="G426" s="144" t="str">
        <f t="shared" si="124"/>
        <v>1st to 5th, 7th to 10th, 12th to 15th, 17th to 20th, 22nd to 25th &amp; 28th to 30th Floor</v>
      </c>
      <c r="H426" s="145"/>
      <c r="I426" s="56"/>
      <c r="N426" s="55" t="str">
        <f t="shared" ca="1" si="122"/>
        <v>15704 to 3004</v>
      </c>
      <c r="O426" s="55">
        <f t="shared" ref="O426:P426" ca="1" si="127">O425+1</f>
        <v>15704</v>
      </c>
      <c r="P426" s="55">
        <f t="shared" ca="1" si="127"/>
        <v>3004</v>
      </c>
    </row>
    <row r="427" spans="1:16" s="55" customFormat="1" x14ac:dyDescent="0.25">
      <c r="A427" s="126" t="s">
        <v>203</v>
      </c>
      <c r="B427" s="127"/>
      <c r="C427" s="127"/>
      <c r="D427" s="127"/>
      <c r="E427" s="127"/>
      <c r="F427" s="127"/>
      <c r="G427" s="127"/>
      <c r="H427" s="128"/>
      <c r="I427" s="56"/>
      <c r="P427" s="57"/>
    </row>
    <row r="428" spans="1:16" s="55" customFormat="1" x14ac:dyDescent="0.25">
      <c r="A428" s="27">
        <v>1</v>
      </c>
      <c r="B428" s="27" t="s">
        <v>193</v>
      </c>
      <c r="C428" s="27" t="s">
        <v>204</v>
      </c>
      <c r="D428" s="27">
        <f>(54.05+1.47)*10.764</f>
        <v>597.61727999999994</v>
      </c>
      <c r="E428" s="27">
        <v>0</v>
      </c>
      <c r="F428" s="27">
        <f t="shared" ref="F428:F431" si="128">D428*(($F$255)+1)+(IF(E428&lt;101,E428,IF(E428&lt;201,E428/2,IF(E428&lt;=301,E428/3,E428/4))))</f>
        <v>896.42591999999991</v>
      </c>
      <c r="G428" s="144" t="str">
        <f>A427</f>
        <v>6th, 11th, 16th, 21st &amp; 26th Floor (Part Refuge Area)</v>
      </c>
      <c r="H428" s="145"/>
      <c r="I428" s="56"/>
      <c r="N428" s="55" t="str">
        <f t="shared" ref="N428:N431" ca="1" si="129">O428&amp;""&amp;" to "&amp;""&amp;P428</f>
        <v>6101 to 2601</v>
      </c>
      <c r="O428" s="55">
        <f ca="1">(SUMPRODUCT(MID(0&amp;(LEFT(A427,SUM(LEN(A427)-LEN(SUBSTITUTE(A427,{"0","1","2"},""))))), LARGE(INDEX(ISNUMBER(--MID((LEFT(A427,SUM(LEN(A427)-LEN(SUBSTITUTE(A427,{"0","1","2"},""))))), ROW(INDIRECT("1:"&amp;LEN((LEFT(A427,SUM(LEN(A427)-LEN(SUBSTITUTE(A427,{"0","1","2"},"")))))))), 1)) * ROW(INDIRECT("1:"&amp;LEN((LEFT(A427,SUM(LEN(A427)-LEN(SUBSTITUTE(A427,{"0","1","2"},"")))))))), 0), ROW(INDIRECT("1:"&amp;LEN((LEFT(A427,SUM(LEN(A427)-LEN(SUBSTITUTE(A427,{"0","1","2"},"")))))))))+1, 1) * 10^ROW(INDIRECT("1:"&amp;LEN((LEFT(A427,SUM(LEN(A427)-LEN(SUBSTITUTE(A427,{"0","1","2"},""))))))))/10))*100+1</f>
        <v>6101</v>
      </c>
      <c r="P428" s="55">
        <f ca="1">(SUMPRODUCT(MID(0&amp;(--TRIM(RIGHT(SUBSTITUTE(LEFT(A427,_xlfn.AGGREGATE(16,6,FIND({0,1,2,3,4,5,6,7,8,9},A427,ROW(INDIRECT("1:"&amp;LEN(A427)))),1))," ",REPT(" ",LEN(A427))),LEN(A427)))), LARGE(INDEX(ISNUMBER(--MID((--TRIM(RIGHT(SUBSTITUTE(LEFT(A427,_xlfn.AGGREGATE(16,6,FIND({0,1,2,3,4,5,6,7,8,9},A427,ROW(INDIRECT("1:"&amp;LEN(A427)))),1))," ",REPT(" ",LEN(A427))),LEN(A427)))), ROW(INDIRECT("1:"&amp;LEN((--TRIM(RIGHT(SUBSTITUTE(LEFT(A427,_xlfn.AGGREGATE(16,6,FIND({0,1,2,3,4,5,6,7,8,9},A427,ROW(INDIRECT("1:"&amp;LEN(A427)))),1))," ",REPT(" ",LEN(A427))),LEN(A427))))))), 1)) * ROW(INDIRECT("1:"&amp;LEN((--TRIM(RIGHT(SUBSTITUTE(LEFT(A427,_xlfn.AGGREGATE(16,6,FIND({0,1,2,3,4,5,6,7,8,9},A427,ROW(INDIRECT("1:"&amp;LEN(A427)))),1))," ",REPT(" ",LEN(A427))),LEN(A427))))))), 0), ROW(INDIRECT("1:"&amp;LEN((--TRIM(RIGHT(SUBSTITUTE(LEFT(A427,_xlfn.AGGREGATE(16,6,FIND({0,1,2,3,4,5,6,7,8,9},A427,ROW(INDIRECT("1:"&amp;LEN(A427)))),1))," ",REPT(" ",LEN(A427))),LEN(A427))))))))+1, 1) * 10^ROW(INDIRECT("1:"&amp;LEN((--TRIM(RIGHT(SUBSTITUTE(LEFT(A427,_xlfn.AGGREGATE(16,6,FIND({0,1,2,3,4,5,6,7,8,9},A427,ROW(INDIRECT("1:"&amp;LEN(A427)))),1))," ",REPT(" ",LEN(A427))),LEN(A427)))))))/10))*100+1</f>
        <v>2601</v>
      </c>
    </row>
    <row r="429" spans="1:16" s="55" customFormat="1" x14ac:dyDescent="0.25">
      <c r="A429" s="27">
        <v>2</v>
      </c>
      <c r="B429" s="27" t="s">
        <v>193</v>
      </c>
      <c r="C429" s="27" t="s">
        <v>204</v>
      </c>
      <c r="D429" s="27">
        <f>(54.05+1.47)*10.764</f>
        <v>597.61727999999994</v>
      </c>
      <c r="E429" s="27">
        <v>0</v>
      </c>
      <c r="F429" s="27">
        <f t="shared" si="128"/>
        <v>896.42591999999991</v>
      </c>
      <c r="G429" s="144" t="str">
        <f t="shared" ref="G429:G431" si="130">G428</f>
        <v>6th, 11th, 16th, 21st &amp; 26th Floor (Part Refuge Area)</v>
      </c>
      <c r="H429" s="145"/>
      <c r="I429" s="56"/>
      <c r="N429" s="55" t="str">
        <f t="shared" ca="1" si="129"/>
        <v>6102 to 2602</v>
      </c>
      <c r="O429" s="55">
        <f t="shared" ref="O429:P429" ca="1" si="131">O428+1</f>
        <v>6102</v>
      </c>
      <c r="P429" s="55">
        <f t="shared" ca="1" si="131"/>
        <v>2602</v>
      </c>
    </row>
    <row r="430" spans="1:16" s="55" customFormat="1" ht="15.75" customHeight="1" x14ac:dyDescent="0.25">
      <c r="A430" s="27">
        <v>3</v>
      </c>
      <c r="B430" s="27" t="s">
        <v>193</v>
      </c>
      <c r="C430" s="27" t="s">
        <v>205</v>
      </c>
      <c r="D430" s="27">
        <f t="shared" ref="D430:D431" si="132">(60.45+1.47)*10.764</f>
        <v>666.50688000000002</v>
      </c>
      <c r="E430" s="27">
        <v>0</v>
      </c>
      <c r="F430" s="27">
        <f t="shared" si="128"/>
        <v>999.76032000000009</v>
      </c>
      <c r="G430" s="144" t="str">
        <f t="shared" si="130"/>
        <v>6th, 11th, 16th, 21st &amp; 26th Floor (Part Refuge Area)</v>
      </c>
      <c r="H430" s="145"/>
      <c r="I430" s="56"/>
      <c r="N430" s="55" t="str">
        <f t="shared" ca="1" si="129"/>
        <v>6103 to 2603</v>
      </c>
      <c r="O430" s="55">
        <f t="shared" ref="O430:P430" ca="1" si="133">O429+1</f>
        <v>6103</v>
      </c>
      <c r="P430" s="55">
        <f t="shared" ca="1" si="133"/>
        <v>2603</v>
      </c>
    </row>
    <row r="431" spans="1:16" s="55" customFormat="1" ht="15.75" customHeight="1" x14ac:dyDescent="0.25">
      <c r="A431" s="27">
        <v>4</v>
      </c>
      <c r="B431" s="27" t="s">
        <v>193</v>
      </c>
      <c r="C431" s="27" t="s">
        <v>205</v>
      </c>
      <c r="D431" s="27">
        <f t="shared" si="132"/>
        <v>666.50688000000002</v>
      </c>
      <c r="E431" s="27">
        <v>0</v>
      </c>
      <c r="F431" s="27">
        <f t="shared" si="128"/>
        <v>999.76032000000009</v>
      </c>
      <c r="G431" s="144" t="str">
        <f t="shared" si="130"/>
        <v>6th, 11th, 16th, 21st &amp; 26th Floor (Part Refuge Area)</v>
      </c>
      <c r="H431" s="145"/>
      <c r="I431" s="56">
        <f>7356019/F431</f>
        <v>7357.7825133127899</v>
      </c>
      <c r="J431" s="68">
        <f>610965/F431/26</f>
        <v>23.50428735374679</v>
      </c>
      <c r="N431" s="55" t="str">
        <f t="shared" ca="1" si="129"/>
        <v>6104 to 2604</v>
      </c>
      <c r="O431" s="55">
        <f t="shared" ref="O431:P431" ca="1" si="134">O430+1</f>
        <v>6104</v>
      </c>
      <c r="P431" s="55">
        <f t="shared" ca="1" si="134"/>
        <v>2604</v>
      </c>
    </row>
    <row r="432" spans="1:16" s="54" customFormat="1" x14ac:dyDescent="0.25">
      <c r="A432" s="194" t="s">
        <v>75</v>
      </c>
      <c r="B432" s="194"/>
      <c r="C432" s="194"/>
      <c r="D432" s="194"/>
      <c r="E432" s="194"/>
      <c r="F432" s="194"/>
      <c r="G432" s="194"/>
      <c r="H432" s="194"/>
    </row>
    <row r="433" spans="1:9" s="54" customFormat="1" ht="33" customHeight="1" x14ac:dyDescent="0.25">
      <c r="A433" s="30" t="s">
        <v>233</v>
      </c>
      <c r="B433" s="120" t="s">
        <v>267</v>
      </c>
      <c r="C433" s="121"/>
      <c r="D433" s="121"/>
      <c r="E433" s="121"/>
      <c r="F433" s="121"/>
      <c r="G433" s="121"/>
      <c r="H433" s="122"/>
      <c r="I433" s="54" t="s">
        <v>248</v>
      </c>
    </row>
    <row r="434" spans="1:9" s="54" customFormat="1" x14ac:dyDescent="0.25">
      <c r="A434" s="30" t="s">
        <v>233</v>
      </c>
      <c r="B434" s="120" t="s">
        <v>222</v>
      </c>
      <c r="C434" s="121"/>
      <c r="D434" s="121"/>
      <c r="E434" s="121"/>
      <c r="F434" s="121"/>
      <c r="G434" s="121"/>
      <c r="H434" s="122"/>
    </row>
    <row r="435" spans="1:9" s="54" customFormat="1" x14ac:dyDescent="0.25">
      <c r="A435" s="30" t="s">
        <v>233</v>
      </c>
      <c r="B435" s="120" t="s">
        <v>138</v>
      </c>
      <c r="C435" s="121"/>
      <c r="D435" s="121"/>
      <c r="E435" s="121"/>
      <c r="F435" s="121"/>
      <c r="G435" s="121"/>
      <c r="H435" s="122"/>
    </row>
    <row r="436" spans="1:9" s="54" customFormat="1" x14ac:dyDescent="0.25">
      <c r="A436" s="30" t="s">
        <v>233</v>
      </c>
      <c r="B436" s="88" t="s">
        <v>223</v>
      </c>
      <c r="C436" s="89"/>
      <c r="D436" s="89"/>
      <c r="E436" s="89"/>
      <c r="F436" s="89"/>
      <c r="G436" s="89"/>
      <c r="H436" s="90"/>
    </row>
    <row r="437" spans="1:9" s="54" customFormat="1" x14ac:dyDescent="0.25">
      <c r="A437" s="30" t="s">
        <v>233</v>
      </c>
      <c r="B437" s="88" t="s">
        <v>139</v>
      </c>
      <c r="C437" s="89"/>
      <c r="D437" s="89"/>
      <c r="E437" s="89"/>
      <c r="F437" s="89"/>
      <c r="G437" s="89"/>
      <c r="H437" s="90"/>
    </row>
    <row r="438" spans="1:9" s="54" customFormat="1" x14ac:dyDescent="0.25">
      <c r="A438" s="30" t="s">
        <v>233</v>
      </c>
      <c r="B438" s="88" t="s">
        <v>140</v>
      </c>
      <c r="C438" s="89"/>
      <c r="D438" s="89"/>
      <c r="E438" s="89"/>
      <c r="F438" s="89"/>
      <c r="G438" s="89"/>
      <c r="H438" s="90"/>
    </row>
    <row r="439" spans="1:9" s="54" customFormat="1" ht="66.75" customHeight="1" x14ac:dyDescent="0.25">
      <c r="A439" s="30" t="s">
        <v>233</v>
      </c>
      <c r="B439" s="123" t="s">
        <v>234</v>
      </c>
      <c r="C439" s="124"/>
      <c r="D439" s="124"/>
      <c r="E439" s="124"/>
      <c r="F439" s="124"/>
      <c r="G439" s="124"/>
      <c r="H439" s="125"/>
    </row>
    <row r="440" spans="1:9" s="54" customFormat="1" x14ac:dyDescent="0.25">
      <c r="A440" s="30" t="s">
        <v>233</v>
      </c>
      <c r="B440" s="123" t="s">
        <v>225</v>
      </c>
      <c r="C440" s="124"/>
      <c r="D440" s="124"/>
      <c r="E440" s="124"/>
      <c r="F440" s="124"/>
      <c r="G440" s="124"/>
      <c r="H440" s="125"/>
    </row>
    <row r="441" spans="1:9" s="54" customFormat="1" ht="48.75" hidden="1" customHeight="1" x14ac:dyDescent="0.25">
      <c r="A441" s="31" t="s">
        <v>233</v>
      </c>
      <c r="B441" s="123" t="s">
        <v>239</v>
      </c>
      <c r="C441" s="124"/>
      <c r="D441" s="124"/>
      <c r="E441" s="124"/>
      <c r="F441" s="124"/>
      <c r="G441" s="124"/>
      <c r="H441" s="125"/>
    </row>
    <row r="442" spans="1:9" s="54" customFormat="1" hidden="1" x14ac:dyDescent="0.25">
      <c r="A442" s="30" t="s">
        <v>233</v>
      </c>
      <c r="B442" s="117" t="s">
        <v>242</v>
      </c>
      <c r="C442" s="118"/>
      <c r="D442" s="118"/>
      <c r="E442" s="118"/>
      <c r="F442" s="118"/>
      <c r="G442" s="118"/>
      <c r="H442" s="119"/>
    </row>
    <row r="443" spans="1:9" s="54" customFormat="1" x14ac:dyDescent="0.25">
      <c r="A443" s="77" t="s">
        <v>233</v>
      </c>
      <c r="B443" s="88" t="s">
        <v>257</v>
      </c>
      <c r="C443" s="89"/>
      <c r="D443" s="89"/>
      <c r="E443" s="89"/>
      <c r="F443" s="89"/>
      <c r="G443" s="89"/>
      <c r="H443" s="90"/>
    </row>
    <row r="444" spans="1:9" s="54" customFormat="1" x14ac:dyDescent="0.25">
      <c r="A444" s="85" t="s">
        <v>233</v>
      </c>
      <c r="B444" s="88" t="s">
        <v>268</v>
      </c>
      <c r="C444" s="89"/>
      <c r="D444" s="89"/>
      <c r="E444" s="89"/>
      <c r="F444" s="89"/>
      <c r="G444" s="89"/>
      <c r="H444" s="90"/>
    </row>
    <row r="445" spans="1:9" x14ac:dyDescent="0.25">
      <c r="A445" s="209" t="s">
        <v>68</v>
      </c>
      <c r="B445" s="209"/>
      <c r="C445" s="209"/>
      <c r="D445" s="209"/>
      <c r="E445" s="209"/>
      <c r="F445" s="209"/>
      <c r="G445" s="209"/>
      <c r="H445" s="209"/>
    </row>
    <row r="446" spans="1:9" x14ac:dyDescent="0.25">
      <c r="A446" s="114" t="s">
        <v>69</v>
      </c>
      <c r="B446" s="114"/>
      <c r="C446" s="114"/>
      <c r="D446" s="114"/>
      <c r="E446" s="114"/>
      <c r="F446" s="114"/>
      <c r="G446" s="114"/>
      <c r="H446" s="114"/>
    </row>
    <row r="447" spans="1:9" ht="15.75" customHeight="1" x14ac:dyDescent="0.25">
      <c r="A447" s="195" t="s">
        <v>70</v>
      </c>
      <c r="B447" s="195"/>
      <c r="C447" s="195"/>
      <c r="D447" s="195"/>
      <c r="E447" s="195"/>
      <c r="F447" s="195"/>
      <c r="G447" s="195"/>
      <c r="H447" s="195"/>
    </row>
    <row r="448" spans="1:9" x14ac:dyDescent="0.25">
      <c r="A448" s="114" t="s">
        <v>71</v>
      </c>
      <c r="B448" s="114"/>
      <c r="C448" s="114"/>
      <c r="D448" s="114"/>
      <c r="E448" s="114"/>
      <c r="F448" s="114"/>
      <c r="G448" s="114"/>
      <c r="H448" s="114"/>
    </row>
    <row r="449" spans="1:8" x14ac:dyDescent="0.25">
      <c r="A449" s="114" t="s">
        <v>72</v>
      </c>
      <c r="B449" s="114"/>
      <c r="C449" s="114"/>
      <c r="D449" s="114"/>
      <c r="E449" s="114"/>
      <c r="F449" s="114"/>
      <c r="G449" s="114"/>
      <c r="H449" s="114"/>
    </row>
    <row r="450" spans="1:8" x14ac:dyDescent="0.25">
      <c r="A450" s="114" t="s">
        <v>141</v>
      </c>
      <c r="B450" s="114"/>
      <c r="C450" s="114"/>
      <c r="D450" s="114"/>
      <c r="E450" s="114"/>
      <c r="F450" s="114"/>
      <c r="G450" s="114"/>
      <c r="H450" s="114"/>
    </row>
    <row r="451" spans="1:8" ht="35.25" customHeight="1" x14ac:dyDescent="0.25">
      <c r="A451" s="167" t="s">
        <v>142</v>
      </c>
      <c r="B451" s="167"/>
      <c r="C451" s="167"/>
      <c r="D451" s="167"/>
      <c r="E451" s="167"/>
      <c r="F451" s="167"/>
      <c r="G451" s="167"/>
      <c r="H451" s="167"/>
    </row>
    <row r="452" spans="1:8" x14ac:dyDescent="0.25">
      <c r="A452" s="191" t="s">
        <v>87</v>
      </c>
      <c r="B452" s="191"/>
      <c r="C452" s="191" t="s">
        <v>258</v>
      </c>
      <c r="D452" s="191"/>
      <c r="E452" s="191" t="s">
        <v>119</v>
      </c>
      <c r="F452" s="191"/>
      <c r="G452" s="191" t="s">
        <v>266</v>
      </c>
      <c r="H452" s="191"/>
    </row>
    <row r="453" spans="1:8" x14ac:dyDescent="0.25">
      <c r="A453" s="190" t="s">
        <v>89</v>
      </c>
      <c r="B453" s="190"/>
      <c r="C453" s="190"/>
      <c r="D453" s="190"/>
      <c r="E453" s="190"/>
      <c r="F453" s="190"/>
      <c r="G453" s="190"/>
      <c r="H453" s="190"/>
    </row>
    <row r="454" spans="1:8" x14ac:dyDescent="0.25">
      <c r="A454" s="190"/>
      <c r="B454" s="190"/>
      <c r="C454" s="190"/>
      <c r="D454" s="190"/>
      <c r="E454" s="190"/>
      <c r="F454" s="190"/>
      <c r="G454" s="190"/>
      <c r="H454" s="190"/>
    </row>
    <row r="455" spans="1:8" x14ac:dyDescent="0.25">
      <c r="A455" s="190"/>
      <c r="B455" s="190"/>
      <c r="C455" s="190"/>
      <c r="D455" s="190"/>
      <c r="E455" s="190"/>
      <c r="F455" s="190"/>
      <c r="G455" s="190"/>
      <c r="H455" s="190"/>
    </row>
    <row r="456" spans="1:8" x14ac:dyDescent="0.25">
      <c r="A456" s="58" t="s">
        <v>73</v>
      </c>
      <c r="B456" s="59"/>
      <c r="C456" s="59"/>
      <c r="D456" s="58" t="str">
        <f>E8</f>
        <v>Provident Palmvista</v>
      </c>
      <c r="F456" s="59"/>
      <c r="G456" s="59"/>
      <c r="H456" s="59"/>
    </row>
    <row r="457" spans="1:8" x14ac:dyDescent="0.25">
      <c r="A457" s="59"/>
      <c r="B457" s="59"/>
      <c r="C457" s="59"/>
      <c r="D457" s="59"/>
      <c r="E457" s="59"/>
      <c r="F457" s="59"/>
      <c r="G457" s="59"/>
      <c r="H457" s="59"/>
    </row>
    <row r="458" spans="1:8" x14ac:dyDescent="0.25">
      <c r="A458"/>
      <c r="B458" s="59"/>
      <c r="C458" s="59"/>
      <c r="D458" s="59"/>
      <c r="E458" s="59"/>
      <c r="F458" s="59"/>
      <c r="G458" s="59"/>
      <c r="H458" s="59"/>
    </row>
    <row r="459" spans="1:8" ht="15" customHeight="1" x14ac:dyDescent="0.25"/>
    <row r="499" spans="1:1" x14ac:dyDescent="0.25">
      <c r="A499" s="61" t="s">
        <v>74</v>
      </c>
    </row>
  </sheetData>
  <mergeCells count="674">
    <mergeCell ref="B443:H443"/>
    <mergeCell ref="A104:B104"/>
    <mergeCell ref="C104:H104"/>
    <mergeCell ref="A106:B106"/>
    <mergeCell ref="C106:H106"/>
    <mergeCell ref="A107:B107"/>
    <mergeCell ref="E107:F107"/>
    <mergeCell ref="G107:H107"/>
    <mergeCell ref="A108:B108"/>
    <mergeCell ref="E108:F117"/>
    <mergeCell ref="G108:H117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22:B122"/>
    <mergeCell ref="E122:F131"/>
    <mergeCell ref="G122:H131"/>
    <mergeCell ref="A123:B123"/>
    <mergeCell ref="E40:H40"/>
    <mergeCell ref="A40:D40"/>
    <mergeCell ref="A90:B90"/>
    <mergeCell ref="C90:H90"/>
    <mergeCell ref="C118:H118"/>
    <mergeCell ref="A120:B120"/>
    <mergeCell ref="C120:H120"/>
    <mergeCell ref="A121:B121"/>
    <mergeCell ref="E121:F121"/>
    <mergeCell ref="G121:H121"/>
    <mergeCell ref="A46:B46"/>
    <mergeCell ref="C46:E46"/>
    <mergeCell ref="G46:H46"/>
    <mergeCell ref="G48:H48"/>
    <mergeCell ref="D52:H52"/>
    <mergeCell ref="C48:E48"/>
    <mergeCell ref="D55:H55"/>
    <mergeCell ref="D56:H56"/>
    <mergeCell ref="C47:E47"/>
    <mergeCell ref="A50:B50"/>
    <mergeCell ref="C50:E50"/>
    <mergeCell ref="A47:B47"/>
    <mergeCell ref="A51:H51"/>
    <mergeCell ref="A52:C52"/>
    <mergeCell ref="A124:B124"/>
    <mergeCell ref="A125:B125"/>
    <mergeCell ref="A126:B126"/>
    <mergeCell ref="A127:B127"/>
    <mergeCell ref="A128:B128"/>
    <mergeCell ref="A129:B129"/>
    <mergeCell ref="A130:B130"/>
    <mergeCell ref="A131:B131"/>
    <mergeCell ref="B441:H441"/>
    <mergeCell ref="A195:B195"/>
    <mergeCell ref="C195:D195"/>
    <mergeCell ref="E195:F195"/>
    <mergeCell ref="G195:H195"/>
    <mergeCell ref="B192:B194"/>
    <mergeCell ref="A199:A200"/>
    <mergeCell ref="B439:H439"/>
    <mergeCell ref="G202:H202"/>
    <mergeCell ref="C203:D203"/>
    <mergeCell ref="E203:F203"/>
    <mergeCell ref="G203:H203"/>
    <mergeCell ref="C204:D204"/>
    <mergeCell ref="E204:F204"/>
    <mergeCell ref="G204:H204"/>
    <mergeCell ref="C205:D205"/>
    <mergeCell ref="C199:D199"/>
    <mergeCell ref="E199:F199"/>
    <mergeCell ref="G199:H199"/>
    <mergeCell ref="A206:B206"/>
    <mergeCell ref="A419:H419"/>
    <mergeCell ref="G431:H431"/>
    <mergeCell ref="G428:H428"/>
    <mergeCell ref="G429:H429"/>
    <mergeCell ref="G430:H430"/>
    <mergeCell ref="G206:H206"/>
    <mergeCell ref="G412:H412"/>
    <mergeCell ref="A413:H413"/>
    <mergeCell ref="G414:H414"/>
    <mergeCell ref="G415:H415"/>
    <mergeCell ref="G401:H401"/>
    <mergeCell ref="G402:H402"/>
    <mergeCell ref="G403:H403"/>
    <mergeCell ref="G416:H416"/>
    <mergeCell ref="A405:H405"/>
    <mergeCell ref="A406:H406"/>
    <mergeCell ref="A407:H407"/>
    <mergeCell ref="G389:H389"/>
    <mergeCell ref="C387:F387"/>
    <mergeCell ref="A390:H390"/>
    <mergeCell ref="A399:H399"/>
    <mergeCell ref="G400:H400"/>
    <mergeCell ref="A408:H408"/>
    <mergeCell ref="G409:H409"/>
    <mergeCell ref="G410:H410"/>
    <mergeCell ref="G395:H395"/>
    <mergeCell ref="A427:H427"/>
    <mergeCell ref="A418:H418"/>
    <mergeCell ref="A422:H422"/>
    <mergeCell ref="G423:H423"/>
    <mergeCell ref="G424:H424"/>
    <mergeCell ref="G425:H425"/>
    <mergeCell ref="G411:H411"/>
    <mergeCell ref="A420:H420"/>
    <mergeCell ref="A421:H421"/>
    <mergeCell ref="G426:H426"/>
    <mergeCell ref="G417:H417"/>
    <mergeCell ref="A391:H391"/>
    <mergeCell ref="A392:H392"/>
    <mergeCell ref="A393:H393"/>
    <mergeCell ref="A404:H404"/>
    <mergeCell ref="G398:H398"/>
    <mergeCell ref="G365:H365"/>
    <mergeCell ref="G366:H366"/>
    <mergeCell ref="G367:H367"/>
    <mergeCell ref="G368:H368"/>
    <mergeCell ref="G369:H369"/>
    <mergeCell ref="C365:F367"/>
    <mergeCell ref="C368:F371"/>
    <mergeCell ref="A383:H383"/>
    <mergeCell ref="G370:H370"/>
    <mergeCell ref="G371:H371"/>
    <mergeCell ref="A372:H372"/>
    <mergeCell ref="A373:H373"/>
    <mergeCell ref="A374:H374"/>
    <mergeCell ref="A375:H375"/>
    <mergeCell ref="G384:H384"/>
    <mergeCell ref="G385:H385"/>
    <mergeCell ref="G386:H386"/>
    <mergeCell ref="G387:H387"/>
    <mergeCell ref="G388:H388"/>
    <mergeCell ref="L383:M383"/>
    <mergeCell ref="A376:H376"/>
    <mergeCell ref="L376:M376"/>
    <mergeCell ref="G377:H377"/>
    <mergeCell ref="G378:H378"/>
    <mergeCell ref="G379:H379"/>
    <mergeCell ref="G380:H380"/>
    <mergeCell ref="G381:H381"/>
    <mergeCell ref="G382:H382"/>
    <mergeCell ref="G360:H360"/>
    <mergeCell ref="G361:H361"/>
    <mergeCell ref="G362:H362"/>
    <mergeCell ref="G363:H363"/>
    <mergeCell ref="G364:H364"/>
    <mergeCell ref="G356:H356"/>
    <mergeCell ref="G357:H357"/>
    <mergeCell ref="G358:H358"/>
    <mergeCell ref="C355:F355"/>
    <mergeCell ref="A359:H359"/>
    <mergeCell ref="L359:M359"/>
    <mergeCell ref="G351:H351"/>
    <mergeCell ref="G352:H352"/>
    <mergeCell ref="G353:H353"/>
    <mergeCell ref="G354:H354"/>
    <mergeCell ref="G355:H355"/>
    <mergeCell ref="A346:H346"/>
    <mergeCell ref="L346:M346"/>
    <mergeCell ref="G347:H347"/>
    <mergeCell ref="G348:H348"/>
    <mergeCell ref="G349:H349"/>
    <mergeCell ref="G350:H350"/>
    <mergeCell ref="G341:H341"/>
    <mergeCell ref="G342:H342"/>
    <mergeCell ref="G343:H343"/>
    <mergeCell ref="G344:H344"/>
    <mergeCell ref="G345:H345"/>
    <mergeCell ref="G336:H336"/>
    <mergeCell ref="G337:H337"/>
    <mergeCell ref="G338:H338"/>
    <mergeCell ref="G339:H339"/>
    <mergeCell ref="G340:H340"/>
    <mergeCell ref="G331:H331"/>
    <mergeCell ref="G332:H332"/>
    <mergeCell ref="A333:H333"/>
    <mergeCell ref="L333:M333"/>
    <mergeCell ref="G334:H334"/>
    <mergeCell ref="G335:H335"/>
    <mergeCell ref="G327:H327"/>
    <mergeCell ref="G328:H328"/>
    <mergeCell ref="G329:H329"/>
    <mergeCell ref="G330:H330"/>
    <mergeCell ref="A319:H319"/>
    <mergeCell ref="A320:H320"/>
    <mergeCell ref="L320:M320"/>
    <mergeCell ref="G321:H321"/>
    <mergeCell ref="G322:H322"/>
    <mergeCell ref="G323:H323"/>
    <mergeCell ref="G324:H324"/>
    <mergeCell ref="G325:H325"/>
    <mergeCell ref="G326:H326"/>
    <mergeCell ref="A305:H305"/>
    <mergeCell ref="G306:H306"/>
    <mergeCell ref="G307:H307"/>
    <mergeCell ref="G308:H308"/>
    <mergeCell ref="G309:H309"/>
    <mergeCell ref="G310:H310"/>
    <mergeCell ref="G311:H311"/>
    <mergeCell ref="C254:C255"/>
    <mergeCell ref="G273:H273"/>
    <mergeCell ref="G262:H262"/>
    <mergeCell ref="G261:H261"/>
    <mergeCell ref="G258:H258"/>
    <mergeCell ref="E254:E255"/>
    <mergeCell ref="G254:H255"/>
    <mergeCell ref="L243:M243"/>
    <mergeCell ref="A291:H291"/>
    <mergeCell ref="L291:M291"/>
    <mergeCell ref="G292:H292"/>
    <mergeCell ref="G293:H293"/>
    <mergeCell ref="G294:H294"/>
    <mergeCell ref="G295:H295"/>
    <mergeCell ref="L244:M244"/>
    <mergeCell ref="L245:M245"/>
    <mergeCell ref="L246:M246"/>
    <mergeCell ref="L247:M247"/>
    <mergeCell ref="L248:M248"/>
    <mergeCell ref="L249:M249"/>
    <mergeCell ref="L250:M250"/>
    <mergeCell ref="L251:M251"/>
    <mergeCell ref="L252:M252"/>
    <mergeCell ref="G289:H289"/>
    <mergeCell ref="C289:F289"/>
    <mergeCell ref="A290:H290"/>
    <mergeCell ref="G274:H274"/>
    <mergeCell ref="G270:H270"/>
    <mergeCell ref="G271:H271"/>
    <mergeCell ref="G269:H269"/>
    <mergeCell ref="G244:H244"/>
    <mergeCell ref="L239:M239"/>
    <mergeCell ref="G240:H240"/>
    <mergeCell ref="L240:M240"/>
    <mergeCell ref="G241:H241"/>
    <mergeCell ref="L241:M241"/>
    <mergeCell ref="G242:H242"/>
    <mergeCell ref="L242:M242"/>
    <mergeCell ref="G287:H287"/>
    <mergeCell ref="G288:H288"/>
    <mergeCell ref="G282:H282"/>
    <mergeCell ref="G283:H283"/>
    <mergeCell ref="G284:H284"/>
    <mergeCell ref="G285:H285"/>
    <mergeCell ref="G286:H286"/>
    <mergeCell ref="G277:H277"/>
    <mergeCell ref="G278:H278"/>
    <mergeCell ref="A279:H279"/>
    <mergeCell ref="G280:H280"/>
    <mergeCell ref="G281:H281"/>
    <mergeCell ref="G265:H265"/>
    <mergeCell ref="G266:H266"/>
    <mergeCell ref="G267:H267"/>
    <mergeCell ref="G275:H275"/>
    <mergeCell ref="G276:H276"/>
    <mergeCell ref="L225:M225"/>
    <mergeCell ref="G226:H226"/>
    <mergeCell ref="L226:M226"/>
    <mergeCell ref="G227:H227"/>
    <mergeCell ref="L227:M227"/>
    <mergeCell ref="A256:H256"/>
    <mergeCell ref="G264:H264"/>
    <mergeCell ref="L230:M230"/>
    <mergeCell ref="L231:M231"/>
    <mergeCell ref="L232:M232"/>
    <mergeCell ref="L233:M233"/>
    <mergeCell ref="L234:M234"/>
    <mergeCell ref="L235:M235"/>
    <mergeCell ref="L236:M236"/>
    <mergeCell ref="L257:M257"/>
    <mergeCell ref="A228:H228"/>
    <mergeCell ref="A229:H229"/>
    <mergeCell ref="G230:H230"/>
    <mergeCell ref="G231:H231"/>
    <mergeCell ref="G232:H232"/>
    <mergeCell ref="G233:H233"/>
    <mergeCell ref="G234:H234"/>
    <mergeCell ref="G235:H235"/>
    <mergeCell ref="G236:H236"/>
    <mergeCell ref="L221:M221"/>
    <mergeCell ref="G222:H222"/>
    <mergeCell ref="L222:M222"/>
    <mergeCell ref="G223:H223"/>
    <mergeCell ref="L223:M223"/>
    <mergeCell ref="G224:H224"/>
    <mergeCell ref="L224:M224"/>
    <mergeCell ref="A55:C57"/>
    <mergeCell ref="D57:H57"/>
    <mergeCell ref="A61:C61"/>
    <mergeCell ref="D61:H61"/>
    <mergeCell ref="A66:B66"/>
    <mergeCell ref="G65:H65"/>
    <mergeCell ref="A64:B64"/>
    <mergeCell ref="A62:B62"/>
    <mergeCell ref="C62:H62"/>
    <mergeCell ref="A70:B70"/>
    <mergeCell ref="A60:C60"/>
    <mergeCell ref="D60:H60"/>
    <mergeCell ref="C64:H64"/>
    <mergeCell ref="A67:B67"/>
    <mergeCell ref="A69:B69"/>
    <mergeCell ref="E65:F65"/>
    <mergeCell ref="A58:C58"/>
    <mergeCell ref="A446:H446"/>
    <mergeCell ref="E197:F197"/>
    <mergeCell ref="E191:F191"/>
    <mergeCell ref="A174:E174"/>
    <mergeCell ref="F174:H174"/>
    <mergeCell ref="A208:H208"/>
    <mergeCell ref="G260:H260"/>
    <mergeCell ref="A191:B191"/>
    <mergeCell ref="F184:H184"/>
    <mergeCell ref="C191:D191"/>
    <mergeCell ref="F181:H181"/>
    <mergeCell ref="G396:H396"/>
    <mergeCell ref="F187:H187"/>
    <mergeCell ref="G243:H243"/>
    <mergeCell ref="A312:H312"/>
    <mergeCell ref="G313:H313"/>
    <mergeCell ref="G296:H296"/>
    <mergeCell ref="G297:H297"/>
    <mergeCell ref="A298:H298"/>
    <mergeCell ref="G299:H299"/>
    <mergeCell ref="G300:H300"/>
    <mergeCell ref="G301:H301"/>
    <mergeCell ref="G302:H302"/>
    <mergeCell ref="G303:H303"/>
    <mergeCell ref="A98:B98"/>
    <mergeCell ref="A99:B99"/>
    <mergeCell ref="A100:B100"/>
    <mergeCell ref="A445:H445"/>
    <mergeCell ref="G304:H304"/>
    <mergeCell ref="G314:H314"/>
    <mergeCell ref="G315:H315"/>
    <mergeCell ref="G316:H316"/>
    <mergeCell ref="G317:H317"/>
    <mergeCell ref="G318:H318"/>
    <mergeCell ref="C317:F317"/>
    <mergeCell ref="A237:H237"/>
    <mergeCell ref="A238:H238"/>
    <mergeCell ref="G245:H245"/>
    <mergeCell ref="G246:H246"/>
    <mergeCell ref="G247:H247"/>
    <mergeCell ref="G248:H248"/>
    <mergeCell ref="G249:H249"/>
    <mergeCell ref="G250:H250"/>
    <mergeCell ref="A152:B152"/>
    <mergeCell ref="G251:H251"/>
    <mergeCell ref="G252:H252"/>
    <mergeCell ref="G272:H272"/>
    <mergeCell ref="G191:H191"/>
    <mergeCell ref="A53:C53"/>
    <mergeCell ref="D53:H53"/>
    <mergeCell ref="G50:H50"/>
    <mergeCell ref="C49:H49"/>
    <mergeCell ref="B210:B211"/>
    <mergeCell ref="A210:A211"/>
    <mergeCell ref="D210:D211"/>
    <mergeCell ref="A71:B71"/>
    <mergeCell ref="F178:H178"/>
    <mergeCell ref="A175:H175"/>
    <mergeCell ref="A176:B176"/>
    <mergeCell ref="A177:H177"/>
    <mergeCell ref="G192:H192"/>
    <mergeCell ref="C206:D206"/>
    <mergeCell ref="E206:F206"/>
    <mergeCell ref="A146:B146"/>
    <mergeCell ref="C146:H146"/>
    <mergeCell ref="A148:B148"/>
    <mergeCell ref="C148:H148"/>
    <mergeCell ref="A149:B149"/>
    <mergeCell ref="E149:F149"/>
    <mergeCell ref="G149:H149"/>
    <mergeCell ref="A150:B150"/>
    <mergeCell ref="E150:F159"/>
    <mergeCell ref="A453:H455"/>
    <mergeCell ref="A452:B452"/>
    <mergeCell ref="E452:F452"/>
    <mergeCell ref="C452:D452"/>
    <mergeCell ref="G452:H452"/>
    <mergeCell ref="A190:H190"/>
    <mergeCell ref="A188:E188"/>
    <mergeCell ref="F188:H188"/>
    <mergeCell ref="A189:E189"/>
    <mergeCell ref="F189:H189"/>
    <mergeCell ref="A257:H257"/>
    <mergeCell ref="A448:H448"/>
    <mergeCell ref="A196:H196"/>
    <mergeCell ref="A451:H451"/>
    <mergeCell ref="A449:H449"/>
    <mergeCell ref="A432:H432"/>
    <mergeCell ref="G397:H397"/>
    <mergeCell ref="C210:C211"/>
    <mergeCell ref="B254:B255"/>
    <mergeCell ref="A394:H394"/>
    <mergeCell ref="A450:H450"/>
    <mergeCell ref="A447:H447"/>
    <mergeCell ref="A268:H268"/>
    <mergeCell ref="A197:B197"/>
    <mergeCell ref="A59:C59"/>
    <mergeCell ref="D58:H58"/>
    <mergeCell ref="E66:F75"/>
    <mergeCell ref="G66:H75"/>
    <mergeCell ref="A74:B74"/>
    <mergeCell ref="A75:B75"/>
    <mergeCell ref="D59:H59"/>
    <mergeCell ref="G263:H263"/>
    <mergeCell ref="C197:D197"/>
    <mergeCell ref="G197:H197"/>
    <mergeCell ref="A212:H212"/>
    <mergeCell ref="G221:H221"/>
    <mergeCell ref="G225:H225"/>
    <mergeCell ref="G239:H239"/>
    <mergeCell ref="C198:D198"/>
    <mergeCell ref="E198:F198"/>
    <mergeCell ref="G198:H198"/>
    <mergeCell ref="G150:H159"/>
    <mergeCell ref="A151:B151"/>
    <mergeCell ref="F183:H183"/>
    <mergeCell ref="A253:H253"/>
    <mergeCell ref="A254:A255"/>
    <mergeCell ref="A153:B153"/>
    <mergeCell ref="F185:H185"/>
    <mergeCell ref="A41:D41"/>
    <mergeCell ref="E41:H41"/>
    <mergeCell ref="E42:H42"/>
    <mergeCell ref="E43:H43"/>
    <mergeCell ref="E44:H44"/>
    <mergeCell ref="A42:D42"/>
    <mergeCell ref="A43:D43"/>
    <mergeCell ref="A44:D44"/>
    <mergeCell ref="A45:H45"/>
    <mergeCell ref="D54:H54"/>
    <mergeCell ref="A54:C54"/>
    <mergeCell ref="G47:H47"/>
    <mergeCell ref="A48:B49"/>
    <mergeCell ref="A72:B72"/>
    <mergeCell ref="A65:B65"/>
    <mergeCell ref="A68:B68"/>
    <mergeCell ref="A73:B73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E13:F13"/>
    <mergeCell ref="G13:H13"/>
    <mergeCell ref="A20:D21"/>
    <mergeCell ref="E20:H21"/>
    <mergeCell ref="A14:B14"/>
    <mergeCell ref="C14:H14"/>
    <mergeCell ref="C15:H15"/>
    <mergeCell ref="A9:D9"/>
    <mergeCell ref="E9:H9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A39:D39"/>
    <mergeCell ref="E39:H39"/>
    <mergeCell ref="F31:H31"/>
    <mergeCell ref="F32:H32"/>
    <mergeCell ref="C30:E30"/>
    <mergeCell ref="F33:H33"/>
    <mergeCell ref="F34:H34"/>
    <mergeCell ref="A36:B36"/>
    <mergeCell ref="F30:H30"/>
    <mergeCell ref="A31:B31"/>
    <mergeCell ref="A30:B30"/>
    <mergeCell ref="C31:E31"/>
    <mergeCell ref="A32:B32"/>
    <mergeCell ref="C32:E32"/>
    <mergeCell ref="A35:H35"/>
    <mergeCell ref="A34:B34"/>
    <mergeCell ref="A38:H38"/>
    <mergeCell ref="C34:E34"/>
    <mergeCell ref="A37:B37"/>
    <mergeCell ref="C36:H36"/>
    <mergeCell ref="C37:H37"/>
    <mergeCell ref="A186:E186"/>
    <mergeCell ref="C192:D192"/>
    <mergeCell ref="E192:F192"/>
    <mergeCell ref="G259:H259"/>
    <mergeCell ref="C200:D200"/>
    <mergeCell ref="E200:F200"/>
    <mergeCell ref="G200:H200"/>
    <mergeCell ref="C201:D201"/>
    <mergeCell ref="E201:F201"/>
    <mergeCell ref="G201:H201"/>
    <mergeCell ref="C202:D202"/>
    <mergeCell ref="E202:F202"/>
    <mergeCell ref="F186:H186"/>
    <mergeCell ref="C193:D193"/>
    <mergeCell ref="E193:F193"/>
    <mergeCell ref="G193:H193"/>
    <mergeCell ref="C194:D194"/>
    <mergeCell ref="E194:F194"/>
    <mergeCell ref="G194:H194"/>
    <mergeCell ref="A187:E187"/>
    <mergeCell ref="A209:H209"/>
    <mergeCell ref="D254:D255"/>
    <mergeCell ref="E205:F205"/>
    <mergeCell ref="G205:H205"/>
    <mergeCell ref="L220:M220"/>
    <mergeCell ref="L219:M219"/>
    <mergeCell ref="G216:H216"/>
    <mergeCell ref="G214:H214"/>
    <mergeCell ref="G220:H220"/>
    <mergeCell ref="G219:H219"/>
    <mergeCell ref="G215:H215"/>
    <mergeCell ref="G218:H218"/>
    <mergeCell ref="G217:H217"/>
    <mergeCell ref="L218:M218"/>
    <mergeCell ref="L217:M217"/>
    <mergeCell ref="L216:M216"/>
    <mergeCell ref="L215:M215"/>
    <mergeCell ref="L214:M214"/>
    <mergeCell ref="B442:H442"/>
    <mergeCell ref="B433:H433"/>
    <mergeCell ref="B434:H434"/>
    <mergeCell ref="B435:H435"/>
    <mergeCell ref="B436:H436"/>
    <mergeCell ref="B437:H437"/>
    <mergeCell ref="A101:B101"/>
    <mergeCell ref="A102:B102"/>
    <mergeCell ref="A103:B103"/>
    <mergeCell ref="G94:H103"/>
    <mergeCell ref="A95:B95"/>
    <mergeCell ref="A96:B96"/>
    <mergeCell ref="A97:B97"/>
    <mergeCell ref="A178:E178"/>
    <mergeCell ref="B440:H440"/>
    <mergeCell ref="B438:H438"/>
    <mergeCell ref="A213:H213"/>
    <mergeCell ref="E210:E211"/>
    <mergeCell ref="G210:H211"/>
    <mergeCell ref="A207:B207"/>
    <mergeCell ref="C207:D207"/>
    <mergeCell ref="E207:F207"/>
    <mergeCell ref="G207:H207"/>
    <mergeCell ref="E94:F103"/>
    <mergeCell ref="A92:B92"/>
    <mergeCell ref="C92:H92"/>
    <mergeCell ref="A93:B93"/>
    <mergeCell ref="E93:F93"/>
    <mergeCell ref="G93:H93"/>
    <mergeCell ref="A182:E182"/>
    <mergeCell ref="F182:H182"/>
    <mergeCell ref="A183:E183"/>
    <mergeCell ref="A185:E185"/>
    <mergeCell ref="F180:H180"/>
    <mergeCell ref="A184:E184"/>
    <mergeCell ref="A94:B94"/>
    <mergeCell ref="A181:E181"/>
    <mergeCell ref="F179:H179"/>
    <mergeCell ref="A179:E179"/>
    <mergeCell ref="A180:E180"/>
    <mergeCell ref="C176:H176"/>
    <mergeCell ref="A154:B154"/>
    <mergeCell ref="A155:B155"/>
    <mergeCell ref="A156:B156"/>
    <mergeCell ref="A157:B157"/>
    <mergeCell ref="A158:B158"/>
    <mergeCell ref="A159:B159"/>
    <mergeCell ref="A118:B118"/>
    <mergeCell ref="A163:B163"/>
    <mergeCell ref="E163:F163"/>
    <mergeCell ref="G163:H163"/>
    <mergeCell ref="A164:B164"/>
    <mergeCell ref="E164:F173"/>
    <mergeCell ref="G164:H173"/>
    <mergeCell ref="A165:B165"/>
    <mergeCell ref="A166:B166"/>
    <mergeCell ref="A167:B167"/>
    <mergeCell ref="A168:B168"/>
    <mergeCell ref="A169:B169"/>
    <mergeCell ref="A170:B170"/>
    <mergeCell ref="A171:B171"/>
    <mergeCell ref="A172:B172"/>
    <mergeCell ref="A173:B173"/>
    <mergeCell ref="A76:B76"/>
    <mergeCell ref="C76:H76"/>
    <mergeCell ref="A78:B78"/>
    <mergeCell ref="C78:H78"/>
    <mergeCell ref="A79:B79"/>
    <mergeCell ref="E79:F79"/>
    <mergeCell ref="G79:H79"/>
    <mergeCell ref="A80:B80"/>
    <mergeCell ref="E80:F89"/>
    <mergeCell ref="G80:H89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B444:H444"/>
    <mergeCell ref="A132:B132"/>
    <mergeCell ref="C132:H132"/>
    <mergeCell ref="A134:B134"/>
    <mergeCell ref="C134:H134"/>
    <mergeCell ref="A135:B135"/>
    <mergeCell ref="E135:F135"/>
    <mergeCell ref="G135:H135"/>
    <mergeCell ref="A136:B136"/>
    <mergeCell ref="E136:F145"/>
    <mergeCell ref="G136:H145"/>
    <mergeCell ref="A137:B137"/>
    <mergeCell ref="A138:B138"/>
    <mergeCell ref="A139:B139"/>
    <mergeCell ref="A140:B140"/>
    <mergeCell ref="A141:B141"/>
    <mergeCell ref="A142:B142"/>
    <mergeCell ref="A143:B143"/>
    <mergeCell ref="A144:B144"/>
    <mergeCell ref="A145:B145"/>
    <mergeCell ref="A160:B160"/>
    <mergeCell ref="C160:H160"/>
    <mergeCell ref="A162:B162"/>
    <mergeCell ref="C162:H162"/>
  </mergeCells>
  <hyperlinks>
    <hyperlink ref="C37" r:id="rId1"/>
  </hyperlinks>
  <printOptions horizontalCentered="1"/>
  <pageMargins left="0.39370078740157483" right="0.39370078740157483" top="0.78740157480314965" bottom="0.78740157480314965" header="0.19685039370078741" footer="0.19685039370078741"/>
  <pageSetup paperSize="2" fitToHeight="0" orientation="portrait" r:id="rId2"/>
  <headerFooter>
    <oddHeader>&amp;C&amp;G</oddHeader>
    <oddFooter>&amp;L&amp;"Times New Roman,Bold"&amp;12Ref No: &amp;F&amp;R&amp;"Times New Roman,Bold"&amp;12 &amp;P</oddFooter>
  </headerFooter>
  <rowBreaks count="3" manualBreakCount="3">
    <brk id="61" max="16383" man="1"/>
    <brk id="455" max="16383" man="1"/>
    <brk id="498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34" zoomScale="115" zoomScaleNormal="115" workbookViewId="0">
      <selection activeCell="B49" sqref="B49"/>
    </sheetView>
  </sheetViews>
  <sheetFormatPr defaultColWidth="8.7109375" defaultRowHeight="15" x14ac:dyDescent="0.25"/>
  <cols>
    <col min="1" max="1" width="8.7109375" style="2"/>
    <col min="2" max="2" width="22.140625" style="2" customWidth="1"/>
    <col min="3" max="3" width="37" style="2" customWidth="1"/>
    <col min="4" max="5" width="11.42578125" style="2" customWidth="1"/>
    <col min="6" max="6" width="14" style="2" customWidth="1"/>
    <col min="7" max="7" width="20" style="2" customWidth="1"/>
    <col min="8" max="8" width="16.42578125" style="2" customWidth="1"/>
    <col min="9" max="16384" width="8.7109375" style="2"/>
  </cols>
  <sheetData>
    <row r="1" spans="1:9" ht="15" customHeight="1" x14ac:dyDescent="0.25">
      <c r="A1" s="1"/>
      <c r="B1" s="1"/>
      <c r="C1" s="1"/>
      <c r="D1" s="1"/>
      <c r="E1" s="1"/>
      <c r="F1" s="1"/>
      <c r="G1" s="1"/>
      <c r="H1" s="1"/>
    </row>
    <row r="2" spans="1:9" ht="15" customHeight="1" x14ac:dyDescent="0.25">
      <c r="A2" s="3"/>
      <c r="B2" s="3"/>
      <c r="C2" s="3"/>
      <c r="D2" s="3"/>
      <c r="E2" s="3"/>
      <c r="F2" s="3"/>
      <c r="G2" s="3"/>
      <c r="H2" s="3"/>
    </row>
    <row r="3" spans="1:9" ht="15.75" customHeight="1" x14ac:dyDescent="0.25">
      <c r="A3" s="3"/>
      <c r="B3" s="240" t="s">
        <v>120</v>
      </c>
      <c r="C3" s="240"/>
      <c r="D3" s="240"/>
      <c r="E3" s="240"/>
      <c r="F3" s="240"/>
      <c r="G3" s="240"/>
      <c r="H3" s="240"/>
    </row>
    <row r="4" spans="1:9" x14ac:dyDescent="0.25">
      <c r="A4" s="3"/>
      <c r="B4" s="4" t="s">
        <v>121</v>
      </c>
      <c r="C4" s="4" t="s">
        <v>122</v>
      </c>
      <c r="D4" s="4" t="s">
        <v>76</v>
      </c>
      <c r="E4" s="4" t="s">
        <v>123</v>
      </c>
      <c r="F4" s="4" t="s">
        <v>130</v>
      </c>
      <c r="G4" s="4" t="s">
        <v>131</v>
      </c>
      <c r="H4" s="4" t="s">
        <v>124</v>
      </c>
    </row>
    <row r="5" spans="1:9" ht="15" customHeight="1" x14ac:dyDescent="0.25">
      <c r="A5" s="3"/>
      <c r="B5" s="6" t="s">
        <v>125</v>
      </c>
      <c r="C5" s="7"/>
      <c r="D5" s="6" t="s">
        <v>126</v>
      </c>
      <c r="E5" s="6">
        <v>1106</v>
      </c>
      <c r="F5" s="8">
        <f>E5*1.6</f>
        <v>1769.6000000000001</v>
      </c>
      <c r="G5" s="8">
        <f>H5/F5</f>
        <v>31532.549728752259</v>
      </c>
      <c r="H5" s="9">
        <v>55800000</v>
      </c>
    </row>
    <row r="6" spans="1:9" x14ac:dyDescent="0.25">
      <c r="A6" s="3"/>
      <c r="B6" s="6" t="s">
        <v>125</v>
      </c>
      <c r="C6" s="10"/>
      <c r="D6" s="6"/>
      <c r="E6" s="6"/>
      <c r="F6" s="8">
        <f t="shared" ref="F6:F11" si="0">E6*1.6</f>
        <v>0</v>
      </c>
      <c r="G6" s="8" t="e">
        <f t="shared" ref="G6:G11" si="1">H6/F6</f>
        <v>#DIV/0!</v>
      </c>
      <c r="H6" s="9"/>
    </row>
    <row r="7" spans="1:9" ht="15" customHeight="1" x14ac:dyDescent="0.25">
      <c r="A7" s="3"/>
      <c r="B7" s="6" t="s">
        <v>125</v>
      </c>
      <c r="C7" s="7"/>
      <c r="D7" s="6"/>
      <c r="E7" s="6"/>
      <c r="F7" s="8">
        <f t="shared" si="0"/>
        <v>0</v>
      </c>
      <c r="G7" s="8" t="e">
        <f t="shared" si="1"/>
        <v>#DIV/0!</v>
      </c>
      <c r="H7" s="9"/>
    </row>
    <row r="8" spans="1:9" x14ac:dyDescent="0.25">
      <c r="A8" s="3"/>
      <c r="B8" s="6" t="s">
        <v>125</v>
      </c>
      <c r="C8" s="10"/>
      <c r="D8" s="6"/>
      <c r="E8" s="6"/>
      <c r="F8" s="8">
        <f t="shared" si="0"/>
        <v>0</v>
      </c>
      <c r="G8" s="8" t="e">
        <f t="shared" si="1"/>
        <v>#DIV/0!</v>
      </c>
      <c r="H8" s="9"/>
    </row>
    <row r="9" spans="1:9" ht="15" customHeight="1" x14ac:dyDescent="0.25">
      <c r="A9" s="3"/>
      <c r="B9" s="6" t="s">
        <v>125</v>
      </c>
      <c r="C9" s="10"/>
      <c r="D9" s="6"/>
      <c r="E9" s="6"/>
      <c r="F9" s="8">
        <f t="shared" si="0"/>
        <v>0</v>
      </c>
      <c r="G9" s="8" t="e">
        <f t="shared" si="1"/>
        <v>#DIV/0!</v>
      </c>
      <c r="H9" s="9"/>
    </row>
    <row r="10" spans="1:9" ht="15" customHeight="1" x14ac:dyDescent="0.25">
      <c r="A10" s="3"/>
      <c r="B10" s="6" t="s">
        <v>127</v>
      </c>
      <c r="C10" s="7"/>
      <c r="D10" s="6"/>
      <c r="E10" s="6"/>
      <c r="F10" s="8">
        <f t="shared" si="0"/>
        <v>0</v>
      </c>
      <c r="G10" s="8" t="e">
        <f t="shared" si="1"/>
        <v>#DIV/0!</v>
      </c>
      <c r="H10" s="9"/>
    </row>
    <row r="11" spans="1:9" ht="15" customHeight="1" x14ac:dyDescent="0.25">
      <c r="A11" s="3"/>
      <c r="B11" s="6" t="s">
        <v>127</v>
      </c>
      <c r="C11" s="7"/>
      <c r="D11" s="6"/>
      <c r="E11" s="6"/>
      <c r="F11" s="8">
        <f t="shared" si="0"/>
        <v>0</v>
      </c>
      <c r="G11" s="8" t="e">
        <f t="shared" si="1"/>
        <v>#DIV/0!</v>
      </c>
      <c r="H11" s="9"/>
    </row>
    <row r="12" spans="1:9" ht="15" customHeight="1" x14ac:dyDescent="0.25">
      <c r="A12" s="3"/>
      <c r="B12" s="11" t="s">
        <v>128</v>
      </c>
      <c r="C12" s="6"/>
      <c r="D12" s="6"/>
      <c r="E12" s="6"/>
      <c r="F12" s="6"/>
      <c r="G12" s="12" t="e">
        <f>AVERAGE(G5:G11)</f>
        <v>#DIV/0!</v>
      </c>
      <c r="H12" s="6"/>
    </row>
    <row r="13" spans="1:9" ht="15" customHeight="1" x14ac:dyDescent="0.25">
      <c r="A13" s="1"/>
      <c r="B13" s="11" t="s">
        <v>129</v>
      </c>
      <c r="C13" s="13"/>
      <c r="D13" s="13"/>
      <c r="E13" s="13"/>
      <c r="F13" s="14"/>
      <c r="G13" s="11"/>
      <c r="H13" s="11"/>
      <c r="I13" s="5"/>
    </row>
    <row r="14" spans="1:9" ht="15" customHeight="1" x14ac:dyDescent="0.25">
      <c r="B14" s="1"/>
      <c r="C14" s="1"/>
      <c r="D14" s="1"/>
      <c r="E14" s="1"/>
    </row>
    <row r="15" spans="1:9" ht="15" customHeight="1" x14ac:dyDescent="0.25">
      <c r="B15" s="1"/>
      <c r="C15" s="1"/>
      <c r="D15" s="1"/>
      <c r="E15" s="1"/>
    </row>
    <row r="16" spans="1:9" ht="15" customHeight="1" x14ac:dyDescent="0.25">
      <c r="B16" s="1"/>
      <c r="C16" s="1"/>
      <c r="D16" s="1"/>
      <c r="E16" s="1"/>
    </row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C1"/>
  <sheetViews>
    <sheetView workbookViewId="0">
      <selection activeCell="C2" sqref="C2"/>
    </sheetView>
  </sheetViews>
  <sheetFormatPr defaultRowHeight="15" x14ac:dyDescent="0.25"/>
  <cols>
    <col min="3" max="3" width="10.7109375" bestFit="1" customWidth="1"/>
  </cols>
  <sheetData>
    <row r="1" spans="1:3" x14ac:dyDescent="0.25">
      <c r="A1" t="s">
        <v>237</v>
      </c>
      <c r="B1" t="s">
        <v>238</v>
      </c>
      <c r="C1" s="69">
        <v>44840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Acrobat Document" dvAspect="DVASPECT_ICON" shapeId="4097" r:id="rId3">
          <objectPr defaultSize="0" r:id="rId4">
            <anchor moveWithCells="1">
              <from>
                <xdr:col>4</xdr:col>
                <xdr:colOff>0</xdr:colOff>
                <xdr:row>0</xdr:row>
                <xdr:rowOff>0</xdr:rowOff>
              </from>
              <to>
                <xdr:col>5</xdr:col>
                <xdr:colOff>304800</xdr:colOff>
                <xdr:row>4</xdr:row>
                <xdr:rowOff>9525</xdr:rowOff>
              </to>
            </anchor>
          </objectPr>
        </oleObject>
      </mc:Choice>
      <mc:Fallback>
        <oleObject progId="Acrobat Document" dvAspect="DVASPECT_ICON" shapeId="4097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Welcome</cp:lastModifiedBy>
  <cp:lastPrinted>2025-06-10T09:15:10Z</cp:lastPrinted>
  <dcterms:created xsi:type="dcterms:W3CDTF">2019-07-16T09:29:46Z</dcterms:created>
  <dcterms:modified xsi:type="dcterms:W3CDTF">2025-09-17T11:20:54Z</dcterms:modified>
</cp:coreProperties>
</file>