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790"/>
  </bookViews>
  <sheets>
    <sheet name="Report" sheetId="1" r:id="rId1"/>
    <sheet name="Report (2)" sheetId="6" r:id="rId2"/>
    <sheet name="Flat detail" sheetId="3" r:id="rId3"/>
    <sheet name="Note" sheetId="4" r:id="rId4"/>
    <sheet name="valuation" sheetId="5" r:id="rId5"/>
  </sheets>
  <definedNames>
    <definedName name="_xlnm.Print_Area" localSheetId="0">Report!$A$1:$H$495</definedName>
    <definedName name="_xlnm.Print_Area" localSheetId="1">'Report (2)'!$A$1:$H$309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1" l="1"/>
  <c r="C89" i="1" l="1"/>
  <c r="C88" i="1"/>
  <c r="C72" i="1" l="1"/>
  <c r="G236" i="1" l="1"/>
  <c r="I153" i="1"/>
  <c r="C73" i="1"/>
  <c r="D58" i="1"/>
  <c r="C14" i="1"/>
  <c r="A330" i="1" l="1"/>
  <c r="A331" i="1" s="1"/>
  <c r="A332" i="1" s="1"/>
  <c r="A333" i="1" s="1"/>
  <c r="A334" i="1" s="1"/>
  <c r="A323" i="1"/>
  <c r="A324" i="1" s="1"/>
  <c r="A325" i="1" s="1"/>
  <c r="A326" i="1" s="1"/>
  <c r="A327" i="1" s="1"/>
  <c r="A316" i="1"/>
  <c r="A317" i="1" s="1"/>
  <c r="A318" i="1" s="1"/>
  <c r="A319" i="1" s="1"/>
  <c r="A320" i="1" s="1"/>
  <c r="A309" i="1"/>
  <c r="A310" i="1" s="1"/>
  <c r="A311" i="1" s="1"/>
  <c r="A312" i="1" s="1"/>
  <c r="A313" i="1" s="1"/>
  <c r="A302" i="1"/>
  <c r="A303" i="1" s="1"/>
  <c r="A304" i="1" s="1"/>
  <c r="A305" i="1" s="1"/>
  <c r="A306" i="1" s="1"/>
  <c r="A295" i="1"/>
  <c r="A296" i="1" s="1"/>
  <c r="A297" i="1" s="1"/>
  <c r="A298" i="1" s="1"/>
  <c r="A299" i="1" s="1"/>
  <c r="A288" i="1"/>
  <c r="A289" i="1" s="1"/>
  <c r="A290" i="1" s="1"/>
  <c r="A291" i="1" s="1"/>
  <c r="A292" i="1" s="1"/>
  <c r="A281" i="1"/>
  <c r="A282" i="1" s="1"/>
  <c r="A283" i="1" s="1"/>
  <c r="A284" i="1" s="1"/>
  <c r="A285" i="1" s="1"/>
  <c r="K242" i="1"/>
  <c r="K241" i="1"/>
  <c r="D260" i="1"/>
  <c r="F260" i="1" s="1"/>
  <c r="D258" i="1"/>
  <c r="F258" i="1" s="1"/>
  <c r="D268" i="1"/>
  <c r="F268" i="1" s="1"/>
  <c r="D267" i="1"/>
  <c r="F267" i="1" s="1"/>
  <c r="D266" i="1"/>
  <c r="F266" i="1" s="1"/>
  <c r="D264" i="1"/>
  <c r="F264" i="1" s="1"/>
  <c r="D263" i="1"/>
  <c r="F263" i="1" s="1"/>
  <c r="K261" i="1" s="1"/>
  <c r="D262" i="1"/>
  <c r="D256" i="1"/>
  <c r="F256" i="1" s="1"/>
  <c r="D255" i="1"/>
  <c r="F255" i="1" s="1"/>
  <c r="D254" i="1"/>
  <c r="F254" i="1" s="1"/>
  <c r="D252" i="1"/>
  <c r="D251" i="1"/>
  <c r="F251" i="1" s="1"/>
  <c r="D250" i="1"/>
  <c r="F250" i="1" s="1"/>
  <c r="D247" i="1"/>
  <c r="D243" i="1"/>
  <c r="D248" i="1"/>
  <c r="D246" i="1"/>
  <c r="D244" i="1"/>
  <c r="D242" i="1"/>
  <c r="G258" i="1"/>
  <c r="J255" i="1"/>
  <c r="G266" i="1"/>
  <c r="J263" i="1"/>
  <c r="G262" i="1"/>
  <c r="F262" i="1"/>
  <c r="J259" i="1"/>
  <c r="G254" i="1"/>
  <c r="J251" i="1"/>
  <c r="F252" i="1"/>
  <c r="G250" i="1"/>
  <c r="J247" i="1"/>
  <c r="C160" i="1" l="1"/>
  <c r="D160" i="1"/>
  <c r="K256" i="1"/>
  <c r="J256" i="1"/>
  <c r="I256" i="1"/>
  <c r="K257" i="1"/>
  <c r="I257" i="1"/>
  <c r="J257" i="1"/>
  <c r="J258" i="1"/>
  <c r="I258" i="1"/>
  <c r="K264" i="1"/>
  <c r="I264" i="1"/>
  <c r="J264" i="1"/>
  <c r="K265" i="1"/>
  <c r="J265" i="1"/>
  <c r="I265" i="1"/>
  <c r="I266" i="1"/>
  <c r="J266" i="1"/>
  <c r="K260" i="1"/>
  <c r="J260" i="1"/>
  <c r="I260" i="1"/>
  <c r="J262" i="1"/>
  <c r="I262" i="1"/>
  <c r="I261" i="1"/>
  <c r="J261" i="1"/>
  <c r="K252" i="1"/>
  <c r="J252" i="1"/>
  <c r="I252" i="1"/>
  <c r="I253" i="1"/>
  <c r="K253" i="1"/>
  <c r="J253" i="1"/>
  <c r="J254" i="1"/>
  <c r="I254" i="1"/>
  <c r="J250" i="1"/>
  <c r="I250" i="1"/>
  <c r="K248" i="1"/>
  <c r="J248" i="1"/>
  <c r="I248" i="1"/>
  <c r="K249" i="1"/>
  <c r="J249" i="1"/>
  <c r="I249" i="1"/>
  <c r="D342" i="1" l="1"/>
  <c r="D343" i="1"/>
  <c r="D344" i="1"/>
  <c r="D345" i="1"/>
  <c r="D347" i="1"/>
  <c r="D346" i="1"/>
  <c r="M277" i="1" l="1"/>
  <c r="N277" i="1" s="1"/>
  <c r="J277" i="1"/>
  <c r="J284" i="1"/>
  <c r="J291" i="1"/>
  <c r="J243" i="1"/>
  <c r="J267" i="1"/>
  <c r="J268" i="1"/>
  <c r="J269" i="1"/>
  <c r="J212" i="1"/>
  <c r="J215" i="1"/>
  <c r="J218" i="1"/>
  <c r="J221" i="1"/>
  <c r="J177" i="1"/>
  <c r="K177" i="1" s="1"/>
  <c r="J181" i="1"/>
  <c r="K181" i="1" s="1"/>
  <c r="J185" i="1"/>
  <c r="K185" i="1" s="1"/>
  <c r="J142" i="1"/>
  <c r="F346" i="1" l="1"/>
  <c r="D357" i="1"/>
  <c r="F357" i="1" s="1"/>
  <c r="D296" i="1" l="1"/>
  <c r="F296" i="1" s="1"/>
  <c r="D225" i="1"/>
  <c r="F225" i="1" s="1"/>
  <c r="D234" i="1"/>
  <c r="F234" i="1" s="1"/>
  <c r="J171" i="1"/>
  <c r="K170" i="1"/>
  <c r="J170" i="1"/>
  <c r="L170" i="1" s="1"/>
  <c r="K171" i="1"/>
  <c r="L171" i="1" l="1"/>
  <c r="F242" i="1"/>
  <c r="K131" i="1"/>
  <c r="K130" i="1"/>
  <c r="K129" i="1"/>
  <c r="D352" i="1"/>
  <c r="D358" i="1"/>
  <c r="F358" i="1" s="1"/>
  <c r="D356" i="1"/>
  <c r="D355" i="1"/>
  <c r="F355" i="1" s="1"/>
  <c r="D354" i="1"/>
  <c r="F354" i="1" s="1"/>
  <c r="D353" i="1"/>
  <c r="F353" i="1" s="1"/>
  <c r="D351" i="1"/>
  <c r="F351" i="1" s="1"/>
  <c r="D350" i="1"/>
  <c r="F350" i="1" s="1"/>
  <c r="D349" i="1"/>
  <c r="F349" i="1" s="1"/>
  <c r="D341" i="1"/>
  <c r="D340" i="1"/>
  <c r="I344" i="1"/>
  <c r="D339" i="1"/>
  <c r="G349" i="1"/>
  <c r="G339" i="1"/>
  <c r="D333" i="1"/>
  <c r="F333" i="1" s="1"/>
  <c r="D332" i="1"/>
  <c r="F332" i="1" s="1"/>
  <c r="D331" i="1"/>
  <c r="F331" i="1" s="1"/>
  <c r="D311" i="1"/>
  <c r="F311" i="1" s="1"/>
  <c r="D310" i="1"/>
  <c r="F310" i="1" s="1"/>
  <c r="D330" i="1"/>
  <c r="F330" i="1" s="1"/>
  <c r="D329" i="1"/>
  <c r="F329" i="1" s="1"/>
  <c r="D309" i="1"/>
  <c r="F309" i="1" s="1"/>
  <c r="D308" i="1"/>
  <c r="F308" i="1" s="1"/>
  <c r="D327" i="1"/>
  <c r="F327" i="1" s="1"/>
  <c r="D326" i="1"/>
  <c r="F326" i="1" s="1"/>
  <c r="D325" i="1"/>
  <c r="D324" i="1"/>
  <c r="F324" i="1" s="1"/>
  <c r="D323" i="1"/>
  <c r="F323" i="1" s="1"/>
  <c r="D322" i="1"/>
  <c r="F322" i="1" s="1"/>
  <c r="D320" i="1"/>
  <c r="F320" i="1" s="1"/>
  <c r="D319" i="1"/>
  <c r="F319" i="1" s="1"/>
  <c r="D318" i="1"/>
  <c r="F318" i="1" s="1"/>
  <c r="D317" i="1"/>
  <c r="F317" i="1" s="1"/>
  <c r="D316" i="1"/>
  <c r="F316" i="1" s="1"/>
  <c r="D315" i="1"/>
  <c r="F315" i="1" s="1"/>
  <c r="D306" i="1"/>
  <c r="F306" i="1" s="1"/>
  <c r="D305" i="1"/>
  <c r="F305" i="1" s="1"/>
  <c r="D304" i="1"/>
  <c r="F304" i="1" s="1"/>
  <c r="D303" i="1"/>
  <c r="F303" i="1" s="1"/>
  <c r="D302" i="1"/>
  <c r="F302" i="1" s="1"/>
  <c r="D301" i="1"/>
  <c r="F301" i="1" s="1"/>
  <c r="D297" i="1"/>
  <c r="F297" i="1" s="1"/>
  <c r="D295" i="1"/>
  <c r="F295" i="1" s="1"/>
  <c r="D294" i="1"/>
  <c r="F294" i="1" s="1"/>
  <c r="J292" i="1" s="1"/>
  <c r="D299" i="1"/>
  <c r="F299" i="1" s="1"/>
  <c r="D298" i="1"/>
  <c r="F298" i="1" s="1"/>
  <c r="D292" i="1"/>
  <c r="F292" i="1" s="1"/>
  <c r="J290" i="1" s="1"/>
  <c r="D291" i="1"/>
  <c r="F291" i="1" s="1"/>
  <c r="J289" i="1" s="1"/>
  <c r="D290" i="1"/>
  <c r="F290" i="1" s="1"/>
  <c r="J288" i="1" s="1"/>
  <c r="D289" i="1"/>
  <c r="F289" i="1" s="1"/>
  <c r="J287" i="1" s="1"/>
  <c r="D288" i="1"/>
  <c r="F288" i="1" s="1"/>
  <c r="J286" i="1" s="1"/>
  <c r="D287" i="1"/>
  <c r="F287" i="1" s="1"/>
  <c r="J285" i="1" s="1"/>
  <c r="D285" i="1"/>
  <c r="F285" i="1" s="1"/>
  <c r="J283" i="1" s="1"/>
  <c r="D284" i="1"/>
  <c r="F284" i="1" s="1"/>
  <c r="J282" i="1" s="1"/>
  <c r="D283" i="1"/>
  <c r="D282" i="1"/>
  <c r="D281" i="1"/>
  <c r="D280" i="1"/>
  <c r="D278" i="1"/>
  <c r="D277" i="1"/>
  <c r="D276" i="1"/>
  <c r="D275" i="1"/>
  <c r="D274" i="1"/>
  <c r="D273" i="1"/>
  <c r="G322" i="1"/>
  <c r="K317" i="1"/>
  <c r="G315" i="1"/>
  <c r="G280" i="1"/>
  <c r="F244" i="1"/>
  <c r="J242" i="1" s="1"/>
  <c r="F243" i="1"/>
  <c r="J241" i="1" s="1"/>
  <c r="G246" i="1"/>
  <c r="D231" i="1"/>
  <c r="F231" i="1" s="1"/>
  <c r="D230" i="1"/>
  <c r="F230" i="1" s="1"/>
  <c r="D236" i="1"/>
  <c r="F236" i="1" s="1"/>
  <c r="D222" i="1"/>
  <c r="F222" i="1" s="1"/>
  <c r="J220" i="1" s="1"/>
  <c r="D221" i="1"/>
  <c r="F221" i="1" s="1"/>
  <c r="J219" i="1" s="1"/>
  <c r="D227" i="1"/>
  <c r="F227" i="1" s="1"/>
  <c r="D233" i="1"/>
  <c r="F233" i="1" s="1"/>
  <c r="D224" i="1"/>
  <c r="F224" i="1" s="1"/>
  <c r="J222" i="1" s="1"/>
  <c r="D219" i="1"/>
  <c r="F219" i="1" s="1"/>
  <c r="J217" i="1" s="1"/>
  <c r="D218" i="1"/>
  <c r="D213" i="1"/>
  <c r="F213" i="1" s="1"/>
  <c r="J211" i="1" s="1"/>
  <c r="D212" i="1"/>
  <c r="D216" i="1"/>
  <c r="F216" i="1" s="1"/>
  <c r="J214" i="1" s="1"/>
  <c r="D215" i="1"/>
  <c r="F215" i="1" s="1"/>
  <c r="J213" i="1" s="1"/>
  <c r="G215" i="1"/>
  <c r="D202" i="1"/>
  <c r="F202" i="1" s="1"/>
  <c r="D205" i="1"/>
  <c r="F205" i="1" s="1"/>
  <c r="D201" i="1"/>
  <c r="F201" i="1" s="1"/>
  <c r="D204" i="1"/>
  <c r="F204" i="1" s="1"/>
  <c r="D200" i="1"/>
  <c r="F200" i="1" s="1"/>
  <c r="D188" i="1"/>
  <c r="F188" i="1" s="1"/>
  <c r="J186" i="1" s="1"/>
  <c r="K186" i="1" s="1"/>
  <c r="D189" i="1"/>
  <c r="F189" i="1" s="1"/>
  <c r="D198" i="1"/>
  <c r="D197" i="1"/>
  <c r="F197" i="1" s="1"/>
  <c r="I195" i="1" s="1"/>
  <c r="D196" i="1"/>
  <c r="F196" i="1" s="1"/>
  <c r="I194" i="1" s="1"/>
  <c r="D194" i="1"/>
  <c r="D193" i="1"/>
  <c r="D192" i="1"/>
  <c r="D178" i="1"/>
  <c r="D177" i="1"/>
  <c r="F177" i="1" s="1"/>
  <c r="J175" i="1" s="1"/>
  <c r="K175" i="1" s="1"/>
  <c r="D176" i="1"/>
  <c r="D186" i="1"/>
  <c r="F186" i="1" s="1"/>
  <c r="J184" i="1" s="1"/>
  <c r="K184" i="1" s="1"/>
  <c r="D185" i="1"/>
  <c r="F185" i="1" s="1"/>
  <c r="J183" i="1" s="1"/>
  <c r="K183" i="1" s="1"/>
  <c r="D184" i="1"/>
  <c r="F184" i="1" s="1"/>
  <c r="J182" i="1" s="1"/>
  <c r="K182" i="1" s="1"/>
  <c r="D182" i="1"/>
  <c r="D181" i="1"/>
  <c r="D180" i="1"/>
  <c r="D174" i="1"/>
  <c r="F174" i="1" s="1"/>
  <c r="D173" i="1"/>
  <c r="F173" i="1" s="1"/>
  <c r="D172" i="1"/>
  <c r="G192" i="1"/>
  <c r="G196" i="1"/>
  <c r="G176" i="1"/>
  <c r="G180" i="1"/>
  <c r="H123" i="1"/>
  <c r="I175" i="1" l="1"/>
  <c r="D161" i="1"/>
  <c r="C161" i="1"/>
  <c r="C154" i="1"/>
  <c r="C155" i="1" s="1"/>
  <c r="J240" i="1"/>
  <c r="F181" i="1"/>
  <c r="J179" i="1" s="1"/>
  <c r="K179" i="1" s="1"/>
  <c r="F180" i="1"/>
  <c r="J178" i="1" s="1"/>
  <c r="K178" i="1" s="1"/>
  <c r="F178" i="1"/>
  <c r="J176" i="1" s="1"/>
  <c r="K176" i="1" s="1"/>
  <c r="F273" i="1"/>
  <c r="M271" i="1"/>
  <c r="N271" i="1" s="1"/>
  <c r="F282" i="1"/>
  <c r="J280" i="1" s="1"/>
  <c r="M280" i="1"/>
  <c r="N280" i="1" s="1"/>
  <c r="F339" i="1"/>
  <c r="I337" i="1" s="1"/>
  <c r="F347" i="1"/>
  <c r="I345" i="1" s="1"/>
  <c r="F246" i="1"/>
  <c r="I244" i="1" s="1"/>
  <c r="F352" i="1"/>
  <c r="I350" i="1" s="1"/>
  <c r="F182" i="1"/>
  <c r="J180" i="1" s="1"/>
  <c r="K180" i="1" s="1"/>
  <c r="F193" i="1"/>
  <c r="I191" i="1" s="1"/>
  <c r="F247" i="1"/>
  <c r="I245" i="1" s="1"/>
  <c r="F275" i="1"/>
  <c r="J273" i="1" s="1"/>
  <c r="M273" i="1"/>
  <c r="N273" i="1" s="1"/>
  <c r="F340" i="1"/>
  <c r="I338" i="1" s="1"/>
  <c r="F192" i="1"/>
  <c r="I190" i="1" s="1"/>
  <c r="F274" i="1"/>
  <c r="J272" i="1" s="1"/>
  <c r="M272" i="1"/>
  <c r="N272" i="1" s="1"/>
  <c r="F194" i="1"/>
  <c r="I192" i="1" s="1"/>
  <c r="F218" i="1"/>
  <c r="J216" i="1" s="1"/>
  <c r="K216" i="1"/>
  <c r="F248" i="1"/>
  <c r="J246" i="1" s="1"/>
  <c r="F276" i="1"/>
  <c r="J274" i="1" s="1"/>
  <c r="M274" i="1"/>
  <c r="N274" i="1" s="1"/>
  <c r="F341" i="1"/>
  <c r="I339" i="1" s="1"/>
  <c r="F283" i="1"/>
  <c r="J281" i="1" s="1"/>
  <c r="M281" i="1"/>
  <c r="N281" i="1" s="1"/>
  <c r="M275" i="1"/>
  <c r="N275" i="1" s="1"/>
  <c r="F277" i="1"/>
  <c r="J275" i="1" s="1"/>
  <c r="F342" i="1"/>
  <c r="I340" i="1" s="1"/>
  <c r="N170" i="1"/>
  <c r="F172" i="1"/>
  <c r="C158" i="1"/>
  <c r="M276" i="1"/>
  <c r="N276" i="1" s="1"/>
  <c r="F278" i="1"/>
  <c r="J276" i="1" s="1"/>
  <c r="F343" i="1"/>
  <c r="I341" i="1" s="1"/>
  <c r="D159" i="1"/>
  <c r="F212" i="1"/>
  <c r="J210" i="1" s="1"/>
  <c r="C159" i="1"/>
  <c r="F176" i="1"/>
  <c r="J174" i="1" s="1"/>
  <c r="K174" i="1" s="1"/>
  <c r="F198" i="1"/>
  <c r="I196" i="1" s="1"/>
  <c r="F280" i="1"/>
  <c r="J278" i="1" s="1"/>
  <c r="M278" i="1"/>
  <c r="N278" i="1" s="1"/>
  <c r="F344" i="1"/>
  <c r="I342" i="1" s="1"/>
  <c r="M279" i="1"/>
  <c r="N279" i="1" s="1"/>
  <c r="F281" i="1"/>
  <c r="J279" i="1" s="1"/>
  <c r="F325" i="1"/>
  <c r="I323" i="1" s="1"/>
  <c r="F345" i="1"/>
  <c r="I343" i="1" s="1"/>
  <c r="F356" i="1"/>
  <c r="I354" i="1" s="1"/>
  <c r="D154" i="1"/>
  <c r="D155" i="1" s="1"/>
  <c r="D158" i="1"/>
  <c r="D135" i="1"/>
  <c r="D131" i="1"/>
  <c r="K126" i="1"/>
  <c r="K127" i="1" s="1"/>
  <c r="D128" i="1"/>
  <c r="D134" i="1"/>
  <c r="K125" i="1"/>
  <c r="K123" i="1"/>
  <c r="D129" i="1"/>
  <c r="D130" i="1"/>
  <c r="K124" i="1"/>
  <c r="D132" i="1"/>
  <c r="D133" i="1"/>
  <c r="J317" i="1"/>
  <c r="I317" i="1"/>
  <c r="L317" i="1" s="1"/>
  <c r="G227" i="1"/>
  <c r="G230" i="1"/>
  <c r="G221" i="1"/>
  <c r="I178" i="1" l="1"/>
  <c r="F161" i="1"/>
  <c r="F160" i="1"/>
  <c r="F154" i="1"/>
  <c r="F155" i="1" s="1"/>
  <c r="I281" i="1"/>
  <c r="I180" i="1"/>
  <c r="I176" i="1"/>
  <c r="I246" i="1"/>
  <c r="J271" i="1"/>
  <c r="L271" i="1"/>
  <c r="J245" i="1"/>
  <c r="K245" i="1"/>
  <c r="J244" i="1"/>
  <c r="K244" i="1"/>
  <c r="I174" i="1"/>
  <c r="I179" i="1"/>
  <c r="D162" i="1"/>
  <c r="D163" i="1" s="1"/>
  <c r="C126" i="1"/>
  <c r="D126" i="1" s="1"/>
  <c r="C162" i="1"/>
  <c r="C163" i="1" s="1"/>
  <c r="K128" i="1"/>
  <c r="K132" i="1" s="1"/>
  <c r="K133" i="1" s="1"/>
  <c r="C127" i="1" s="1"/>
  <c r="D127" i="1" l="1"/>
  <c r="G126" i="1"/>
  <c r="I120" i="1"/>
  <c r="C124" i="1" s="1"/>
  <c r="E126" i="1" s="1"/>
  <c r="E3" i="1" l="1"/>
  <c r="K103" i="1"/>
  <c r="K102" i="1"/>
  <c r="K101" i="1"/>
  <c r="I188" i="1"/>
  <c r="K117" i="1"/>
  <c r="K116" i="1"/>
  <c r="K115" i="1"/>
  <c r="K89" i="1"/>
  <c r="K88" i="1"/>
  <c r="K87" i="1"/>
  <c r="K75" i="1"/>
  <c r="K74" i="1"/>
  <c r="K73" i="1"/>
  <c r="H95" i="1"/>
  <c r="H109" i="1"/>
  <c r="H67" i="1"/>
  <c r="H81" i="1"/>
  <c r="C114" i="1" l="1"/>
  <c r="C115" i="1" s="1"/>
  <c r="K97" i="1"/>
  <c r="C98" i="1" s="1"/>
  <c r="D98" i="1" s="1"/>
  <c r="D107" i="1"/>
  <c r="D105" i="1"/>
  <c r="D103" i="1"/>
  <c r="D101" i="1"/>
  <c r="K98" i="1"/>
  <c r="K99" i="1" s="1"/>
  <c r="K96" i="1"/>
  <c r="K95" i="1"/>
  <c r="D106" i="1"/>
  <c r="D104" i="1"/>
  <c r="D102" i="1"/>
  <c r="D100" i="1"/>
  <c r="D121" i="1"/>
  <c r="D119" i="1"/>
  <c r="D117" i="1"/>
  <c r="D120" i="1"/>
  <c r="D118" i="1"/>
  <c r="D116" i="1"/>
  <c r="K112" i="1"/>
  <c r="K113" i="1" s="1"/>
  <c r="K110" i="1"/>
  <c r="K109" i="1"/>
  <c r="K111" i="1"/>
  <c r="K83" i="1"/>
  <c r="C84" i="1" s="1"/>
  <c r="D93" i="1"/>
  <c r="D91" i="1"/>
  <c r="D89" i="1"/>
  <c r="D87" i="1"/>
  <c r="K84" i="1"/>
  <c r="K82" i="1"/>
  <c r="K81" i="1"/>
  <c r="D92" i="1"/>
  <c r="D90" i="1"/>
  <c r="D88" i="1"/>
  <c r="D86" i="1"/>
  <c r="D72" i="1"/>
  <c r="K68" i="1"/>
  <c r="K70" i="1"/>
  <c r="D78" i="1"/>
  <c r="D74" i="1"/>
  <c r="D79" i="1"/>
  <c r="D77" i="1"/>
  <c r="D75" i="1"/>
  <c r="D73" i="1"/>
  <c r="K69" i="1"/>
  <c r="C70" i="1" s="1"/>
  <c r="K67" i="1"/>
  <c r="D76" i="1"/>
  <c r="D114" i="1" l="1"/>
  <c r="D115" i="1"/>
  <c r="C112" i="1"/>
  <c r="D84" i="1"/>
  <c r="K85" i="1"/>
  <c r="K86" i="1" s="1"/>
  <c r="K90" i="1" s="1"/>
  <c r="K114" i="1"/>
  <c r="K118" i="1" s="1"/>
  <c r="K119" i="1" s="1"/>
  <c r="C113" i="1" s="1"/>
  <c r="D113" i="1" s="1"/>
  <c r="K100" i="1"/>
  <c r="K104" i="1" s="1"/>
  <c r="K105" i="1" s="1"/>
  <c r="C99" i="1" s="1"/>
  <c r="D99" i="1" s="1"/>
  <c r="K71" i="1"/>
  <c r="D70" i="1"/>
  <c r="G112" i="1" l="1"/>
  <c r="G98" i="1"/>
  <c r="I92" i="1"/>
  <c r="C96" i="1" s="1"/>
  <c r="E98" i="1" s="1"/>
  <c r="D112" i="1"/>
  <c r="I106" i="1" s="1"/>
  <c r="C110" i="1" s="1"/>
  <c r="E112" i="1" s="1"/>
  <c r="K91" i="1"/>
  <c r="I78" i="1" s="1"/>
  <c r="C82" i="1" s="1"/>
  <c r="E84" i="1" s="1"/>
  <c r="D85" i="1"/>
  <c r="G84" i="1"/>
  <c r="K72" i="1"/>
  <c r="K303" i="1"/>
  <c r="D222" i="6"/>
  <c r="D207" i="6"/>
  <c r="F207" i="6" s="1"/>
  <c r="D206" i="6"/>
  <c r="F206" i="6" s="1"/>
  <c r="D205" i="6"/>
  <c r="F205" i="6" s="1"/>
  <c r="D204" i="6"/>
  <c r="F204" i="6" s="1"/>
  <c r="D203" i="6"/>
  <c r="F203" i="6" s="1"/>
  <c r="D202" i="6"/>
  <c r="F202" i="6" s="1"/>
  <c r="D201" i="6"/>
  <c r="F201" i="6" s="1"/>
  <c r="D200" i="6"/>
  <c r="F200" i="6" s="1"/>
  <c r="D199" i="6"/>
  <c r="F199" i="6" s="1"/>
  <c r="G198" i="6"/>
  <c r="D198" i="6"/>
  <c r="F198" i="6" s="1"/>
  <c r="D196" i="6"/>
  <c r="F196" i="6" s="1"/>
  <c r="D195" i="6"/>
  <c r="F195" i="6" s="1"/>
  <c r="D194" i="6"/>
  <c r="F194" i="6" s="1"/>
  <c r="D193" i="6"/>
  <c r="F193" i="6" s="1"/>
  <c r="D192" i="6"/>
  <c r="F192" i="6" s="1"/>
  <c r="D191" i="6"/>
  <c r="F191" i="6" s="1"/>
  <c r="D190" i="6"/>
  <c r="F190" i="6" s="1"/>
  <c r="D189" i="6"/>
  <c r="F189" i="6" s="1"/>
  <c r="D188" i="6"/>
  <c r="F188" i="6" s="1"/>
  <c r="G187" i="6"/>
  <c r="D187" i="6"/>
  <c r="D181" i="6"/>
  <c r="F181" i="6" s="1"/>
  <c r="D180" i="6"/>
  <c r="F180" i="6" s="1"/>
  <c r="D179" i="6"/>
  <c r="F179" i="6" s="1"/>
  <c r="D178" i="6"/>
  <c r="F178" i="6" s="1"/>
  <c r="G177" i="6"/>
  <c r="D177" i="6"/>
  <c r="F177" i="6" s="1"/>
  <c r="D173" i="6"/>
  <c r="F173" i="6" s="1"/>
  <c r="D172" i="6"/>
  <c r="F172" i="6" s="1"/>
  <c r="D171" i="6"/>
  <c r="F171" i="6" s="1"/>
  <c r="G170" i="6"/>
  <c r="D170" i="6"/>
  <c r="F170" i="6" s="1"/>
  <c r="D168" i="6"/>
  <c r="F168" i="6" s="1"/>
  <c r="D167" i="6"/>
  <c r="F167" i="6" s="1"/>
  <c r="D166" i="6"/>
  <c r="F166" i="6" s="1"/>
  <c r="D165" i="6"/>
  <c r="F165" i="6" s="1"/>
  <c r="D164" i="6"/>
  <c r="F164" i="6" s="1"/>
  <c r="G163" i="6"/>
  <c r="D163" i="6"/>
  <c r="F163" i="6" s="1"/>
  <c r="D161" i="6"/>
  <c r="F161" i="6" s="1"/>
  <c r="D160" i="6"/>
  <c r="F160" i="6" s="1"/>
  <c r="D159" i="6"/>
  <c r="F159" i="6" s="1"/>
  <c r="D158" i="6"/>
  <c r="F158" i="6" s="1"/>
  <c r="I158" i="6" s="1"/>
  <c r="D157" i="6"/>
  <c r="F157" i="6" s="1"/>
  <c r="G156" i="6"/>
  <c r="D156" i="6"/>
  <c r="F156" i="6" s="1"/>
  <c r="D154" i="6"/>
  <c r="F154" i="6" s="1"/>
  <c r="D153" i="6"/>
  <c r="F153" i="6" s="1"/>
  <c r="D152" i="6"/>
  <c r="F152" i="6" s="1"/>
  <c r="I152" i="6" s="1"/>
  <c r="D151" i="6"/>
  <c r="F151" i="6" s="1"/>
  <c r="D150" i="6"/>
  <c r="F150" i="6" s="1"/>
  <c r="G149" i="6"/>
  <c r="D149" i="6"/>
  <c r="F149" i="6" s="1"/>
  <c r="D147" i="6"/>
  <c r="F147" i="6" s="1"/>
  <c r="D146" i="6"/>
  <c r="F146" i="6" s="1"/>
  <c r="D145" i="6"/>
  <c r="D144" i="6"/>
  <c r="F144" i="6" s="1"/>
  <c r="D143" i="6"/>
  <c r="F143" i="6" s="1"/>
  <c r="G142" i="6"/>
  <c r="D142" i="6"/>
  <c r="D137" i="6"/>
  <c r="F137" i="6" s="1"/>
  <c r="I137" i="6" s="1"/>
  <c r="D136" i="6"/>
  <c r="F136" i="6" s="1"/>
  <c r="I136" i="6" s="1"/>
  <c r="G135" i="6"/>
  <c r="D135" i="6"/>
  <c r="F135" i="6" s="1"/>
  <c r="D130" i="6"/>
  <c r="F130" i="6" s="1"/>
  <c r="G129" i="6"/>
  <c r="D129" i="6"/>
  <c r="F129" i="6" s="1"/>
  <c r="D127" i="6"/>
  <c r="F127" i="6" s="1"/>
  <c r="G126" i="6"/>
  <c r="D126" i="6"/>
  <c r="F126" i="6" s="1"/>
  <c r="D120" i="6"/>
  <c r="F120" i="6" s="1"/>
  <c r="G119" i="6"/>
  <c r="D119" i="6"/>
  <c r="F119" i="6" s="1"/>
  <c r="D117" i="6"/>
  <c r="F117" i="6" s="1"/>
  <c r="D116" i="6"/>
  <c r="F116" i="6" s="1"/>
  <c r="D115" i="6"/>
  <c r="F115" i="6" s="1"/>
  <c r="D112" i="6"/>
  <c r="F112" i="6" s="1"/>
  <c r="G111" i="6"/>
  <c r="D111" i="6"/>
  <c r="F111" i="6" s="1"/>
  <c r="D109" i="6"/>
  <c r="F109" i="6" s="1"/>
  <c r="D108" i="6"/>
  <c r="F108" i="6" s="1"/>
  <c r="G107" i="6"/>
  <c r="D107" i="6"/>
  <c r="F107" i="6" s="1"/>
  <c r="D105" i="6"/>
  <c r="F105" i="6" s="1"/>
  <c r="D104" i="6"/>
  <c r="F104" i="6" s="1"/>
  <c r="G103" i="6"/>
  <c r="D103" i="6"/>
  <c r="F103" i="6" s="1"/>
  <c r="F85" i="6"/>
  <c r="D68" i="6"/>
  <c r="D67" i="6"/>
  <c r="D66" i="6"/>
  <c r="D65" i="6"/>
  <c r="D64" i="6"/>
  <c r="D63" i="6"/>
  <c r="G62" i="6"/>
  <c r="D62" i="6"/>
  <c r="I58" i="6"/>
  <c r="C60" i="6" s="1"/>
  <c r="E62" i="6" s="1"/>
  <c r="D50" i="6"/>
  <c r="G45" i="6"/>
  <c r="C45" i="6"/>
  <c r="E39" i="6"/>
  <c r="E40" i="6" s="1"/>
  <c r="C13" i="6"/>
  <c r="E7" i="6"/>
  <c r="G204" i="1"/>
  <c r="I200" i="1"/>
  <c r="I187" i="1"/>
  <c r="G188" i="1"/>
  <c r="I186" i="1"/>
  <c r="I184" i="1"/>
  <c r="I183" i="1"/>
  <c r="G184" i="1"/>
  <c r="I182" i="1"/>
  <c r="I172" i="1"/>
  <c r="I171" i="1"/>
  <c r="G172" i="1"/>
  <c r="F187" i="6" l="1"/>
  <c r="C94" i="6"/>
  <c r="D91" i="6"/>
  <c r="C91" i="6"/>
  <c r="I170" i="1"/>
  <c r="F158" i="1"/>
  <c r="C93" i="6"/>
  <c r="D94" i="6"/>
  <c r="K76" i="1"/>
  <c r="F92" i="6"/>
  <c r="I135" i="6"/>
  <c r="C92" i="6"/>
  <c r="F145" i="6"/>
  <c r="C90" i="6"/>
  <c r="D93" i="6"/>
  <c r="F142" i="6"/>
  <c r="F93" i="6" s="1"/>
  <c r="F94" i="6"/>
  <c r="F91" i="6"/>
  <c r="F90" i="6"/>
  <c r="D90" i="6"/>
  <c r="D92" i="6"/>
  <c r="I274" i="1"/>
  <c r="I273" i="1"/>
  <c r="K77" i="1" l="1"/>
  <c r="I64" i="1" s="1"/>
  <c r="C68" i="1" s="1"/>
  <c r="E70" i="1" s="1"/>
  <c r="D71" i="1"/>
  <c r="G70" i="1"/>
  <c r="D95" i="6"/>
  <c r="F95" i="6"/>
  <c r="C95" i="6"/>
  <c r="I303" i="1"/>
  <c r="L303" i="1" s="1"/>
  <c r="J303" i="1"/>
  <c r="B2" i="4"/>
  <c r="B3" i="4"/>
  <c r="B4" i="4"/>
  <c r="B5" i="4"/>
  <c r="B6" i="4"/>
  <c r="B7" i="4"/>
  <c r="B8" i="4"/>
  <c r="B9" i="4"/>
  <c r="B10" i="4"/>
  <c r="B1" i="4"/>
  <c r="I271" i="1" l="1"/>
  <c r="G287" i="1"/>
  <c r="G294" i="1"/>
  <c r="G301" i="1"/>
  <c r="G308" i="1"/>
  <c r="G329" i="1"/>
  <c r="G273" i="1"/>
  <c r="G242" i="1"/>
  <c r="G218" i="1"/>
  <c r="G212" i="1"/>
  <c r="I309" i="1" l="1"/>
  <c r="I276" i="1"/>
  <c r="I275" i="1"/>
  <c r="I272" i="1" l="1"/>
  <c r="F159" i="1"/>
  <c r="F162" i="1" s="1"/>
  <c r="F163" i="1" s="1"/>
  <c r="F6" i="5"/>
  <c r="G6" i="5" s="1"/>
  <c r="F7" i="5"/>
  <c r="G7" i="5" s="1"/>
  <c r="F5" i="5"/>
  <c r="G5" i="5" s="1"/>
  <c r="G8" i="5" l="1"/>
  <c r="E7" i="1" l="1"/>
  <c r="E41" i="1" l="1"/>
  <c r="D373" i="1" l="1"/>
  <c r="F151" i="1"/>
  <c r="G47" i="1"/>
  <c r="E42"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 r="I242" i="1"/>
  <c r="I241" i="1"/>
  <c r="I294" i="1"/>
  <c r="I240" i="1"/>
  <c r="I288" i="1"/>
</calcChain>
</file>

<file path=xl/sharedStrings.xml><?xml version="1.0" encoding="utf-8"?>
<sst xmlns="http://schemas.openxmlformats.org/spreadsheetml/2006/main" count="1125" uniqueCount="401">
  <si>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</si>
  <si>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</si>
  <si>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</si>
  <si>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</si>
  <si>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</si>
  <si>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</si>
  <si>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</si>
  <si>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</si>
  <si>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</si>
  <si>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</si>
  <si>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</si>
  <si>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</si>
  <si>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</si>
  <si>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</si>
  <si>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</si>
  <si>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</si>
  <si>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</si>
  <si>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</si>
  <si>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</si>
  <si>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</si>
  <si>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</si>
  <si>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</si>
  <si>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</si>
  <si>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</si>
  <si>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</si>
  <si>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</si>
  <si>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</si>
  <si>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</si>
  <si>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</si>
  <si>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</si>
  <si>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</si>
  <si>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</si>
  <si>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</si>
  <si>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</si>
  <si>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</si>
  <si>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</si>
  <si>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</si>
  <si>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</si>
  <si>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</si>
  <si>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</si>
  <si>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</si>
  <si>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</si>
  <si>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</si>
  <si>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</si>
  <si>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</si>
  <si>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</si>
  <si>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</si>
  <si>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</si>
  <si>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</si>
  <si>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</si>
  <si>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</si>
  <si>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</si>
  <si>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</si>
  <si>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</si>
  <si>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</si>
  <si>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</si>
  <si>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</si>
  <si>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Brick</t>
  </si>
  <si>
    <t>Plaster</t>
  </si>
  <si>
    <t>Flooring</t>
  </si>
  <si>
    <t>Painting &amp; Wooden Work</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</si>
  <si>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</si>
  <si>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</si>
  <si>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</si>
  <si>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</si>
  <si>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</si>
  <si>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</si>
  <si>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</si>
  <si>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</si>
  <si>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</si>
  <si>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</si>
  <si>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</si>
  <si>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</si>
  <si>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</si>
  <si>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</si>
  <si>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</si>
  <si>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</si>
  <si>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</si>
  <si>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</si>
  <si>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</si>
  <si>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</si>
  <si>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</si>
  <si>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</si>
  <si>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</si>
  <si>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</si>
  <si>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</si>
  <si>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</si>
  <si>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</si>
  <si>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</si>
  <si>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</si>
  <si>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</si>
  <si>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</si>
  <si>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</si>
  <si>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</si>
  <si>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</si>
  <si>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</si>
  <si>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</si>
  <si>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</si>
  <si>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</si>
  <si>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</si>
  <si>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</si>
  <si>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</si>
  <si>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</si>
  <si>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</si>
  <si>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</si>
  <si>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</si>
  <si>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</si>
  <si>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</si>
  <si>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</si>
  <si>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</si>
  <si>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</si>
  <si>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</si>
  <si>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</si>
  <si>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</si>
  <si>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</si>
  <si>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</si>
  <si>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</si>
  <si>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</si>
  <si>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</si>
  <si>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</si>
  <si>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</si>
  <si>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</si>
  <si>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</si>
  <si>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1302-ELLORA FIESTA, PLOT NO. 8, SECTOR 11, OPP. JUINAGAR RAILWAY STATION, SANPADA, NAVI MUMBAI 400 706. TEL: 022-27758396/95. FAX :022-27758394.
E mail : axisbank@vsjadon.com. vsjcvaluer@gmail.com. Web site : www.vsjadon.com</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</si>
  <si>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</si>
  <si>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</si>
  <si>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</si>
  <si>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</si>
  <si>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</si>
  <si>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</si>
  <si>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</si>
  <si>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Completed Slab/Floor</t>
  </si>
  <si>
    <t>Complition %</t>
  </si>
  <si>
    <t>Disbursement %</t>
  </si>
  <si>
    <t>Progress %</t>
  </si>
  <si>
    <t xml:space="preserve">Material laying at Site: </t>
  </si>
  <si>
    <t>Projected life of the structure</t>
  </si>
  <si>
    <t>60 Years After Completion</t>
  </si>
  <si>
    <t xml:space="preserve">Quality of construction: </t>
  </si>
  <si>
    <t xml:space="preserve">Valid upto date: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</si>
  <si>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</si>
  <si>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</si>
  <si>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</si>
  <si>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</si>
  <si>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</si>
  <si>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</si>
  <si>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</si>
  <si>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</si>
  <si>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</si>
  <si>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</si>
  <si>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</si>
  <si>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</si>
  <si>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</si>
  <si>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</si>
  <si>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</si>
  <si>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</si>
  <si>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</si>
  <si>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</si>
  <si>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</si>
  <si>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</si>
  <si>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RCC Slab</t>
  </si>
  <si>
    <t>All work Completed. Wait For OC.</t>
  </si>
  <si>
    <t>All work Completed. OC Received.</t>
  </si>
  <si>
    <t>NA
Approved upto : NA</t>
  </si>
  <si>
    <t>Report By :</t>
  </si>
  <si>
    <t>Market Research Data</t>
  </si>
  <si>
    <t>Source</t>
  </si>
  <si>
    <t>Distance from proposed property</t>
  </si>
  <si>
    <t>Net Carpet</t>
  </si>
  <si>
    <t>Market Value</t>
  </si>
  <si>
    <t>3BHK</t>
  </si>
  <si>
    <t>99 Acres</t>
  </si>
  <si>
    <t>Average</t>
  </si>
  <si>
    <t xml:space="preserve">Valuation Adopted </t>
  </si>
  <si>
    <t>Saleable Area</t>
  </si>
  <si>
    <t>Rate on Saleable</t>
  </si>
  <si>
    <t>All work Completed. Provide OC.</t>
  </si>
  <si>
    <t>Axis Sanpada</t>
  </si>
  <si>
    <t>M/s.Puravankara Limited</t>
  </si>
  <si>
    <t>Purva Clermont</t>
  </si>
  <si>
    <t>Contact Details ( Name &amp; Contect No.)</t>
  </si>
  <si>
    <t>P-2373/2019/(395 And Other)/M/E Ward/DEONAR-E/CC/1/New</t>
  </si>
  <si>
    <t>18/02/2021.</t>
  </si>
  <si>
    <t>17/02/2022.</t>
  </si>
  <si>
    <t>P-2373/2019/(395 And Other)/M/E Ward/DEONAR-E</t>
  </si>
  <si>
    <t>Deonar</t>
  </si>
  <si>
    <t>Locality</t>
  </si>
  <si>
    <t>Mumbai</t>
  </si>
  <si>
    <t>CTS No</t>
  </si>
  <si>
    <t>Upper Class</t>
  </si>
  <si>
    <t>Developed</t>
  </si>
  <si>
    <t>Safal Twins Tower</t>
  </si>
  <si>
    <t>Open Plot</t>
  </si>
  <si>
    <t>1.4Km from Govandi Railway Station</t>
  </si>
  <si>
    <t>Raheja Acropolis Lane</t>
  </si>
  <si>
    <t>09/03/2020.</t>
  </si>
  <si>
    <t>As per RERA - 31/12/2026.</t>
  </si>
  <si>
    <t>Wing B</t>
  </si>
  <si>
    <t>Lower &amp; Upper Basement for Parking</t>
  </si>
  <si>
    <t>Ground Floor for Parking</t>
  </si>
  <si>
    <t>Wing C</t>
  </si>
  <si>
    <t>Wing D</t>
  </si>
  <si>
    <t>Wing E</t>
  </si>
  <si>
    <t>1st Podium Floor for Residential</t>
  </si>
  <si>
    <t>2BHK</t>
  </si>
  <si>
    <t>1st to 4th Floor for Residential</t>
  </si>
  <si>
    <t>1st to 3rd Floor for Residential</t>
  </si>
  <si>
    <t>4th Floor</t>
  </si>
  <si>
    <t>5th, 7th to 12th, 14th to 16th Floor</t>
  </si>
  <si>
    <t>13th Floor (Part Refuge Area)</t>
  </si>
  <si>
    <t>Refuge Area</t>
  </si>
  <si>
    <t>6th Floor (Part Refuge Area)</t>
  </si>
  <si>
    <t>Wing E (Lodging /Guesthouse)</t>
  </si>
  <si>
    <t>1st Podium Floor</t>
  </si>
  <si>
    <t>Room</t>
  </si>
  <si>
    <t>1st to 7th Floor</t>
  </si>
  <si>
    <t>13/03/2021.</t>
  </si>
  <si>
    <t>Approved Plans, CC</t>
  </si>
  <si>
    <t>Nothing</t>
  </si>
  <si>
    <t>Wheather the construction is as per approved Building plan : NA</t>
  </si>
  <si>
    <t>Dhanashree</t>
  </si>
  <si>
    <t>101 to 401</t>
  </si>
  <si>
    <t>102 to 402</t>
  </si>
  <si>
    <t>101 to 301</t>
  </si>
  <si>
    <t>102 to 302</t>
  </si>
  <si>
    <t>103 to 303</t>
  </si>
  <si>
    <t>104 to 304</t>
  </si>
  <si>
    <t>105 to 305</t>
  </si>
  <si>
    <t>106 to 306</t>
  </si>
  <si>
    <t>501 ,…, 1601</t>
  </si>
  <si>
    <t>502 ,…, 1602</t>
  </si>
  <si>
    <t>503 ,…, 1603</t>
  </si>
  <si>
    <t>504 ,…, 1604</t>
  </si>
  <si>
    <t>505 ,…, 1605</t>
  </si>
  <si>
    <t>506 ,…, 1606</t>
  </si>
  <si>
    <t>101 to 701</t>
  </si>
  <si>
    <t>102 to 702</t>
  </si>
  <si>
    <t>103 to 703</t>
  </si>
  <si>
    <t>104 to 704</t>
  </si>
  <si>
    <t>105 to 705</t>
  </si>
  <si>
    <t>106 to 706</t>
  </si>
  <si>
    <t>107 to 707</t>
  </si>
  <si>
    <t>108 to 708</t>
  </si>
  <si>
    <t>109 to 709</t>
  </si>
  <si>
    <t>110 to 710</t>
  </si>
  <si>
    <t>395, 395/1, 395/2, 395/3, 395/4, 395/5, 395/6, 395/7, 395/8, 395/9, 395/10</t>
  </si>
  <si>
    <t>800000/-</t>
  </si>
  <si>
    <t>Govandi</t>
  </si>
  <si>
    <t>8043439710 &amp; Vinod Kumar - 7338637758</t>
  </si>
  <si>
    <t>Wing A, B, C, D &amp; E</t>
  </si>
  <si>
    <t>05 Wings</t>
  </si>
  <si>
    <r>
      <t>Valid Up to: CC upto ‘Top of Plinth’ for wing D as per IOD plans dt.</t>
    </r>
    <r>
      <rPr>
        <b/>
        <sz val="12"/>
        <rFont val="Times New Roman"/>
        <family val="1"/>
      </rPr>
      <t>09.03.2020</t>
    </r>
    <r>
      <rPr>
        <sz val="12"/>
        <rFont val="Times New Roman"/>
        <family val="1"/>
      </rPr>
      <t xml:space="preserve"> and as per Phase Programme dated 12.02.2021.
</t>
    </r>
  </si>
  <si>
    <t>Flats - 161, Rooms - 80</t>
  </si>
  <si>
    <t>Wing A = 2B+ Gr. + 1st Podium Floor + 1st to 16th Floor
Wing B = 2B+ Gr. + 1st Podium Floor + 1st to 4th Floor
Wing C = 2B+ Gr. + 1st Podium Floor
Wing D = 2B+ Gr. + 1st Podium Floor + 1st to 16th Floor
Wing E = 2B+ Gr. + 1st Podium Floor + 1st to 7th Floor</t>
  </si>
  <si>
    <t>Wing A = 2B+ Gr. + 1st Podium Floor + 1st to 18th Floor
Wing B = 2B+ Gr. + 1st Podium Floor + 1st to 17th Floor
Wing C = 2B+ Gr. + 1st Podium Floor + 1st to 18th Floor
Wing D = 2B+ Gr. + 1st Podium Floor + 1st to 16th Floor
Wing E = 2B+ Gr. + 1st Podium Floor + 1st to 7th Floor</t>
  </si>
  <si>
    <t>Construction details: Wing A to E</t>
  </si>
  <si>
    <t>Wing A</t>
  </si>
  <si>
    <t>1st to 5th, 7th to 11th, 14th to 16th Floor</t>
  </si>
  <si>
    <t>101 ,…, 1601</t>
  </si>
  <si>
    <t>102 ,…, 1602</t>
  </si>
  <si>
    <t>103 ,…, 1603</t>
  </si>
  <si>
    <t>12th Floor (Part Refuge Area)</t>
  </si>
  <si>
    <t>12th Floor</t>
  </si>
  <si>
    <t>12th + 13th Floor</t>
  </si>
  <si>
    <t>3BHK
(Duplex Flat)</t>
  </si>
  <si>
    <t>Akash</t>
  </si>
  <si>
    <t>1. Work not yet Started
2. We considered  Saleable area  as per our calculation.
3. We considered Carpet area as per Approved Plan.
4. We considered Gross carpet area = Net carpet + Enclose balcony.
5. We have considered rate by verifying it from market inquire.
6. Car parking is subjected to authentic documentation.
7. In Approved Plans E wing shows as Lodging /Guesthouse but on RERA site it is shown as commercial building (Office Space).
8. On site, we meet Mr.Mayur Ahuja (Sale) - 9833777956.</t>
  </si>
  <si>
    <t>03/04/2021.</t>
  </si>
  <si>
    <t>Advance Maintenance</t>
  </si>
  <si>
    <t>Legal Charges</t>
  </si>
  <si>
    <t>Interest Free Corpus Fund</t>
  </si>
  <si>
    <t>2,00,000/-</t>
  </si>
  <si>
    <t>50,000/-</t>
  </si>
  <si>
    <t>Floor Rise Rate Per Sq. Ft. (on Saleable area)</t>
  </si>
  <si>
    <t>Recommended rate of the flat Per Sq. Ft. (on Saleable area)</t>
  </si>
  <si>
    <t>Cost sheet</t>
  </si>
  <si>
    <t>50/- from 1st Habitable Floor</t>
  </si>
  <si>
    <t>Construction details:</t>
  </si>
  <si>
    <t>Slab/Floor</t>
  </si>
  <si>
    <t>Piling Work in process</t>
  </si>
  <si>
    <t>Excavation</t>
  </si>
  <si>
    <t>RCC (Including podiums)</t>
  </si>
  <si>
    <t>Brickwork</t>
  </si>
  <si>
    <t>Brickwork &amp; Internal Plaster</t>
  </si>
  <si>
    <t>Internal Plaster</t>
  </si>
  <si>
    <t>Basement 2</t>
  </si>
  <si>
    <t>Ext. Plaster &amp; Plumbing</t>
  </si>
  <si>
    <t>External Plaster &amp; Plumbing</t>
  </si>
  <si>
    <t>Basement 3</t>
  </si>
  <si>
    <t>Flooring &amp; Fitting</t>
  </si>
  <si>
    <t>Basement 4</t>
  </si>
  <si>
    <t>Painting &amp; Wooden</t>
  </si>
  <si>
    <t>Basement 5</t>
  </si>
  <si>
    <t>Building Common Amenities</t>
  </si>
  <si>
    <t>Plinth in process/1st basement proces</t>
  </si>
  <si>
    <t>Possession</t>
  </si>
  <si>
    <t>Wing B = 2B+ Gr. + 1st Podium Floor + 1st to 17th Floor</t>
  </si>
  <si>
    <t>Wing D = 2B+ Gr. + 1st Podium Floor + 1st to 16th Floor</t>
  </si>
  <si>
    <t>1,50,000/-</t>
  </si>
  <si>
    <t>Wing A  = 2B+ Gr. + 1st Podium Floor + 1st to 18th Floor</t>
  </si>
  <si>
    <t>Wing C  = 2B+ Gr. + 1st Podium Floor + 1st to 18th Floor</t>
  </si>
  <si>
    <t>Wheather the construction is as per approved Building plan : Under Construction</t>
  </si>
  <si>
    <t>Cement, sand, etc.</t>
  </si>
  <si>
    <t xml:space="preserve">Indicative Cost and Expenses for Provision of Infrastructure (Electricity &amp; Water) </t>
  </si>
  <si>
    <t>Layout Plan</t>
  </si>
  <si>
    <t>Latitude, Longitude</t>
  </si>
  <si>
    <t>https://goo.gl/maps/MzbyDUUUdN2ojQobA</t>
  </si>
  <si>
    <t>Location Link</t>
  </si>
  <si>
    <t>Valid Up to: As Proposed, re-endorsed C.C. up top of 18th upper floor for ‘Wing A’, up to top of 17th upper floor for ‘Wing B’ and up to top of 16th upper floor for ‘Wing D’, as per approved amended plans dtd.19.06.2023.</t>
  </si>
  <si>
    <t>Office No. 1031, Wing J, Akshar Business Park, Plot No. 03 Sector 25, Near APMC Market,
Vashi, Navi Mumbai, Maharashtra 400703 TEL: 022-46090378/79/80                                                                                                     Email : vsjcapf@gmail.com. Web site : www.vsjadon.com</t>
  </si>
  <si>
    <t>19.047099,72.915881</t>
  </si>
  <si>
    <t>Miss. Neha 7045717926</t>
  </si>
  <si>
    <t xml:space="preserve">Valid Up to: Further C.C. upto 9th (pt) upper floor (Excluding Flat No.2) for Wing ‘B’ and Full C.C. upto 7th upper floor including LMR &amp; OHT for Wing ‘E’ as per approved amended plan dt.19.06.2023 </t>
  </si>
  <si>
    <t>2nd, 3rd, 8th to 10th, 15th to 17th Floor for Residential</t>
  </si>
  <si>
    <t>5th + 6th Floor</t>
  </si>
  <si>
    <t>5th Floor</t>
  </si>
  <si>
    <t>7th &amp; 14th Floor for Residential</t>
  </si>
  <si>
    <t>4th &amp; 11th Floor for Residential</t>
  </si>
  <si>
    <t>1st Floor for Residential</t>
  </si>
  <si>
    <t>2nd, 3rd, 8th &amp; 15th Floor</t>
  </si>
  <si>
    <t>4th, 5th &amp; 11th Floor</t>
  </si>
  <si>
    <t>9th, 10th, 16th &amp; 17th Floor</t>
  </si>
  <si>
    <t>7th &amp; 14th Floor</t>
  </si>
  <si>
    <t>18th Floor For Fitness Center &amp; Terrace</t>
  </si>
  <si>
    <t xml:space="preserve"> Duplex With 12th Floor / Refuge Area</t>
  </si>
  <si>
    <t>Ground Floor for Meter Room, Fire Control Room &amp; Parking</t>
  </si>
  <si>
    <t xml:space="preserve"> Duplex With 5th Floor / Refuge Area</t>
  </si>
  <si>
    <t>Ground Floor for Meter Room &amp; Parking</t>
  </si>
  <si>
    <t>Ground Floor for Society Office, Meter Room &amp; Parking</t>
  </si>
  <si>
    <t>2nd &amp; 3rd Floor for Residential</t>
  </si>
  <si>
    <t>9th &amp; 10th Floor for Residential</t>
  </si>
  <si>
    <t>1st Podium Floor for Commercial</t>
  </si>
  <si>
    <t>1st to 7th Floor for Commercial</t>
  </si>
  <si>
    <t>Office</t>
  </si>
  <si>
    <t>102 to 301</t>
  </si>
  <si>
    <t>103 to 301</t>
  </si>
  <si>
    <t>104 to 301</t>
  </si>
  <si>
    <t>105 to 301</t>
  </si>
  <si>
    <t>106 to 301</t>
  </si>
  <si>
    <t>107 to 301</t>
  </si>
  <si>
    <t>108 to 301</t>
  </si>
  <si>
    <t>109 to 301</t>
  </si>
  <si>
    <t>110 to 301</t>
  </si>
  <si>
    <t xml:space="preserve">Wing A = 2B+ Gr. + 1st Podium Floor + 1st to 18th Floor
Wing B = 2B+ Gr. + 1st Podium Floor + 1st to 17th Floor
Wing C = 2B+ Gr. + 1st Podium Floor + 1st to 18th Floor
Wing D = 2B+ Gr. + 1st Podium Floor + 1st to 16th Floor
Wing E = 2B+ Gr. + 1st Podium Floor + 1st to 7th Floor </t>
  </si>
  <si>
    <t>Wing A = P51800028571
Wing B = P51800028427
Wing C = P51800028428
Wing D = P51800028494
Wing E = P51800028492</t>
  </si>
  <si>
    <t>Wing E = 2B+ Gr. + 1st Podium Floor + 1st to 7th Floor</t>
  </si>
  <si>
    <t>Grand Total</t>
  </si>
  <si>
    <t>Fire Noc No.
Valid Up to:</t>
  </si>
  <si>
    <t>CHE/ES/2373/M/E/337 (New)</t>
  </si>
  <si>
    <t>Wing A &amp; C = 02 Basement + Ground floor +1st Podium floor +1st to 18th floors  having height 67.05 mtrs. 
Wing B = 02 Basement levels + Ground floor +1st Podium floor + 1st to 17th floor having height 63.75 mtrs. 
Wing D = 02 Basement levels + Ground floor + 1st Podium floor + 1st to 16th floor having height 60.45 mtrs., 
Wing ‘E’ = 02 Basement levels + Ground floor +1st Podium floor +1st to 7th floor having height 28.75 mtrs.</t>
  </si>
  <si>
    <t>13th Floor Upper Duplex Floor (Part Refuge Area)</t>
  </si>
  <si>
    <t>12th Floor Lower Duplex Floor</t>
  </si>
  <si>
    <t>5th Lower Duplex Floor for Residential</t>
  </si>
  <si>
    <t>6th Upper Duplex Floor for Residential (Part Refuge Area)</t>
  </si>
  <si>
    <t>4BHK (Duplex Flat With 6th Floor )</t>
  </si>
  <si>
    <t>12th Lower Duplex Floor for Residential</t>
  </si>
  <si>
    <t>4BHK (Duplex Flat with 13th Floor)</t>
  </si>
  <si>
    <t>13th Upper Duplex Floor for Residential (Part Refuge Area)</t>
  </si>
  <si>
    <t>Saleable area Loading :</t>
  </si>
  <si>
    <t>Recommended rate of the Office Per Sq. Ft. (on Saleable area)</t>
  </si>
  <si>
    <t xml:space="preserve">7. Project consist of A to D Wings and E wing is separately registered on RERA (Wing E = P51800028492) and units are shown as Office Space (Commercial building). </t>
  </si>
  <si>
    <t>28K to 30K on 50%</t>
  </si>
  <si>
    <t>10/10/2024 CC upto Plinth</t>
  </si>
  <si>
    <t>P-2373/2019/(395 And Other)/M/E Ward/DEONAR-E/337/4/Amend</t>
  </si>
  <si>
    <t>2nd, 3rd &amp; 8th Floor for Residential</t>
  </si>
  <si>
    <t>4th &amp; 5th Floor for Residential</t>
  </si>
  <si>
    <t>7th Floor for Residential</t>
  </si>
  <si>
    <t>6th Floor for Residential (Part Refuge Area)</t>
  </si>
  <si>
    <t xml:space="preserve">Wing A = 2B+ Gr. + 1st Podium Floor + 1st to 18th Floor
Wing B = 2B+ Gr. + 1st Podium Floor + 1st to 17th Floor
Wing C = 2B+ Gr. + 1st Podium Floor + 10th Floor
Wing D = 2B+ Gr. + 1st Podium Floor + 1st to 16th Floor
Wing E = 2B+ Gr. + 1st Podium Floor + 1st to 7th Floor </t>
  </si>
  <si>
    <t>103 to 302</t>
  </si>
  <si>
    <t>104 to 302</t>
  </si>
  <si>
    <t>105 to 302</t>
  </si>
  <si>
    <t>106 to 302</t>
  </si>
  <si>
    <t>Flats - 217, Office - 79</t>
  </si>
  <si>
    <t>8043439710 &amp; Vinod Kumar 7338637758</t>
  </si>
  <si>
    <t>As per Layout</t>
  </si>
  <si>
    <t>Other Plot</t>
  </si>
  <si>
    <t>13.40 M W Road</t>
  </si>
  <si>
    <t>Adonis Raheja Acropolis</t>
  </si>
  <si>
    <t>Vaibhav Industrial Estate</t>
  </si>
  <si>
    <t>Contact Details ( Name &amp; Contact No.)</t>
  </si>
  <si>
    <t>Internal Road</t>
  </si>
  <si>
    <t>P-2373/2019/(395 And Other)/M/E
Ward/DEONAR-E/FCC/4/Amend</t>
  </si>
  <si>
    <t>Building Details Floor Wise</t>
  </si>
  <si>
    <t>As per RERA -  (Wing A to E) 30/06/2027</t>
  </si>
  <si>
    <t xml:space="preserve">Details of Residential &amp; Commercials in Building   </t>
  </si>
  <si>
    <t>5th, 8th, 11th, 12th, 15th &amp; 16th Floor</t>
  </si>
  <si>
    <t>4BHK
(Duplex Flat with 13th Floor)</t>
  </si>
  <si>
    <t>Constrution work goes beyond approved CC permission for Wing C. Please provide Revised CC for Wing C</t>
  </si>
  <si>
    <t>Further C.C. up to top of 1st floor for wing ‘ C’ as per approved amended plan dtd.23.09.2024 .</t>
  </si>
  <si>
    <t>Govandi West</t>
  </si>
  <si>
    <t>Site Meet Person Contact Details ( Name &amp; Contact No.)</t>
  </si>
  <si>
    <t>Purva Clermont (Wing A to E)</t>
  </si>
  <si>
    <t>https://www.clermont-chembur.in/?utm_source=Google&amp;utm_medium=Search&amp;utm_campaign=2660_Clermont_Chembur_Harbour_Search&amp;utm_term=purva%20clermont&amp;utm_content=Phrase_Ad1&amp;tm=tt&amp;ap=gads&amp;aaid=adaXOkTYVYQJE&amp;gad_source=1&amp;gclid=Cj0KCQiA1Km7BhC9ARIsAFZfEIttb_mOT052w9MNjPr_o8ec2uKCKgOCEAvKCE-fE6EuguGwcCyIhvcaAkwzEALw_wcB</t>
  </si>
  <si>
    <t>Gymnasium, Aroma garden, Rooftop jogging track, Zen deck, Kids’ play area, Parking, Lift etc.</t>
  </si>
  <si>
    <t>P-2373/2019/(395 And Other)/M/E
Ward/DEONAR-E/FCC/3/Amend</t>
  </si>
  <si>
    <t>P-2373/2019/(395 And Other)/M/E
Ward/DEONAR-E/FCC/2/Amend</t>
  </si>
  <si>
    <t>Approved Floor plan No.</t>
  </si>
  <si>
    <t>Akash Kadam</t>
  </si>
  <si>
    <t>1. Wing A, D &amp; E - Construction work was in process at the time of visit.
    Wing B &amp; C = Construction work is the same as last visit (dtd.06/06/2025), but work is in process at the time of the visit. (Slow Speed)
2. We considered  Saleable area  as per our calculation.
3. We considered Carpet area as per Approved Plan.
4. We considered Gross carpet area = Net carpet + Deck Area
5. We have considered rate by verifying it from market inquire.
6. Car parking is subjected to authentic documentation.
7. We have updated revised approved plan from MCGM site on 19/07/2024.
8. We have Added Wing E on 20/07/2024.
9. We have updated Revised Approved plans of Wing A to Wing E from MCGM Site on 23/12/2024.
10. Please provide Revised CC.
9. During visit we contacted Mr.Nirav Shah (Sale) -8369854696.</t>
  </si>
  <si>
    <t>Shruti Tathare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</si>
</sst>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
    <numFmt numFmtId="165" formatCode="_(* #,##0.00_);_(* \(#,##0.00\);_(* &quot;-&quot;??_);_(@_)"/>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3">
    <xf numFmtId="0" fontId="0" fillId="0" borderId="0"/>
    <xf numFmtId="0" fontId="5" fillId="0" borderId="0"/>
    <xf numFmtId="0" fontId="7" fillId="0" borderId="0"/>
    <xf numFmtId="0" fontId="4" fillId="0" borderId="0"/>
    <xf numFmtId="0" fontId="7" fillId="0" borderId="0"/>
    <xf numFmtId="0" fontId="3" fillId="0" borderId="0"/>
    <xf numFmtId="165" fontId="7" fillId="0" borderId="0" applyFont="0" applyFill="0" applyBorder="0" applyAlignment="0" applyProtection="0"/>
    <xf numFmtId="0" fontId="22" fillId="0" borderId="0"/>
    <xf numFmtId="0" fontId="23" fillId="0" borderId="0" applyNumberFormat="0" applyFill="0" applyBorder="0" applyAlignment="0" applyProtection="0"/>
    <xf numFmtId="0" fontId="1" fillId="0" borderId="0"/>
    <xf numFmtId="0" fontId="1" fillId="0" borderId="0"/>
    <xf numFmtId="0" fontId="1" fillId="0" borderId="0"/>
    <xf numFmtId="43" fontId="7" fillId="0" borderId="0" applyFont="0" applyFill="0" applyBorder="0" applyAlignment="0" applyProtection="0"/>
  </cellStyleXfs>
  <cellXfs count="239">
    <xf numFmtId="0" fontId="0" fillId="0" borderId="0" xfId="0"/>
    <xf numFmtId="0" fontId="9" fillId="0" borderId="0" xfId="0" applyFont="1" applyAlignment="1">
      <alignment horizontal="center" vertical="center"/>
    </xf>
    <xf numFmtId="0" fontId="9" fillId="0" borderId="0" xfId="1" applyFont="1" applyAlignment="1">
      <alignment horizontal="center" vertical="center"/>
    </xf>
    <xf numFmtId="0" fontId="0" fillId="3" borderId="1" xfId="0" applyFill="1" applyBorder="1"/>
    <xf numFmtId="0" fontId="0" fillId="0" borderId="2" xfId="0" applyBorder="1"/>
    <xf numFmtId="0" fontId="11" fillId="0" borderId="1" xfId="0" applyFont="1" applyBorder="1"/>
    <xf numFmtId="0" fontId="11" fillId="0" borderId="1" xfId="0" applyFont="1" applyBorder="1" applyAlignment="1">
      <alignment horizontal="center"/>
    </xf>
    <xf numFmtId="0" fontId="0" fillId="0" borderId="1" xfId="0" applyBorder="1"/>
    <xf numFmtId="0" fontId="9" fillId="0" borderId="0" xfId="1" applyFont="1"/>
    <xf numFmtId="0" fontId="8" fillId="0" borderId="0" xfId="2" applyFont="1"/>
    <xf numFmtId="0" fontId="9" fillId="0" borderId="0" xfId="0" applyFont="1"/>
    <xf numFmtId="0" fontId="14" fillId="0" borderId="0" xfId="1" applyFont="1"/>
    <xf numFmtId="0" fontId="17" fillId="0" borderId="0" xfId="1" applyFont="1"/>
    <xf numFmtId="0" fontId="18" fillId="0" borderId="0" xfId="1" applyFont="1"/>
    <xf numFmtId="0" fontId="14" fillId="2" borderId="1" xfId="1" applyFont="1" applyFill="1" applyBorder="1" applyAlignment="1" applyProtection="1">
      <alignment vertical="top"/>
      <protection locked="0"/>
    </xf>
    <xf numFmtId="0" fontId="14" fillId="2" borderId="1" xfId="1" applyFont="1" applyFill="1" applyBorder="1" applyAlignment="1" applyProtection="1">
      <alignment vertical="top" wrapText="1"/>
      <protection locked="0"/>
    </xf>
    <xf numFmtId="0" fontId="17" fillId="0" borderId="1" xfId="1" applyFont="1" applyBorder="1" applyAlignment="1" applyProtection="1">
      <alignment horizontal="center" vertical="top"/>
      <protection locked="0"/>
    </xf>
    <xf numFmtId="0" fontId="12"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1" fontId="6" fillId="0" borderId="1" xfId="1" applyNumberFormat="1" applyFont="1" applyBorder="1" applyAlignment="1" applyProtection="1">
      <alignment horizontal="center" vertical="top" wrapText="1"/>
      <protection locked="0"/>
    </xf>
    <xf numFmtId="0" fontId="10" fillId="0" borderId="0" xfId="1" applyFont="1" applyAlignment="1" applyProtection="1">
      <alignment vertical="top"/>
      <protection locked="0"/>
    </xf>
    <xf numFmtId="0" fontId="10" fillId="0" borderId="0" xfId="1" applyFont="1" applyAlignment="1" applyProtection="1">
      <alignment vertical="top" wrapText="1"/>
      <protection locked="0"/>
    </xf>
    <xf numFmtId="0" fontId="9" fillId="0" borderId="0" xfId="1" applyFont="1" applyProtection="1">
      <protection locked="0"/>
    </xf>
    <xf numFmtId="0" fontId="12" fillId="0" borderId="0" xfId="1" applyFont="1" applyProtection="1">
      <protection locked="0"/>
    </xf>
    <xf numFmtId="0" fontId="9" fillId="0" borderId="0" xfId="1" applyFont="1" applyProtection="1">
      <protection hidden="1"/>
    </xf>
    <xf numFmtId="0" fontId="14" fillId="0" borderId="8" xfId="1" applyFont="1" applyBorder="1" applyAlignment="1" applyProtection="1">
      <alignment horizontal="center" vertical="top"/>
      <protection locked="0"/>
    </xf>
    <xf numFmtId="0" fontId="17" fillId="0" borderId="9" xfId="1" applyFont="1" applyBorder="1" applyAlignment="1" applyProtection="1">
      <alignment horizontal="center" vertical="top"/>
      <protection locked="0"/>
    </xf>
    <xf numFmtId="0" fontId="9" fillId="0" borderId="15" xfId="1" applyFont="1" applyBorder="1" applyProtection="1">
      <protection hidden="1"/>
    </xf>
    <xf numFmtId="0" fontId="9" fillId="0" borderId="16" xfId="1" applyFont="1" applyBorder="1" applyProtection="1">
      <protection hidden="1"/>
    </xf>
    <xf numFmtId="0" fontId="9" fillId="0" borderId="17" xfId="1" applyFont="1" applyBorder="1" applyProtection="1">
      <protection hidden="1"/>
    </xf>
    <xf numFmtId="0" fontId="9" fillId="0" borderId="18" xfId="1" applyFont="1" applyBorder="1" applyProtection="1">
      <protection hidden="1"/>
    </xf>
    <xf numFmtId="0" fontId="9" fillId="0" borderId="19" xfId="1" applyFont="1" applyBorder="1" applyProtection="1">
      <protection hidden="1"/>
    </xf>
    <xf numFmtId="0" fontId="9" fillId="0" borderId="19" xfId="1" applyFont="1" applyBorder="1"/>
    <xf numFmtId="0" fontId="9" fillId="0" borderId="18" xfId="1" applyFont="1" applyBorder="1"/>
    <xf numFmtId="0" fontId="19" fillId="0" borderId="18" xfId="0" applyFont="1" applyBorder="1" applyProtection="1">
      <protection hidden="1"/>
    </xf>
    <xf numFmtId="9" fontId="19" fillId="0" borderId="0" xfId="0" applyNumberFormat="1" applyFont="1" applyProtection="1">
      <protection hidden="1"/>
    </xf>
    <xf numFmtId="9" fontId="19" fillId="0" borderId="19" xfId="0" applyNumberFormat="1" applyFont="1" applyBorder="1" applyProtection="1">
      <protection hidden="1"/>
    </xf>
    <xf numFmtId="0" fontId="19" fillId="0" borderId="20" xfId="0" applyFont="1" applyBorder="1" applyProtection="1">
      <protection hidden="1"/>
    </xf>
    <xf numFmtId="9" fontId="19" fillId="0" borderId="21" xfId="0" applyNumberFormat="1" applyFont="1" applyBorder="1" applyProtection="1">
      <protection hidden="1"/>
    </xf>
    <xf numFmtId="9" fontId="19" fillId="0" borderId="22" xfId="0" applyNumberFormat="1" applyFont="1" applyBorder="1" applyProtection="1">
      <protection hidden="1"/>
    </xf>
    <xf numFmtId="0" fontId="7" fillId="0" borderId="0" xfId="4"/>
    <xf numFmtId="0" fontId="3" fillId="0" borderId="0" xfId="5"/>
    <xf numFmtId="0" fontId="11" fillId="0" borderId="1" xfId="5" applyFont="1" applyBorder="1" applyAlignment="1">
      <alignment horizontal="center" vertical="top" wrapText="1"/>
    </xf>
    <xf numFmtId="0" fontId="21" fillId="0" borderId="0" xfId="4" applyFont="1"/>
    <xf numFmtId="0" fontId="3" fillId="0" borderId="1" xfId="5" applyBorder="1" applyAlignment="1">
      <alignment horizontal="center" vertical="center"/>
    </xf>
    <xf numFmtId="1" fontId="3" fillId="0" borderId="1" xfId="5" applyNumberFormat="1" applyBorder="1" applyAlignment="1">
      <alignment horizontal="center" vertical="center"/>
    </xf>
    <xf numFmtId="166" fontId="3" fillId="0" borderId="1" xfId="6" applyNumberFormat="1" applyFont="1" applyBorder="1" applyAlignment="1">
      <alignment horizontal="right" vertical="center"/>
    </xf>
    <xf numFmtId="0" fontId="11" fillId="0" borderId="1" xfId="5" applyFont="1" applyBorder="1" applyAlignment="1">
      <alignment horizontal="center" vertical="center"/>
    </xf>
    <xf numFmtId="1" fontId="20" fillId="0" borderId="1" xfId="5" applyNumberFormat="1" applyFont="1" applyBorder="1" applyAlignment="1">
      <alignment horizontal="center" vertical="center"/>
    </xf>
    <xf numFmtId="0" fontId="7" fillId="0" borderId="1" xfId="4" applyBorder="1" applyAlignment="1">
      <alignment horizontal="center" vertical="center"/>
    </xf>
    <xf numFmtId="1" fontId="12" fillId="0" borderId="1" xfId="0" applyNumberFormat="1" applyFont="1" applyBorder="1" applyAlignment="1" applyProtection="1">
      <alignment horizontal="center" vertical="center"/>
      <protection locked="0"/>
    </xf>
    <xf numFmtId="0" fontId="14"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wrapText="1"/>
      <protection locked="0"/>
    </xf>
    <xf numFmtId="1" fontId="14" fillId="0" borderId="1" xfId="1" applyNumberFormat="1" applyFont="1" applyBorder="1" applyAlignment="1" applyProtection="1">
      <alignment horizontal="center" wrapText="1"/>
      <protection locked="0"/>
    </xf>
    <xf numFmtId="0" fontId="14" fillId="0" borderId="11" xfId="1" applyFont="1" applyBorder="1" applyAlignment="1" applyProtection="1">
      <alignment horizontal="center" wrapText="1"/>
      <protection locked="0"/>
    </xf>
    <xf numFmtId="0" fontId="2" fillId="0" borderId="1" xfId="5" applyFont="1" applyBorder="1" applyAlignment="1">
      <alignment horizontal="left" vertical="center"/>
    </xf>
    <xf numFmtId="0" fontId="2" fillId="0" borderId="1" xfId="5" applyFont="1" applyBorder="1" applyAlignment="1">
      <alignment horizontal="center" vertical="center"/>
    </xf>
    <xf numFmtId="1" fontId="9" fillId="0" borderId="0" xfId="1" applyNumberFormat="1" applyFont="1" applyAlignment="1">
      <alignment horizontal="center" vertical="center"/>
    </xf>
    <xf numFmtId="1" fontId="9" fillId="0" borderId="1" xfId="0" applyNumberFormat="1" applyFont="1" applyBorder="1" applyAlignment="1">
      <alignment horizontal="center" vertical="center"/>
    </xf>
    <xf numFmtId="1" fontId="14" fillId="0" borderId="1" xfId="0" applyNumberFormat="1"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0" fontId="14" fillId="2" borderId="1" xfId="1" applyFont="1" applyFill="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0" fontId="15" fillId="2" borderId="1" xfId="1" applyFont="1" applyFill="1" applyBorder="1" applyAlignment="1" applyProtection="1">
      <alignment horizontal="left" vertical="top"/>
      <protection locked="0"/>
    </xf>
    <xf numFmtId="9" fontId="14" fillId="2" borderId="1" xfId="1" applyNumberFormat="1" applyFont="1" applyFill="1" applyBorder="1" applyAlignment="1" applyProtection="1">
      <alignment horizontal="center" vertical="center" wrapText="1"/>
      <protection hidden="1"/>
    </xf>
    <xf numFmtId="9" fontId="14" fillId="2" borderId="11" xfId="1" applyNumberFormat="1" applyFont="1" applyFill="1" applyBorder="1" applyAlignment="1" applyProtection="1">
      <alignment horizontal="center" vertical="center" wrapText="1"/>
      <protection hidden="1"/>
    </xf>
    <xf numFmtId="0" fontId="14" fillId="0" borderId="1" xfId="1" applyFont="1" applyBorder="1" applyAlignment="1" applyProtection="1">
      <alignment horizontal="center" vertical="top"/>
      <protection locked="0"/>
    </xf>
    <xf numFmtId="1" fontId="10" fillId="0" borderId="1" xfId="1" applyNumberFormat="1" applyFont="1" applyBorder="1" applyAlignment="1" applyProtection="1">
      <alignment horizontal="center" vertical="top" wrapText="1"/>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9" fillId="0" borderId="0" xfId="0" applyFont="1" applyProtection="1">
      <protection hidden="1"/>
    </xf>
    <xf numFmtId="0" fontId="19" fillId="0" borderId="21" xfId="0" applyFont="1" applyBorder="1" applyProtection="1">
      <protection hidden="1"/>
    </xf>
    <xf numFmtId="0" fontId="14" fillId="0" borderId="9" xfId="1" applyFont="1" applyBorder="1" applyAlignment="1" applyProtection="1">
      <alignment horizontal="center"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vertical="top"/>
      <protection locked="0"/>
    </xf>
    <xf numFmtId="0" fontId="14" fillId="0" borderId="1" xfId="1" applyFont="1" applyBorder="1" applyAlignment="1" applyProtection="1">
      <alignment vertical="top" wrapText="1"/>
      <protection locked="0"/>
    </xf>
    <xf numFmtId="9" fontId="14" fillId="0" borderId="1" xfId="1" applyNumberFormat="1" applyFont="1" applyBorder="1" applyAlignment="1" applyProtection="1">
      <alignment horizontal="center" vertical="center" wrapText="1"/>
      <protection hidden="1"/>
    </xf>
    <xf numFmtId="0" fontId="19" fillId="0" borderId="19" xfId="0" applyFont="1" applyBorder="1" applyProtection="1">
      <protection hidden="1"/>
    </xf>
    <xf numFmtId="2" fontId="0" fillId="0" borderId="19" xfId="0" applyNumberFormat="1" applyBorder="1"/>
    <xf numFmtId="1" fontId="0" fillId="0" borderId="0" xfId="0" applyNumberFormat="1"/>
    <xf numFmtId="1" fontId="0" fillId="0" borderId="19" xfId="0" applyNumberFormat="1" applyBorder="1"/>
    <xf numFmtId="164" fontId="0" fillId="0" borderId="0" xfId="0" applyNumberFormat="1"/>
    <xf numFmtId="1" fontId="0" fillId="0" borderId="19" xfId="0" applyNumberFormat="1" applyBorder="1" applyAlignment="1">
      <alignment horizontal="right"/>
    </xf>
    <xf numFmtId="0" fontId="0" fillId="0" borderId="19" xfId="0" applyBorder="1"/>
    <xf numFmtId="164" fontId="0" fillId="0" borderId="19" xfId="0" applyNumberFormat="1" applyBorder="1"/>
    <xf numFmtId="9" fontId="14" fillId="0" borderId="11" xfId="1" applyNumberFormat="1" applyFont="1" applyBorder="1" applyAlignment="1" applyProtection="1">
      <alignment horizontal="center" vertical="center" wrapText="1"/>
      <protection hidden="1"/>
    </xf>
    <xf numFmtId="1" fontId="0" fillId="0" borderId="22" xfId="0" applyNumberFormat="1" applyBorder="1"/>
    <xf numFmtId="1" fontId="15" fillId="0" borderId="1" xfId="0" applyNumberFormat="1" applyFont="1" applyBorder="1" applyAlignment="1" applyProtection="1">
      <alignment horizontal="center" vertical="center"/>
      <protection locked="0"/>
    </xf>
    <xf numFmtId="0" fontId="0" fillId="3" borderId="0" xfId="0" applyFill="1"/>
    <xf numFmtId="0" fontId="9" fillId="3" borderId="0" xfId="1" applyFont="1" applyFill="1"/>
    <xf numFmtId="1" fontId="9" fillId="0" borderId="1" xfId="1" applyNumberFormat="1" applyFont="1" applyBorder="1" applyAlignment="1" applyProtection="1">
      <alignment horizontal="center" vertical="center" wrapText="1"/>
      <protection locked="0"/>
    </xf>
    <xf numFmtId="0" fontId="17" fillId="0" borderId="0" xfId="1" applyFont="1" applyAlignment="1">
      <alignment horizontal="center" vertical="center"/>
    </xf>
    <xf numFmtId="1" fontId="14" fillId="0" borderId="1" xfId="1" applyNumberFormat="1" applyFont="1" applyBorder="1" applyAlignment="1" applyProtection="1">
      <alignment horizontal="center" vertical="center" wrapText="1"/>
      <protection locked="0"/>
    </xf>
    <xf numFmtId="0" fontId="24" fillId="0" borderId="0" xfId="1" applyFont="1"/>
    <xf numFmtId="1" fontId="10" fillId="0" borderId="3" xfId="1" applyNumberFormat="1" applyFont="1" applyBorder="1" applyAlignment="1" applyProtection="1">
      <alignment horizontal="center" vertical="top" wrapText="1"/>
      <protection locked="0"/>
    </xf>
    <xf numFmtId="9" fontId="10" fillId="0" borderId="4" xfId="0" applyNumberFormat="1" applyFont="1" applyBorder="1" applyAlignment="1">
      <alignment horizontal="center" vertical="center" wrapText="1"/>
    </xf>
    <xf numFmtId="0" fontId="23" fillId="0" borderId="0" xfId="8"/>
    <xf numFmtId="0" fontId="15" fillId="0" borderId="1" xfId="1" applyFont="1" applyBorder="1" applyAlignment="1" applyProtection="1">
      <alignment horizontal="left" vertical="top"/>
      <protection locked="0"/>
    </xf>
    <xf numFmtId="0" fontId="14" fillId="0" borderId="1" xfId="9" applyFont="1" applyBorder="1" applyAlignment="1" applyProtection="1">
      <alignment horizontal="center" wrapText="1"/>
      <protection locked="0"/>
    </xf>
    <xf numFmtId="1" fontId="14" fillId="0" borderId="1" xfId="9" applyNumberFormat="1" applyFont="1" applyBorder="1" applyAlignment="1" applyProtection="1">
      <alignment horizontal="center" wrapText="1"/>
      <protection locked="0"/>
    </xf>
    <xf numFmtId="14" fontId="14" fillId="0" borderId="1" xfId="9" applyNumberFormat="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14" fontId="14" fillId="0" borderId="1" xfId="1" applyNumberFormat="1" applyFont="1" applyBorder="1" applyAlignment="1" applyProtection="1">
      <alignment horizontal="left" vertical="top"/>
      <protection locked="0"/>
    </xf>
    <xf numFmtId="14" fontId="14" fillId="0" borderId="1" xfId="1" applyNumberFormat="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26" xfId="1" applyNumberFormat="1" applyFont="1" applyBorder="1" applyAlignment="1" applyProtection="1">
      <alignment horizontal="center" vertical="center" wrapText="1"/>
      <protection locked="0"/>
    </xf>
    <xf numFmtId="1" fontId="8" fillId="0" borderId="29" xfId="1" applyNumberFormat="1" applyFont="1" applyBorder="1" applyAlignment="1" applyProtection="1">
      <alignment horizontal="center" vertical="center" wrapText="1"/>
      <protection locked="0"/>
    </xf>
    <xf numFmtId="1" fontId="8" fillId="0" borderId="30" xfId="1" applyNumberFormat="1" applyFont="1" applyBorder="1" applyAlignment="1" applyProtection="1">
      <alignment horizontal="center" vertical="center" wrapText="1"/>
      <protection locked="0"/>
    </xf>
    <xf numFmtId="1" fontId="8" fillId="0" borderId="27" xfId="1" applyNumberFormat="1" applyFont="1" applyBorder="1" applyAlignment="1" applyProtection="1">
      <alignment horizontal="center" vertical="center" wrapText="1"/>
      <protection locked="0"/>
    </xf>
    <xf numFmtId="1" fontId="8" fillId="0" borderId="28" xfId="1" applyNumberFormat="1" applyFont="1" applyBorder="1" applyAlignment="1" applyProtection="1">
      <alignment horizontal="center" vertical="center" wrapText="1"/>
      <protection locked="0"/>
    </xf>
    <xf numFmtId="0" fontId="14" fillId="0" borderId="1" xfId="1" applyFont="1" applyBorder="1" applyAlignment="1" applyProtection="1">
      <alignment horizontal="center" vertical="top" wrapText="1"/>
      <protection locked="0"/>
    </xf>
    <xf numFmtId="9" fontId="14" fillId="0" borderId="1" xfId="1" applyNumberFormat="1" applyFont="1" applyBorder="1" applyAlignment="1" applyProtection="1">
      <alignment horizontal="center" vertical="center" wrapText="1"/>
      <protection hidden="1"/>
    </xf>
    <xf numFmtId="1" fontId="15" fillId="0" borderId="1" xfId="1" applyNumberFormat="1" applyFont="1" applyBorder="1" applyAlignment="1" applyProtection="1">
      <alignment horizontal="center" vertical="center" wrapText="1"/>
      <protection locked="0"/>
    </xf>
    <xf numFmtId="0" fontId="14" fillId="0" borderId="8" xfId="1" applyFont="1" applyBorder="1" applyAlignment="1" applyProtection="1">
      <alignment horizontal="center" vertical="top" wrapText="1"/>
      <protection locked="0"/>
    </xf>
    <xf numFmtId="0" fontId="14" fillId="0" borderId="10" xfId="1" applyFont="1" applyBorder="1" applyAlignment="1" applyProtection="1">
      <alignment horizontal="center" vertical="top" wrapText="1"/>
      <protection locked="0"/>
    </xf>
    <xf numFmtId="0" fontId="14" fillId="0" borderId="11" xfId="1" applyFont="1" applyBorder="1" applyAlignment="1" applyProtection="1">
      <alignment horizontal="center" vertical="top" wrapText="1"/>
      <protection locked="0"/>
    </xf>
    <xf numFmtId="0" fontId="15" fillId="0" borderId="8"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0" fontId="8" fillId="0" borderId="13" xfId="1" applyFont="1" applyBorder="1" applyAlignment="1" applyProtection="1">
      <alignment horizontal="left" vertical="top"/>
      <protection locked="0"/>
    </xf>
    <xf numFmtId="0" fontId="8" fillId="0" borderId="23" xfId="1" applyFont="1" applyBorder="1" applyAlignment="1" applyProtection="1">
      <alignment horizontal="left" vertical="top"/>
      <protection locked="0"/>
    </xf>
    <xf numFmtId="0" fontId="8" fillId="0" borderId="14" xfId="1" applyFont="1" applyBorder="1" applyAlignment="1" applyProtection="1">
      <alignment horizontal="left" vertical="top"/>
      <protection locked="0"/>
    </xf>
    <xf numFmtId="0" fontId="17" fillId="0" borderId="1" xfId="1" applyFont="1" applyBorder="1" applyAlignment="1" applyProtection="1">
      <alignment horizontal="left" vertical="top"/>
      <protection locked="0"/>
    </xf>
    <xf numFmtId="1" fontId="8" fillId="0" borderId="13"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14" xfId="1" applyNumberFormat="1" applyFont="1" applyBorder="1" applyAlignment="1" applyProtection="1">
      <alignment horizontal="center" vertical="center" wrapText="1"/>
      <protection locked="0"/>
    </xf>
    <xf numFmtId="0" fontId="14" fillId="0" borderId="1" xfId="1" applyFont="1" applyBorder="1" applyAlignment="1" applyProtection="1">
      <alignment horizontal="center" vertical="top"/>
      <protection locked="0"/>
    </xf>
    <xf numFmtId="0" fontId="14" fillId="0" borderId="8" xfId="1" applyFont="1" applyBorder="1" applyAlignment="1" applyProtection="1">
      <alignment horizontal="center" vertical="top"/>
      <protection locked="0"/>
    </xf>
    <xf numFmtId="0" fontId="15" fillId="0" borderId="1" xfId="1" applyFont="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15" fillId="0" borderId="33" xfId="1" applyFont="1" applyBorder="1" applyAlignment="1" applyProtection="1">
      <alignment horizontal="left" vertical="top" wrapText="1"/>
      <protection locked="0"/>
    </xf>
    <xf numFmtId="0" fontId="15" fillId="0" borderId="34" xfId="1" applyFont="1" applyBorder="1" applyAlignment="1" applyProtection="1">
      <alignment horizontal="left" vertical="top" wrapText="1"/>
      <protection locked="0"/>
    </xf>
    <xf numFmtId="0" fontId="15" fillId="0" borderId="35" xfId="1" applyFont="1" applyBorder="1" applyAlignment="1" applyProtection="1">
      <alignment horizontal="left" vertical="top" wrapText="1"/>
      <protection locked="0"/>
    </xf>
    <xf numFmtId="0" fontId="15" fillId="0" borderId="1" xfId="1" applyFont="1" applyBorder="1" applyAlignment="1" applyProtection="1">
      <alignment horizontal="center" vertical="top" wrapText="1"/>
      <protection locked="0"/>
    </xf>
    <xf numFmtId="9" fontId="14" fillId="0" borderId="9" xfId="1" applyNumberFormat="1" applyFont="1" applyBorder="1" applyAlignment="1" applyProtection="1">
      <alignment horizontal="center" vertical="center" wrapText="1"/>
      <protection hidden="1"/>
    </xf>
    <xf numFmtId="9" fontId="14" fillId="0" borderId="11" xfId="1" applyNumberFormat="1" applyFont="1" applyBorder="1" applyAlignment="1" applyProtection="1">
      <alignment horizontal="center" vertical="center" wrapText="1"/>
      <protection hidden="1"/>
    </xf>
    <xf numFmtId="9" fontId="14" fillId="0" borderId="12" xfId="1" applyNumberFormat="1" applyFont="1" applyBorder="1" applyAlignment="1" applyProtection="1">
      <alignment horizontal="center" vertical="center" wrapText="1"/>
      <protection hidden="1"/>
    </xf>
    <xf numFmtId="0" fontId="15" fillId="0" borderId="31" xfId="1" applyFont="1" applyBorder="1" applyAlignment="1" applyProtection="1">
      <alignment horizontal="center" vertical="top" wrapText="1"/>
      <protection locked="0"/>
    </xf>
    <xf numFmtId="0" fontId="15" fillId="0" borderId="32" xfId="1" applyFont="1" applyBorder="1" applyAlignment="1" applyProtection="1">
      <alignment horizontal="center" vertical="top" wrapText="1"/>
      <protection locked="0"/>
    </xf>
    <xf numFmtId="0" fontId="14" fillId="0" borderId="9" xfId="1" applyFont="1" applyBorder="1" applyAlignment="1" applyProtection="1">
      <alignment horizontal="center" vertical="top" wrapText="1"/>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 fontId="10" fillId="0" borderId="1" xfId="0" applyNumberFormat="1" applyFont="1" applyBorder="1" applyAlignment="1">
      <alignment horizontal="center" vertical="center" wrapText="1"/>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14" fillId="0" borderId="4"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5" fillId="0" borderId="1" xfId="2" applyFont="1" applyBorder="1" applyAlignment="1" applyProtection="1">
      <alignment horizontal="left" vertical="top" wrapText="1"/>
      <protection locked="0"/>
    </xf>
    <xf numFmtId="1" fontId="15" fillId="0" borderId="1" xfId="0" applyNumberFormat="1" applyFont="1" applyBorder="1" applyAlignment="1">
      <alignment horizontal="center" vertical="center" wrapText="1"/>
    </xf>
    <xf numFmtId="0" fontId="8" fillId="0" borderId="1" xfId="1" applyFont="1" applyBorder="1" applyAlignment="1" applyProtection="1">
      <alignment vertical="top"/>
      <protection locked="0"/>
    </xf>
    <xf numFmtId="0" fontId="10" fillId="0" borderId="1" xfId="1" applyFont="1" applyBorder="1" applyAlignment="1" applyProtection="1">
      <alignment horizontal="center" vertical="top"/>
      <protection locked="0"/>
    </xf>
    <xf numFmtId="0" fontId="10" fillId="0" borderId="3"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top" wrapText="1"/>
      <protection locked="0"/>
    </xf>
    <xf numFmtId="1" fontId="10" fillId="0" borderId="4" xfId="0" applyNumberFormat="1" applyFont="1" applyBorder="1" applyAlignment="1">
      <alignment horizontal="center" vertical="center" wrapText="1"/>
    </xf>
    <xf numFmtId="0" fontId="8" fillId="0" borderId="1"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5" fillId="0" borderId="1"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left" vertical="center" wrapText="1"/>
      <protection locked="0"/>
    </xf>
    <xf numFmtId="1" fontId="10" fillId="0" borderId="1" xfId="0" applyNumberFormat="1" applyFont="1" applyBorder="1" applyAlignment="1" applyProtection="1">
      <alignment horizontal="left" vertical="top" wrapText="1"/>
      <protection locked="0"/>
    </xf>
    <xf numFmtId="0" fontId="14" fillId="0" borderId="1" xfId="1" applyFont="1" applyBorder="1" applyAlignment="1" applyProtection="1">
      <alignment horizontal="left"/>
      <protection locked="0"/>
    </xf>
    <xf numFmtId="164" fontId="8" fillId="0" borderId="1" xfId="1" applyNumberFormat="1" applyFont="1" applyBorder="1" applyAlignment="1" applyProtection="1">
      <alignment horizontal="left" vertical="top"/>
      <protection locked="0"/>
    </xf>
    <xf numFmtId="2" fontId="8" fillId="0" borderId="1" xfId="1" applyNumberFormat="1" applyFont="1" applyBorder="1" applyAlignment="1" applyProtection="1">
      <alignment horizontal="left" vertical="top" wrapText="1"/>
      <protection locked="0"/>
    </xf>
    <xf numFmtId="0" fontId="16" fillId="0" borderId="1"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wrapText="1"/>
      <protection locked="0"/>
    </xf>
    <xf numFmtId="0" fontId="15" fillId="0" borderId="1" xfId="1" applyFont="1" applyBorder="1" applyAlignment="1" applyProtection="1">
      <alignment horizontal="center"/>
      <protection locked="0"/>
    </xf>
    <xf numFmtId="2" fontId="8" fillId="0" borderId="1" xfId="1" applyNumberFormat="1" applyFont="1" applyBorder="1" applyAlignment="1" applyProtection="1">
      <alignment horizontal="left" vertical="top"/>
      <protection locked="0"/>
    </xf>
    <xf numFmtId="0" fontId="10" fillId="0" borderId="1" xfId="1" applyFont="1" applyBorder="1" applyAlignment="1" applyProtection="1">
      <alignment vertical="top"/>
      <protection locked="0"/>
    </xf>
    <xf numFmtId="0" fontId="10"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23" fillId="0" borderId="1" xfId="8" applyBorder="1" applyAlignment="1" applyProtection="1">
      <alignment horizontal="left"/>
      <protection locked="0"/>
    </xf>
    <xf numFmtId="0" fontId="9" fillId="0" borderId="1" xfId="1" applyFont="1" applyBorder="1" applyAlignment="1" applyProtection="1">
      <alignment horizontal="left"/>
      <protection locked="0"/>
    </xf>
    <xf numFmtId="0" fontId="8" fillId="0" borderId="11" xfId="1" applyFont="1" applyBorder="1" applyAlignment="1" applyProtection="1">
      <alignment horizontal="left" vertical="top"/>
      <protection locked="0"/>
    </xf>
    <xf numFmtId="0" fontId="14" fillId="0" borderId="11" xfId="1" applyFont="1" applyBorder="1" applyAlignment="1" applyProtection="1">
      <alignment horizontal="left" vertical="top" wrapText="1"/>
      <protection locked="0"/>
    </xf>
    <xf numFmtId="1" fontId="8" fillId="0" borderId="25"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14" fillId="0" borderId="24"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14" fillId="0" borderId="29" xfId="1" applyFont="1" applyBorder="1" applyAlignment="1" applyProtection="1">
      <alignment horizontal="left" vertical="top" wrapText="1"/>
      <protection locked="0"/>
    </xf>
    <xf numFmtId="0" fontId="14" fillId="0" borderId="30" xfId="1" applyFont="1" applyBorder="1" applyAlignment="1" applyProtection="1">
      <alignment horizontal="left" vertical="top" wrapText="1"/>
      <protection locked="0"/>
    </xf>
    <xf numFmtId="0" fontId="14" fillId="0" borderId="27" xfId="1" applyFont="1" applyBorder="1" applyAlignment="1" applyProtection="1">
      <alignment horizontal="left" vertical="top" wrapText="1"/>
      <protection locked="0"/>
    </xf>
    <xf numFmtId="0" fontId="14" fillId="0" borderId="28" xfId="1" applyFont="1" applyBorder="1" applyAlignment="1" applyProtection="1">
      <alignment horizontal="left" vertical="top" wrapText="1"/>
      <protection locked="0"/>
    </xf>
    <xf numFmtId="1" fontId="10" fillId="0" borderId="24" xfId="1" applyNumberFormat="1" applyFont="1" applyBorder="1" applyAlignment="1" applyProtection="1">
      <alignment horizontal="center" vertical="top" wrapText="1"/>
      <protection locked="0"/>
    </xf>
    <xf numFmtId="1" fontId="10" fillId="0" borderId="26" xfId="1" applyNumberFormat="1" applyFont="1" applyBorder="1" applyAlignment="1" applyProtection="1">
      <alignment horizontal="center" vertical="top" wrapText="1"/>
      <protection locked="0"/>
    </xf>
    <xf numFmtId="1" fontId="10" fillId="0" borderId="27" xfId="1" applyNumberFormat="1" applyFont="1" applyBorder="1" applyAlignment="1" applyProtection="1">
      <alignment horizontal="center" vertical="top" wrapText="1"/>
      <protection locked="0"/>
    </xf>
    <xf numFmtId="1" fontId="10" fillId="0" borderId="28" xfId="1"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4"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top" wrapText="1"/>
      <protection locked="0"/>
    </xf>
    <xf numFmtId="1" fontId="6" fillId="0" borderId="13" xfId="1" applyNumberFormat="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1" fontId="10" fillId="0" borderId="14"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 fontId="15" fillId="0" borderId="1" xfId="0" applyNumberFormat="1" applyFont="1" applyBorder="1" applyAlignment="1" applyProtection="1">
      <alignment horizontal="center" vertical="top" wrapText="1"/>
      <protection locked="0"/>
    </xf>
    <xf numFmtId="0" fontId="8" fillId="2" borderId="1" xfId="1" applyFont="1" applyFill="1" applyBorder="1" applyAlignment="1" applyProtection="1">
      <alignment horizontal="left" vertical="top" wrapText="1"/>
      <protection locked="0"/>
    </xf>
    <xf numFmtId="0" fontId="9" fillId="0" borderId="1" xfId="1" applyFont="1" applyBorder="1" applyAlignment="1" applyProtection="1">
      <alignment horizontal="center"/>
      <protection locked="0"/>
    </xf>
    <xf numFmtId="0" fontId="8" fillId="0" borderId="1" xfId="1" applyFont="1" applyBorder="1" applyAlignment="1" applyProtection="1">
      <alignment horizontal="center" vertical="top"/>
      <protection locked="0"/>
    </xf>
    <xf numFmtId="0" fontId="14" fillId="2" borderId="1" xfId="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protection locked="0"/>
    </xf>
    <xf numFmtId="0" fontId="15" fillId="2" borderId="1" xfId="1" applyFont="1" applyFill="1" applyBorder="1" applyAlignment="1" applyProtection="1">
      <alignment horizontal="left" vertical="top" wrapText="1"/>
      <protection locked="0"/>
    </xf>
    <xf numFmtId="0" fontId="15" fillId="2" borderId="1" xfId="1" applyFont="1" applyFill="1" applyBorder="1" applyAlignment="1" applyProtection="1">
      <alignment horizontal="left" vertical="top"/>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8" fillId="0" borderId="3" xfId="1" applyFont="1" applyBorder="1" applyAlignment="1" applyProtection="1">
      <alignment horizontal="left" vertical="top"/>
      <protection locked="0"/>
    </xf>
    <xf numFmtId="0" fontId="14" fillId="0" borderId="3" xfId="1" applyFont="1" applyBorder="1" applyAlignment="1" applyProtection="1">
      <alignment horizontal="left" vertical="top" wrapText="1"/>
      <protection locked="0"/>
    </xf>
    <xf numFmtId="0" fontId="15" fillId="0" borderId="5" xfId="1" applyFont="1" applyBorder="1" applyAlignment="1" applyProtection="1">
      <alignment horizontal="left" vertical="top" wrapText="1"/>
      <protection locked="0"/>
    </xf>
    <xf numFmtId="0" fontId="15" fillId="0" borderId="6" xfId="1" applyFont="1" applyBorder="1" applyAlignment="1" applyProtection="1">
      <alignment horizontal="left" vertical="top" wrapText="1"/>
      <protection locked="0"/>
    </xf>
    <xf numFmtId="0" fontId="15" fillId="0" borderId="7" xfId="1" applyFont="1" applyBorder="1" applyAlignment="1" applyProtection="1">
      <alignment horizontal="left" vertical="top" wrapText="1"/>
      <protection locked="0"/>
    </xf>
    <xf numFmtId="0" fontId="15" fillId="0" borderId="8" xfId="1" applyFont="1" applyBorder="1" applyAlignment="1" applyProtection="1">
      <alignment horizontal="center" vertical="top"/>
      <protection locked="0"/>
    </xf>
    <xf numFmtId="0" fontId="14" fillId="0" borderId="1"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0" borderId="9" xfId="1" applyFont="1" applyBorder="1" applyAlignment="1" applyProtection="1">
      <alignment horizontal="center" vertical="center" wrapText="1"/>
      <protection locked="0"/>
    </xf>
    <xf numFmtId="9" fontId="14" fillId="2" borderId="1" xfId="1" applyNumberFormat="1" applyFont="1" applyFill="1" applyBorder="1" applyAlignment="1" applyProtection="1">
      <alignment horizontal="center" vertical="center" wrapText="1"/>
      <protection hidden="1"/>
    </xf>
    <xf numFmtId="9" fontId="14" fillId="2" borderId="11" xfId="1" applyNumberFormat="1" applyFont="1" applyFill="1" applyBorder="1" applyAlignment="1" applyProtection="1">
      <alignment horizontal="center" vertical="center" wrapText="1"/>
      <protection hidden="1"/>
    </xf>
    <xf numFmtId="9" fontId="9" fillId="2" borderId="1" xfId="1" applyNumberFormat="1" applyFont="1" applyFill="1" applyBorder="1" applyAlignment="1" applyProtection="1">
      <alignment horizontal="center" vertical="center" wrapText="1"/>
      <protection hidden="1"/>
    </xf>
    <xf numFmtId="9" fontId="9" fillId="2" borderId="9" xfId="1" applyNumberFormat="1" applyFont="1" applyFill="1" applyBorder="1" applyAlignment="1" applyProtection="1">
      <alignment horizontal="center" vertical="center" wrapText="1"/>
      <protection hidden="1"/>
    </xf>
    <xf numFmtId="9" fontId="9" fillId="2" borderId="11" xfId="1" applyNumberFormat="1" applyFont="1" applyFill="1" applyBorder="1" applyAlignment="1" applyProtection="1">
      <alignment horizontal="center" vertical="center" wrapText="1"/>
      <protection hidden="1"/>
    </xf>
    <xf numFmtId="9" fontId="9" fillId="2" borderId="12" xfId="1" applyNumberFormat="1" applyFont="1" applyFill="1" applyBorder="1" applyAlignment="1" applyProtection="1">
      <alignment horizontal="center" vertical="center" wrapText="1"/>
      <protection hidden="1"/>
    </xf>
    <xf numFmtId="1" fontId="9"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10" fillId="0" borderId="13" xfId="1" applyNumberFormat="1" applyFont="1" applyBorder="1" applyAlignment="1" applyProtection="1">
      <alignment horizontal="center" vertical="center" wrapText="1"/>
      <protection locked="0"/>
    </xf>
    <xf numFmtId="1" fontId="10" fillId="0" borderId="23" xfId="1" applyNumberFormat="1" applyFont="1" applyBorder="1" applyAlignment="1" applyProtection="1">
      <alignment horizontal="center" vertical="center" wrapText="1"/>
      <protection locked="0"/>
    </xf>
    <xf numFmtId="1" fontId="10" fillId="0" borderId="14" xfId="1" applyNumberFormat="1" applyFont="1" applyBorder="1" applyAlignment="1" applyProtection="1">
      <alignment horizontal="center" vertical="center" wrapText="1"/>
      <protection locked="0"/>
    </xf>
    <xf numFmtId="0" fontId="0" fillId="3" borderId="1" xfId="0" applyFill="1" applyBorder="1" applyAlignment="1">
      <alignment horizontal="center" wrapText="1"/>
    </xf>
    <xf numFmtId="0" fontId="11" fillId="0" borderId="1" xfId="0" applyFont="1" applyBorder="1" applyAlignment="1">
      <alignment horizontal="center"/>
    </xf>
    <xf numFmtId="0" fontId="0" fillId="0" borderId="1" xfId="0" applyBorder="1" applyAlignment="1">
      <alignment horizontal="center"/>
    </xf>
    <xf numFmtId="0" fontId="11" fillId="0" borderId="1" xfId="5" applyFont="1" applyBorder="1" applyAlignment="1">
      <alignment horizontal="left"/>
    </xf>
  </cellXfs>
  <cellStyles count="13">
    <cellStyle name="Comma 2" xfId="6"/>
    <cellStyle name="Comma 2 2" xfId="12"/>
    <cellStyle name="Excel Built-in Normal" xfId="2"/>
    <cellStyle name="Excel Built-in Normal 2" xfId="4"/>
    <cellStyle name="Hyperlink" xfId="8" builtinId="8"/>
    <cellStyle name="Normal" xfId="0" builtinId="0"/>
    <cellStyle name="Normal 2" xfId="3"/>
    <cellStyle name="Normal 2 2" xfId="10"/>
    <cellStyle name="Normal 3" xfId="1"/>
    <cellStyle name="Normal 3 2" xfId="9"/>
    <cellStyle name="Normal 3 3" xfId="7"/>
    <cellStyle name="Normal 4" xfId="5"/>
    <cellStyle name="Normal 4 2" xfId="11"/>
  </cellStyles>
  <dxfs count="0"/>
  <tableStyles count="0" defaultTableStyle="TableStyleMedium2" defaultPivotStyle="PivotStyleLight16"/>
  <colors>
    <mruColors>
      <color rgb="FF660066"/>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8" Type="http://schemas.openxmlformats.org/officeDocument/2006/relationships/image" Target="../media/image36.jpeg"/><Relationship Id="rId3" Type="http://schemas.openxmlformats.org/officeDocument/2006/relationships/image" Target="../media/image31.jpg"/><Relationship Id="rId7" Type="http://schemas.openxmlformats.org/officeDocument/2006/relationships/image" Target="../media/image35.jpeg"/><Relationship Id="rId2" Type="http://schemas.openxmlformats.org/officeDocument/2006/relationships/image" Target="../media/image1.png"/><Relationship Id="rId1" Type="http://schemas.openxmlformats.org/officeDocument/2006/relationships/image" Target="../media/image30.png"/><Relationship Id="rId6" Type="http://schemas.openxmlformats.org/officeDocument/2006/relationships/image" Target="../media/image34.jpeg"/><Relationship Id="rId5" Type="http://schemas.openxmlformats.org/officeDocument/2006/relationships/image" Target="../media/image33.jpeg"/><Relationship Id="rId4" Type="http://schemas.openxmlformats.org/officeDocument/2006/relationships/image" Target="../media/image3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40.png"/><Relationship Id="rId1" Type="http://schemas.openxmlformats.org/officeDocument/2006/relationships/image" Target="../media/image39.png"/><Relationship Id="rId4" Type="http://schemas.openxmlformats.org/officeDocument/2006/relationships/image" Target="../media/image4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drawing1.xml><?xml version="1.0" encoding="utf-8"?>
<xdr:wsDr xmlns:xdr="http://schemas.openxmlformats.org/drawingml/2006/spreadsheetDrawing" xmlns:a="http://schemas.openxmlformats.org/drawingml/2006/main">
  <xdr:oneCellAnchor>
    <xdr:from>
      <xdr:col>1</xdr:col>
      <xdr:colOff>33620</xdr:colOff>
      <xdr:row>456</xdr:row>
      <xdr:rowOff>62442</xdr:rowOff>
    </xdr:from>
    <xdr:ext cx="4643156" cy="3022823"/>
    <xdr:pic>
      <xdr:nvPicPr>
        <xdr:cNvPr id="46" name="Picture 45">
          <a:extLst>
            <a:ext uri="{FF2B5EF4-FFF2-40B4-BE49-F238E27FC236}">
              <a16:creationId xmlns:a16="http://schemas.microsoft.com/office/drawing/2014/main" xmlns="" id="{00000000-0008-0000-0000-00002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795620" y="103613846"/>
          <a:ext cx="4643156" cy="3022823"/>
        </a:xfrm>
        <a:prstGeom prst="rect">
          <a:avLst/>
        </a:prstGeom>
        <a:ln>
          <a:solidFill>
            <a:schemeClr val="tx1"/>
          </a:solidFill>
        </a:ln>
      </xdr:spPr>
    </xdr:pic>
    <xdr:clientData/>
  </xdr:oneCellAnchor>
  <xdr:oneCellAnchor>
    <xdr:from>
      <xdr:col>9</xdr:col>
      <xdr:colOff>0</xdr:colOff>
      <xdr:row>453</xdr:row>
      <xdr:rowOff>0</xdr:rowOff>
    </xdr:from>
    <xdr:ext cx="3746050" cy="3072122"/>
    <xdr:pic>
      <xdr:nvPicPr>
        <xdr:cNvPr id="47" name="Picture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2"/>
        <a:stretch>
          <a:fillRect/>
        </a:stretch>
      </xdr:blipFill>
      <xdr:spPr>
        <a:xfrm>
          <a:off x="7781925" y="62322075"/>
          <a:ext cx="3746050" cy="3072122"/>
        </a:xfrm>
        <a:prstGeom prst="rect">
          <a:avLst/>
        </a:prstGeom>
        <a:ln>
          <a:solidFill>
            <a:sysClr val="windowText" lastClr="000000"/>
          </a:solidFill>
        </a:ln>
      </xdr:spPr>
    </xdr:pic>
    <xdr:clientData/>
  </xdr:oneCellAnchor>
  <xdr:oneCellAnchor>
    <xdr:from>
      <xdr:col>13</xdr:col>
      <xdr:colOff>142203</xdr:colOff>
      <xdr:row>373</xdr:row>
      <xdr:rowOff>180975</xdr:rowOff>
    </xdr:from>
    <xdr:ext cx="645626" cy="342786"/>
    <xdr:sp macro="" textlink="">
      <xdr:nvSpPr>
        <xdr:cNvPr id="26" name="TextBox 25">
          <a:extLst>
            <a:ext uri="{FF2B5EF4-FFF2-40B4-BE49-F238E27FC236}">
              <a16:creationId xmlns:a16="http://schemas.microsoft.com/office/drawing/2014/main" xmlns="" id="{00000000-0008-0000-0000-00001A000000}"/>
            </a:ext>
          </a:extLst>
        </xdr:cNvPr>
        <xdr:cNvSpPr txBox="1"/>
      </xdr:nvSpPr>
      <xdr:spPr>
        <a:xfrm>
          <a:off x="10410153" y="56092725"/>
          <a:ext cx="645626" cy="34278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B &amp; C</a:t>
          </a:r>
        </a:p>
      </xdr:txBody>
    </xdr:sp>
    <xdr:clientData/>
  </xdr:oneCellAnchor>
  <xdr:twoCellAnchor editAs="oneCell">
    <xdr:from>
      <xdr:col>8</xdr:col>
      <xdr:colOff>238125</xdr:colOff>
      <xdr:row>48</xdr:row>
      <xdr:rowOff>1028700</xdr:rowOff>
    </xdr:from>
    <xdr:to>
      <xdr:col>14</xdr:col>
      <xdr:colOff>571506</xdr:colOff>
      <xdr:row>50</xdr:row>
      <xdr:rowOff>1144242</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3"/>
        <a:stretch>
          <a:fillRect/>
        </a:stretch>
      </xdr:blipFill>
      <xdr:spPr>
        <a:xfrm>
          <a:off x="6657975" y="13106400"/>
          <a:ext cx="5372106" cy="1801467"/>
        </a:xfrm>
        <a:prstGeom prst="rect">
          <a:avLst/>
        </a:prstGeom>
      </xdr:spPr>
    </xdr:pic>
    <xdr:clientData/>
  </xdr:twoCellAnchor>
  <xdr:oneCellAnchor>
    <xdr:from>
      <xdr:col>11</xdr:col>
      <xdr:colOff>0</xdr:colOff>
      <xdr:row>387</xdr:row>
      <xdr:rowOff>0</xdr:rowOff>
    </xdr:from>
    <xdr:ext cx="799065" cy="342786"/>
    <xdr:sp macro="" textlink="">
      <xdr:nvSpPr>
        <xdr:cNvPr id="42" name="TextBox 41">
          <a:extLst>
            <a:ext uri="{FF2B5EF4-FFF2-40B4-BE49-F238E27FC236}">
              <a16:creationId xmlns:a16="http://schemas.microsoft.com/office/drawing/2014/main" xmlns="" id="{00000000-0008-0000-0000-00002A000000}"/>
            </a:ext>
          </a:extLst>
        </xdr:cNvPr>
        <xdr:cNvSpPr txBox="1"/>
      </xdr:nvSpPr>
      <xdr:spPr>
        <a:xfrm>
          <a:off x="9076765" y="84559588"/>
          <a:ext cx="79906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Wing</a:t>
          </a:r>
          <a:r>
            <a:rPr lang="en-IN" sz="1600" b="1" baseline="0"/>
            <a:t> </a:t>
          </a:r>
          <a:r>
            <a:rPr lang="en-IN" sz="1600" b="1"/>
            <a:t>A</a:t>
          </a:r>
        </a:p>
      </xdr:txBody>
    </xdr:sp>
    <xdr:clientData/>
  </xdr:oneCellAnchor>
  <xdr:twoCellAnchor editAs="oneCell">
    <xdr:from>
      <xdr:col>8</xdr:col>
      <xdr:colOff>1030941</xdr:colOff>
      <xdr:row>53</xdr:row>
      <xdr:rowOff>145676</xdr:rowOff>
    </xdr:from>
    <xdr:to>
      <xdr:col>16</xdr:col>
      <xdr:colOff>597667</xdr:colOff>
      <xdr:row>55</xdr:row>
      <xdr:rowOff>5390</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4"/>
        <a:stretch>
          <a:fillRect/>
        </a:stretch>
      </xdr:blipFill>
      <xdr:spPr>
        <a:xfrm>
          <a:off x="7474323" y="15183970"/>
          <a:ext cx="5809524" cy="1685714"/>
        </a:xfrm>
        <a:prstGeom prst="rect">
          <a:avLst/>
        </a:prstGeom>
      </xdr:spPr>
    </xdr:pic>
    <xdr:clientData/>
  </xdr:twoCellAnchor>
  <xdr:oneCellAnchor>
    <xdr:from>
      <xdr:col>8</xdr:col>
      <xdr:colOff>200025</xdr:colOff>
      <xdr:row>50</xdr:row>
      <xdr:rowOff>1171575</xdr:rowOff>
    </xdr:from>
    <xdr:ext cx="5365943" cy="1800560"/>
    <xdr:pic>
      <xdr:nvPicPr>
        <xdr:cNvPr id="38" name="Picture 37">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3"/>
        <a:stretch>
          <a:fillRect/>
        </a:stretch>
      </xdr:blipFill>
      <xdr:spPr>
        <a:xfrm>
          <a:off x="6619875" y="14744700"/>
          <a:ext cx="5365943" cy="1800560"/>
        </a:xfrm>
        <a:prstGeom prst="rect">
          <a:avLst/>
        </a:prstGeom>
      </xdr:spPr>
    </xdr:pic>
    <xdr:clientData/>
  </xdr:oneCellAnchor>
  <xdr:twoCellAnchor editAs="oneCell">
    <xdr:from>
      <xdr:col>8</xdr:col>
      <xdr:colOff>571499</xdr:colOff>
      <xdr:row>43</xdr:row>
      <xdr:rowOff>19050</xdr:rowOff>
    </xdr:from>
    <xdr:to>
      <xdr:col>13</xdr:col>
      <xdr:colOff>494344</xdr:colOff>
      <xdr:row>48</xdr:row>
      <xdr:rowOff>933151</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5"/>
        <a:stretch>
          <a:fillRect/>
        </a:stretch>
      </xdr:blipFill>
      <xdr:spPr>
        <a:xfrm>
          <a:off x="6991349" y="10439400"/>
          <a:ext cx="4132895" cy="2571451"/>
        </a:xfrm>
        <a:prstGeom prst="rect">
          <a:avLst/>
        </a:prstGeom>
      </xdr:spPr>
    </xdr:pic>
    <xdr:clientData/>
  </xdr:twoCellAnchor>
  <xdr:twoCellAnchor editAs="oneCell">
    <xdr:from>
      <xdr:col>8</xdr:col>
      <xdr:colOff>448822</xdr:colOff>
      <xdr:row>42</xdr:row>
      <xdr:rowOff>173182</xdr:rowOff>
    </xdr:from>
    <xdr:to>
      <xdr:col>21</xdr:col>
      <xdr:colOff>299728</xdr:colOff>
      <xdr:row>45</xdr:row>
      <xdr:rowOff>166200</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6"/>
        <a:stretch>
          <a:fillRect/>
        </a:stretch>
      </xdr:blipFill>
      <xdr:spPr>
        <a:xfrm>
          <a:off x="6873867" y="10598727"/>
          <a:ext cx="9133452" cy="616473"/>
        </a:xfrm>
        <a:prstGeom prst="rect">
          <a:avLst/>
        </a:prstGeom>
      </xdr:spPr>
    </xdr:pic>
    <xdr:clientData/>
  </xdr:twoCellAnchor>
  <xdr:twoCellAnchor editAs="oneCell">
    <xdr:from>
      <xdr:col>8</xdr:col>
      <xdr:colOff>323850</xdr:colOff>
      <xdr:row>12</xdr:row>
      <xdr:rowOff>723900</xdr:rowOff>
    </xdr:from>
    <xdr:to>
      <xdr:col>15</xdr:col>
      <xdr:colOff>219849</xdr:colOff>
      <xdr:row>16</xdr:row>
      <xdr:rowOff>195729</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7"/>
        <a:stretch>
          <a:fillRect/>
        </a:stretch>
      </xdr:blipFill>
      <xdr:spPr>
        <a:xfrm>
          <a:off x="6743700" y="3495675"/>
          <a:ext cx="5544324" cy="1333686"/>
        </a:xfrm>
        <a:prstGeom prst="rect">
          <a:avLst/>
        </a:prstGeom>
      </xdr:spPr>
    </xdr:pic>
    <xdr:clientData/>
  </xdr:twoCellAnchor>
  <xdr:twoCellAnchor>
    <xdr:from>
      <xdr:col>0</xdr:col>
      <xdr:colOff>373157</xdr:colOff>
      <xdr:row>430</xdr:row>
      <xdr:rowOff>156883</xdr:rowOff>
    </xdr:from>
    <xdr:to>
      <xdr:col>7</xdr:col>
      <xdr:colOff>414618</xdr:colOff>
      <xdr:row>454</xdr:row>
      <xdr:rowOff>1</xdr:rowOff>
    </xdr:to>
    <xdr:grpSp>
      <xdr:nvGrpSpPr>
        <xdr:cNvPr id="18" name="Group 17">
          <a:extLst>
            <a:ext uri="{FF2B5EF4-FFF2-40B4-BE49-F238E27FC236}">
              <a16:creationId xmlns:a16="http://schemas.microsoft.com/office/drawing/2014/main" xmlns="" id="{00000000-0008-0000-0000-000012000000}"/>
            </a:ext>
          </a:extLst>
        </xdr:cNvPr>
        <xdr:cNvGrpSpPr/>
      </xdr:nvGrpSpPr>
      <xdr:grpSpPr>
        <a:xfrm>
          <a:off x="373157" y="100731358"/>
          <a:ext cx="5632636" cy="4643718"/>
          <a:chOff x="317127" y="97714174"/>
          <a:chExt cx="5683675" cy="4641339"/>
        </a:xfrm>
      </xdr:grpSpPr>
      <xdr:grpSp>
        <xdr:nvGrpSpPr>
          <xdr:cNvPr id="8" name="Group 7">
            <a:extLst>
              <a:ext uri="{FF2B5EF4-FFF2-40B4-BE49-F238E27FC236}">
                <a16:creationId xmlns:a16="http://schemas.microsoft.com/office/drawing/2014/main" xmlns="" id="{00000000-0008-0000-0000-000008000000}"/>
              </a:ext>
            </a:extLst>
          </xdr:cNvPr>
          <xdr:cNvGrpSpPr/>
        </xdr:nvGrpSpPr>
        <xdr:grpSpPr>
          <a:xfrm>
            <a:off x="317127" y="97714174"/>
            <a:ext cx="5683675" cy="4641339"/>
            <a:chOff x="317127" y="90776612"/>
            <a:chExt cx="5706647" cy="4680000"/>
          </a:xfrm>
        </xdr:grpSpPr>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2"/>
            <a:stretch>
              <a:fillRect/>
            </a:stretch>
          </xdr:blipFill>
          <xdr:spPr>
            <a:xfrm>
              <a:off x="317127" y="90776612"/>
              <a:ext cx="5706647" cy="4680000"/>
            </a:xfrm>
            <a:prstGeom prst="rect">
              <a:avLst/>
            </a:prstGeom>
            <a:ln>
              <a:solidFill>
                <a:sysClr val="windowText" lastClr="000000"/>
              </a:solidFill>
            </a:ln>
          </xdr:spPr>
        </xdr:pic>
        <xdr:sp macro="" textlink="">
          <xdr:nvSpPr>
            <xdr:cNvPr id="4" name="Rectangle 3">
              <a:extLst>
                <a:ext uri="{FF2B5EF4-FFF2-40B4-BE49-F238E27FC236}">
                  <a16:creationId xmlns:a16="http://schemas.microsoft.com/office/drawing/2014/main" xmlns="" id="{00000000-0008-0000-0000-000004000000}"/>
                </a:ext>
              </a:extLst>
            </xdr:cNvPr>
            <xdr:cNvSpPr/>
          </xdr:nvSpPr>
          <xdr:spPr>
            <a:xfrm>
              <a:off x="1815354" y="93838059"/>
              <a:ext cx="1149988" cy="640814"/>
            </a:xfrm>
            <a:prstGeom prst="rect">
              <a:avLst/>
            </a:prstGeom>
            <a:noFill/>
            <a:ln w="28575">
              <a:solidFill>
                <a:srgbClr val="66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 name="Freeform 4">
              <a:extLst>
                <a:ext uri="{FF2B5EF4-FFF2-40B4-BE49-F238E27FC236}">
                  <a16:creationId xmlns:a16="http://schemas.microsoft.com/office/drawing/2014/main" xmlns="" id="{00000000-0008-0000-0000-000005000000}"/>
                </a:ext>
              </a:extLst>
            </xdr:cNvPr>
            <xdr:cNvSpPr/>
          </xdr:nvSpPr>
          <xdr:spPr>
            <a:xfrm>
              <a:off x="851647" y="93143294"/>
              <a:ext cx="1154206" cy="1131794"/>
            </a:xfrm>
            <a:custGeom>
              <a:avLst/>
              <a:gdLst>
                <a:gd name="connsiteX0" fmla="*/ 0 w 1154206"/>
                <a:gd name="connsiteY0" fmla="*/ 560294 h 1131794"/>
                <a:gd name="connsiteX1" fmla="*/ 0 w 1154206"/>
                <a:gd name="connsiteY1" fmla="*/ 560294 h 1131794"/>
                <a:gd name="connsiteX2" fmla="*/ 515471 w 1154206"/>
                <a:gd name="connsiteY2" fmla="*/ 0 h 1131794"/>
                <a:gd name="connsiteX3" fmla="*/ 1064559 w 1154206"/>
                <a:gd name="connsiteY3" fmla="*/ 100853 h 1131794"/>
                <a:gd name="connsiteX4" fmla="*/ 1154206 w 1154206"/>
                <a:gd name="connsiteY4" fmla="*/ 862853 h 1131794"/>
                <a:gd name="connsiteX5" fmla="*/ 829235 w 1154206"/>
                <a:gd name="connsiteY5" fmla="*/ 1131794 h 1131794"/>
                <a:gd name="connsiteX6" fmla="*/ 123265 w 1154206"/>
                <a:gd name="connsiteY6" fmla="*/ 930088 h 1131794"/>
                <a:gd name="connsiteX7" fmla="*/ 0 w 1154206"/>
                <a:gd name="connsiteY7" fmla="*/ 560294 h 11317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4206" h="1131794">
                  <a:moveTo>
                    <a:pt x="0" y="560294"/>
                  </a:moveTo>
                  <a:lnTo>
                    <a:pt x="0" y="560294"/>
                  </a:lnTo>
                  <a:lnTo>
                    <a:pt x="515471" y="0"/>
                  </a:lnTo>
                  <a:lnTo>
                    <a:pt x="1064559" y="100853"/>
                  </a:lnTo>
                  <a:lnTo>
                    <a:pt x="1154206" y="862853"/>
                  </a:lnTo>
                  <a:lnTo>
                    <a:pt x="829235" y="1131794"/>
                  </a:lnTo>
                  <a:lnTo>
                    <a:pt x="123265" y="930088"/>
                  </a:lnTo>
                  <a:lnTo>
                    <a:pt x="0" y="560294"/>
                  </a:lnTo>
                  <a:close/>
                </a:path>
              </a:pathLst>
            </a:custGeom>
            <a:noFill/>
            <a:ln w="28575">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 name="Freeform 5">
              <a:extLst>
                <a:ext uri="{FF2B5EF4-FFF2-40B4-BE49-F238E27FC236}">
                  <a16:creationId xmlns:a16="http://schemas.microsoft.com/office/drawing/2014/main" xmlns="" id="{00000000-0008-0000-0000-000006000000}"/>
                </a:ext>
              </a:extLst>
            </xdr:cNvPr>
            <xdr:cNvSpPr/>
          </xdr:nvSpPr>
          <xdr:spPr>
            <a:xfrm>
              <a:off x="1411941" y="92302853"/>
              <a:ext cx="952500" cy="963706"/>
            </a:xfrm>
            <a:custGeom>
              <a:avLst/>
              <a:gdLst>
                <a:gd name="connsiteX0" fmla="*/ 0 w 952500"/>
                <a:gd name="connsiteY0" fmla="*/ 806823 h 963706"/>
                <a:gd name="connsiteX1" fmla="*/ 493059 w 952500"/>
                <a:gd name="connsiteY1" fmla="*/ 963706 h 963706"/>
                <a:gd name="connsiteX2" fmla="*/ 616324 w 952500"/>
                <a:gd name="connsiteY2" fmla="*/ 582706 h 963706"/>
                <a:gd name="connsiteX3" fmla="*/ 952500 w 952500"/>
                <a:gd name="connsiteY3" fmla="*/ 425823 h 963706"/>
                <a:gd name="connsiteX4" fmla="*/ 829235 w 952500"/>
                <a:gd name="connsiteY4" fmla="*/ 0 h 963706"/>
                <a:gd name="connsiteX5" fmla="*/ 190500 w 952500"/>
                <a:gd name="connsiteY5" fmla="*/ 190500 h 963706"/>
                <a:gd name="connsiteX6" fmla="*/ 0 w 952500"/>
                <a:gd name="connsiteY6" fmla="*/ 806823 h 9637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52500" h="963706">
                  <a:moveTo>
                    <a:pt x="0" y="806823"/>
                  </a:moveTo>
                  <a:lnTo>
                    <a:pt x="493059" y="963706"/>
                  </a:lnTo>
                  <a:lnTo>
                    <a:pt x="616324" y="582706"/>
                  </a:lnTo>
                  <a:lnTo>
                    <a:pt x="952500" y="425823"/>
                  </a:lnTo>
                  <a:lnTo>
                    <a:pt x="829235" y="0"/>
                  </a:lnTo>
                  <a:lnTo>
                    <a:pt x="190500" y="190500"/>
                  </a:lnTo>
                  <a:lnTo>
                    <a:pt x="0" y="806823"/>
                  </a:lnTo>
                  <a:close/>
                </a:path>
              </a:pathLst>
            </a:cu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7" name="Freeform 26">
              <a:extLst>
                <a:ext uri="{FF2B5EF4-FFF2-40B4-BE49-F238E27FC236}">
                  <a16:creationId xmlns:a16="http://schemas.microsoft.com/office/drawing/2014/main" xmlns="" id="{00000000-0008-0000-0000-00001B000000}"/>
                </a:ext>
              </a:extLst>
            </xdr:cNvPr>
            <xdr:cNvSpPr/>
          </xdr:nvSpPr>
          <xdr:spPr>
            <a:xfrm>
              <a:off x="2210921" y="91773935"/>
              <a:ext cx="1154206" cy="1131794"/>
            </a:xfrm>
            <a:custGeom>
              <a:avLst/>
              <a:gdLst>
                <a:gd name="connsiteX0" fmla="*/ 0 w 1154206"/>
                <a:gd name="connsiteY0" fmla="*/ 560294 h 1131794"/>
                <a:gd name="connsiteX1" fmla="*/ 0 w 1154206"/>
                <a:gd name="connsiteY1" fmla="*/ 560294 h 1131794"/>
                <a:gd name="connsiteX2" fmla="*/ 515471 w 1154206"/>
                <a:gd name="connsiteY2" fmla="*/ 0 h 1131794"/>
                <a:gd name="connsiteX3" fmla="*/ 1064559 w 1154206"/>
                <a:gd name="connsiteY3" fmla="*/ 100853 h 1131794"/>
                <a:gd name="connsiteX4" fmla="*/ 1154206 w 1154206"/>
                <a:gd name="connsiteY4" fmla="*/ 862853 h 1131794"/>
                <a:gd name="connsiteX5" fmla="*/ 829235 w 1154206"/>
                <a:gd name="connsiteY5" fmla="*/ 1131794 h 1131794"/>
                <a:gd name="connsiteX6" fmla="*/ 123265 w 1154206"/>
                <a:gd name="connsiteY6" fmla="*/ 930088 h 1131794"/>
                <a:gd name="connsiteX7" fmla="*/ 0 w 1154206"/>
                <a:gd name="connsiteY7" fmla="*/ 560294 h 11317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4206" h="1131794">
                  <a:moveTo>
                    <a:pt x="0" y="560294"/>
                  </a:moveTo>
                  <a:lnTo>
                    <a:pt x="0" y="560294"/>
                  </a:lnTo>
                  <a:lnTo>
                    <a:pt x="515471" y="0"/>
                  </a:lnTo>
                  <a:lnTo>
                    <a:pt x="1064559" y="100853"/>
                  </a:lnTo>
                  <a:lnTo>
                    <a:pt x="1154206" y="862853"/>
                  </a:lnTo>
                  <a:lnTo>
                    <a:pt x="829235" y="1131794"/>
                  </a:lnTo>
                  <a:lnTo>
                    <a:pt x="123265" y="930088"/>
                  </a:lnTo>
                  <a:lnTo>
                    <a:pt x="0" y="560294"/>
                  </a:lnTo>
                  <a:close/>
                </a:path>
              </a:pathLst>
            </a:cu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1" name="Freeform 30">
              <a:extLst>
                <a:ext uri="{FF2B5EF4-FFF2-40B4-BE49-F238E27FC236}">
                  <a16:creationId xmlns:a16="http://schemas.microsoft.com/office/drawing/2014/main" xmlns="" id="{00000000-0008-0000-0000-00001F000000}"/>
                </a:ext>
              </a:extLst>
            </xdr:cNvPr>
            <xdr:cNvSpPr/>
          </xdr:nvSpPr>
          <xdr:spPr>
            <a:xfrm rot="4149412">
              <a:off x="3097121" y="92494016"/>
              <a:ext cx="1158994" cy="1282927"/>
            </a:xfrm>
            <a:custGeom>
              <a:avLst/>
              <a:gdLst>
                <a:gd name="connsiteX0" fmla="*/ 0 w 1154206"/>
                <a:gd name="connsiteY0" fmla="*/ 560294 h 1131794"/>
                <a:gd name="connsiteX1" fmla="*/ 0 w 1154206"/>
                <a:gd name="connsiteY1" fmla="*/ 560294 h 1131794"/>
                <a:gd name="connsiteX2" fmla="*/ 515471 w 1154206"/>
                <a:gd name="connsiteY2" fmla="*/ 0 h 1131794"/>
                <a:gd name="connsiteX3" fmla="*/ 1064559 w 1154206"/>
                <a:gd name="connsiteY3" fmla="*/ 100853 h 1131794"/>
                <a:gd name="connsiteX4" fmla="*/ 1154206 w 1154206"/>
                <a:gd name="connsiteY4" fmla="*/ 862853 h 1131794"/>
                <a:gd name="connsiteX5" fmla="*/ 829235 w 1154206"/>
                <a:gd name="connsiteY5" fmla="*/ 1131794 h 1131794"/>
                <a:gd name="connsiteX6" fmla="*/ 123265 w 1154206"/>
                <a:gd name="connsiteY6" fmla="*/ 930088 h 1131794"/>
                <a:gd name="connsiteX7" fmla="*/ 0 w 1154206"/>
                <a:gd name="connsiteY7" fmla="*/ 560294 h 11317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4206" h="1131794">
                  <a:moveTo>
                    <a:pt x="0" y="560294"/>
                  </a:moveTo>
                  <a:lnTo>
                    <a:pt x="0" y="560294"/>
                  </a:lnTo>
                  <a:lnTo>
                    <a:pt x="515471" y="0"/>
                  </a:lnTo>
                  <a:lnTo>
                    <a:pt x="1064559" y="100853"/>
                  </a:lnTo>
                  <a:lnTo>
                    <a:pt x="1154206" y="862853"/>
                  </a:lnTo>
                  <a:lnTo>
                    <a:pt x="829235" y="1131794"/>
                  </a:lnTo>
                  <a:lnTo>
                    <a:pt x="123265" y="930088"/>
                  </a:lnTo>
                  <a:lnTo>
                    <a:pt x="0" y="560294"/>
                  </a:lnTo>
                  <a:close/>
                </a:path>
              </a:pathLst>
            </a:custGeom>
            <a:noFill/>
            <a:ln w="28575">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 name="TextBox 6">
              <a:extLst>
                <a:ext uri="{FF2B5EF4-FFF2-40B4-BE49-F238E27FC236}">
                  <a16:creationId xmlns:a16="http://schemas.microsoft.com/office/drawing/2014/main" xmlns="" id="{00000000-0008-0000-0000-000007000000}"/>
                </a:ext>
              </a:extLst>
            </xdr:cNvPr>
            <xdr:cNvSpPr txBox="1"/>
          </xdr:nvSpPr>
          <xdr:spPr>
            <a:xfrm>
              <a:off x="1042147" y="93468265"/>
              <a:ext cx="1075765"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66"/>
                  </a:solidFill>
                </a:rPr>
                <a:t>Wing</a:t>
              </a:r>
              <a:r>
                <a:rPr lang="en-IN" sz="1600" b="1" baseline="0">
                  <a:solidFill>
                    <a:srgbClr val="FF0066"/>
                  </a:solidFill>
                </a:rPr>
                <a:t> A</a:t>
              </a:r>
              <a:endParaRPr lang="en-IN" sz="1600" b="1">
                <a:solidFill>
                  <a:srgbClr val="FF0066"/>
                </a:solidFill>
              </a:endParaRPr>
            </a:p>
          </xdr:txBody>
        </xdr:sp>
        <xdr:sp macro="" textlink="">
          <xdr:nvSpPr>
            <xdr:cNvPr id="32" name="TextBox 31">
              <a:extLst>
                <a:ext uri="{FF2B5EF4-FFF2-40B4-BE49-F238E27FC236}">
                  <a16:creationId xmlns:a16="http://schemas.microsoft.com/office/drawing/2014/main" xmlns="" id="{00000000-0008-0000-0000-000020000000}"/>
                </a:ext>
              </a:extLst>
            </xdr:cNvPr>
            <xdr:cNvSpPr txBox="1"/>
          </xdr:nvSpPr>
          <xdr:spPr>
            <a:xfrm>
              <a:off x="2129118" y="93871677"/>
              <a:ext cx="1075765"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660066"/>
                  </a:solidFill>
                </a:rPr>
                <a:t>Wing</a:t>
              </a:r>
              <a:r>
                <a:rPr lang="en-IN" sz="1600" b="1" baseline="0">
                  <a:solidFill>
                    <a:srgbClr val="660066"/>
                  </a:solidFill>
                </a:rPr>
                <a:t> E</a:t>
              </a:r>
              <a:endParaRPr lang="en-IN" sz="1600" b="1">
                <a:solidFill>
                  <a:srgbClr val="660066"/>
                </a:solidFill>
              </a:endParaRPr>
            </a:p>
          </xdr:txBody>
        </xdr:sp>
        <xdr:sp macro="" textlink="">
          <xdr:nvSpPr>
            <xdr:cNvPr id="34" name="TextBox 33">
              <a:extLst>
                <a:ext uri="{FF2B5EF4-FFF2-40B4-BE49-F238E27FC236}">
                  <a16:creationId xmlns:a16="http://schemas.microsoft.com/office/drawing/2014/main" xmlns="" id="{00000000-0008-0000-0000-000022000000}"/>
                </a:ext>
              </a:extLst>
            </xdr:cNvPr>
            <xdr:cNvSpPr txBox="1"/>
          </xdr:nvSpPr>
          <xdr:spPr>
            <a:xfrm>
              <a:off x="3211606" y="93194841"/>
              <a:ext cx="1075765"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chemeClr val="accent4">
                      <a:lumMod val="50000"/>
                    </a:schemeClr>
                  </a:solidFill>
                </a:rPr>
                <a:t>Wing</a:t>
              </a:r>
              <a:r>
                <a:rPr lang="en-IN" sz="1600" b="1" baseline="0">
                  <a:solidFill>
                    <a:schemeClr val="accent4">
                      <a:lumMod val="50000"/>
                    </a:schemeClr>
                  </a:solidFill>
                </a:rPr>
                <a:t> D</a:t>
              </a:r>
              <a:endParaRPr lang="en-IN" sz="1600" b="1">
                <a:solidFill>
                  <a:schemeClr val="accent4">
                    <a:lumMod val="50000"/>
                  </a:schemeClr>
                </a:solidFill>
              </a:endParaRPr>
            </a:p>
          </xdr:txBody>
        </xdr:sp>
        <xdr:sp macro="" textlink="">
          <xdr:nvSpPr>
            <xdr:cNvPr id="35" name="TextBox 34">
              <a:extLst>
                <a:ext uri="{FF2B5EF4-FFF2-40B4-BE49-F238E27FC236}">
                  <a16:creationId xmlns:a16="http://schemas.microsoft.com/office/drawing/2014/main" xmlns="" id="{00000000-0008-0000-0000-000023000000}"/>
                </a:ext>
              </a:extLst>
            </xdr:cNvPr>
            <xdr:cNvSpPr txBox="1"/>
          </xdr:nvSpPr>
          <xdr:spPr>
            <a:xfrm>
              <a:off x="2456329" y="91968917"/>
              <a:ext cx="1075765"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00B0F0"/>
                  </a:solidFill>
                </a:rPr>
                <a:t>Wing</a:t>
              </a:r>
              <a:r>
                <a:rPr lang="en-IN" sz="1600" b="1" baseline="0">
                  <a:solidFill>
                    <a:srgbClr val="00B0F0"/>
                  </a:solidFill>
                </a:rPr>
                <a:t> C</a:t>
              </a:r>
              <a:endParaRPr lang="en-IN" sz="1600" b="1">
                <a:solidFill>
                  <a:srgbClr val="00B0F0"/>
                </a:solidFill>
              </a:endParaRPr>
            </a:p>
          </xdr:txBody>
        </xdr:sp>
        <xdr:sp macro="" textlink="">
          <xdr:nvSpPr>
            <xdr:cNvPr id="36" name="TextBox 35">
              <a:extLst>
                <a:ext uri="{FF2B5EF4-FFF2-40B4-BE49-F238E27FC236}">
                  <a16:creationId xmlns:a16="http://schemas.microsoft.com/office/drawing/2014/main" xmlns="" id="{00000000-0008-0000-0000-000024000000}"/>
                </a:ext>
              </a:extLst>
            </xdr:cNvPr>
            <xdr:cNvSpPr txBox="1"/>
          </xdr:nvSpPr>
          <xdr:spPr>
            <a:xfrm>
              <a:off x="1510553" y="92524729"/>
              <a:ext cx="1075765"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chemeClr val="accent6">
                      <a:lumMod val="50000"/>
                    </a:schemeClr>
                  </a:solidFill>
                </a:rPr>
                <a:t>Wing</a:t>
              </a:r>
              <a:r>
                <a:rPr lang="en-IN" sz="1600" b="1" baseline="0">
                  <a:solidFill>
                    <a:schemeClr val="accent6">
                      <a:lumMod val="50000"/>
                    </a:schemeClr>
                  </a:solidFill>
                </a:rPr>
                <a:t> B</a:t>
              </a:r>
              <a:endParaRPr lang="en-IN" sz="1600" b="1">
                <a:solidFill>
                  <a:schemeClr val="accent6">
                    <a:lumMod val="50000"/>
                  </a:schemeClr>
                </a:solidFill>
              </a:endParaRPr>
            </a:p>
          </xdr:txBody>
        </xdr:sp>
      </xdr:grpSp>
      <xdr:grpSp>
        <xdr:nvGrpSpPr>
          <xdr:cNvPr id="78" name="Group 77">
            <a:extLst>
              <a:ext uri="{FF2B5EF4-FFF2-40B4-BE49-F238E27FC236}">
                <a16:creationId xmlns:a16="http://schemas.microsoft.com/office/drawing/2014/main" xmlns="" id="{00000000-0008-0000-0000-00004E000000}"/>
              </a:ext>
            </a:extLst>
          </xdr:cNvPr>
          <xdr:cNvGrpSpPr/>
        </xdr:nvGrpSpPr>
        <xdr:grpSpPr>
          <a:xfrm rot="14035521">
            <a:off x="5181601" y="101346000"/>
            <a:ext cx="474784" cy="971636"/>
            <a:chOff x="808896" y="1402289"/>
            <a:chExt cx="474784" cy="971636"/>
          </a:xfrm>
        </xdr:grpSpPr>
        <xdr:sp macro="" textlink="">
          <xdr:nvSpPr>
            <xdr:cNvPr id="79" name="Right Arrow 78">
              <a:extLst>
                <a:ext uri="{FF2B5EF4-FFF2-40B4-BE49-F238E27FC236}">
                  <a16:creationId xmlns:a16="http://schemas.microsoft.com/office/drawing/2014/main" xmlns="" id="{00000000-0008-0000-0000-00004F000000}"/>
                </a:ext>
              </a:extLst>
            </xdr:cNvPr>
            <xdr:cNvSpPr/>
          </xdr:nvSpPr>
          <xdr:spPr>
            <a:xfrm rot="16200000">
              <a:off x="852857" y="2031024"/>
              <a:ext cx="386861" cy="298941"/>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1400"/>
            </a:p>
          </xdr:txBody>
        </xdr:sp>
        <xdr:sp macro="" textlink="">
          <xdr:nvSpPr>
            <xdr:cNvPr id="80" name="TextBox 7">
              <a:extLst>
                <a:ext uri="{FF2B5EF4-FFF2-40B4-BE49-F238E27FC236}">
                  <a16:creationId xmlns:a16="http://schemas.microsoft.com/office/drawing/2014/main" xmlns="" id="{00000000-0008-0000-0000-000050000000}"/>
                </a:ext>
              </a:extLst>
            </xdr:cNvPr>
            <xdr:cNvSpPr txBox="1"/>
          </xdr:nvSpPr>
          <xdr:spPr>
            <a:xfrm>
              <a:off x="808896" y="1402289"/>
              <a:ext cx="47478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latin typeface="Times New Roman" panose="02020603050405020304" pitchFamily="18" charset="0"/>
                  <a:cs typeface="Times New Roman" panose="02020603050405020304" pitchFamily="18" charset="0"/>
                </a:rPr>
                <a:t>N</a:t>
              </a:r>
              <a:endParaRPr lang="en-IN" sz="3200" b="1">
                <a:latin typeface="Times New Roman" panose="02020603050405020304" pitchFamily="18" charset="0"/>
                <a:cs typeface="Times New Roman" panose="02020603050405020304" pitchFamily="18" charset="0"/>
              </a:endParaRPr>
            </a:p>
          </xdr:txBody>
        </xdr:sp>
      </xdr:grpSp>
    </xdr:grpSp>
    <xdr:clientData/>
  </xdr:twoCellAnchor>
  <xdr:twoCellAnchor editAs="oneCell">
    <xdr:from>
      <xdr:col>8</xdr:col>
      <xdr:colOff>217715</xdr:colOff>
      <xdr:row>37</xdr:row>
      <xdr:rowOff>38840</xdr:rowOff>
    </xdr:from>
    <xdr:to>
      <xdr:col>30</xdr:col>
      <xdr:colOff>459811</xdr:colOff>
      <xdr:row>42</xdr:row>
      <xdr:rowOff>4147</xdr:rowOff>
    </xdr:to>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8"/>
        <a:stretch>
          <a:fillRect/>
        </a:stretch>
      </xdr:blipFill>
      <xdr:spPr>
        <a:xfrm>
          <a:off x="6613072" y="9346126"/>
          <a:ext cx="15073882" cy="985842"/>
        </a:xfrm>
        <a:prstGeom prst="rect">
          <a:avLst/>
        </a:prstGeom>
      </xdr:spPr>
    </xdr:pic>
    <xdr:clientData/>
  </xdr:twoCellAnchor>
  <xdr:twoCellAnchor>
    <xdr:from>
      <xdr:col>0</xdr:col>
      <xdr:colOff>314325</xdr:colOff>
      <xdr:row>472</xdr:row>
      <xdr:rowOff>135074</xdr:rowOff>
    </xdr:from>
    <xdr:to>
      <xdr:col>7</xdr:col>
      <xdr:colOff>540696</xdr:colOff>
      <xdr:row>494</xdr:row>
      <xdr:rowOff>133350</xdr:rowOff>
    </xdr:to>
    <xdr:grpSp>
      <xdr:nvGrpSpPr>
        <xdr:cNvPr id="30" name="Group 29">
          <a:extLst>
            <a:ext uri="{FF2B5EF4-FFF2-40B4-BE49-F238E27FC236}">
              <a16:creationId xmlns:a16="http://schemas.microsoft.com/office/drawing/2014/main" xmlns="" id="{00000000-0008-0000-0000-00001E000000}"/>
            </a:ext>
          </a:extLst>
        </xdr:cNvPr>
        <xdr:cNvGrpSpPr/>
      </xdr:nvGrpSpPr>
      <xdr:grpSpPr>
        <a:xfrm>
          <a:off x="314325" y="109110599"/>
          <a:ext cx="5817546" cy="4398826"/>
          <a:chOff x="409575" y="105376799"/>
          <a:chExt cx="5817546" cy="4398826"/>
        </a:xfrm>
      </xdr:grpSpPr>
      <xdr:pic>
        <xdr:nvPicPr>
          <xdr:cNvPr id="29" name="Picture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9"/>
          <a:stretch>
            <a:fillRect/>
          </a:stretch>
        </xdr:blipFill>
        <xdr:spPr>
          <a:xfrm>
            <a:off x="409575" y="105376799"/>
            <a:ext cx="5817546" cy="4398826"/>
          </a:xfrm>
          <a:prstGeom prst="rect">
            <a:avLst/>
          </a:prstGeom>
          <a:ln>
            <a:solidFill>
              <a:sysClr val="windowText" lastClr="000000"/>
            </a:solidFill>
          </a:ln>
        </xdr:spPr>
      </xdr:pic>
      <xdr:sp macro="" textlink="">
        <xdr:nvSpPr>
          <xdr:cNvPr id="21" name="Rectangle 20">
            <a:extLst>
              <a:ext uri="{FF2B5EF4-FFF2-40B4-BE49-F238E27FC236}">
                <a16:creationId xmlns:a16="http://schemas.microsoft.com/office/drawing/2014/main" xmlns="" id="{00000000-0008-0000-0000-000015000000}"/>
              </a:ext>
            </a:extLst>
          </xdr:cNvPr>
          <xdr:cNvSpPr/>
        </xdr:nvSpPr>
        <xdr:spPr>
          <a:xfrm rot="736975">
            <a:off x="2195173" y="106277513"/>
            <a:ext cx="1934434" cy="191754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1266265</xdr:colOff>
      <xdr:row>157</xdr:row>
      <xdr:rowOff>33618</xdr:rowOff>
    </xdr:from>
    <xdr:to>
      <xdr:col>17</xdr:col>
      <xdr:colOff>563953</xdr:colOff>
      <xdr:row>165</xdr:row>
      <xdr:rowOff>268079</xdr:rowOff>
    </xdr:to>
    <xdr:pic>
      <xdr:nvPicPr>
        <xdr:cNvPr id="28" name="Picture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10"/>
        <a:stretch>
          <a:fillRect/>
        </a:stretch>
      </xdr:blipFill>
      <xdr:spPr>
        <a:xfrm>
          <a:off x="7709647" y="41136794"/>
          <a:ext cx="6144482" cy="1848108"/>
        </a:xfrm>
        <a:prstGeom prst="rect">
          <a:avLst/>
        </a:prstGeom>
      </xdr:spPr>
    </xdr:pic>
    <xdr:clientData/>
  </xdr:twoCellAnchor>
  <xdr:twoCellAnchor editAs="oneCell">
    <xdr:from>
      <xdr:col>2</xdr:col>
      <xdr:colOff>459442</xdr:colOff>
      <xdr:row>415</xdr:row>
      <xdr:rowOff>134470</xdr:rowOff>
    </xdr:from>
    <xdr:to>
      <xdr:col>5</xdr:col>
      <xdr:colOff>203791</xdr:colOff>
      <xdr:row>430</xdr:row>
      <xdr:rowOff>9534</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11"/>
        <a:stretch>
          <a:fillRect/>
        </a:stretch>
      </xdr:blipFill>
      <xdr:spPr>
        <a:xfrm>
          <a:off x="2005854" y="98029058"/>
          <a:ext cx="2243261" cy="2900652"/>
        </a:xfrm>
        <a:prstGeom prst="rect">
          <a:avLst/>
        </a:prstGeom>
        <a:ln>
          <a:solidFill>
            <a:sysClr val="windowText" lastClr="000000"/>
          </a:solidFill>
        </a:ln>
      </xdr:spPr>
    </xdr:pic>
    <xdr:clientData/>
  </xdr:twoCellAnchor>
  <xdr:twoCellAnchor>
    <xdr:from>
      <xdr:col>9</xdr:col>
      <xdr:colOff>9525</xdr:colOff>
      <xdr:row>372</xdr:row>
      <xdr:rowOff>160020</xdr:rowOff>
    </xdr:from>
    <xdr:to>
      <xdr:col>17</xdr:col>
      <xdr:colOff>375813</xdr:colOff>
      <xdr:row>407</xdr:row>
      <xdr:rowOff>21772</xdr:rowOff>
    </xdr:to>
    <xdr:grpSp>
      <xdr:nvGrpSpPr>
        <xdr:cNvPr id="11" name="Group 10">
          <a:extLst>
            <a:ext uri="{FF2B5EF4-FFF2-40B4-BE49-F238E27FC236}">
              <a16:creationId xmlns:a16="http://schemas.microsoft.com/office/drawing/2014/main" xmlns="" id="{71917DFF-42D0-E682-D139-13DD443C42EB}"/>
            </a:ext>
          </a:extLst>
        </xdr:cNvPr>
        <xdr:cNvGrpSpPr/>
      </xdr:nvGrpSpPr>
      <xdr:grpSpPr>
        <a:xfrm>
          <a:off x="8058150" y="89142570"/>
          <a:ext cx="5871738" cy="6853102"/>
          <a:chOff x="419788" y="1177834"/>
          <a:chExt cx="6018423" cy="6788332"/>
        </a:xfrm>
      </xdr:grpSpPr>
      <xdr:grpSp>
        <xdr:nvGrpSpPr>
          <xdr:cNvPr id="12" name="Group 11">
            <a:extLst>
              <a:ext uri="{FF2B5EF4-FFF2-40B4-BE49-F238E27FC236}">
                <a16:creationId xmlns:a16="http://schemas.microsoft.com/office/drawing/2014/main" xmlns="" id="{F8089E74-9A5B-A4DE-94AD-220198617F75}"/>
              </a:ext>
            </a:extLst>
          </xdr:cNvPr>
          <xdr:cNvGrpSpPr/>
        </xdr:nvGrpSpPr>
        <xdr:grpSpPr>
          <a:xfrm>
            <a:off x="1097533" y="6166166"/>
            <a:ext cx="4662932" cy="1800000"/>
            <a:chOff x="677745" y="4988332"/>
            <a:chExt cx="4662932" cy="1800000"/>
          </a:xfrm>
        </xdr:grpSpPr>
        <xdr:pic>
          <xdr:nvPicPr>
            <xdr:cNvPr id="37" name="Picture 36">
              <a:extLst>
                <a:ext uri="{FF2B5EF4-FFF2-40B4-BE49-F238E27FC236}">
                  <a16:creationId xmlns:a16="http://schemas.microsoft.com/office/drawing/2014/main" xmlns="" id="{4F4D22D9-F53E-0362-5189-041B65167F6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2205791" y="4988332"/>
              <a:ext cx="3134886" cy="1800000"/>
            </a:xfrm>
            <a:prstGeom prst="rect">
              <a:avLst/>
            </a:prstGeom>
            <a:ln>
              <a:solidFill>
                <a:schemeClr val="tx1"/>
              </a:solidFill>
            </a:ln>
          </xdr:spPr>
        </xdr:pic>
        <xdr:pic>
          <xdr:nvPicPr>
            <xdr:cNvPr id="39" name="Picture 38">
              <a:extLst>
                <a:ext uri="{FF2B5EF4-FFF2-40B4-BE49-F238E27FC236}">
                  <a16:creationId xmlns:a16="http://schemas.microsoft.com/office/drawing/2014/main" xmlns="" id="{B7AED223-A736-7328-E6D6-9441B134B1D6}"/>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677745" y="4988332"/>
              <a:ext cx="1350000" cy="1800000"/>
            </a:xfrm>
            <a:prstGeom prst="rect">
              <a:avLst/>
            </a:prstGeom>
            <a:ln>
              <a:solidFill>
                <a:schemeClr val="tx1"/>
              </a:solidFill>
            </a:ln>
          </xdr:spPr>
        </xdr:pic>
      </xdr:grpSp>
      <xdr:grpSp>
        <xdr:nvGrpSpPr>
          <xdr:cNvPr id="13" name="Group 12">
            <a:extLst>
              <a:ext uri="{FF2B5EF4-FFF2-40B4-BE49-F238E27FC236}">
                <a16:creationId xmlns:a16="http://schemas.microsoft.com/office/drawing/2014/main" xmlns="" id="{10A7D8D6-3699-1593-473E-6FB66DD78D60}"/>
              </a:ext>
            </a:extLst>
          </xdr:cNvPr>
          <xdr:cNvGrpSpPr/>
        </xdr:nvGrpSpPr>
        <xdr:grpSpPr>
          <a:xfrm>
            <a:off x="419788" y="1177834"/>
            <a:ext cx="6018423" cy="2520000"/>
            <a:chOff x="0" y="0"/>
            <a:chExt cx="6018423" cy="2520000"/>
          </a:xfrm>
        </xdr:grpSpPr>
        <xdr:pic>
          <xdr:nvPicPr>
            <xdr:cNvPr id="22" name="Picture 21">
              <a:extLst>
                <a:ext uri="{FF2B5EF4-FFF2-40B4-BE49-F238E27FC236}">
                  <a16:creationId xmlns:a16="http://schemas.microsoft.com/office/drawing/2014/main" xmlns="" id="{ABB3A32A-1596-80C7-FE2C-B63F4509C10F}"/>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068046" y="0"/>
              <a:ext cx="1890000" cy="2520000"/>
            </a:xfrm>
            <a:prstGeom prst="rect">
              <a:avLst/>
            </a:prstGeom>
            <a:ln>
              <a:solidFill>
                <a:schemeClr val="tx1"/>
              </a:solidFill>
            </a:ln>
          </xdr:spPr>
        </xdr:pic>
        <xdr:pic>
          <xdr:nvPicPr>
            <xdr:cNvPr id="24" name="Picture 23">
              <a:extLst>
                <a:ext uri="{FF2B5EF4-FFF2-40B4-BE49-F238E27FC236}">
                  <a16:creationId xmlns:a16="http://schemas.microsoft.com/office/drawing/2014/main" xmlns="" id="{84B9E102-FC19-8512-3541-93B4699795A4}"/>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0" y="0"/>
              <a:ext cx="1890000" cy="2520000"/>
            </a:xfrm>
            <a:prstGeom prst="rect">
              <a:avLst/>
            </a:prstGeom>
            <a:ln>
              <a:solidFill>
                <a:schemeClr val="tx1"/>
              </a:solidFill>
            </a:ln>
          </xdr:spPr>
        </xdr:pic>
        <xdr:pic>
          <xdr:nvPicPr>
            <xdr:cNvPr id="25" name="Picture 24">
              <a:extLst>
                <a:ext uri="{FF2B5EF4-FFF2-40B4-BE49-F238E27FC236}">
                  <a16:creationId xmlns:a16="http://schemas.microsoft.com/office/drawing/2014/main" xmlns="" id="{E49719F0-F189-12EF-AC1E-D1F87B4AB4BD}"/>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4128423" y="0"/>
              <a:ext cx="1890000" cy="2520000"/>
            </a:xfrm>
            <a:prstGeom prst="rect">
              <a:avLst/>
            </a:prstGeom>
            <a:ln>
              <a:solidFill>
                <a:schemeClr val="tx1"/>
              </a:solidFill>
            </a:ln>
          </xdr:spPr>
        </xdr:pic>
      </xdr:grpSp>
      <xdr:grpSp>
        <xdr:nvGrpSpPr>
          <xdr:cNvPr id="14" name="Group 13">
            <a:extLst>
              <a:ext uri="{FF2B5EF4-FFF2-40B4-BE49-F238E27FC236}">
                <a16:creationId xmlns:a16="http://schemas.microsoft.com/office/drawing/2014/main" xmlns="" id="{70C6A8EF-298C-44F5-5EE6-BC1633EF69FC}"/>
              </a:ext>
            </a:extLst>
          </xdr:cNvPr>
          <xdr:cNvGrpSpPr/>
        </xdr:nvGrpSpPr>
        <xdr:grpSpPr>
          <a:xfrm>
            <a:off x="1089974" y="3852000"/>
            <a:ext cx="4678050" cy="2160000"/>
            <a:chOff x="459976" y="3852000"/>
            <a:chExt cx="4678050" cy="2160000"/>
          </a:xfrm>
        </xdr:grpSpPr>
        <xdr:pic>
          <xdr:nvPicPr>
            <xdr:cNvPr id="15" name="Picture 14">
              <a:extLst>
                <a:ext uri="{FF2B5EF4-FFF2-40B4-BE49-F238E27FC236}">
                  <a16:creationId xmlns:a16="http://schemas.microsoft.com/office/drawing/2014/main" xmlns="" id="{38C4E3B0-F096-77D7-89EA-00AAFCACFCBF}"/>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59976" y="3852000"/>
              <a:ext cx="2880000" cy="2160000"/>
            </a:xfrm>
            <a:prstGeom prst="rect">
              <a:avLst/>
            </a:prstGeom>
            <a:ln>
              <a:solidFill>
                <a:schemeClr val="tx1"/>
              </a:solidFill>
            </a:ln>
          </xdr:spPr>
        </xdr:pic>
        <xdr:pic>
          <xdr:nvPicPr>
            <xdr:cNvPr id="19" name="Picture 18">
              <a:extLst>
                <a:ext uri="{FF2B5EF4-FFF2-40B4-BE49-F238E27FC236}">
                  <a16:creationId xmlns:a16="http://schemas.microsoft.com/office/drawing/2014/main" xmlns="" id="{E1BDC5A9-067C-6794-8C73-522FF0FE06B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518026" y="3852000"/>
              <a:ext cx="1620000" cy="2160000"/>
            </a:xfrm>
            <a:prstGeom prst="rect">
              <a:avLst/>
            </a:prstGeom>
            <a:ln>
              <a:solidFill>
                <a:schemeClr val="tx1"/>
              </a:solidFill>
            </a:ln>
          </xdr:spPr>
        </xdr:pic>
      </xdr:grpSp>
    </xdr:grpSp>
    <xdr:clientData/>
  </xdr:twoCellAnchor>
  <xdr:twoCellAnchor>
    <xdr:from>
      <xdr:col>0</xdr:col>
      <xdr:colOff>132819</xdr:colOff>
      <xdr:row>373</xdr:row>
      <xdr:rowOff>43467</xdr:rowOff>
    </xdr:from>
    <xdr:to>
      <xdr:col>7</xdr:col>
      <xdr:colOff>1047750</xdr:colOff>
      <xdr:row>410</xdr:row>
      <xdr:rowOff>73223</xdr:rowOff>
    </xdr:to>
    <xdr:grpSp>
      <xdr:nvGrpSpPr>
        <xdr:cNvPr id="40" name="Group 39"/>
        <xdr:cNvGrpSpPr/>
      </xdr:nvGrpSpPr>
      <xdr:grpSpPr>
        <a:xfrm>
          <a:off x="132819" y="89226042"/>
          <a:ext cx="6506106" cy="7421156"/>
          <a:chOff x="132819" y="89064117"/>
          <a:chExt cx="6506106" cy="7421156"/>
        </a:xfrm>
      </xdr:grpSpPr>
      <xdr:pic>
        <xdr:nvPicPr>
          <xdr:cNvPr id="55" name="Picture 5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53744" y="89071740"/>
            <a:ext cx="2089094" cy="2785458"/>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317799" y="91954349"/>
            <a:ext cx="2114551" cy="2819402"/>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329574" y="89066196"/>
            <a:ext cx="2089094" cy="2785458"/>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132819" y="91953099"/>
            <a:ext cx="2114551" cy="2819402"/>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507269" y="89064117"/>
            <a:ext cx="2089094" cy="2785458"/>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161926" y="94878618"/>
            <a:ext cx="2627673" cy="1606655"/>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4001727" y="94876635"/>
            <a:ext cx="2627673" cy="1606655"/>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2866870" y="94875263"/>
            <a:ext cx="1038380" cy="1606654"/>
          </a:xfrm>
          <a:prstGeom prst="rect">
            <a:avLst/>
          </a:prstGeom>
          <a:ln>
            <a:solidFill>
              <a:schemeClr val="tx1"/>
            </a:solidFill>
          </a:ln>
        </xdr:spPr>
      </xdr:pic>
      <xdr:pic>
        <xdr:nvPicPr>
          <xdr:cNvPr id="63" name="Picture 62" descr="https://vsjcllp.vsjadon.com/upload/insp-246615-846.jpe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a:ext>
            </a:extLst>
          </a:blip>
          <a:srcRect/>
          <a:stretch>
            <a:fillRect/>
          </a:stretch>
        </xdr:blipFill>
        <xdr:spPr bwMode="auto">
          <a:xfrm>
            <a:off x="4524374" y="91954349"/>
            <a:ext cx="2114551" cy="28194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414817</xdr:colOff>
      <xdr:row>267</xdr:row>
      <xdr:rowOff>33617</xdr:rowOff>
    </xdr:from>
    <xdr:to>
      <xdr:col>7</xdr:col>
      <xdr:colOff>351516</xdr:colOff>
      <xdr:row>285</xdr:row>
      <xdr:rowOff>2911</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414817" y="58993367"/>
          <a:ext cx="5908874" cy="3569744"/>
        </a:xfrm>
        <a:prstGeom prst="rect">
          <a:avLst/>
        </a:prstGeom>
        <a:ln>
          <a:solidFill>
            <a:schemeClr val="tx1"/>
          </a:solidFill>
        </a:ln>
      </xdr:spPr>
    </xdr:pic>
    <xdr:clientData/>
  </xdr:twoCellAnchor>
  <xdr:twoCellAnchor editAs="oneCell">
    <xdr:from>
      <xdr:col>0</xdr:col>
      <xdr:colOff>414619</xdr:colOff>
      <xdr:row>285</xdr:row>
      <xdr:rowOff>176742</xdr:rowOff>
    </xdr:from>
    <xdr:to>
      <xdr:col>7</xdr:col>
      <xdr:colOff>351515</xdr:colOff>
      <xdr:row>303</xdr:row>
      <xdr:rowOff>146037</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414619" y="62736942"/>
          <a:ext cx="5909071" cy="3569745"/>
        </a:xfrm>
        <a:prstGeom prst="rect">
          <a:avLst/>
        </a:prstGeom>
        <a:ln>
          <a:solidFill>
            <a:schemeClr val="tx1"/>
          </a:solidFill>
        </a:ln>
      </xdr:spPr>
    </xdr:pic>
    <xdr:clientData/>
  </xdr:twoCellAnchor>
  <xdr:twoCellAnchor editAs="oneCell">
    <xdr:from>
      <xdr:col>0</xdr:col>
      <xdr:colOff>324974</xdr:colOff>
      <xdr:row>222</xdr:row>
      <xdr:rowOff>123264</xdr:rowOff>
    </xdr:from>
    <xdr:to>
      <xdr:col>5</xdr:col>
      <xdr:colOff>78903</xdr:colOff>
      <xdr:row>249</xdr:row>
      <xdr:rowOff>88411</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324974" y="50091414"/>
          <a:ext cx="4049704" cy="5356297"/>
        </a:xfrm>
        <a:prstGeom prst="rect">
          <a:avLst/>
        </a:prstGeom>
        <a:ln>
          <a:solidFill>
            <a:schemeClr val="tx1"/>
          </a:solidFill>
        </a:ln>
      </xdr:spPr>
    </xdr:pic>
    <xdr:clientData/>
  </xdr:twoCellAnchor>
  <xdr:twoCellAnchor editAs="oneCell">
    <xdr:from>
      <xdr:col>0</xdr:col>
      <xdr:colOff>296652</xdr:colOff>
      <xdr:row>250</xdr:row>
      <xdr:rowOff>105264</xdr:rowOff>
    </xdr:from>
    <xdr:to>
      <xdr:col>2</xdr:col>
      <xdr:colOff>651952</xdr:colOff>
      <xdr:row>263</xdr:row>
      <xdr:rowOff>111088</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96652" y="55664589"/>
          <a:ext cx="1974550" cy="2606149"/>
        </a:xfrm>
        <a:prstGeom prst="rect">
          <a:avLst/>
        </a:prstGeom>
        <a:ln>
          <a:solidFill>
            <a:schemeClr val="tx1"/>
          </a:solidFill>
        </a:ln>
      </xdr:spPr>
    </xdr:pic>
    <xdr:clientData/>
  </xdr:twoCellAnchor>
  <xdr:twoCellAnchor editAs="oneCell">
    <xdr:from>
      <xdr:col>5</xdr:col>
      <xdr:colOff>234335</xdr:colOff>
      <xdr:row>222</xdr:row>
      <xdr:rowOff>123264</xdr:rowOff>
    </xdr:from>
    <xdr:to>
      <xdr:col>7</xdr:col>
      <xdr:colOff>522400</xdr:colOff>
      <xdr:row>235</xdr:row>
      <xdr:rowOff>140294</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530110" y="50091414"/>
          <a:ext cx="1964465" cy="2607830"/>
        </a:xfrm>
        <a:prstGeom prst="rect">
          <a:avLst/>
        </a:prstGeom>
        <a:ln>
          <a:solidFill>
            <a:schemeClr val="tx1"/>
          </a:solidFill>
        </a:ln>
      </xdr:spPr>
    </xdr:pic>
    <xdr:clientData/>
  </xdr:twoCellAnchor>
  <xdr:twoCellAnchor editAs="oneCell">
    <xdr:from>
      <xdr:col>5</xdr:col>
      <xdr:colOff>248550</xdr:colOff>
      <xdr:row>236</xdr:row>
      <xdr:rowOff>82587</xdr:rowOff>
    </xdr:from>
    <xdr:to>
      <xdr:col>7</xdr:col>
      <xdr:colOff>536615</xdr:colOff>
      <xdr:row>249</xdr:row>
      <xdr:rowOff>88410</xdr:rowOff>
    </xdr:to>
    <xdr:pic>
      <xdr:nvPicPr>
        <xdr:cNvPr id="7" name="Picture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544325" y="52841562"/>
          <a:ext cx="1964465" cy="2606148"/>
        </a:xfrm>
        <a:prstGeom prst="rect">
          <a:avLst/>
        </a:prstGeom>
        <a:ln>
          <a:solidFill>
            <a:schemeClr val="tx1"/>
          </a:solidFill>
        </a:ln>
      </xdr:spPr>
    </xdr:pic>
    <xdr:clientData/>
  </xdr:twoCellAnchor>
  <xdr:twoCellAnchor editAs="oneCell">
    <xdr:from>
      <xdr:col>2</xdr:col>
      <xdr:colOff>863566</xdr:colOff>
      <xdr:row>250</xdr:row>
      <xdr:rowOff>105264</xdr:rowOff>
    </xdr:from>
    <xdr:to>
      <xdr:col>5</xdr:col>
      <xdr:colOff>154307</xdr:colOff>
      <xdr:row>263</xdr:row>
      <xdr:rowOff>111088</xdr:rowOff>
    </xdr:to>
    <xdr:pic>
      <xdr:nvPicPr>
        <xdr:cNvPr id="8" name="Picture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482816" y="55664589"/>
          <a:ext cx="1967266" cy="2606149"/>
        </a:xfrm>
        <a:prstGeom prst="rect">
          <a:avLst/>
        </a:prstGeom>
        <a:ln>
          <a:solidFill>
            <a:schemeClr val="tx1"/>
          </a:solidFill>
        </a:ln>
      </xdr:spPr>
    </xdr:pic>
    <xdr:clientData/>
  </xdr:twoCellAnchor>
  <xdr:twoCellAnchor editAs="oneCell">
    <xdr:from>
      <xdr:col>5</xdr:col>
      <xdr:colOff>365921</xdr:colOff>
      <xdr:row>250</xdr:row>
      <xdr:rowOff>105264</xdr:rowOff>
    </xdr:from>
    <xdr:to>
      <xdr:col>7</xdr:col>
      <xdr:colOff>653986</xdr:colOff>
      <xdr:row>263</xdr:row>
      <xdr:rowOff>111088</xdr:rowOff>
    </xdr:to>
    <xdr:pic>
      <xdr:nvPicPr>
        <xdr:cNvPr id="9" name="Picture 8">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661696" y="55664589"/>
          <a:ext cx="1964465" cy="2606149"/>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352489</xdr:colOff>
      <xdr:row>28</xdr:row>
      <xdr:rowOff>171000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579783" y="1913283"/>
          <a:ext cx="6754945" cy="3600000"/>
        </a:xfrm>
        <a:prstGeom prst="rect">
          <a:avLst/>
        </a:prstGeom>
        <a:ln>
          <a:solidFill>
            <a:schemeClr val="tx1"/>
          </a:solidFill>
        </a:ln>
      </xdr:spPr>
    </xdr:pic>
    <xdr:clientData/>
  </xdr:twoCellAnchor>
  <xdr:twoCellAnchor editAs="oneCell">
    <xdr:from>
      <xdr:col>1</xdr:col>
      <xdr:colOff>27258</xdr:colOff>
      <xdr:row>30</xdr:row>
      <xdr:rowOff>39882</xdr:rowOff>
    </xdr:from>
    <xdr:to>
      <xdr:col>6</xdr:col>
      <xdr:colOff>379747</xdr:colOff>
      <xdr:row>49</xdr:row>
      <xdr:rowOff>20382</xdr:rowOff>
    </xdr:to>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stretch>
          <a:fillRect/>
        </a:stretch>
      </xdr:blipFill>
      <xdr:spPr>
        <a:xfrm>
          <a:off x="607041" y="5763165"/>
          <a:ext cx="6754945" cy="3600000"/>
        </a:xfrm>
        <a:prstGeom prst="rect">
          <a:avLst/>
        </a:prstGeom>
        <a:ln>
          <a:solidFill>
            <a:schemeClr val="tx1"/>
          </a:solidFill>
        </a:ln>
      </xdr:spPr>
    </xdr:pic>
    <xdr:clientData/>
  </xdr:twoCellAnchor>
  <xdr:twoCellAnchor editAs="oneCell">
    <xdr:from>
      <xdr:col>6</xdr:col>
      <xdr:colOff>654278</xdr:colOff>
      <xdr:row>10</xdr:row>
      <xdr:rowOff>0</xdr:rowOff>
    </xdr:from>
    <xdr:to>
      <xdr:col>16</xdr:col>
      <xdr:colOff>344158</xdr:colOff>
      <xdr:row>28</xdr:row>
      <xdr:rowOff>171000</xdr:rowOff>
    </xdr:to>
    <xdr:pic>
      <xdr:nvPicPr>
        <xdr:cNvPr id="4" name="Picture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3"/>
        <a:stretch>
          <a:fillRect/>
        </a:stretch>
      </xdr:blipFill>
      <xdr:spPr>
        <a:xfrm>
          <a:off x="7636517" y="1913283"/>
          <a:ext cx="6754945" cy="3600000"/>
        </a:xfrm>
        <a:prstGeom prst="rect">
          <a:avLst/>
        </a:prstGeom>
        <a:ln>
          <a:solidFill>
            <a:schemeClr val="tx1"/>
          </a:solidFill>
        </a:ln>
      </xdr:spPr>
    </xdr:pic>
    <xdr:clientData/>
  </xdr:twoCellAnchor>
  <xdr:twoCellAnchor editAs="oneCell">
    <xdr:from>
      <xdr:col>2</xdr:col>
      <xdr:colOff>745435</xdr:colOff>
      <xdr:row>0</xdr:row>
      <xdr:rowOff>0</xdr:rowOff>
    </xdr:from>
    <xdr:to>
      <xdr:col>13</xdr:col>
      <xdr:colOff>96253</xdr:colOff>
      <xdr:row>28</xdr:row>
      <xdr:rowOff>57717</xdr:rowOff>
    </xdr:to>
    <xdr:pic>
      <xdr:nvPicPr>
        <xdr:cNvPr id="5" name="Picture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4"/>
        <a:stretch>
          <a:fillRect/>
        </a:stretch>
      </xdr:blipFill>
      <xdr:spPr>
        <a:xfrm>
          <a:off x="2799522" y="0"/>
          <a:ext cx="9604688" cy="54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zbyDUUUdN2ojQob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6"/>
  <sheetViews>
    <sheetView tabSelected="1" view="pageBreakPreview" topLeftCell="A118" zoomScaleNormal="100" zoomScaleSheetLayoutView="100" zoomScalePageLayoutView="115" workbookViewId="0">
      <selection activeCell="C129" sqref="C129"/>
    </sheetView>
  </sheetViews>
  <sheetFormatPr defaultColWidth="9.140625" defaultRowHeight="15.75" x14ac:dyDescent="0.25"/>
  <cols>
    <col min="1" max="1" width="11.42578125" style="22" customWidth="1"/>
    <col min="2" max="2" width="11.7109375" style="22" customWidth="1"/>
    <col min="3" max="3" width="12.7109375" style="22" customWidth="1"/>
    <col min="4" max="4" width="12.85546875" style="22" customWidth="1"/>
    <col min="5" max="7" width="11.7109375" style="22" customWidth="1"/>
    <col min="8" max="8" width="16.42578125" style="22" customWidth="1"/>
    <col min="9" max="9" width="20.42578125" style="8" customWidth="1"/>
    <col min="10" max="10" width="13.140625" style="8" bestFit="1" customWidth="1"/>
    <col min="11" max="11" width="11.28515625" style="8" bestFit="1" customWidth="1"/>
    <col min="12" max="13" width="9.140625" style="8"/>
    <col min="14" max="14" width="12.42578125" style="8" bestFit="1" customWidth="1"/>
    <col min="15"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9" ht="46.5" customHeight="1" x14ac:dyDescent="0.25">
      <c r="A1" s="165" t="s">
        <v>309</v>
      </c>
      <c r="B1" s="165"/>
      <c r="C1" s="165"/>
      <c r="D1" s="165"/>
      <c r="E1" s="165"/>
      <c r="F1" s="165"/>
      <c r="G1" s="165"/>
      <c r="H1" s="165"/>
    </row>
    <row r="2" spans="1:9" ht="16.5" customHeight="1" x14ac:dyDescent="0.25">
      <c r="A2" s="154" t="s">
        <v>0</v>
      </c>
      <c r="B2" s="154"/>
      <c r="C2" s="154"/>
      <c r="D2" s="154"/>
      <c r="E2" s="154"/>
      <c r="F2" s="154"/>
      <c r="G2" s="154"/>
      <c r="H2" s="154"/>
    </row>
    <row r="3" spans="1:9" x14ac:dyDescent="0.25">
      <c r="A3" s="150" t="s">
        <v>1</v>
      </c>
      <c r="B3" s="150"/>
      <c r="C3" s="150"/>
      <c r="D3" s="150"/>
      <c r="E3" s="103" t="str">
        <f ca="1">TEXT(TODAY(),"DD/MM/YYYY")</f>
        <v>18/09/2025</v>
      </c>
      <c r="F3" s="103"/>
      <c r="G3" s="103"/>
      <c r="H3" s="103"/>
    </row>
    <row r="4" spans="1:9" ht="15" customHeight="1" x14ac:dyDescent="0.25">
      <c r="A4" s="150" t="s">
        <v>2</v>
      </c>
      <c r="B4" s="150"/>
      <c r="C4" s="150"/>
      <c r="D4" s="150"/>
      <c r="E4" s="166" t="s">
        <v>177</v>
      </c>
      <c r="F4" s="166"/>
      <c r="G4" s="166"/>
      <c r="H4" s="166"/>
    </row>
    <row r="5" spans="1:9" x14ac:dyDescent="0.25">
      <c r="A5" s="150" t="s">
        <v>3</v>
      </c>
      <c r="B5" s="150"/>
      <c r="C5" s="150"/>
      <c r="D5" s="150"/>
      <c r="E5" s="100">
        <v>45915</v>
      </c>
      <c r="F5" s="100"/>
      <c r="G5" s="100"/>
      <c r="H5" s="100"/>
    </row>
    <row r="6" spans="1:9" ht="16.5" customHeight="1" x14ac:dyDescent="0.25">
      <c r="A6" s="150" t="s">
        <v>4</v>
      </c>
      <c r="B6" s="150"/>
      <c r="C6" s="150"/>
      <c r="D6" s="150"/>
      <c r="E6" s="159" t="s">
        <v>178</v>
      </c>
      <c r="F6" s="159"/>
      <c r="G6" s="159"/>
      <c r="H6" s="159"/>
    </row>
    <row r="7" spans="1:9" ht="15" customHeight="1" x14ac:dyDescent="0.25">
      <c r="A7" s="150" t="s">
        <v>5</v>
      </c>
      <c r="B7" s="150"/>
      <c r="C7" s="150"/>
      <c r="D7" s="150"/>
      <c r="E7" s="159" t="str">
        <f>E6</f>
        <v>M/s.Puravankara Limited</v>
      </c>
      <c r="F7" s="159"/>
      <c r="G7" s="159"/>
      <c r="H7" s="159"/>
    </row>
    <row r="8" spans="1:9" x14ac:dyDescent="0.25">
      <c r="A8" s="150" t="s">
        <v>6</v>
      </c>
      <c r="B8" s="150"/>
      <c r="C8" s="150"/>
      <c r="D8" s="150"/>
      <c r="E8" s="120" t="s">
        <v>179</v>
      </c>
      <c r="F8" s="120"/>
      <c r="G8" s="120"/>
      <c r="H8" s="120"/>
      <c r="I8" s="93" t="s">
        <v>392</v>
      </c>
    </row>
    <row r="9" spans="1:9" ht="15" customHeight="1" x14ac:dyDescent="0.25">
      <c r="A9" s="150" t="s">
        <v>380</v>
      </c>
      <c r="B9" s="150"/>
      <c r="C9" s="150"/>
      <c r="D9" s="150"/>
      <c r="E9" s="150" t="s">
        <v>374</v>
      </c>
      <c r="F9" s="150"/>
      <c r="G9" s="150"/>
      <c r="H9" s="150"/>
    </row>
    <row r="10" spans="1:9" ht="15" hidden="1" customHeight="1" x14ac:dyDescent="0.25">
      <c r="A10" s="150" t="s">
        <v>391</v>
      </c>
      <c r="B10" s="150"/>
      <c r="C10" s="150"/>
      <c r="D10" s="150"/>
      <c r="E10" s="150" t="s">
        <v>311</v>
      </c>
      <c r="F10" s="150"/>
      <c r="G10" s="150"/>
      <c r="H10" s="150"/>
    </row>
    <row r="11" spans="1:9" x14ac:dyDescent="0.25">
      <c r="A11" s="102" t="s">
        <v>7</v>
      </c>
      <c r="B11" s="102"/>
      <c r="C11" s="102"/>
      <c r="D11" s="102"/>
      <c r="E11" s="102" t="s">
        <v>249</v>
      </c>
      <c r="F11" s="102"/>
      <c r="G11" s="102"/>
      <c r="H11" s="102"/>
    </row>
    <row r="12" spans="1:9" x14ac:dyDescent="0.25">
      <c r="A12" s="150" t="s">
        <v>8</v>
      </c>
      <c r="B12" s="150"/>
      <c r="C12" s="150"/>
      <c r="D12" s="150"/>
      <c r="E12" s="101" t="s">
        <v>217</v>
      </c>
      <c r="F12" s="101"/>
      <c r="G12" s="101"/>
      <c r="H12" s="101"/>
    </row>
    <row r="13" spans="1:9" ht="81" customHeight="1" x14ac:dyDescent="0.25">
      <c r="A13" s="150" t="s">
        <v>9</v>
      </c>
      <c r="B13" s="150"/>
      <c r="C13" s="150"/>
      <c r="D13" s="150"/>
      <c r="E13" s="101" t="s">
        <v>344</v>
      </c>
      <c r="F13" s="102"/>
      <c r="G13" s="102"/>
      <c r="H13" s="102"/>
    </row>
    <row r="14" spans="1:9" ht="34.5" customHeight="1" x14ac:dyDescent="0.25">
      <c r="A14" s="159" t="s">
        <v>10</v>
      </c>
      <c r="B14" s="159"/>
      <c r="C14" s="160" t="str">
        <f>CONCATENATE((IF(OR(E8="",E8="NA"),"",E8)),", ",(IF(OR(A15="",A15="NA"),"",A15)),".",(IF(OR(C15="",C15="NA"),"",C15)),", ",(IF(OR(C16="",C16="NA"),"",C16)),", ",(IF(OR(G16="",G16="NA"),"",G16)),", ",(IF(OR(C17="",C17="NA"),"",C17)),", ",(IF(OR(G17="",G17="NA"),"",G17)),".")</f>
        <v>Purva Clermont, CTS No.395, 395/1, 395/2, 395/3, 395/4, 395/5, 395/6, 395/7, 395/8, 395/9, 395/10, Raheja Acropolis Lane, Deonar, Govandi West, Mumbai.</v>
      </c>
      <c r="D14" s="161"/>
      <c r="E14" s="161"/>
      <c r="F14" s="161"/>
      <c r="G14" s="161"/>
      <c r="H14" s="162"/>
    </row>
    <row r="15" spans="1:9" x14ac:dyDescent="0.25">
      <c r="A15" s="101" t="s">
        <v>188</v>
      </c>
      <c r="B15" s="101"/>
      <c r="C15" s="101" t="s">
        <v>245</v>
      </c>
      <c r="D15" s="101"/>
      <c r="E15" s="101"/>
      <c r="F15" s="101"/>
      <c r="G15" s="101"/>
      <c r="H15" s="101"/>
    </row>
    <row r="16" spans="1:9" ht="15.75" customHeight="1" x14ac:dyDescent="0.25">
      <c r="A16" s="159" t="s">
        <v>11</v>
      </c>
      <c r="B16" s="159"/>
      <c r="C16" s="101" t="s">
        <v>194</v>
      </c>
      <c r="D16" s="102"/>
      <c r="E16" s="159" t="s">
        <v>186</v>
      </c>
      <c r="F16" s="159"/>
      <c r="G16" s="101" t="s">
        <v>185</v>
      </c>
      <c r="H16" s="101"/>
    </row>
    <row r="17" spans="1:8" x14ac:dyDescent="0.25">
      <c r="A17" s="150" t="s">
        <v>13</v>
      </c>
      <c r="B17" s="150"/>
      <c r="C17" s="101" t="s">
        <v>390</v>
      </c>
      <c r="D17" s="101"/>
      <c r="E17" s="159" t="s">
        <v>12</v>
      </c>
      <c r="F17" s="159"/>
      <c r="G17" s="168" t="s">
        <v>187</v>
      </c>
      <c r="H17" s="168"/>
    </row>
    <row r="18" spans="1:8" x14ac:dyDescent="0.25">
      <c r="A18" s="150" t="s">
        <v>114</v>
      </c>
      <c r="B18" s="150"/>
      <c r="C18" s="101" t="s">
        <v>187</v>
      </c>
      <c r="D18" s="101"/>
      <c r="E18" s="159" t="s">
        <v>14</v>
      </c>
      <c r="F18" s="159"/>
      <c r="G18" s="101">
        <v>400088</v>
      </c>
      <c r="H18" s="101"/>
    </row>
    <row r="19" spans="1:8" ht="32.25" customHeight="1" x14ac:dyDescent="0.25">
      <c r="A19" s="150" t="s">
        <v>15</v>
      </c>
      <c r="B19" s="150"/>
      <c r="C19" s="159" t="s">
        <v>191</v>
      </c>
      <c r="D19" s="159"/>
      <c r="E19" s="159" t="s">
        <v>16</v>
      </c>
      <c r="F19" s="159"/>
      <c r="G19" s="101" t="s">
        <v>193</v>
      </c>
      <c r="H19" s="101"/>
    </row>
    <row r="20" spans="1:8" ht="15" customHeight="1" x14ac:dyDescent="0.25">
      <c r="A20" s="159" t="s">
        <v>120</v>
      </c>
      <c r="B20" s="159"/>
      <c r="C20" s="159"/>
      <c r="D20" s="159"/>
      <c r="E20" s="102" t="s">
        <v>17</v>
      </c>
      <c r="F20" s="102"/>
      <c r="G20" s="102"/>
      <c r="H20" s="102"/>
    </row>
    <row r="21" spans="1:8" x14ac:dyDescent="0.25">
      <c r="A21" s="159"/>
      <c r="B21" s="159"/>
      <c r="C21" s="159"/>
      <c r="D21" s="159"/>
      <c r="E21" s="102"/>
      <c r="F21" s="102"/>
      <c r="G21" s="102"/>
      <c r="H21" s="102"/>
    </row>
    <row r="22" spans="1:8" ht="15" customHeight="1" x14ac:dyDescent="0.25">
      <c r="A22" s="159" t="s">
        <v>18</v>
      </c>
      <c r="B22" s="159"/>
      <c r="C22" s="159"/>
      <c r="D22" s="159"/>
      <c r="E22" s="101" t="s">
        <v>19</v>
      </c>
      <c r="F22" s="101"/>
      <c r="G22" s="101"/>
      <c r="H22" s="101"/>
    </row>
    <row r="23" spans="1:8" ht="15" customHeight="1" x14ac:dyDescent="0.25">
      <c r="A23" s="150" t="s">
        <v>20</v>
      </c>
      <c r="B23" s="150"/>
      <c r="C23" s="150"/>
      <c r="D23" s="150"/>
      <c r="E23" s="101" t="s">
        <v>189</v>
      </c>
      <c r="F23" s="101"/>
      <c r="G23" s="101"/>
      <c r="H23" s="101"/>
    </row>
    <row r="24" spans="1:8" x14ac:dyDescent="0.25">
      <c r="A24" s="150" t="s">
        <v>21</v>
      </c>
      <c r="B24" s="150"/>
      <c r="C24" s="150"/>
      <c r="D24" s="150"/>
      <c r="E24" s="101" t="s">
        <v>22</v>
      </c>
      <c r="F24" s="101"/>
      <c r="G24" s="101"/>
      <c r="H24" s="101"/>
    </row>
    <row r="25" spans="1:8" x14ac:dyDescent="0.25">
      <c r="A25" s="150" t="s">
        <v>23</v>
      </c>
      <c r="B25" s="150"/>
      <c r="C25" s="150"/>
      <c r="D25" s="150"/>
      <c r="E25" s="101" t="s">
        <v>190</v>
      </c>
      <c r="F25" s="101"/>
      <c r="G25" s="101"/>
      <c r="H25" s="101"/>
    </row>
    <row r="26" spans="1:8" x14ac:dyDescent="0.25">
      <c r="A26" s="150" t="s">
        <v>24</v>
      </c>
      <c r="B26" s="150"/>
      <c r="C26" s="150"/>
      <c r="D26" s="150"/>
      <c r="E26" s="101" t="s">
        <v>25</v>
      </c>
      <c r="F26" s="101"/>
      <c r="G26" s="101"/>
      <c r="H26" s="101"/>
    </row>
    <row r="27" spans="1:8" x14ac:dyDescent="0.25">
      <c r="A27" s="150" t="s">
        <v>129</v>
      </c>
      <c r="B27" s="150"/>
      <c r="C27" s="150"/>
      <c r="D27" s="150"/>
      <c r="E27" s="101" t="s">
        <v>130</v>
      </c>
      <c r="F27" s="101"/>
      <c r="G27" s="101"/>
      <c r="H27" s="101"/>
    </row>
    <row r="28" spans="1:8" ht="15" customHeight="1" x14ac:dyDescent="0.25">
      <c r="A28" s="159" t="s">
        <v>36</v>
      </c>
      <c r="B28" s="159"/>
      <c r="C28" s="159"/>
      <c r="D28" s="159"/>
      <c r="E28" s="166" t="s">
        <v>125</v>
      </c>
      <c r="F28" s="166"/>
      <c r="G28" s="166"/>
      <c r="H28" s="166"/>
    </row>
    <row r="29" spans="1:8" x14ac:dyDescent="0.25">
      <c r="A29" s="159" t="s">
        <v>144</v>
      </c>
      <c r="B29" s="159"/>
      <c r="C29" s="159"/>
      <c r="D29" s="159"/>
      <c r="E29" s="159" t="s">
        <v>37</v>
      </c>
      <c r="F29" s="159"/>
      <c r="G29" s="159"/>
      <c r="H29" s="159"/>
    </row>
    <row r="30" spans="1:8" s="12" customFormat="1" x14ac:dyDescent="0.25">
      <c r="A30" s="175" t="s">
        <v>145</v>
      </c>
      <c r="B30" s="175"/>
      <c r="C30" s="163" t="s">
        <v>375</v>
      </c>
      <c r="D30" s="163"/>
      <c r="E30" s="163"/>
      <c r="F30" s="163" t="s">
        <v>32</v>
      </c>
      <c r="G30" s="163"/>
      <c r="H30" s="163"/>
    </row>
    <row r="31" spans="1:8" s="12" customFormat="1" x14ac:dyDescent="0.25">
      <c r="A31" s="164" t="s">
        <v>26</v>
      </c>
      <c r="B31" s="164" t="s">
        <v>31</v>
      </c>
      <c r="C31" s="128" t="s">
        <v>376</v>
      </c>
      <c r="D31" s="128"/>
      <c r="E31" s="128"/>
      <c r="F31" s="128" t="s">
        <v>379</v>
      </c>
      <c r="G31" s="128"/>
      <c r="H31" s="128"/>
    </row>
    <row r="32" spans="1:8" x14ac:dyDescent="0.25">
      <c r="A32" s="164" t="s">
        <v>27</v>
      </c>
      <c r="B32" s="164" t="s">
        <v>31</v>
      </c>
      <c r="C32" s="128" t="s">
        <v>377</v>
      </c>
      <c r="D32" s="128"/>
      <c r="E32" s="128"/>
      <c r="F32" s="128" t="s">
        <v>381</v>
      </c>
      <c r="G32" s="128"/>
      <c r="H32" s="128"/>
    </row>
    <row r="33" spans="1:8" s="12" customFormat="1" x14ac:dyDescent="0.25">
      <c r="A33" s="164" t="s">
        <v>29</v>
      </c>
      <c r="B33" s="164" t="s">
        <v>31</v>
      </c>
      <c r="C33" s="128" t="s">
        <v>376</v>
      </c>
      <c r="D33" s="128"/>
      <c r="E33" s="128"/>
      <c r="F33" s="128" t="s">
        <v>378</v>
      </c>
      <c r="G33" s="128"/>
      <c r="H33" s="128"/>
    </row>
    <row r="34" spans="1:8" x14ac:dyDescent="0.25">
      <c r="A34" s="164" t="s">
        <v>28</v>
      </c>
      <c r="B34" s="164" t="s">
        <v>31</v>
      </c>
      <c r="C34" s="128" t="s">
        <v>376</v>
      </c>
      <c r="D34" s="128"/>
      <c r="E34" s="128"/>
      <c r="F34" s="128" t="s">
        <v>191</v>
      </c>
      <c r="G34" s="128"/>
      <c r="H34" s="128"/>
    </row>
    <row r="35" spans="1:8" x14ac:dyDescent="0.25">
      <c r="A35" s="150" t="s">
        <v>33</v>
      </c>
      <c r="B35" s="150"/>
      <c r="C35" s="150"/>
      <c r="D35" s="150"/>
      <c r="E35" s="150"/>
      <c r="F35" s="150"/>
      <c r="G35" s="150"/>
      <c r="H35" s="150"/>
    </row>
    <row r="36" spans="1:8" ht="15.75" customHeight="1" x14ac:dyDescent="0.25">
      <c r="A36" s="150" t="s">
        <v>305</v>
      </c>
      <c r="B36" s="150"/>
      <c r="C36" s="179" t="s">
        <v>310</v>
      </c>
      <c r="D36" s="179"/>
      <c r="E36" s="179"/>
      <c r="F36" s="179"/>
      <c r="G36" s="179"/>
      <c r="H36" s="179"/>
    </row>
    <row r="37" spans="1:8" ht="15.75" customHeight="1" x14ac:dyDescent="0.25">
      <c r="A37" s="150" t="s">
        <v>307</v>
      </c>
      <c r="B37" s="150"/>
      <c r="C37" s="180" t="s">
        <v>306</v>
      </c>
      <c r="D37" s="181"/>
      <c r="E37" s="181"/>
      <c r="F37" s="181"/>
      <c r="G37" s="181"/>
      <c r="H37" s="181"/>
    </row>
    <row r="38" spans="1:8" x14ac:dyDescent="0.25">
      <c r="A38" s="149" t="s">
        <v>38</v>
      </c>
      <c r="B38" s="149"/>
      <c r="C38" s="149"/>
      <c r="D38" s="149"/>
      <c r="E38" s="149"/>
      <c r="F38" s="149"/>
      <c r="G38" s="149"/>
      <c r="H38" s="149"/>
    </row>
    <row r="39" spans="1:8" x14ac:dyDescent="0.25">
      <c r="A39" s="150" t="s">
        <v>39</v>
      </c>
      <c r="B39" s="150"/>
      <c r="C39" s="150"/>
      <c r="D39" s="150"/>
      <c r="E39" s="170">
        <v>7544.54</v>
      </c>
      <c r="F39" s="170"/>
      <c r="G39" s="170"/>
      <c r="H39" s="170"/>
    </row>
    <row r="40" spans="1:8" x14ac:dyDescent="0.25">
      <c r="A40" s="150" t="s">
        <v>40</v>
      </c>
      <c r="B40" s="150"/>
      <c r="C40" s="150"/>
      <c r="D40" s="150"/>
      <c r="E40" s="169">
        <v>1</v>
      </c>
      <c r="F40" s="169"/>
      <c r="G40" s="169"/>
      <c r="H40" s="169"/>
    </row>
    <row r="41" spans="1:8" x14ac:dyDescent="0.25">
      <c r="A41" s="150" t="s">
        <v>41</v>
      </c>
      <c r="B41" s="150"/>
      <c r="C41" s="150"/>
      <c r="D41" s="150"/>
      <c r="E41" s="169">
        <f>E43/E39-E40</f>
        <v>1.6976078064401539</v>
      </c>
      <c r="F41" s="169"/>
      <c r="G41" s="169"/>
      <c r="H41" s="169"/>
    </row>
    <row r="42" spans="1:8" x14ac:dyDescent="0.25">
      <c r="A42" s="150" t="s">
        <v>42</v>
      </c>
      <c r="B42" s="150"/>
      <c r="C42" s="150"/>
      <c r="D42" s="150"/>
      <c r="E42" s="169">
        <f>E40+E41</f>
        <v>2.6976078064401539</v>
      </c>
      <c r="F42" s="169"/>
      <c r="G42" s="169"/>
      <c r="H42" s="169"/>
    </row>
    <row r="43" spans="1:8" x14ac:dyDescent="0.25">
      <c r="A43" s="150" t="s">
        <v>143</v>
      </c>
      <c r="B43" s="150"/>
      <c r="C43" s="150"/>
      <c r="D43" s="150"/>
      <c r="E43" s="176">
        <v>20352.21</v>
      </c>
      <c r="F43" s="176"/>
      <c r="G43" s="176"/>
      <c r="H43" s="176"/>
    </row>
    <row r="44" spans="1:8" x14ac:dyDescent="0.25">
      <c r="A44" s="102" t="s">
        <v>43</v>
      </c>
      <c r="B44" s="102"/>
      <c r="C44" s="102"/>
      <c r="D44" s="102"/>
      <c r="E44" s="102" t="s">
        <v>250</v>
      </c>
      <c r="F44" s="102"/>
      <c r="G44" s="102"/>
      <c r="H44" s="102"/>
    </row>
    <row r="45" spans="1:8" x14ac:dyDescent="0.25">
      <c r="A45" s="149" t="s">
        <v>44</v>
      </c>
      <c r="B45" s="149"/>
      <c r="C45" s="149"/>
      <c r="D45" s="149"/>
      <c r="E45" s="149"/>
      <c r="F45" s="149"/>
      <c r="G45" s="149"/>
      <c r="H45" s="149"/>
    </row>
    <row r="46" spans="1:8" ht="32.25" customHeight="1" x14ac:dyDescent="0.25">
      <c r="A46" s="159" t="s">
        <v>45</v>
      </c>
      <c r="B46" s="159"/>
      <c r="C46" s="101" t="s">
        <v>363</v>
      </c>
      <c r="D46" s="101"/>
      <c r="E46" s="101"/>
      <c r="F46" s="73" t="s">
        <v>46</v>
      </c>
      <c r="G46" s="104">
        <v>45558</v>
      </c>
      <c r="H46" s="101"/>
    </row>
    <row r="47" spans="1:8" ht="31.5" customHeight="1" x14ac:dyDescent="0.25">
      <c r="A47" s="159" t="s">
        <v>397</v>
      </c>
      <c r="B47" s="159"/>
      <c r="C47" s="101" t="str">
        <f>C46</f>
        <v>P-2373/2019/(395 And Other)/M/E Ward/DEONAR-E/337/4/Amend</v>
      </c>
      <c r="D47" s="101"/>
      <c r="E47" s="101"/>
      <c r="F47" s="73" t="s">
        <v>46</v>
      </c>
      <c r="G47" s="104">
        <f>G46</f>
        <v>45558</v>
      </c>
      <c r="H47" s="104"/>
    </row>
    <row r="48" spans="1:8" s="11" customFormat="1" ht="35.25" customHeight="1" x14ac:dyDescent="0.25">
      <c r="A48" s="188" t="s">
        <v>48</v>
      </c>
      <c r="B48" s="189"/>
      <c r="C48" s="101" t="s">
        <v>396</v>
      </c>
      <c r="D48" s="102"/>
      <c r="E48" s="102"/>
      <c r="F48" s="74" t="s">
        <v>46</v>
      </c>
      <c r="G48" s="103">
        <v>45131</v>
      </c>
      <c r="H48" s="102"/>
    </row>
    <row r="49" spans="1:11" s="11" customFormat="1" ht="97.5" customHeight="1" x14ac:dyDescent="0.25">
      <c r="A49" s="190"/>
      <c r="B49" s="191"/>
      <c r="C49" s="101" t="s">
        <v>308</v>
      </c>
      <c r="D49" s="101"/>
      <c r="E49" s="101"/>
      <c r="F49" s="75" t="s">
        <v>139</v>
      </c>
      <c r="G49" s="104">
        <v>45496</v>
      </c>
      <c r="H49" s="101"/>
    </row>
    <row r="50" spans="1:11" s="11" customFormat="1" ht="35.25" customHeight="1" x14ac:dyDescent="0.25">
      <c r="A50" s="190"/>
      <c r="B50" s="191"/>
      <c r="C50" s="101" t="s">
        <v>395</v>
      </c>
      <c r="D50" s="102"/>
      <c r="E50" s="102"/>
      <c r="F50" s="74" t="s">
        <v>46</v>
      </c>
      <c r="G50" s="103">
        <v>45441</v>
      </c>
      <c r="H50" s="102"/>
    </row>
    <row r="51" spans="1:11" s="11" customFormat="1" ht="96" customHeight="1" x14ac:dyDescent="0.25">
      <c r="A51" s="190"/>
      <c r="B51" s="191"/>
      <c r="C51" s="101" t="s">
        <v>312</v>
      </c>
      <c r="D51" s="101"/>
      <c r="E51" s="101"/>
      <c r="F51" s="75" t="s">
        <v>139</v>
      </c>
      <c r="G51" s="104">
        <v>45805</v>
      </c>
      <c r="H51" s="101"/>
    </row>
    <row r="52" spans="1:11" s="11" customFormat="1" ht="36.75" customHeight="1" x14ac:dyDescent="0.25">
      <c r="A52" s="190"/>
      <c r="B52" s="191"/>
      <c r="C52" s="101" t="s">
        <v>382</v>
      </c>
      <c r="D52" s="102"/>
      <c r="E52" s="102"/>
      <c r="F52" s="74" t="s">
        <v>46</v>
      </c>
      <c r="G52" s="103">
        <v>45615</v>
      </c>
      <c r="H52" s="102"/>
    </row>
    <row r="53" spans="1:11" s="11" customFormat="1" ht="45.75" customHeight="1" x14ac:dyDescent="0.25">
      <c r="A53" s="192"/>
      <c r="B53" s="193"/>
      <c r="C53" s="101" t="s">
        <v>389</v>
      </c>
      <c r="D53" s="101"/>
      <c r="E53" s="101"/>
      <c r="F53" s="75" t="s">
        <v>139</v>
      </c>
      <c r="G53" s="104">
        <v>46070</v>
      </c>
      <c r="H53" s="101"/>
    </row>
    <row r="54" spans="1:11" x14ac:dyDescent="0.25">
      <c r="A54" s="101" t="s">
        <v>347</v>
      </c>
      <c r="B54" s="101"/>
      <c r="C54" s="101" t="s">
        <v>348</v>
      </c>
      <c r="D54" s="102"/>
      <c r="E54" s="102"/>
      <c r="F54" s="74" t="s">
        <v>46</v>
      </c>
      <c r="G54" s="103">
        <v>44812</v>
      </c>
      <c r="H54" s="102"/>
    </row>
    <row r="55" spans="1:11" ht="127.5" customHeight="1" x14ac:dyDescent="0.25">
      <c r="A55" s="101"/>
      <c r="B55" s="101"/>
      <c r="C55" s="101" t="s">
        <v>349</v>
      </c>
      <c r="D55" s="101"/>
      <c r="E55" s="101"/>
      <c r="F55" s="101"/>
      <c r="G55" s="101"/>
      <c r="H55" s="101"/>
    </row>
    <row r="56" spans="1:11" x14ac:dyDescent="0.25">
      <c r="A56" s="178" t="s">
        <v>49</v>
      </c>
      <c r="B56" s="178"/>
      <c r="C56" s="130" t="s">
        <v>163</v>
      </c>
      <c r="D56" s="120"/>
      <c r="E56" s="120" t="s">
        <v>50</v>
      </c>
      <c r="F56" s="97" t="s">
        <v>46</v>
      </c>
      <c r="G56" s="130" t="s">
        <v>31</v>
      </c>
      <c r="H56" s="130"/>
    </row>
    <row r="57" spans="1:11" x14ac:dyDescent="0.25">
      <c r="A57" s="177" t="s">
        <v>52</v>
      </c>
      <c r="B57" s="177"/>
      <c r="C57" s="177"/>
      <c r="D57" s="177"/>
      <c r="E57" s="177"/>
      <c r="F57" s="177"/>
      <c r="G57" s="177"/>
      <c r="H57" s="177"/>
    </row>
    <row r="58" spans="1:11" x14ac:dyDescent="0.25">
      <c r="A58" s="159" t="s">
        <v>142</v>
      </c>
      <c r="B58" s="159"/>
      <c r="C58" s="159"/>
      <c r="D58" s="176">
        <f>E43</f>
        <v>20352.21</v>
      </c>
      <c r="E58" s="150"/>
      <c r="F58" s="150"/>
      <c r="G58" s="150"/>
      <c r="H58" s="150"/>
    </row>
    <row r="59" spans="1:11" x14ac:dyDescent="0.25">
      <c r="A59" s="101" t="s">
        <v>53</v>
      </c>
      <c r="B59" s="102"/>
      <c r="C59" s="102"/>
      <c r="D59" s="102" t="s">
        <v>373</v>
      </c>
      <c r="E59" s="102"/>
      <c r="F59" s="102"/>
      <c r="G59" s="102"/>
      <c r="H59" s="102"/>
    </row>
    <row r="60" spans="1:11" ht="84.75" customHeight="1" x14ac:dyDescent="0.25">
      <c r="A60" s="101" t="s">
        <v>54</v>
      </c>
      <c r="B60" s="102"/>
      <c r="C60" s="102"/>
      <c r="D60" s="101" t="s">
        <v>368</v>
      </c>
      <c r="E60" s="102"/>
      <c r="F60" s="102"/>
      <c r="G60" s="102"/>
      <c r="H60" s="102"/>
    </row>
    <row r="61" spans="1:11" ht="82.5" customHeight="1" x14ac:dyDescent="0.25">
      <c r="A61" s="101" t="s">
        <v>140</v>
      </c>
      <c r="B61" s="102"/>
      <c r="C61" s="102"/>
      <c r="D61" s="101" t="s">
        <v>343</v>
      </c>
      <c r="E61" s="102"/>
      <c r="F61" s="102"/>
      <c r="G61" s="102"/>
      <c r="H61" s="102"/>
    </row>
    <row r="62" spans="1:11" x14ac:dyDescent="0.25">
      <c r="A62" s="150" t="s">
        <v>51</v>
      </c>
      <c r="B62" s="150"/>
      <c r="C62" s="150"/>
      <c r="D62" s="159" t="s">
        <v>384</v>
      </c>
      <c r="E62" s="159"/>
      <c r="F62" s="159"/>
      <c r="G62" s="159"/>
      <c r="H62" s="159"/>
      <c r="J62" s="24"/>
      <c r="K62" s="24"/>
    </row>
    <row r="63" spans="1:11" ht="15.75" customHeight="1" thickBot="1" x14ac:dyDescent="0.3">
      <c r="A63" s="150" t="s">
        <v>136</v>
      </c>
      <c r="B63" s="150"/>
      <c r="C63" s="150"/>
      <c r="D63" s="159" t="s">
        <v>137</v>
      </c>
      <c r="E63" s="159"/>
      <c r="F63" s="159"/>
      <c r="G63" s="159"/>
      <c r="H63" s="159"/>
      <c r="J63" s="24"/>
      <c r="K63" s="24"/>
    </row>
    <row r="64" spans="1:11" x14ac:dyDescent="0.25">
      <c r="A64" s="150" t="s">
        <v>138</v>
      </c>
      <c r="B64" s="150"/>
      <c r="C64" s="150"/>
      <c r="D64" s="159" t="s">
        <v>31</v>
      </c>
      <c r="E64" s="159"/>
      <c r="F64" s="159"/>
      <c r="G64" s="159"/>
      <c r="H64" s="159"/>
      <c r="I64" s="28" t="str">
        <f ca="1">(IF(C70=0,"Work not yet Started.",IF(D70=25%,"Piling work in process",IF(D70=50%,"Excavation work in process",IF(D70=100%,"Excavation work completed, ","0")))&amp;(IF(C71=0%,"",IF(C71=K70,"Footing work is process",IF(C71=K71,"Footing work Completed",IF(C71=K72,"1st Basement Completed",IF(C71=K73,"1st &amp; 2nd Basement Completed",IF(C71=K74,"1st to 3rd Basement Completed",IF(C71=K75,"1st to 4th Basement Completed",IF(C71=K76,"Plinth work is process",IF(C71=K77,"Plinth work completed","0")))))))))))&amp;(IF(C72&gt;0,", RCC upto "&amp;C72&amp;" Slab completed",""))&amp;(IF(C73&gt;0,", Brickwork upto "&amp;C73&amp;" Floor completed"," "))&amp;(IF(C74&gt;0,", Internal Plaster upto "&amp;C74&amp;" Floor completed"," "))&amp;(IF(C75&gt;0,", External Plaster upto "&amp;C75&amp;" Floor completed"," "))&amp;(IF(C76&gt;0,", Flooring upto "&amp;C76&amp;" Floor completed"," "))&amp;(IF(C77&gt;0,", Painting upto "&amp;C77&amp;" Floor completed"," "))&amp;(IF(C78&gt;0,", Finishing upto "&amp;C78&amp;" Floor completed"," ")))</f>
        <v xml:space="preserve">Excavation work completed, Plinth work completed, RCC upto 20 Slab completed, Brickwork upto 18 Floor completed, Internal Plaster upto 18 Floor completed, External Plaster upto 18 Floor completed, Flooring upto 13 Floor completed, Painting upto 9 Floor completed </v>
      </c>
      <c r="J64" s="28"/>
      <c r="K64" s="29"/>
    </row>
    <row r="65" spans="1:11" ht="16.5" thickBot="1" x14ac:dyDescent="0.3">
      <c r="A65" s="182" t="s">
        <v>135</v>
      </c>
      <c r="B65" s="182"/>
      <c r="C65" s="182"/>
      <c r="D65" s="183" t="s">
        <v>302</v>
      </c>
      <c r="E65" s="183"/>
      <c r="F65" s="183"/>
      <c r="G65" s="183"/>
      <c r="H65" s="183"/>
      <c r="I65" s="24" t="s">
        <v>176</v>
      </c>
      <c r="J65" s="24"/>
      <c r="K65" s="31"/>
    </row>
    <row r="66" spans="1:11" ht="21" customHeight="1" x14ac:dyDescent="0.25">
      <c r="A66" s="139" t="s">
        <v>277</v>
      </c>
      <c r="B66" s="140"/>
      <c r="C66" s="132" t="s">
        <v>299</v>
      </c>
      <c r="D66" s="133"/>
      <c r="E66" s="133"/>
      <c r="F66" s="133"/>
      <c r="G66" s="133"/>
      <c r="H66" s="134"/>
      <c r="I66" s="24" t="s">
        <v>162</v>
      </c>
      <c r="J66" s="24"/>
      <c r="K66" s="31"/>
    </row>
    <row r="67" spans="1:11" x14ac:dyDescent="0.25">
      <c r="A67" s="25" t="s">
        <v>111</v>
      </c>
      <c r="B67" s="66">
        <v>2</v>
      </c>
      <c r="C67" s="66" t="s">
        <v>113</v>
      </c>
      <c r="D67" s="66">
        <v>1</v>
      </c>
      <c r="E67" s="66" t="s">
        <v>112</v>
      </c>
      <c r="F67" s="66">
        <v>1</v>
      </c>
      <c r="G67" s="66" t="s">
        <v>128</v>
      </c>
      <c r="H67" s="72">
        <f ca="1">--TRIM(RIGHT(SUBSTITUTE(LEFT(C66,_xlfn.AGGREGATE(16,6,FIND({0,1,2,3,4,5,6,7,8,9},C66,ROW(INDIRECT("1:"&amp;LEN(C66)))),1))," ",REPT(" ",LEN(C66))),LEN(C66)))</f>
        <v>18</v>
      </c>
      <c r="I67" s="70" t="s">
        <v>279</v>
      </c>
      <c r="K67" s="32">
        <f ca="1">H67*25%</f>
        <v>4.5</v>
      </c>
    </row>
    <row r="68" spans="1:11" ht="66.75" customHeight="1" x14ac:dyDescent="0.25">
      <c r="A68" s="119" t="s">
        <v>141</v>
      </c>
      <c r="B68" s="120"/>
      <c r="C68" s="130" t="str">
        <f ca="1">I64</f>
        <v xml:space="preserve">Excavation work completed, Plinth work completed, RCC upto 20 Slab completed, Brickwork upto 18 Floor completed, Internal Plaster upto 18 Floor completed, External Plaster upto 18 Floor completed, Flooring upto 13 Floor completed, Painting upto 9 Floor completed </v>
      </c>
      <c r="D68" s="130"/>
      <c r="E68" s="130"/>
      <c r="F68" s="130"/>
      <c r="G68" s="130"/>
      <c r="H68" s="131"/>
      <c r="I68" s="70" t="s">
        <v>154</v>
      </c>
      <c r="J68" s="35"/>
      <c r="K68" s="77">
        <f ca="1">H67*50%</f>
        <v>9</v>
      </c>
    </row>
    <row r="69" spans="1:11" x14ac:dyDescent="0.25">
      <c r="A69" s="116" t="s">
        <v>55</v>
      </c>
      <c r="B69" s="113"/>
      <c r="C69" s="51" t="s">
        <v>278</v>
      </c>
      <c r="D69" s="66" t="s">
        <v>132</v>
      </c>
      <c r="E69" s="113" t="s">
        <v>134</v>
      </c>
      <c r="F69" s="113"/>
      <c r="G69" s="113" t="s">
        <v>133</v>
      </c>
      <c r="H69" s="141"/>
      <c r="I69" s="70" t="s">
        <v>155</v>
      </c>
      <c r="J69" s="35"/>
      <c r="K69" s="77">
        <f ca="1">H67</f>
        <v>18</v>
      </c>
    </row>
    <row r="70" spans="1:11" x14ac:dyDescent="0.25">
      <c r="A70" s="113" t="s">
        <v>280</v>
      </c>
      <c r="B70" s="113"/>
      <c r="C70" s="52">
        <f ca="1">K69</f>
        <v>18</v>
      </c>
      <c r="D70" s="76">
        <f ca="1">((100/H67)*C70)/100</f>
        <v>1</v>
      </c>
      <c r="E70" s="114">
        <f ca="1">(IF(C68=I65,"100%",IF(C68=I66,"100%",(((C71/H67*10)+(40/(D67+F67+H67)*C72)+(7.5/(H67)*C73)+(7.5/(H67)*C74)+(10/H67*C75)+(10/H67*C76)+(5/H67*C77)+(5/H67*C78)+(5/H67*C79))/100))))</f>
        <v>0.84722222222222232</v>
      </c>
      <c r="F70" s="114"/>
      <c r="G70" s="114">
        <f ca="1">((((C70/H67)*20)+((C71/H67)*25)+(30/(H67+F67+D67)*C72)+(5/H67*C73)+(5/H67*C74)+(5/H67*C75)+(5/H67*C76)+(0/H67*C77)+(0/H67*C78)+(5/H67*C79))/100)</f>
        <v>0.93611111111111112</v>
      </c>
      <c r="H70" s="114"/>
      <c r="I70" s="70" t="s">
        <v>156</v>
      </c>
      <c r="J70" s="35"/>
      <c r="K70" s="78">
        <f ca="1">(IF(B67&gt;1,(H67/(B67+3)),H67/4))</f>
        <v>3.6</v>
      </c>
    </row>
    <row r="71" spans="1:11" x14ac:dyDescent="0.25">
      <c r="A71" s="113" t="s">
        <v>56</v>
      </c>
      <c r="B71" s="113"/>
      <c r="C71" s="53">
        <v>18</v>
      </c>
      <c r="D71" s="76">
        <f ca="1">((100/H67)*C71)/100</f>
        <v>1</v>
      </c>
      <c r="E71" s="114"/>
      <c r="F71" s="114"/>
      <c r="G71" s="114"/>
      <c r="H71" s="114"/>
      <c r="I71" s="70" t="s">
        <v>157</v>
      </c>
      <c r="J71" s="35"/>
      <c r="K71" s="78">
        <f ca="1">(IF(B67&gt;1,(H67/(B67+3)+K70),H67/4+K70))</f>
        <v>7.2</v>
      </c>
    </row>
    <row r="72" spans="1:11" x14ac:dyDescent="0.25">
      <c r="A72" s="128" t="s">
        <v>281</v>
      </c>
      <c r="B72" s="128"/>
      <c r="C72" s="53">
        <f>D67+F67+18</f>
        <v>20</v>
      </c>
      <c r="D72" s="76">
        <f ca="1">((100/(D67+F67+H67))*C72)/100</f>
        <v>1</v>
      </c>
      <c r="E72" s="114"/>
      <c r="F72" s="114"/>
      <c r="G72" s="114"/>
      <c r="H72" s="114"/>
      <c r="I72" s="70" t="s">
        <v>285</v>
      </c>
      <c r="J72" s="79"/>
      <c r="K72" s="80">
        <f ca="1">(IF(B67&gt;1,(H67/(B67+3)+K71),0))</f>
        <v>10.8</v>
      </c>
    </row>
    <row r="73" spans="1:11" x14ac:dyDescent="0.25">
      <c r="A73" s="113" t="s">
        <v>282</v>
      </c>
      <c r="B73" s="113" t="s">
        <v>283</v>
      </c>
      <c r="C73" s="53">
        <f>C72-D67-F67</f>
        <v>18</v>
      </c>
      <c r="D73" s="76">
        <f ca="1">((100/H67)*C73)/100</f>
        <v>1</v>
      </c>
      <c r="E73" s="114"/>
      <c r="F73" s="114"/>
      <c r="G73" s="114"/>
      <c r="H73" s="114"/>
      <c r="I73" s="70" t="s">
        <v>288</v>
      </c>
      <c r="J73" s="79"/>
      <c r="K73" s="80">
        <f>(IF(B67&gt;2,(H67/(B67+3)+K72),0))</f>
        <v>0</v>
      </c>
    </row>
    <row r="74" spans="1:11" x14ac:dyDescent="0.25">
      <c r="A74" s="113" t="s">
        <v>284</v>
      </c>
      <c r="B74" s="113" t="s">
        <v>283</v>
      </c>
      <c r="C74" s="99">
        <v>18</v>
      </c>
      <c r="D74" s="76">
        <f ca="1">((100/H67)*C74)/100</f>
        <v>1</v>
      </c>
      <c r="E74" s="114"/>
      <c r="F74" s="114"/>
      <c r="G74" s="114"/>
      <c r="H74" s="114"/>
      <c r="I74" s="70" t="s">
        <v>290</v>
      </c>
      <c r="J74" s="81"/>
      <c r="K74" s="82">
        <f>(IF(B67&gt;3,(H67/(B67+3)+K73),0))</f>
        <v>0</v>
      </c>
    </row>
    <row r="75" spans="1:11" x14ac:dyDescent="0.25">
      <c r="A75" s="113" t="s">
        <v>286</v>
      </c>
      <c r="B75" s="113" t="s">
        <v>287</v>
      </c>
      <c r="C75" s="99">
        <v>18</v>
      </c>
      <c r="D75" s="76">
        <f ca="1">((100/(H67))*C75)/100</f>
        <v>1</v>
      </c>
      <c r="E75" s="114"/>
      <c r="F75" s="114"/>
      <c r="G75" s="114"/>
      <c r="H75" s="114"/>
      <c r="I75" s="70" t="s">
        <v>292</v>
      </c>
      <c r="J75"/>
      <c r="K75" s="83">
        <f>(IF(B67&gt;4,(H67/(B67+3)+K74),0))</f>
        <v>0</v>
      </c>
    </row>
    <row r="76" spans="1:11" ht="15" customHeight="1" x14ac:dyDescent="0.25">
      <c r="A76" s="113" t="s">
        <v>289</v>
      </c>
      <c r="B76" s="113" t="s">
        <v>289</v>
      </c>
      <c r="C76" s="98">
        <v>13</v>
      </c>
      <c r="D76" s="76">
        <f ca="1">((100/H67)*C76)/100</f>
        <v>0.7222222222222221</v>
      </c>
      <c r="E76" s="114"/>
      <c r="F76" s="114"/>
      <c r="G76" s="114"/>
      <c r="H76" s="114"/>
      <c r="I76" s="70" t="s">
        <v>294</v>
      </c>
      <c r="J76" s="35"/>
      <c r="K76" s="84">
        <f ca="1">(IF(B67&gt;1,(H67/(B67+3)+K71+MAX(0,K72-K71)+MAX(0,K73-K72)+MAX(0,K74-K73)+MAX(0,K75-K74)),H67/4+K71))</f>
        <v>14.400000000000002</v>
      </c>
    </row>
    <row r="77" spans="1:11" ht="16.5" thickBot="1" x14ac:dyDescent="0.3">
      <c r="A77" s="113" t="s">
        <v>291</v>
      </c>
      <c r="B77" s="113"/>
      <c r="C77" s="98">
        <v>9</v>
      </c>
      <c r="D77" s="76">
        <f ca="1">((100/H67)*C77)/100</f>
        <v>0.5</v>
      </c>
      <c r="E77" s="114"/>
      <c r="F77" s="114"/>
      <c r="G77" s="114"/>
      <c r="H77" s="114"/>
      <c r="I77" s="71" t="s">
        <v>159</v>
      </c>
      <c r="J77" s="38"/>
      <c r="K77" s="86">
        <f ca="1">(IF(B67&gt;1,(H67/(B67+3)+K76),H67/4+K76))</f>
        <v>18.000000000000004</v>
      </c>
    </row>
    <row r="78" spans="1:11" x14ac:dyDescent="0.25">
      <c r="A78" s="113" t="s">
        <v>293</v>
      </c>
      <c r="B78" s="113" t="s">
        <v>293</v>
      </c>
      <c r="C78" s="52">
        <v>0</v>
      </c>
      <c r="D78" s="76">
        <f ca="1">((100/(H67))*C78)/100</f>
        <v>0</v>
      </c>
      <c r="E78" s="114"/>
      <c r="F78" s="114"/>
      <c r="G78" s="114"/>
      <c r="H78" s="114"/>
      <c r="I78" s="28" t="str">
        <f ca="1">(IF(C84=0,"Work not yet Started.",IF(D84=25%,"Piling work in process",IF(D84=50%,"Excavation work in process",IF(D84=100%,"Excavation work completed, ","0")))&amp;(IF(C85=0%,"",IF(C85=K84,"Footing work is process",IF(C85=K85,"Footing work Completed",IF(C85=K86,"1st Basement Completed",IF(C85=K87,"1st &amp; 2nd Basement Completed",IF(C85=K88,"1st to 3rd Basement Completed",IF(C85=K89,"1st to 4th Basement Completed",IF(C85=K90,"Plinth work is process",IF(C85=K91,"Plinth work completed","0")))))))))))&amp;(IF(C86&gt;0,", RCC upto "&amp;C86&amp;" Slab completed",""))&amp;(IF(C87&gt;0,", Brickwork upto "&amp;C87&amp;" Floor completed"," "))&amp;(IF(C88&gt;0,", Internal Plaster upto "&amp;C88&amp;" Floor completed"," "))&amp;(IF(C89&gt;0,", External Plaster upto "&amp;C89&amp;" Floor completed"," "))&amp;(IF(C90&gt;0,", Flooring upto "&amp;C90&amp;" Floor completed"," "))&amp;(IF(C91&gt;0,", Painting upto "&amp;C91&amp;" Floor completed"," "))&amp;(IF(C92&gt;0,", Finishing upto "&amp;C92&amp;" Floor completed"," ")))</f>
        <v xml:space="preserve">Excavation work completed, Plinth work completed, RCC upto 10 Slab completed, Brickwork upto 9 Floor completed, Internal Plaster upto 6.75 Floor completed, External Plaster upto 6.3 Floor completed   </v>
      </c>
      <c r="J78" s="28"/>
      <c r="K78" s="29"/>
    </row>
    <row r="79" spans="1:11" x14ac:dyDescent="0.25">
      <c r="A79" s="113" t="s">
        <v>295</v>
      </c>
      <c r="B79" s="113"/>
      <c r="C79" s="52">
        <v>0</v>
      </c>
      <c r="D79" s="76">
        <f ca="1">((100/(H67))*C79)/100</f>
        <v>0</v>
      </c>
      <c r="E79" s="114"/>
      <c r="F79" s="114"/>
      <c r="G79" s="114"/>
      <c r="H79" s="114"/>
      <c r="I79" s="24" t="s">
        <v>176</v>
      </c>
      <c r="J79" s="24"/>
      <c r="K79" s="31"/>
    </row>
    <row r="80" spans="1:11" x14ac:dyDescent="0.25">
      <c r="A80" s="135" t="s">
        <v>277</v>
      </c>
      <c r="B80" s="135"/>
      <c r="C80" s="130" t="s">
        <v>296</v>
      </c>
      <c r="D80" s="130"/>
      <c r="E80" s="130"/>
      <c r="F80" s="130"/>
      <c r="G80" s="130"/>
      <c r="H80" s="130"/>
      <c r="I80" s="24" t="s">
        <v>162</v>
      </c>
      <c r="J80" s="24"/>
      <c r="K80" s="31"/>
    </row>
    <row r="81" spans="1:15" x14ac:dyDescent="0.25">
      <c r="A81" s="66" t="s">
        <v>111</v>
      </c>
      <c r="B81" s="66">
        <v>2</v>
      </c>
      <c r="C81" s="66" t="s">
        <v>113</v>
      </c>
      <c r="D81" s="66">
        <v>1</v>
      </c>
      <c r="E81" s="66" t="s">
        <v>112</v>
      </c>
      <c r="F81" s="66">
        <v>1</v>
      </c>
      <c r="G81" s="66" t="s">
        <v>128</v>
      </c>
      <c r="H81" s="66">
        <f ca="1">--TRIM(RIGHT(SUBSTITUTE(LEFT(C80,_xlfn.AGGREGATE(16,6,FIND({0,1,2,3,4,5,6,7,8,9},C80,ROW(INDIRECT("1:"&amp;LEN(C80)))),1))," ",REPT(" ",LEN(C80))),LEN(C80)))</f>
        <v>17</v>
      </c>
      <c r="I81" s="70" t="s">
        <v>279</v>
      </c>
      <c r="K81" s="32">
        <f ca="1">H81*25%</f>
        <v>4.25</v>
      </c>
    </row>
    <row r="82" spans="1:15" ht="49.5" customHeight="1" x14ac:dyDescent="0.25">
      <c r="A82" s="120" t="s">
        <v>141</v>
      </c>
      <c r="B82" s="120"/>
      <c r="C82" s="130" t="str">
        <f ca="1">I78</f>
        <v xml:space="preserve">Excavation work completed, Plinth work completed, RCC upto 10 Slab completed, Brickwork upto 9 Floor completed, Internal Plaster upto 6.75 Floor completed, External Plaster upto 6.3 Floor completed   </v>
      </c>
      <c r="D82" s="130"/>
      <c r="E82" s="130"/>
      <c r="F82" s="130"/>
      <c r="G82" s="130"/>
      <c r="H82" s="130"/>
      <c r="I82" s="70" t="s">
        <v>154</v>
      </c>
      <c r="J82" s="35"/>
      <c r="K82" s="77">
        <f ca="1">H81*50%</f>
        <v>8.5</v>
      </c>
    </row>
    <row r="83" spans="1:15" x14ac:dyDescent="0.25">
      <c r="A83" s="113" t="s">
        <v>55</v>
      </c>
      <c r="B83" s="113"/>
      <c r="C83" s="51" t="s">
        <v>278</v>
      </c>
      <c r="D83" s="66" t="s">
        <v>132</v>
      </c>
      <c r="E83" s="113" t="s">
        <v>134</v>
      </c>
      <c r="F83" s="113"/>
      <c r="G83" s="113" t="s">
        <v>133</v>
      </c>
      <c r="H83" s="113"/>
      <c r="I83" s="70" t="s">
        <v>155</v>
      </c>
      <c r="J83" s="35"/>
      <c r="K83" s="77">
        <f ca="1">H81</f>
        <v>17</v>
      </c>
    </row>
    <row r="84" spans="1:15" x14ac:dyDescent="0.25">
      <c r="A84" s="113" t="s">
        <v>280</v>
      </c>
      <c r="B84" s="113"/>
      <c r="C84" s="52">
        <f ca="1">K83</f>
        <v>17</v>
      </c>
      <c r="D84" s="76">
        <f ca="1">((100/H81)*C84)/100</f>
        <v>1</v>
      </c>
      <c r="E84" s="114">
        <f ca="1">(IF(C82=I79,"100%",IF(C82=I80,"100%",(((C85/H81*10)+(40/(D81+F81+H81)*C86)+(7.5/(H81)*C87)+(7.5/(H81)*C88)+(10/H81*C89)+(10/H81*C90)+(5/H81*C91)+(5/H81*C92)+(5/H81*C93))/100))))</f>
        <v>0.4170704334365325</v>
      </c>
      <c r="F84" s="114"/>
      <c r="G84" s="114">
        <f ca="1">((((C84/H81)*20)+((C85/H81)*25)+(30/(H81+F81+D81)*C86)+(5/H81*C87)+(5/H81*C88)+(5/H81*C89)+(5/H81*C90)+(0/H81*C91)+(0/H81*C92)+(5/H81*C93))/100)</f>
        <v>0.67274767801857593</v>
      </c>
      <c r="H84" s="114"/>
      <c r="I84" s="70" t="s">
        <v>156</v>
      </c>
      <c r="J84" s="35"/>
      <c r="K84" s="78">
        <f ca="1">(IF(B81&gt;1,(H81/(B81+3)),H81/4))</f>
        <v>3.4</v>
      </c>
    </row>
    <row r="85" spans="1:15" x14ac:dyDescent="0.25">
      <c r="A85" s="113" t="s">
        <v>56</v>
      </c>
      <c r="B85" s="113"/>
      <c r="C85" s="53">
        <v>17</v>
      </c>
      <c r="D85" s="76">
        <f ca="1">((100/H81)*C85)/100</f>
        <v>1</v>
      </c>
      <c r="E85" s="114"/>
      <c r="F85" s="114"/>
      <c r="G85" s="114"/>
      <c r="H85" s="114"/>
      <c r="I85" s="70" t="s">
        <v>157</v>
      </c>
      <c r="J85" s="35"/>
      <c r="K85" s="78">
        <f ca="1">(IF(B81&gt;1,(H81/(B81+3)+K84),H81/4+K84))</f>
        <v>6.8</v>
      </c>
    </row>
    <row r="86" spans="1:15" x14ac:dyDescent="0.25">
      <c r="A86" s="128" t="s">
        <v>281</v>
      </c>
      <c r="B86" s="128"/>
      <c r="C86" s="99">
        <v>10</v>
      </c>
      <c r="D86" s="76">
        <f ca="1">((100/(D81+F81+H81))*C86)/100</f>
        <v>0.52631578947368429</v>
      </c>
      <c r="E86" s="114"/>
      <c r="F86" s="114"/>
      <c r="G86" s="114"/>
      <c r="H86" s="114"/>
      <c r="I86" s="70" t="s">
        <v>285</v>
      </c>
      <c r="J86" s="79"/>
      <c r="K86" s="80">
        <f ca="1">(IF(B81&gt;1,(H81/(B81+3)+K85),0))</f>
        <v>10.199999999999999</v>
      </c>
    </row>
    <row r="87" spans="1:15" x14ac:dyDescent="0.25">
      <c r="A87" s="113" t="s">
        <v>282</v>
      </c>
      <c r="B87" s="113" t="s">
        <v>283</v>
      </c>
      <c r="C87" s="99">
        <v>9</v>
      </c>
      <c r="D87" s="76">
        <f ca="1">((100/H81)*C87)/100</f>
        <v>0.52941176470588236</v>
      </c>
      <c r="E87" s="114"/>
      <c r="F87" s="114"/>
      <c r="G87" s="114"/>
      <c r="H87" s="114"/>
      <c r="I87" s="70" t="s">
        <v>288</v>
      </c>
      <c r="J87" s="79"/>
      <c r="K87" s="80">
        <f>(IF(B81&gt;2,(H81/(B81+3)+K86),0))</f>
        <v>0</v>
      </c>
    </row>
    <row r="88" spans="1:15" x14ac:dyDescent="0.25">
      <c r="A88" s="113" t="s">
        <v>284</v>
      </c>
      <c r="B88" s="113" t="s">
        <v>283</v>
      </c>
      <c r="C88" s="99">
        <f>C87*0.75</f>
        <v>6.75</v>
      </c>
      <c r="D88" s="76">
        <f ca="1">((100/H81)*C88)/100</f>
        <v>0.3970588235294118</v>
      </c>
      <c r="E88" s="114"/>
      <c r="F88" s="114"/>
      <c r="G88" s="114"/>
      <c r="H88" s="114"/>
      <c r="I88" s="70" t="s">
        <v>290</v>
      </c>
      <c r="J88" s="81"/>
      <c r="K88" s="82">
        <f>(IF(B81&gt;3,(H81/(B81+3)+K87),0))</f>
        <v>0</v>
      </c>
    </row>
    <row r="89" spans="1:15" x14ac:dyDescent="0.25">
      <c r="A89" s="113" t="s">
        <v>286</v>
      </c>
      <c r="B89" s="113" t="s">
        <v>287</v>
      </c>
      <c r="C89" s="99">
        <f>C87*0.7</f>
        <v>6.3</v>
      </c>
      <c r="D89" s="76">
        <f ca="1">((100/(H81))*C89)/100</f>
        <v>0.37058823529411766</v>
      </c>
      <c r="E89" s="114"/>
      <c r="F89" s="114"/>
      <c r="G89" s="114"/>
      <c r="H89" s="114"/>
      <c r="I89" s="70" t="s">
        <v>292</v>
      </c>
      <c r="J89"/>
      <c r="K89" s="83">
        <f>(IF(B81&gt;4,(H81/(B81+3)+K88),0))</f>
        <v>0</v>
      </c>
    </row>
    <row r="90" spans="1:15" ht="15" customHeight="1" x14ac:dyDescent="0.25">
      <c r="A90" s="113" t="s">
        <v>289</v>
      </c>
      <c r="B90" s="113" t="s">
        <v>289</v>
      </c>
      <c r="C90" s="52">
        <v>0</v>
      </c>
      <c r="D90" s="76">
        <f ca="1">((100/H81)*C90)/100</f>
        <v>0</v>
      </c>
      <c r="E90" s="114"/>
      <c r="F90" s="114"/>
      <c r="G90" s="114"/>
      <c r="H90" s="114"/>
      <c r="I90" s="70" t="s">
        <v>294</v>
      </c>
      <c r="J90" s="35"/>
      <c r="K90" s="84">
        <f ca="1">(IF(B81&gt;1,(H81/(B81+3)+K85+MAX(0,K86-K85)+MAX(0,K87-K86)+MAX(0,K88-K87)+MAX(0,K89-K88)),H81/4+K85))</f>
        <v>13.599999999999998</v>
      </c>
    </row>
    <row r="91" spans="1:15" ht="16.5" thickBot="1" x14ac:dyDescent="0.3">
      <c r="A91" s="113" t="s">
        <v>291</v>
      </c>
      <c r="B91" s="113"/>
      <c r="C91" s="52">
        <v>0</v>
      </c>
      <c r="D91" s="76">
        <f ca="1">((100/H81)*C91)/100</f>
        <v>0</v>
      </c>
      <c r="E91" s="114"/>
      <c r="F91" s="114"/>
      <c r="G91" s="114"/>
      <c r="H91" s="114"/>
      <c r="I91" s="71" t="s">
        <v>159</v>
      </c>
      <c r="J91" s="38"/>
      <c r="K91" s="86">
        <f ca="1">(IF(B81&gt;1,(H81/(B81+3)+K90),H81/4+K90))</f>
        <v>16.999999999999996</v>
      </c>
    </row>
    <row r="92" spans="1:15" x14ac:dyDescent="0.25">
      <c r="A92" s="113" t="s">
        <v>293</v>
      </c>
      <c r="B92" s="113" t="s">
        <v>293</v>
      </c>
      <c r="C92" s="52">
        <v>0</v>
      </c>
      <c r="D92" s="76">
        <f ca="1">((100/(H81))*C92)/100</f>
        <v>0</v>
      </c>
      <c r="E92" s="114"/>
      <c r="F92" s="114"/>
      <c r="G92" s="114"/>
      <c r="H92" s="114"/>
      <c r="I92" s="28" t="str">
        <f ca="1">(IF(C98=0,"Work not yet Started.",IF(D98=25%,"Piling work in process",IF(D98=50%,"Excavation work in process",IF(D98=100%,"Excavation work completed, ","0")))&amp;(IF(C99=0%,"",IF(C99=K98,"Footing work is process",IF(C99=K99,"Footing work Completed",IF(C99=K100,"1st Basement Completed",IF(C99=K101,"1st &amp; 2nd Basement Completed",IF(C99=K102,"1st to 3rd Basement Completed",IF(C99=K103,"1st to 4th Basement Completed",IF(C99=K104,"Plinth work is process",IF(C99=K105,"Plinth work completed","0")))))))))))&amp;(IF(C100&gt;0,", RCC upto "&amp;C100&amp;" Slab completed",""))&amp;(IF(C101&gt;0,", Brickwork upto "&amp;C101&amp;" Floor completed"," "))&amp;(IF(C102&gt;0,", Internal Plaster upto "&amp;C102&amp;" Floor completed"," "))&amp;(IF(C103&gt;0,", External Plaster upto "&amp;C103&amp;" Floor completed"," "))&amp;(IF(C104&gt;0,", Flooring upto "&amp;C104&amp;" Floor completed"," "))&amp;(IF(C105&gt;0,", Painting upto "&amp;C105&amp;" Floor completed"," "))&amp;(IF(C106&gt;0,", Finishing upto "&amp;C106&amp;" Floor completed"," ")))</f>
        <v xml:space="preserve">Excavation work completed, Plinth work completed, RCC upto 2 Slab completed      </v>
      </c>
      <c r="J92" s="28"/>
      <c r="K92" s="29"/>
    </row>
    <row r="93" spans="1:15" x14ac:dyDescent="0.25">
      <c r="A93" s="113" t="s">
        <v>295</v>
      </c>
      <c r="B93" s="113"/>
      <c r="C93" s="52">
        <v>0</v>
      </c>
      <c r="D93" s="76">
        <f ca="1">((100/(H81))*C93)/100</f>
        <v>0</v>
      </c>
      <c r="E93" s="114"/>
      <c r="F93" s="114"/>
      <c r="G93" s="114"/>
      <c r="H93" s="114"/>
      <c r="I93" s="24" t="s">
        <v>176</v>
      </c>
      <c r="J93" s="24"/>
      <c r="K93" s="31"/>
    </row>
    <row r="94" spans="1:15" x14ac:dyDescent="0.25">
      <c r="A94" s="135" t="s">
        <v>277</v>
      </c>
      <c r="B94" s="135"/>
      <c r="C94" s="130" t="s">
        <v>300</v>
      </c>
      <c r="D94" s="130"/>
      <c r="E94" s="130"/>
      <c r="F94" s="130"/>
      <c r="G94" s="130"/>
      <c r="H94" s="130"/>
      <c r="I94" s="24" t="s">
        <v>162</v>
      </c>
      <c r="J94" s="24"/>
      <c r="K94" s="31"/>
    </row>
    <row r="95" spans="1:15" x14ac:dyDescent="0.25">
      <c r="A95" s="66" t="s">
        <v>111</v>
      </c>
      <c r="B95" s="66">
        <v>2</v>
      </c>
      <c r="C95" s="66" t="s">
        <v>113</v>
      </c>
      <c r="D95" s="66">
        <v>1</v>
      </c>
      <c r="E95" s="66" t="s">
        <v>112</v>
      </c>
      <c r="F95" s="66">
        <v>1</v>
      </c>
      <c r="G95" s="66" t="s">
        <v>128</v>
      </c>
      <c r="H95" s="66">
        <f ca="1">--TRIM(RIGHT(SUBSTITUTE(LEFT(C94,_xlfn.AGGREGATE(16,6,FIND({0,1,2,3,4,5,6,7,8,9},C94,ROW(INDIRECT("1:"&amp;LEN(C94)))),1))," ",REPT(" ",LEN(C94))),LEN(C94)))</f>
        <v>18</v>
      </c>
      <c r="I95" s="70" t="s">
        <v>279</v>
      </c>
      <c r="K95" s="32">
        <f ca="1">H95*25%</f>
        <v>4.5</v>
      </c>
      <c r="L95" s="93" t="s">
        <v>362</v>
      </c>
      <c r="M95" s="93"/>
      <c r="N95" s="93"/>
      <c r="O95" s="93"/>
    </row>
    <row r="96" spans="1:15" x14ac:dyDescent="0.25">
      <c r="A96" s="119" t="s">
        <v>141</v>
      </c>
      <c r="B96" s="120"/>
      <c r="C96" s="130" t="str">
        <f ca="1">I92</f>
        <v xml:space="preserve">Excavation work completed, Plinth work completed, RCC upto 2 Slab completed      </v>
      </c>
      <c r="D96" s="130"/>
      <c r="E96" s="130"/>
      <c r="F96" s="130"/>
      <c r="G96" s="130"/>
      <c r="H96" s="131"/>
      <c r="I96" s="70" t="s">
        <v>154</v>
      </c>
      <c r="J96" s="35"/>
      <c r="K96" s="77">
        <f ca="1">H95*50%</f>
        <v>9</v>
      </c>
    </row>
    <row r="97" spans="1:11" x14ac:dyDescent="0.25">
      <c r="A97" s="116" t="s">
        <v>55</v>
      </c>
      <c r="B97" s="113"/>
      <c r="C97" s="51" t="s">
        <v>278</v>
      </c>
      <c r="D97" s="66" t="s">
        <v>132</v>
      </c>
      <c r="E97" s="113" t="s">
        <v>134</v>
      </c>
      <c r="F97" s="113"/>
      <c r="G97" s="113" t="s">
        <v>133</v>
      </c>
      <c r="H97" s="141"/>
      <c r="I97" s="70" t="s">
        <v>155</v>
      </c>
      <c r="J97" s="35"/>
      <c r="K97" s="77">
        <f ca="1">H95</f>
        <v>18</v>
      </c>
    </row>
    <row r="98" spans="1:11" x14ac:dyDescent="0.25">
      <c r="A98" s="116" t="s">
        <v>280</v>
      </c>
      <c r="B98" s="113"/>
      <c r="C98" s="52">
        <f ca="1">K97</f>
        <v>18</v>
      </c>
      <c r="D98" s="76">
        <f ca="1">((100/H95)*C98)/100</f>
        <v>1</v>
      </c>
      <c r="E98" s="114">
        <f ca="1">(IF(C96=I93,"100%",IF(C96=I94,"100%",(((C99/H95*10)+(40/(D95+F95+H95)*C100)+(7.5/(H95)*C101)+(7.5/(H95)*C102)+(10/H95*C103)+(10/H95*C104)+(5/H95*C105)+(5/H95*C106)+(5/H95*C107))/100))))</f>
        <v>0.14000000000000001</v>
      </c>
      <c r="F98" s="114"/>
      <c r="G98" s="114">
        <f ca="1">((((C98/H95)*20)+((C99/H95)*25)+(30/(H95+F95+D95)*C100)+(5/H95*C101)+(5/H95*C102)+(5/H95*C103)+(5/H95*C104)+(0/H95*C105)+(0/H95*C106)+(5/H95*C107))/100)</f>
        <v>0.48000000000000009</v>
      </c>
      <c r="H98" s="136"/>
      <c r="I98" s="70" t="s">
        <v>156</v>
      </c>
      <c r="J98" s="35"/>
      <c r="K98" s="78">
        <f ca="1">(IF(B95&gt;1,(H95/(B95+3)),H95/4))</f>
        <v>3.6</v>
      </c>
    </row>
    <row r="99" spans="1:11" x14ac:dyDescent="0.25">
      <c r="A99" s="116" t="s">
        <v>56</v>
      </c>
      <c r="B99" s="113"/>
      <c r="C99" s="53">
        <f ca="1">K105</f>
        <v>18.000000000000004</v>
      </c>
      <c r="D99" s="76">
        <f ca="1">((100/H95)*C99)/100</f>
        <v>1.0000000000000002</v>
      </c>
      <c r="E99" s="114"/>
      <c r="F99" s="114"/>
      <c r="G99" s="114"/>
      <c r="H99" s="136"/>
      <c r="I99" s="70" t="s">
        <v>157</v>
      </c>
      <c r="J99" s="35"/>
      <c r="K99" s="78">
        <f ca="1">(IF(B95&gt;1,(H95/(B95+3)+K98),H95/4+K98))</f>
        <v>7.2</v>
      </c>
    </row>
    <row r="100" spans="1:11" x14ac:dyDescent="0.25">
      <c r="A100" s="129" t="s">
        <v>281</v>
      </c>
      <c r="B100" s="128"/>
      <c r="C100" s="99">
        <v>2</v>
      </c>
      <c r="D100" s="76">
        <f ca="1">((100/(D95+F95+H95))*C100)/100</f>
        <v>0.1</v>
      </c>
      <c r="E100" s="114"/>
      <c r="F100" s="114"/>
      <c r="G100" s="114"/>
      <c r="H100" s="136"/>
      <c r="I100" s="70" t="s">
        <v>285</v>
      </c>
      <c r="J100" s="79"/>
      <c r="K100" s="80">
        <f ca="1">(IF(B95&gt;1,(H95/(B95+3)+K99),0))</f>
        <v>10.8</v>
      </c>
    </row>
    <row r="101" spans="1:11" x14ac:dyDescent="0.25">
      <c r="A101" s="116" t="s">
        <v>282</v>
      </c>
      <c r="B101" s="113" t="s">
        <v>283</v>
      </c>
      <c r="C101" s="52">
        <v>0</v>
      </c>
      <c r="D101" s="76">
        <f ca="1">((100/H95)*C101)/100</f>
        <v>0</v>
      </c>
      <c r="E101" s="114"/>
      <c r="F101" s="114"/>
      <c r="G101" s="114"/>
      <c r="H101" s="136"/>
      <c r="I101" s="70" t="s">
        <v>288</v>
      </c>
      <c r="J101" s="79"/>
      <c r="K101" s="80">
        <f>(IF(B95&gt;2,(H95/(B95+3)+K100),0))</f>
        <v>0</v>
      </c>
    </row>
    <row r="102" spans="1:11" x14ac:dyDescent="0.25">
      <c r="A102" s="116" t="s">
        <v>284</v>
      </c>
      <c r="B102" s="113" t="s">
        <v>283</v>
      </c>
      <c r="C102" s="52">
        <v>0</v>
      </c>
      <c r="D102" s="76">
        <f ca="1">((100/H95)*C102)/100</f>
        <v>0</v>
      </c>
      <c r="E102" s="114"/>
      <c r="F102" s="114"/>
      <c r="G102" s="114"/>
      <c r="H102" s="136"/>
      <c r="I102" s="70" t="s">
        <v>290</v>
      </c>
      <c r="J102" s="81"/>
      <c r="K102" s="82">
        <f>(IF(B95&gt;3,(H95/(B95+3)+K101),0))</f>
        <v>0</v>
      </c>
    </row>
    <row r="103" spans="1:11" x14ac:dyDescent="0.25">
      <c r="A103" s="116" t="s">
        <v>286</v>
      </c>
      <c r="B103" s="113" t="s">
        <v>287</v>
      </c>
      <c r="C103" s="52">
        <v>0</v>
      </c>
      <c r="D103" s="76">
        <f ca="1">((100/(H95))*C103)/100</f>
        <v>0</v>
      </c>
      <c r="E103" s="114"/>
      <c r="F103" s="114"/>
      <c r="G103" s="114"/>
      <c r="H103" s="136"/>
      <c r="I103" s="70" t="s">
        <v>292</v>
      </c>
      <c r="J103"/>
      <c r="K103" s="83">
        <f>(IF(B95&gt;4,(H95/(B95+3)+K102),0))</f>
        <v>0</v>
      </c>
    </row>
    <row r="104" spans="1:11" ht="15" customHeight="1" x14ac:dyDescent="0.25">
      <c r="A104" s="116" t="s">
        <v>289</v>
      </c>
      <c r="B104" s="113" t="s">
        <v>289</v>
      </c>
      <c r="C104" s="52">
        <v>0</v>
      </c>
      <c r="D104" s="76">
        <f ca="1">((100/H95)*C104)/100</f>
        <v>0</v>
      </c>
      <c r="E104" s="114"/>
      <c r="F104" s="114"/>
      <c r="G104" s="114"/>
      <c r="H104" s="136"/>
      <c r="I104" s="70" t="s">
        <v>294</v>
      </c>
      <c r="J104" s="35"/>
      <c r="K104" s="84">
        <f ca="1">(IF(B95&gt;1,(H95/(B95+3)+K99+MAX(0,K100-K99)+MAX(0,K101-K100)+MAX(0,K102-K101)+MAX(0,K103-K102)),H95/4+K99))</f>
        <v>14.400000000000002</v>
      </c>
    </row>
    <row r="105" spans="1:11" ht="16.5" thickBot="1" x14ac:dyDescent="0.3">
      <c r="A105" s="116" t="s">
        <v>291</v>
      </c>
      <c r="B105" s="113"/>
      <c r="C105" s="52">
        <v>0</v>
      </c>
      <c r="D105" s="76">
        <f ca="1">((100/H95)*C105)/100</f>
        <v>0</v>
      </c>
      <c r="E105" s="114"/>
      <c r="F105" s="114"/>
      <c r="G105" s="114"/>
      <c r="H105" s="136"/>
      <c r="I105" s="71" t="s">
        <v>159</v>
      </c>
      <c r="J105" s="38"/>
      <c r="K105" s="86">
        <f ca="1">(IF(B95&gt;1,(H95/(B95+3)+K104),H95/4+K104))</f>
        <v>18.000000000000004</v>
      </c>
    </row>
    <row r="106" spans="1:11" x14ac:dyDescent="0.25">
      <c r="A106" s="116" t="s">
        <v>293</v>
      </c>
      <c r="B106" s="113" t="s">
        <v>293</v>
      </c>
      <c r="C106" s="52">
        <v>0</v>
      </c>
      <c r="D106" s="76">
        <f ca="1">((100/(H95))*C106)/100</f>
        <v>0</v>
      </c>
      <c r="E106" s="114"/>
      <c r="F106" s="114"/>
      <c r="G106" s="114"/>
      <c r="H106" s="136"/>
      <c r="I106" s="28" t="str">
        <f ca="1">(IF(C112=0,"Work not yet Started.",IF(D112=25%,"Piling work in process",IF(D112=50%,"Excavation work in process",IF(D112=100%,"Excavation work completed, ","0")))&amp;(IF(C113=0%,"",IF(C113=K112,"Footing work is process",IF(C113=K113,"Footing work Completed",IF(C113=K114,"1st Basement Completed",IF(C113=K115,"1st &amp; 2nd Basement Completed",IF(C113=K116,"1st to 3rd Basement Completed",IF(C113=K117,"1st to 4th Basement Completed",IF(C113=K118,"Plinth work is process",IF(C113=K119,"Plinth work completed","0")))))))))))&amp;(IF(C114&gt;0,", RCC upto "&amp;C114&amp;" Slab completed",""))&amp;(IF(C115&gt;0,", Brickwork upto "&amp;C115&amp;" Floor completed"," "))&amp;(IF(C116&gt;0,", Internal Plaster upto "&amp;C116&amp;" Floor completed"," "))&amp;(IF(C117&gt;0,", External Plaster upto "&amp;C117&amp;" Floor completed"," "))&amp;(IF(C118&gt;0,", Flooring upto "&amp;C118&amp;" Floor completed"," "))&amp;(IF(C119&gt;0,", Painting upto "&amp;C119&amp;" Floor completed"," "))&amp;(IF(C120&gt;0,", Finishing upto "&amp;C120&amp;" Floor completed"," ")))</f>
        <v xml:space="preserve">Excavation work completed, Plinth work completed, RCC upto 18 Slab completed, Brickwork upto 16 Floor completed, Internal Plaster upto 16 Floor completed, External Plaster upto 16 Floor completed, Flooring upto 13 Floor completed, Painting upto 7 Floor completed </v>
      </c>
      <c r="J106" s="28"/>
      <c r="K106" s="29"/>
    </row>
    <row r="107" spans="1:11" ht="16.5" thickBot="1" x14ac:dyDescent="0.3">
      <c r="A107" s="117" t="s">
        <v>295</v>
      </c>
      <c r="B107" s="118"/>
      <c r="C107" s="54">
        <v>0</v>
      </c>
      <c r="D107" s="85">
        <f ca="1">((100/(H95))*C107)/100</f>
        <v>0</v>
      </c>
      <c r="E107" s="137"/>
      <c r="F107" s="137"/>
      <c r="G107" s="137"/>
      <c r="H107" s="138"/>
      <c r="I107" s="24" t="s">
        <v>176</v>
      </c>
      <c r="J107" s="24"/>
      <c r="K107" s="31"/>
    </row>
    <row r="108" spans="1:11" x14ac:dyDescent="0.25">
      <c r="A108" s="139" t="s">
        <v>277</v>
      </c>
      <c r="B108" s="140"/>
      <c r="C108" s="132" t="s">
        <v>297</v>
      </c>
      <c r="D108" s="133"/>
      <c r="E108" s="133"/>
      <c r="F108" s="133"/>
      <c r="G108" s="133"/>
      <c r="H108" s="134"/>
      <c r="I108" s="24" t="s">
        <v>162</v>
      </c>
      <c r="J108" s="24"/>
      <c r="K108" s="31"/>
    </row>
    <row r="109" spans="1:11" x14ac:dyDescent="0.25">
      <c r="A109" s="25" t="s">
        <v>111</v>
      </c>
      <c r="B109" s="66">
        <v>2</v>
      </c>
      <c r="C109" s="66" t="s">
        <v>113</v>
      </c>
      <c r="D109" s="66">
        <v>1</v>
      </c>
      <c r="E109" s="66" t="s">
        <v>112</v>
      </c>
      <c r="F109" s="66">
        <v>1</v>
      </c>
      <c r="G109" s="66" t="s">
        <v>128</v>
      </c>
      <c r="H109" s="72">
        <f ca="1">--TRIM(RIGHT(SUBSTITUTE(LEFT(C108,_xlfn.AGGREGATE(16,6,FIND({0,1,2,3,4,5,6,7,8,9},C108,ROW(INDIRECT("1:"&amp;LEN(C108)))),1))," ",REPT(" ",LEN(C108))),LEN(C108)))</f>
        <v>16</v>
      </c>
      <c r="I109" s="70" t="s">
        <v>279</v>
      </c>
      <c r="K109" s="32">
        <f ca="1">H109*25%</f>
        <v>4</v>
      </c>
    </row>
    <row r="110" spans="1:11" ht="67.5" customHeight="1" x14ac:dyDescent="0.25">
      <c r="A110" s="119" t="s">
        <v>141</v>
      </c>
      <c r="B110" s="120"/>
      <c r="C110" s="130" t="str">
        <f ca="1">I106</f>
        <v xml:space="preserve">Excavation work completed, Plinth work completed, RCC upto 18 Slab completed, Brickwork upto 16 Floor completed, Internal Plaster upto 16 Floor completed, External Plaster upto 16 Floor completed, Flooring upto 13 Floor completed, Painting upto 7 Floor completed </v>
      </c>
      <c r="D110" s="130"/>
      <c r="E110" s="130"/>
      <c r="F110" s="130"/>
      <c r="G110" s="130"/>
      <c r="H110" s="131"/>
      <c r="I110" s="70" t="s">
        <v>154</v>
      </c>
      <c r="J110" s="35"/>
      <c r="K110" s="77">
        <f ca="1">H109*50%</f>
        <v>8</v>
      </c>
    </row>
    <row r="111" spans="1:11" x14ac:dyDescent="0.25">
      <c r="A111" s="116" t="s">
        <v>55</v>
      </c>
      <c r="B111" s="113"/>
      <c r="C111" s="51" t="s">
        <v>278</v>
      </c>
      <c r="D111" s="66" t="s">
        <v>132</v>
      </c>
      <c r="E111" s="113" t="s">
        <v>134</v>
      </c>
      <c r="F111" s="113"/>
      <c r="G111" s="113" t="s">
        <v>133</v>
      </c>
      <c r="H111" s="141"/>
      <c r="I111" s="70" t="s">
        <v>155</v>
      </c>
      <c r="J111" s="35"/>
      <c r="K111" s="77">
        <f ca="1">H109</f>
        <v>16</v>
      </c>
    </row>
    <row r="112" spans="1:11" x14ac:dyDescent="0.25">
      <c r="A112" s="113" t="s">
        <v>280</v>
      </c>
      <c r="B112" s="113"/>
      <c r="C112" s="52">
        <f ca="1">K111</f>
        <v>16</v>
      </c>
      <c r="D112" s="76">
        <f ca="1">((100/H109)*C112)/100</f>
        <v>1</v>
      </c>
      <c r="E112" s="114">
        <f ca="1">(IF(C110=I107,"100%",IF(C110=I108,"100%",(((C113/H109*10)+(40/(D109+F109+H109)*C114)+(7.5/(H109)*C115)+(7.5/(H109)*C116)+(10/H109*C117)+(10/H109*C118)+(5/H109*C119)+(5/H109*C120)+(5/H109*C121))/100))))</f>
        <v>0.85312500000000002</v>
      </c>
      <c r="F112" s="114"/>
      <c r="G112" s="114">
        <f ca="1">((((C112/H109)*20)+((C113/H109)*25)+(30/(H109+F109+D109)*C114)+(5/H109*C115)+(5/H109*C116)+(5/H109*C117)+(5/H109*C118)+(0/H109*C119)+(0/H109*C120)+(5/H109*C121))/100)</f>
        <v>0.94062500000000004</v>
      </c>
      <c r="H112" s="114"/>
      <c r="I112" s="70" t="s">
        <v>156</v>
      </c>
      <c r="J112" s="35"/>
      <c r="K112" s="78">
        <f ca="1">(IF(B109&gt;1,(H109/(B109+3)),H109/4))</f>
        <v>3.2</v>
      </c>
    </row>
    <row r="113" spans="1:11" x14ac:dyDescent="0.25">
      <c r="A113" s="113" t="s">
        <v>56</v>
      </c>
      <c r="B113" s="113"/>
      <c r="C113" s="53">
        <f ca="1">K119</f>
        <v>16.000000000000004</v>
      </c>
      <c r="D113" s="76">
        <f ca="1">((100/H109)*C113)/100</f>
        <v>1.0000000000000002</v>
      </c>
      <c r="E113" s="114"/>
      <c r="F113" s="114"/>
      <c r="G113" s="114"/>
      <c r="H113" s="114"/>
      <c r="I113" s="70" t="s">
        <v>157</v>
      </c>
      <c r="J113" s="35"/>
      <c r="K113" s="78">
        <f ca="1">(IF(B109&gt;1,(H109/(B109+3)+K112),H109/4+K112))</f>
        <v>6.4</v>
      </c>
    </row>
    <row r="114" spans="1:11" x14ac:dyDescent="0.25">
      <c r="A114" s="128" t="s">
        <v>281</v>
      </c>
      <c r="B114" s="128"/>
      <c r="C114" s="53">
        <f ca="1">D109+F109+H109</f>
        <v>18</v>
      </c>
      <c r="D114" s="76">
        <f ca="1">((100/(D109+F109+H109))*C114)/100</f>
        <v>1</v>
      </c>
      <c r="E114" s="114"/>
      <c r="F114" s="114"/>
      <c r="G114" s="114"/>
      <c r="H114" s="114"/>
      <c r="I114" s="70" t="s">
        <v>285</v>
      </c>
      <c r="J114" s="79"/>
      <c r="K114" s="80">
        <f ca="1">(IF(B109&gt;1,(H109/(B109+3)+K113),0))</f>
        <v>9.6000000000000014</v>
      </c>
    </row>
    <row r="115" spans="1:11" x14ac:dyDescent="0.25">
      <c r="A115" s="113" t="s">
        <v>282</v>
      </c>
      <c r="B115" s="113" t="s">
        <v>283</v>
      </c>
      <c r="C115" s="99">
        <f ca="1">C114-D109-F109</f>
        <v>16</v>
      </c>
      <c r="D115" s="76">
        <f ca="1">((100/H109)*C115)/100</f>
        <v>1</v>
      </c>
      <c r="E115" s="114"/>
      <c r="F115" s="114"/>
      <c r="G115" s="114"/>
      <c r="H115" s="114"/>
      <c r="I115" s="70" t="s">
        <v>288</v>
      </c>
      <c r="J115" s="79"/>
      <c r="K115" s="80">
        <f>(IF(B109&gt;2,(H109/(B109+3)+K114),0))</f>
        <v>0</v>
      </c>
    </row>
    <row r="116" spans="1:11" x14ac:dyDescent="0.25">
      <c r="A116" s="113" t="s">
        <v>284</v>
      </c>
      <c r="B116" s="113" t="s">
        <v>283</v>
      </c>
      <c r="C116" s="99">
        <v>16</v>
      </c>
      <c r="D116" s="76">
        <f ca="1">((100/H109)*C116)/100</f>
        <v>1</v>
      </c>
      <c r="E116" s="114"/>
      <c r="F116" s="114"/>
      <c r="G116" s="114"/>
      <c r="H116" s="114"/>
      <c r="I116" s="70" t="s">
        <v>290</v>
      </c>
      <c r="J116" s="81"/>
      <c r="K116" s="82">
        <f>(IF(B109&gt;3,(H109/(B109+3)+K115),0))</f>
        <v>0</v>
      </c>
    </row>
    <row r="117" spans="1:11" x14ac:dyDescent="0.25">
      <c r="A117" s="113" t="s">
        <v>286</v>
      </c>
      <c r="B117" s="113" t="s">
        <v>287</v>
      </c>
      <c r="C117" s="99">
        <v>16</v>
      </c>
      <c r="D117" s="76">
        <f ca="1">((100/(H109))*C117)/100</f>
        <v>1</v>
      </c>
      <c r="E117" s="114"/>
      <c r="F117" s="114"/>
      <c r="G117" s="114"/>
      <c r="H117" s="114"/>
      <c r="I117" s="70" t="s">
        <v>292</v>
      </c>
      <c r="J117"/>
      <c r="K117" s="83">
        <f>(IF(B109&gt;4,(H109/(B109+3)+K116),0))</f>
        <v>0</v>
      </c>
    </row>
    <row r="118" spans="1:11" ht="15" customHeight="1" x14ac:dyDescent="0.25">
      <c r="A118" s="113" t="s">
        <v>289</v>
      </c>
      <c r="B118" s="113" t="s">
        <v>289</v>
      </c>
      <c r="C118" s="98">
        <v>13</v>
      </c>
      <c r="D118" s="76">
        <f ca="1">((100/H109)*C118)/100</f>
        <v>0.8125</v>
      </c>
      <c r="E118" s="114"/>
      <c r="F118" s="114"/>
      <c r="G118" s="114"/>
      <c r="H118" s="114"/>
      <c r="I118" s="70" t="s">
        <v>294</v>
      </c>
      <c r="J118" s="35"/>
      <c r="K118" s="84">
        <f ca="1">(IF(B109&gt;1,(H109/(B109+3)+K113+MAX(0,K114-K113)+MAX(0,K115-K114)+MAX(0,K116-K115)+MAX(0,K117-K116)),H109/4+K113))</f>
        <v>12.800000000000002</v>
      </c>
    </row>
    <row r="119" spans="1:11" ht="16.5" thickBot="1" x14ac:dyDescent="0.3">
      <c r="A119" s="113" t="s">
        <v>291</v>
      </c>
      <c r="B119" s="113"/>
      <c r="C119" s="52">
        <v>7</v>
      </c>
      <c r="D119" s="76">
        <f ca="1">((100/H109)*C119)/100</f>
        <v>0.4375</v>
      </c>
      <c r="E119" s="114"/>
      <c r="F119" s="114"/>
      <c r="G119" s="114"/>
      <c r="H119" s="114"/>
      <c r="I119" s="71" t="s">
        <v>159</v>
      </c>
      <c r="J119" s="38"/>
      <c r="K119" s="86">
        <f ca="1">(IF(B109&gt;1,(H109/(B109+3)+K118),H109/4+K118))</f>
        <v>16.000000000000004</v>
      </c>
    </row>
    <row r="120" spans="1:11" x14ac:dyDescent="0.25">
      <c r="A120" s="113" t="s">
        <v>293</v>
      </c>
      <c r="B120" s="113" t="s">
        <v>293</v>
      </c>
      <c r="C120" s="52">
        <v>0</v>
      </c>
      <c r="D120" s="76">
        <f ca="1">((100/(H109))*C120)/100</f>
        <v>0</v>
      </c>
      <c r="E120" s="114"/>
      <c r="F120" s="114"/>
      <c r="G120" s="114"/>
      <c r="H120" s="114"/>
      <c r="I120" s="28" t="str">
        <f ca="1">(IF(C126=0,"Work not yet Started.",IF(D126=25%,"Piling work in process",IF(D126=50%,"Excavation work in process",IF(D126=100%,"Excavation work completed, ","0")))&amp;(IF(C127=0%,"",IF(C127=K126,"Footing work is process",IF(C127=K127,"Footing work Completed",IF(C127=K128,"1st Basement Completed",IF(C127=K129,"1st &amp; 2nd Basement Completed",IF(C127=K130,"1st to 3rd Basement Completed",IF(C127=K131,"1st to 4th Basement Completed",IF(C127=K132,"Plinth work is process",IF(C127=K133,"Plinth work completed","0")))))))))))&amp;(IF(C128&gt;0,", RCC upto "&amp;C128&amp;" Slab completed",""))&amp;(IF(C129&gt;0,", Brickwork upto "&amp;C129&amp;" Floor completed"," "))&amp;(IF(C130&gt;0,", Internal Plaster upto "&amp;C130&amp;" Floor completed"," "))&amp;(IF(C131&gt;0,", External Plaster upto "&amp;C131&amp;" Floor completed"," "))&amp;(IF(C132&gt;0,", Flooring upto "&amp;C132&amp;" Floor completed"," "))&amp;(IF(C133&gt;0,", Painting upto "&amp;C133&amp;" Floor completed"," "))&amp;(IF(C134&gt;0,", Finishing upto "&amp;C134&amp;" Floor completed"," ")))</f>
        <v xml:space="preserve">Excavation work completed, Plinth work completed, RCC upto 9 Slab completed, Brickwork upto 7 Floor completed, Internal Plaster upto 4 Floor completed, External Plaster upto 5 Floor completed   </v>
      </c>
      <c r="J120" s="28"/>
      <c r="K120" s="29"/>
    </row>
    <row r="121" spans="1:11" x14ac:dyDescent="0.25">
      <c r="A121" s="113" t="s">
        <v>295</v>
      </c>
      <c r="B121" s="113"/>
      <c r="C121" s="52">
        <v>0</v>
      </c>
      <c r="D121" s="76">
        <f ca="1">((100/(H109))*C121)/100</f>
        <v>0</v>
      </c>
      <c r="E121" s="114"/>
      <c r="F121" s="114"/>
      <c r="G121" s="114"/>
      <c r="H121" s="114"/>
      <c r="I121" s="24" t="s">
        <v>176</v>
      </c>
      <c r="J121" s="24"/>
      <c r="K121" s="31"/>
    </row>
    <row r="122" spans="1:11" x14ac:dyDescent="0.25">
      <c r="A122" s="135" t="s">
        <v>277</v>
      </c>
      <c r="B122" s="135"/>
      <c r="C122" s="130" t="s">
        <v>345</v>
      </c>
      <c r="D122" s="130"/>
      <c r="E122" s="130"/>
      <c r="F122" s="130"/>
      <c r="G122" s="130"/>
      <c r="H122" s="130"/>
      <c r="I122" s="24" t="s">
        <v>162</v>
      </c>
      <c r="J122" s="24"/>
      <c r="K122" s="31"/>
    </row>
    <row r="123" spans="1:11" x14ac:dyDescent="0.25">
      <c r="A123" s="66" t="s">
        <v>111</v>
      </c>
      <c r="B123" s="66">
        <v>2</v>
      </c>
      <c r="C123" s="66" t="s">
        <v>113</v>
      </c>
      <c r="D123" s="66">
        <v>1</v>
      </c>
      <c r="E123" s="66" t="s">
        <v>112</v>
      </c>
      <c r="F123" s="66">
        <v>1</v>
      </c>
      <c r="G123" s="66" t="s">
        <v>128</v>
      </c>
      <c r="H123" s="66">
        <f ca="1">--TRIM(RIGHT(SUBSTITUTE(LEFT(C122,_xlfn.AGGREGATE(16,6,FIND({0,1,2,3,4,5,6,7,8,9},C122,ROW(INDIRECT("1:"&amp;LEN(C122)))),1))," ",REPT(" ",LEN(C122))),LEN(C122)))</f>
        <v>7</v>
      </c>
      <c r="I123" s="70" t="s">
        <v>279</v>
      </c>
      <c r="K123" s="32">
        <f ca="1">H123*25%</f>
        <v>1.75</v>
      </c>
    </row>
    <row r="124" spans="1:11" ht="49.5" customHeight="1" x14ac:dyDescent="0.25">
      <c r="A124" s="120" t="s">
        <v>141</v>
      </c>
      <c r="B124" s="120"/>
      <c r="C124" s="130" t="str">
        <f ca="1">I120</f>
        <v xml:space="preserve">Excavation work completed, Plinth work completed, RCC upto 9 Slab completed, Brickwork upto 7 Floor completed, Internal Plaster upto 4 Floor completed, External Plaster upto 5 Floor completed   </v>
      </c>
      <c r="D124" s="130"/>
      <c r="E124" s="130"/>
      <c r="F124" s="130"/>
      <c r="G124" s="130"/>
      <c r="H124" s="130"/>
      <c r="I124" s="70" t="s">
        <v>154</v>
      </c>
      <c r="J124" s="35"/>
      <c r="K124" s="77">
        <f ca="1">H123*50%</f>
        <v>3.5</v>
      </c>
    </row>
    <row r="125" spans="1:11" x14ac:dyDescent="0.25">
      <c r="A125" s="113" t="s">
        <v>55</v>
      </c>
      <c r="B125" s="113"/>
      <c r="C125" s="51" t="s">
        <v>278</v>
      </c>
      <c r="D125" s="66" t="s">
        <v>132</v>
      </c>
      <c r="E125" s="113" t="s">
        <v>134</v>
      </c>
      <c r="F125" s="113"/>
      <c r="G125" s="113" t="s">
        <v>133</v>
      </c>
      <c r="H125" s="113"/>
      <c r="I125" s="70" t="s">
        <v>155</v>
      </c>
      <c r="J125" s="35"/>
      <c r="K125" s="77">
        <f ca="1">H123</f>
        <v>7</v>
      </c>
    </row>
    <row r="126" spans="1:11" x14ac:dyDescent="0.25">
      <c r="A126" s="113" t="s">
        <v>280</v>
      </c>
      <c r="B126" s="113"/>
      <c r="C126" s="52">
        <f ca="1">K125</f>
        <v>7</v>
      </c>
      <c r="D126" s="76">
        <f ca="1">((100/H123)*C126)/100</f>
        <v>1</v>
      </c>
      <c r="E126" s="114">
        <f ca="1">(IF(C124=I121,"100%",IF(C124=I122,"100%",(((C127/H123*10)+(40/(D123+F123+H123)*C128)+(7.5/(H123)*C129)+(7.5/(H123)*C130)+(10/H123*C131)+(10/H123*C132)+(5/H123*C133)+(5/H123*C134)+(5/H123*C135))/100))))</f>
        <v>0.68928571428571428</v>
      </c>
      <c r="F126" s="114"/>
      <c r="G126" s="114">
        <f ca="1">((((C126/H123)*20)+((C127/H123)*25)+(30/(H123+F123+D123)*C128)+(5/H123*C129)+(5/H123*C130)+(5/H123*C131)+(5/H123*C132)+(0/H123*C133)+(0/H123*C134)+(5/H123*C135))/100)</f>
        <v>0.86428571428571432</v>
      </c>
      <c r="H126" s="114"/>
      <c r="I126" s="70" t="s">
        <v>156</v>
      </c>
      <c r="J126" s="35"/>
      <c r="K126" s="78">
        <f ca="1">(IF(B123&gt;1,(H123/(B123+3)),H123/4))</f>
        <v>1.4</v>
      </c>
    </row>
    <row r="127" spans="1:11" x14ac:dyDescent="0.25">
      <c r="A127" s="113" t="s">
        <v>56</v>
      </c>
      <c r="B127" s="113"/>
      <c r="C127" s="53">
        <f ca="1">K133</f>
        <v>6.9999999999999982</v>
      </c>
      <c r="D127" s="76">
        <f ca="1">((100/H123)*C127)/100</f>
        <v>0.99999999999999989</v>
      </c>
      <c r="E127" s="114"/>
      <c r="F127" s="114"/>
      <c r="G127" s="114"/>
      <c r="H127" s="114"/>
      <c r="I127" s="70" t="s">
        <v>157</v>
      </c>
      <c r="J127" s="35"/>
      <c r="K127" s="78">
        <f ca="1">(IF(B123&gt;1,(H123/(B123+3)+K126),H123/4+K126))</f>
        <v>2.8</v>
      </c>
    </row>
    <row r="128" spans="1:11" x14ac:dyDescent="0.25">
      <c r="A128" s="128" t="s">
        <v>281</v>
      </c>
      <c r="B128" s="128"/>
      <c r="C128" s="52">
        <v>9</v>
      </c>
      <c r="D128" s="76">
        <f ca="1">((100/(D123+F123+H123))*C128)/100</f>
        <v>1</v>
      </c>
      <c r="E128" s="114"/>
      <c r="F128" s="114"/>
      <c r="G128" s="114"/>
      <c r="H128" s="114"/>
      <c r="I128" s="70" t="s">
        <v>285</v>
      </c>
      <c r="J128" s="79"/>
      <c r="K128" s="80">
        <f ca="1">(IF(B123&gt;1,(H123/(B123+3)+K127),0))</f>
        <v>4.1999999999999993</v>
      </c>
    </row>
    <row r="129" spans="1:11" x14ac:dyDescent="0.25">
      <c r="A129" s="113" t="s">
        <v>282</v>
      </c>
      <c r="B129" s="113" t="s">
        <v>283</v>
      </c>
      <c r="C129" s="52">
        <v>7</v>
      </c>
      <c r="D129" s="76">
        <f ca="1">((100/H123)*C129)/100</f>
        <v>1</v>
      </c>
      <c r="E129" s="114"/>
      <c r="F129" s="114"/>
      <c r="G129" s="114"/>
      <c r="H129" s="114"/>
      <c r="I129" s="70" t="s">
        <v>288</v>
      </c>
      <c r="J129" s="79"/>
      <c r="K129" s="80">
        <f>(IF(B123&gt;2,(H123/(B123+3)+K128),0))</f>
        <v>0</v>
      </c>
    </row>
    <row r="130" spans="1:11" x14ac:dyDescent="0.25">
      <c r="A130" s="113" t="s">
        <v>284</v>
      </c>
      <c r="B130" s="113" t="s">
        <v>283</v>
      </c>
      <c r="C130" s="53">
        <v>4</v>
      </c>
      <c r="D130" s="76">
        <f ca="1">((100/H123)*C130)/100</f>
        <v>0.57142857142857151</v>
      </c>
      <c r="E130" s="114"/>
      <c r="F130" s="114"/>
      <c r="G130" s="114"/>
      <c r="H130" s="114"/>
      <c r="I130" s="70" t="s">
        <v>290</v>
      </c>
      <c r="J130" s="81"/>
      <c r="K130" s="82">
        <f>(IF(B123&gt;3,(H123/(B123+3)+K129),0))</f>
        <v>0</v>
      </c>
    </row>
    <row r="131" spans="1:11" x14ac:dyDescent="0.25">
      <c r="A131" s="113" t="s">
        <v>286</v>
      </c>
      <c r="B131" s="113" t="s">
        <v>287</v>
      </c>
      <c r="C131" s="53">
        <v>5</v>
      </c>
      <c r="D131" s="76">
        <f ca="1">((100/(H123))*C131)/100</f>
        <v>0.7142857142857143</v>
      </c>
      <c r="E131" s="114"/>
      <c r="F131" s="114"/>
      <c r="G131" s="114"/>
      <c r="H131" s="114"/>
      <c r="I131" s="70" t="s">
        <v>292</v>
      </c>
      <c r="J131"/>
      <c r="K131" s="83">
        <f>(IF(B123&gt;4,(H123/(B123+3)+K130),0))</f>
        <v>0</v>
      </c>
    </row>
    <row r="132" spans="1:11" ht="15" customHeight="1" x14ac:dyDescent="0.25">
      <c r="A132" s="113" t="s">
        <v>289</v>
      </c>
      <c r="B132" s="113" t="s">
        <v>289</v>
      </c>
      <c r="C132" s="52">
        <v>0</v>
      </c>
      <c r="D132" s="76">
        <f ca="1">((100/H123)*C132)/100</f>
        <v>0</v>
      </c>
      <c r="E132" s="114"/>
      <c r="F132" s="114"/>
      <c r="G132" s="114"/>
      <c r="H132" s="114"/>
      <c r="I132" s="70" t="s">
        <v>294</v>
      </c>
      <c r="J132" s="35"/>
      <c r="K132" s="84">
        <f ca="1">(IF(B123&gt;1,(H123/(B123+3)+K127+MAX(0,K128-K127)+MAX(0,K129-K128)+MAX(0,K130-K129)+MAX(0,K131-K130)),H123/4+K127))</f>
        <v>5.5999999999999988</v>
      </c>
    </row>
    <row r="133" spans="1:11" ht="16.5" thickBot="1" x14ac:dyDescent="0.3">
      <c r="A133" s="113" t="s">
        <v>291</v>
      </c>
      <c r="B133" s="113"/>
      <c r="C133" s="52">
        <v>0</v>
      </c>
      <c r="D133" s="76">
        <f ca="1">((100/H123)*C133)/100</f>
        <v>0</v>
      </c>
      <c r="E133" s="114"/>
      <c r="F133" s="114"/>
      <c r="G133" s="114"/>
      <c r="H133" s="114"/>
      <c r="I133" s="71" t="s">
        <v>159</v>
      </c>
      <c r="J133" s="38"/>
      <c r="K133" s="86">
        <f ca="1">(IF(B123&gt;1,(H123/(B123+3)+K132),H123/4+K132))</f>
        <v>6.9999999999999982</v>
      </c>
    </row>
    <row r="134" spans="1:11" ht="15" customHeight="1" x14ac:dyDescent="0.25">
      <c r="A134" s="113" t="s">
        <v>293</v>
      </c>
      <c r="B134" s="113" t="s">
        <v>293</v>
      </c>
      <c r="C134" s="52">
        <v>0</v>
      </c>
      <c r="D134" s="76">
        <f ca="1">((100/(H123))*C134)/100</f>
        <v>0</v>
      </c>
      <c r="E134" s="114"/>
      <c r="F134" s="114"/>
      <c r="G134" s="114"/>
      <c r="H134" s="114"/>
    </row>
    <row r="135" spans="1:11" x14ac:dyDescent="0.25">
      <c r="A135" s="113" t="s">
        <v>295</v>
      </c>
      <c r="B135" s="113"/>
      <c r="C135" s="52">
        <v>0</v>
      </c>
      <c r="D135" s="76">
        <f ca="1">((100/(H123))*C135)/100</f>
        <v>0</v>
      </c>
      <c r="E135" s="114"/>
      <c r="F135" s="114"/>
      <c r="G135" s="114"/>
      <c r="H135" s="114"/>
    </row>
    <row r="136" spans="1:11" ht="15" customHeight="1" x14ac:dyDescent="0.25">
      <c r="A136" s="148" t="s">
        <v>301</v>
      </c>
      <c r="B136" s="148"/>
      <c r="C136" s="148"/>
      <c r="D136" s="148"/>
      <c r="E136" s="148"/>
      <c r="F136" s="148"/>
      <c r="G136" s="148"/>
      <c r="H136" s="148"/>
      <c r="I136" s="96" t="s">
        <v>393</v>
      </c>
    </row>
    <row r="137" spans="1:11" x14ac:dyDescent="0.25">
      <c r="A137" s="150" t="s">
        <v>62</v>
      </c>
      <c r="B137" s="150"/>
      <c r="C137" s="150"/>
      <c r="D137" s="150"/>
      <c r="E137" s="150"/>
      <c r="F137" s="150"/>
      <c r="G137" s="150"/>
      <c r="H137" s="150"/>
    </row>
    <row r="138" spans="1:11" ht="36" customHeight="1" x14ac:dyDescent="0.25">
      <c r="A138" s="120" t="s">
        <v>115</v>
      </c>
      <c r="B138" s="120"/>
      <c r="C138" s="101" t="s">
        <v>394</v>
      </c>
      <c r="D138" s="101"/>
      <c r="E138" s="101"/>
      <c r="F138" s="101"/>
      <c r="G138" s="101"/>
      <c r="H138" s="101"/>
    </row>
    <row r="139" spans="1:11" x14ac:dyDescent="0.25">
      <c r="A139" s="149" t="s">
        <v>63</v>
      </c>
      <c r="B139" s="149"/>
      <c r="C139" s="149"/>
      <c r="D139" s="149"/>
      <c r="E139" s="149"/>
      <c r="F139" s="149"/>
      <c r="G139" s="149"/>
      <c r="H139" s="149"/>
    </row>
    <row r="140" spans="1:11" s="13" customFormat="1" x14ac:dyDescent="0.25">
      <c r="A140" s="150" t="s">
        <v>274</v>
      </c>
      <c r="B140" s="150"/>
      <c r="C140" s="150"/>
      <c r="D140" s="150"/>
      <c r="E140" s="150"/>
      <c r="F140" s="120">
        <v>22500</v>
      </c>
      <c r="G140" s="120"/>
      <c r="H140" s="120"/>
    </row>
    <row r="141" spans="1:11" s="13" customFormat="1" x14ac:dyDescent="0.25">
      <c r="A141" s="150" t="s">
        <v>359</v>
      </c>
      <c r="B141" s="150"/>
      <c r="C141" s="150"/>
      <c r="D141" s="150"/>
      <c r="E141" s="150"/>
      <c r="F141" s="204">
        <v>20000</v>
      </c>
      <c r="G141" s="204"/>
      <c r="H141" s="204"/>
      <c r="I141" s="12" t="s">
        <v>361</v>
      </c>
      <c r="J141" s="8"/>
      <c r="K141" s="8"/>
    </row>
    <row r="142" spans="1:11" s="13" customFormat="1" x14ac:dyDescent="0.25">
      <c r="A142" s="150" t="s">
        <v>273</v>
      </c>
      <c r="B142" s="150"/>
      <c r="C142" s="150"/>
      <c r="D142" s="150"/>
      <c r="E142" s="150"/>
      <c r="F142" s="102" t="s">
        <v>276</v>
      </c>
      <c r="G142" s="102"/>
      <c r="H142" s="102"/>
      <c r="I142" s="8">
        <v>28800</v>
      </c>
      <c r="J142" s="8">
        <f>18000*1.5</f>
        <v>27000</v>
      </c>
      <c r="K142" s="8"/>
    </row>
    <row r="143" spans="1:11" s="13" customFormat="1" x14ac:dyDescent="0.25">
      <c r="A143" s="150" t="s">
        <v>268</v>
      </c>
      <c r="B143" s="150"/>
      <c r="C143" s="150"/>
      <c r="D143" s="150"/>
      <c r="E143" s="150"/>
      <c r="F143" s="102" t="s">
        <v>271</v>
      </c>
      <c r="G143" s="102"/>
      <c r="H143" s="102"/>
    </row>
    <row r="144" spans="1:11" s="13" customFormat="1" ht="35.25" customHeight="1" x14ac:dyDescent="0.25">
      <c r="A144" s="159" t="s">
        <v>303</v>
      </c>
      <c r="B144" s="150"/>
      <c r="C144" s="150"/>
      <c r="D144" s="150"/>
      <c r="E144" s="150"/>
      <c r="F144" s="102" t="s">
        <v>298</v>
      </c>
      <c r="G144" s="102"/>
      <c r="H144" s="102"/>
    </row>
    <row r="145" spans="1:16" s="13" customFormat="1" x14ac:dyDescent="0.25">
      <c r="A145" s="121" t="s">
        <v>270</v>
      </c>
      <c r="B145" s="122"/>
      <c r="C145" s="122"/>
      <c r="D145" s="122"/>
      <c r="E145" s="123"/>
      <c r="F145" s="102" t="s">
        <v>272</v>
      </c>
      <c r="G145" s="102"/>
      <c r="H145" s="102"/>
    </row>
    <row r="146" spans="1:16" s="13" customFormat="1" hidden="1" x14ac:dyDescent="0.25">
      <c r="A146" s="121" t="s">
        <v>269</v>
      </c>
      <c r="B146" s="122"/>
      <c r="C146" s="122"/>
      <c r="D146" s="122"/>
      <c r="E146" s="123"/>
      <c r="F146" s="124" t="s">
        <v>272</v>
      </c>
      <c r="G146" s="124"/>
      <c r="H146" s="124"/>
    </row>
    <row r="147" spans="1:16" s="13" customFormat="1" hidden="1" x14ac:dyDescent="0.25">
      <c r="A147" s="150" t="s">
        <v>151</v>
      </c>
      <c r="B147" s="150"/>
      <c r="C147" s="150"/>
      <c r="D147" s="150"/>
      <c r="E147" s="150"/>
      <c r="F147" s="102" t="s">
        <v>31</v>
      </c>
      <c r="G147" s="102"/>
      <c r="H147" s="102"/>
      <c r="I147" s="121" t="s">
        <v>269</v>
      </c>
      <c r="J147" s="122"/>
      <c r="K147" s="122"/>
      <c r="L147" s="122"/>
      <c r="M147" s="123"/>
      <c r="N147" s="124" t="s">
        <v>272</v>
      </c>
      <c r="O147" s="124"/>
      <c r="P147" s="124"/>
    </row>
    <row r="148" spans="1:16" hidden="1" x14ac:dyDescent="0.25">
      <c r="A148" s="150" t="s">
        <v>152</v>
      </c>
      <c r="B148" s="150"/>
      <c r="C148" s="150"/>
      <c r="D148" s="150"/>
      <c r="E148" s="150"/>
      <c r="F148" s="102" t="s">
        <v>31</v>
      </c>
      <c r="G148" s="102"/>
      <c r="H148" s="102"/>
    </row>
    <row r="149" spans="1:16" s="9" customFormat="1" hidden="1" x14ac:dyDescent="0.25">
      <c r="A149" s="150" t="s">
        <v>153</v>
      </c>
      <c r="B149" s="150"/>
      <c r="C149" s="150"/>
      <c r="D149" s="150"/>
      <c r="E149" s="150"/>
      <c r="F149" s="102" t="s">
        <v>31</v>
      </c>
      <c r="G149" s="102"/>
      <c r="H149" s="102"/>
    </row>
    <row r="150" spans="1:16" s="1" customFormat="1" x14ac:dyDescent="0.25">
      <c r="A150" s="150" t="s">
        <v>64</v>
      </c>
      <c r="B150" s="150"/>
      <c r="C150" s="150"/>
      <c r="D150" s="150"/>
      <c r="E150" s="150"/>
      <c r="F150" s="101" t="s">
        <v>246</v>
      </c>
      <c r="G150" s="101"/>
      <c r="H150" s="101"/>
    </row>
    <row r="151" spans="1:16" s="1" customFormat="1" x14ac:dyDescent="0.25">
      <c r="A151" s="149" t="s">
        <v>65</v>
      </c>
      <c r="B151" s="149"/>
      <c r="C151" s="149"/>
      <c r="D151" s="149"/>
      <c r="E151" s="149"/>
      <c r="F151" s="102">
        <f>F140*0.8</f>
        <v>18000</v>
      </c>
      <c r="G151" s="102"/>
      <c r="H151" s="102"/>
    </row>
    <row r="152" spans="1:16" s="1" customFormat="1" x14ac:dyDescent="0.25">
      <c r="A152" s="174" t="s">
        <v>118</v>
      </c>
      <c r="B152" s="174"/>
      <c r="C152" s="174"/>
      <c r="D152" s="174"/>
      <c r="E152" s="174"/>
      <c r="F152" s="174"/>
      <c r="G152" s="174"/>
      <c r="H152" s="174"/>
    </row>
    <row r="153" spans="1:16" s="1" customFormat="1" x14ac:dyDescent="0.25">
      <c r="A153" s="172" t="s">
        <v>66</v>
      </c>
      <c r="B153" s="172"/>
      <c r="C153" s="17" t="s">
        <v>122</v>
      </c>
      <c r="D153" s="173" t="s">
        <v>67</v>
      </c>
      <c r="E153" s="173"/>
      <c r="F153" s="172" t="s">
        <v>68</v>
      </c>
      <c r="G153" s="172"/>
      <c r="H153" s="172"/>
      <c r="I153" s="1">
        <f>10*8-1</f>
        <v>79</v>
      </c>
    </row>
    <row r="154" spans="1:16" s="1" customFormat="1" x14ac:dyDescent="0.25">
      <c r="A154" s="156" t="s">
        <v>202</v>
      </c>
      <c r="B154" s="156"/>
      <c r="C154" s="59">
        <f>COUNT(D339:D341,D342:D347)+COUNT(D349:D358)*7</f>
        <v>79</v>
      </c>
      <c r="D154" s="157">
        <f>SUM(D339:D341,D342:D347)+SUM(D349:D358)*7</f>
        <v>17735.412240000001</v>
      </c>
      <c r="E154" s="157"/>
      <c r="F154" s="157">
        <f>SUM(F339:F341,F342:F347)+SUM(F349:F358)*7</f>
        <v>27489.888971999993</v>
      </c>
      <c r="G154" s="157"/>
      <c r="H154" s="157"/>
    </row>
    <row r="155" spans="1:16" s="1" customFormat="1" x14ac:dyDescent="0.25">
      <c r="A155" s="174" t="s">
        <v>70</v>
      </c>
      <c r="B155" s="174"/>
      <c r="C155" s="87">
        <f>SUM(C154)</f>
        <v>79</v>
      </c>
      <c r="D155" s="205">
        <f>SUM(D154)</f>
        <v>17735.412240000001</v>
      </c>
      <c r="E155" s="205"/>
      <c r="F155" s="205">
        <f>SUM(F154)</f>
        <v>27489.888971999993</v>
      </c>
      <c r="G155" s="205"/>
      <c r="H155" s="205"/>
    </row>
    <row r="156" spans="1:16" s="1" customFormat="1" x14ac:dyDescent="0.25">
      <c r="A156" s="174" t="s">
        <v>110</v>
      </c>
      <c r="B156" s="174"/>
      <c r="C156" s="174"/>
      <c r="D156" s="174"/>
      <c r="E156" s="174"/>
      <c r="F156" s="174"/>
      <c r="G156" s="174"/>
      <c r="H156" s="174"/>
    </row>
    <row r="157" spans="1:16" s="1" customFormat="1" x14ac:dyDescent="0.25">
      <c r="A157" s="172" t="s">
        <v>66</v>
      </c>
      <c r="B157" s="172"/>
      <c r="C157" s="17" t="s">
        <v>122</v>
      </c>
      <c r="D157" s="173" t="s">
        <v>67</v>
      </c>
      <c r="E157" s="173"/>
      <c r="F157" s="172" t="s">
        <v>68</v>
      </c>
      <c r="G157" s="172"/>
      <c r="H157" s="172"/>
    </row>
    <row r="158" spans="1:16" s="1" customFormat="1" x14ac:dyDescent="0.25">
      <c r="A158" s="156" t="s">
        <v>256</v>
      </c>
      <c r="B158" s="156"/>
      <c r="C158" s="59">
        <f>COUNT(D172:D174)+COUNT(D176:D178)+COUNT(D180:D182)*4+COUNT(D184:D186)*3+COUNT(D188:D189)+COUNT(D192:D194)*2+COUNT(D196:D198)*4+COUNT(D200:D202)+COUNT(D204:D205)</f>
        <v>52</v>
      </c>
      <c r="D158" s="157">
        <f>SUM(D172:D174)+SUM(D176:D178)+SUM(D180:D182)*4+SUM(D184:D186)*3+SUM(D188:D189)+SUM(D192:D194)*2+SUM(D196:D198)*4+SUM(D200:D202)+SUM(D204:D205)</f>
        <v>52363.582362000001</v>
      </c>
      <c r="E158" s="157"/>
      <c r="F158" s="157">
        <f>SUM(F172:F174)+SUM(F176:F178)+SUM(F180:F182)*4+SUM(F184:F186)*3+SUM(F188:F189)+SUM(F192:F194)*2+SUM(F196:F198)*4+SUM(F200:F202)+SUM(F204:F205)</f>
        <v>81163.55266110001</v>
      </c>
      <c r="G158" s="157"/>
      <c r="H158" s="157"/>
    </row>
    <row r="159" spans="1:16" s="1" customFormat="1" x14ac:dyDescent="0.25">
      <c r="A159" s="156" t="s">
        <v>197</v>
      </c>
      <c r="B159" s="156"/>
      <c r="C159" s="59">
        <f>COUNT(D212:D213)+COUNT(D215:D216)+COUNT(D218:D219)*8+COUNT(D221:D222)*2+COUNT(D224:D225)+COUNT(D227)+COUNT(D230:D231)*2+COUNT(D233:D234)+COUNT(D236)</f>
        <v>34</v>
      </c>
      <c r="D159" s="157">
        <f>SUM(D212:D213)+SUM(D215:D216)+SUM(D218:D219)*8+SUM(D221:D222)*2+SUM(D224:D225)+SUM(D227)+SUM(D230:D231)*2+SUM(D233:D234)+SUM(D236)</f>
        <v>34407.106624799999</v>
      </c>
      <c r="E159" s="157"/>
      <c r="F159" s="157">
        <f>SUM(F212:F213)+SUM(F215:F216)+SUM(F218:F219)*8+SUM(F221:F222)*2+SUM(F224:F225)+SUM(F227)+SUM(F230:F231)*2+SUM(F233:F234)+SUM(F236)</f>
        <v>53331.015268439987</v>
      </c>
      <c r="G159" s="157"/>
      <c r="H159" s="157"/>
    </row>
    <row r="160" spans="1:16" s="1" customFormat="1" x14ac:dyDescent="0.25">
      <c r="A160" s="156" t="s">
        <v>200</v>
      </c>
      <c r="B160" s="156"/>
      <c r="C160" s="59">
        <f>COUNT(D242:D244)+COUNT(D246:D248)+COUNT(D250:D252)*3+COUNT(D254:D256)*2+COUNT(D258,D260)+COUNT(D262:D264)+COUNT(D266:D268)*2</f>
        <v>32</v>
      </c>
      <c r="D160" s="157">
        <f>SUM(D242:D244)+SUM(D246:D248)+SUM(D250:D252)*3+SUM(D254:D256)*2+SUM(D258,D260)+SUM(D262:D264)+SUM(D266:D268)*2</f>
        <v>31917.541967999998</v>
      </c>
      <c r="E160" s="157"/>
      <c r="F160" s="157">
        <f>SUM(F242:F244)+SUM(F246:F248)+SUM(F250:F252)*3+SUM(F254:F256)*2+SUM(F258,F260)+SUM(F262:F264)+SUM(F266:F268)*2</f>
        <v>49472.1900504</v>
      </c>
      <c r="G160" s="157"/>
      <c r="H160" s="157"/>
    </row>
    <row r="161" spans="1:14" s="1" customFormat="1" x14ac:dyDescent="0.25">
      <c r="A161" s="156" t="s">
        <v>201</v>
      </c>
      <c r="B161" s="156"/>
      <c r="C161" s="59">
        <f>COUNT(D273:D278)+COUNT(D280:D285)+COUNT(D287:D292)*2+COUNT(D294:D299)+COUNT(D301:D306)*6+COUNT(D308:D311)+COUNT(D315:D320)*2+COUNT(D322:D327)*2+COUNT(D329:D333)</f>
        <v>99</v>
      </c>
      <c r="D161" s="157">
        <f>SUM(D273:D278)+SUM(D280:D285)+SUM(D287:D292)*2+SUM(D294:D299)+SUM(D301:D306)*6+SUM(D308:D311)+SUM(D315:D320)*2+SUM(D322:D327)*2+SUM(D329:D333)</f>
        <v>59474.770524000007</v>
      </c>
      <c r="E161" s="157"/>
      <c r="F161" s="157">
        <f>SUM(F273:F278)+SUM(F280:F285)+SUM(F287:F292)*2+SUM(F294:F299)+SUM(F301:F306)*6+SUM(F308:F311)+SUM(F315:F320)*2+SUM(F322:F327)*2+SUM(F329:F333)</f>
        <v>92185.894312200006</v>
      </c>
      <c r="G161" s="157"/>
      <c r="H161" s="157"/>
    </row>
    <row r="162" spans="1:14" s="9" customFormat="1" x14ac:dyDescent="0.25">
      <c r="A162" s="174" t="s">
        <v>70</v>
      </c>
      <c r="B162" s="174"/>
      <c r="C162" s="50">
        <f>SUM(C158:C161)</f>
        <v>217</v>
      </c>
      <c r="D162" s="187">
        <f>SUM(D158:E161)</f>
        <v>178163.00147880003</v>
      </c>
      <c r="E162" s="187"/>
      <c r="F162" s="172">
        <f>SUM(F158:H161)</f>
        <v>276152.65229214</v>
      </c>
      <c r="G162" s="172"/>
      <c r="H162" s="172"/>
    </row>
    <row r="163" spans="1:14" x14ac:dyDescent="0.25">
      <c r="A163" s="174" t="s">
        <v>346</v>
      </c>
      <c r="B163" s="174"/>
      <c r="C163" s="50">
        <f>C162+C155</f>
        <v>296</v>
      </c>
      <c r="D163" s="187">
        <f>D155+D162</f>
        <v>195898.41371880003</v>
      </c>
      <c r="E163" s="187"/>
      <c r="F163" s="172">
        <f>F155+F162</f>
        <v>303642.54126413999</v>
      </c>
      <c r="G163" s="172"/>
      <c r="H163" s="172"/>
    </row>
    <row r="164" spans="1:14" x14ac:dyDescent="0.25">
      <c r="A164" s="154" t="s">
        <v>383</v>
      </c>
      <c r="B164" s="154"/>
      <c r="C164" s="154"/>
      <c r="D164" s="154"/>
      <c r="E164" s="154"/>
      <c r="F164" s="154"/>
      <c r="G164" s="154"/>
      <c r="H164" s="154"/>
    </row>
    <row r="165" spans="1:14" customFormat="1" x14ac:dyDescent="0.25">
      <c r="A165" s="154" t="s">
        <v>385</v>
      </c>
      <c r="B165" s="154"/>
      <c r="C165" s="154"/>
      <c r="D165" s="154"/>
      <c r="E165" s="155"/>
      <c r="F165" s="155"/>
      <c r="G165" s="155"/>
      <c r="H165" s="155"/>
    </row>
    <row r="166" spans="1:14" customFormat="1" ht="47.25" x14ac:dyDescent="0.25">
      <c r="A166" s="194" t="s">
        <v>119</v>
      </c>
      <c r="B166" s="195"/>
      <c r="C166" s="198" t="s">
        <v>73</v>
      </c>
      <c r="D166" s="198" t="s">
        <v>74</v>
      </c>
      <c r="E166" s="200" t="s">
        <v>75</v>
      </c>
      <c r="F166" s="94" t="s">
        <v>358</v>
      </c>
      <c r="G166" s="202" t="s">
        <v>77</v>
      </c>
      <c r="H166" s="202"/>
    </row>
    <row r="167" spans="1:14" customFormat="1" x14ac:dyDescent="0.25">
      <c r="A167" s="196"/>
      <c r="B167" s="197"/>
      <c r="C167" s="199"/>
      <c r="D167" s="199"/>
      <c r="E167" s="201"/>
      <c r="F167" s="95">
        <v>0.55000000000000004</v>
      </c>
      <c r="G167" s="203"/>
      <c r="H167" s="202"/>
    </row>
    <row r="168" spans="1:14" customFormat="1" x14ac:dyDescent="0.25">
      <c r="A168" s="144" t="s">
        <v>256</v>
      </c>
      <c r="B168" s="144"/>
      <c r="C168" s="144"/>
      <c r="D168" s="144"/>
      <c r="E168" s="158"/>
      <c r="F168" s="158"/>
      <c r="G168" s="158"/>
      <c r="H168" s="158"/>
    </row>
    <row r="169" spans="1:14" s="88" customFormat="1" x14ac:dyDescent="0.25">
      <c r="A169" s="144" t="s">
        <v>198</v>
      </c>
      <c r="B169" s="144"/>
      <c r="C169" s="144"/>
      <c r="D169" s="144"/>
      <c r="E169" s="144"/>
      <c r="F169" s="144"/>
      <c r="G169" s="144"/>
      <c r="H169" s="144"/>
    </row>
    <row r="170" spans="1:14" s="88" customFormat="1" x14ac:dyDescent="0.25">
      <c r="A170" s="144" t="s">
        <v>325</v>
      </c>
      <c r="B170" s="144"/>
      <c r="C170" s="144"/>
      <c r="D170" s="144"/>
      <c r="E170" s="144"/>
      <c r="F170" s="144"/>
      <c r="G170" s="144"/>
      <c r="H170" s="144"/>
      <c r="I170" s="88">
        <f>125*F172</f>
        <v>197920.49355000001</v>
      </c>
      <c r="J170" s="89">
        <f>1.57*2.05+3.65*2.13+4.1*2.48+3*4.7+3.1*3.65+0.9*1.1+1.45*2.45+3.49*3.05+1.45*2.45+0.9*0.65+3.18*4.65+1.48*1.8+1.53*2.45</f>
        <v>87.100000000000009</v>
      </c>
      <c r="K170" s="89">
        <f>1.2*2.21</f>
        <v>2.6519999999999997</v>
      </c>
      <c r="L170" s="89">
        <f>J170+K170</f>
        <v>89.75200000000001</v>
      </c>
      <c r="N170" s="88">
        <f>D172*1.55</f>
        <v>1583.3639484</v>
      </c>
    </row>
    <row r="171" spans="1:14" s="88" customFormat="1" x14ac:dyDescent="0.25">
      <c r="A171" s="152" t="s">
        <v>203</v>
      </c>
      <c r="B171" s="152"/>
      <c r="C171" s="152"/>
      <c r="D171" s="152"/>
      <c r="E171" s="152"/>
      <c r="F171" s="152"/>
      <c r="G171" s="152"/>
      <c r="H171" s="152"/>
      <c r="I171" s="88">
        <f>125*F173</f>
        <v>189482.45940000002</v>
      </c>
      <c r="J171" s="88">
        <f>1.55*1.03+2.13*3.57+0.58*0.13+5.33*4.05+3.03*0.52+3.1*3.65+3.05*3.65+1.78*0.9+3.05*4.65+2.15*0.6+1.45*2.39+0.75*0.7+1.45*2.39+1.46*2.45</f>
        <v>82.993100000000013</v>
      </c>
      <c r="K171" s="88">
        <f>1.2*2.23</f>
        <v>2.6759999999999997</v>
      </c>
      <c r="L171" s="88">
        <f>J171+K171</f>
        <v>85.669100000000014</v>
      </c>
    </row>
    <row r="172" spans="1:14" s="88" customFormat="1" x14ac:dyDescent="0.25">
      <c r="A172" s="142">
        <v>1</v>
      </c>
      <c r="B172" s="142"/>
      <c r="C172" s="68" t="s">
        <v>170</v>
      </c>
      <c r="D172" s="58">
        <f>(92.25+1.2*2.21)*10.764</f>
        <v>1021.525128</v>
      </c>
      <c r="E172" s="68">
        <v>0</v>
      </c>
      <c r="F172" s="58">
        <f>D172*(($F$167)+1)+(IF(E172&lt;101,E172,IF(E172&lt;201,E172/2,IF(E172&lt;=301,E172/3,E172/4))))</f>
        <v>1583.3639484</v>
      </c>
      <c r="G172" s="143" t="str">
        <f>A171</f>
        <v>1st Podium Floor for Residential</v>
      </c>
      <c r="H172" s="143"/>
      <c r="I172" s="88">
        <f>125*F174</f>
        <v>194133.18015</v>
      </c>
    </row>
    <row r="173" spans="1:14" customFormat="1" x14ac:dyDescent="0.25">
      <c r="A173" s="142">
        <v>2</v>
      </c>
      <c r="B173" s="142"/>
      <c r="C173" s="68" t="s">
        <v>170</v>
      </c>
      <c r="D173" s="58">
        <f>(88.18+1.2*2.23)*10.764</f>
        <v>977.97398400000009</v>
      </c>
      <c r="E173" s="68">
        <v>0</v>
      </c>
      <c r="F173" s="58">
        <f>D173*(($F$167)+1)+(IF(E173&lt;101,E173,IF(E173&lt;201,E173/2,IF(E173&lt;=301,E173/3,E173/4))))</f>
        <v>1515.8596752000001</v>
      </c>
      <c r="G173" s="143"/>
      <c r="H173" s="143"/>
      <c r="J173">
        <v>28000</v>
      </c>
    </row>
    <row r="174" spans="1:14" customFormat="1" x14ac:dyDescent="0.25">
      <c r="A174" s="142">
        <v>3</v>
      </c>
      <c r="B174" s="142"/>
      <c r="C174" s="68" t="s">
        <v>170</v>
      </c>
      <c r="D174" s="58">
        <f>(90.41+1.2*2.23)*10.764</f>
        <v>1001.9777039999999</v>
      </c>
      <c r="E174" s="68">
        <v>0</v>
      </c>
      <c r="F174" s="58">
        <f>D174*(($F$167)+1)+(IF(E174&lt;101,E174,IF(E174&lt;201,E174/2,IF(E174&lt;=301,E174/3,E174/4))))</f>
        <v>1553.0654411999999</v>
      </c>
      <c r="G174" s="143"/>
      <c r="H174" s="143"/>
      <c r="I174">
        <f>125*F176</f>
        <v>197920.49355000001</v>
      </c>
      <c r="J174" s="79">
        <f t="shared" ref="J174:J186" si="0">J$173*F176</f>
        <v>44334190.555200003</v>
      </c>
      <c r="K174">
        <f>J174+400000</f>
        <v>44734190.555200003</v>
      </c>
    </row>
    <row r="175" spans="1:14" customFormat="1" x14ac:dyDescent="0.25">
      <c r="A175" s="152" t="s">
        <v>318</v>
      </c>
      <c r="B175" s="152"/>
      <c r="C175" s="152"/>
      <c r="D175" s="152"/>
      <c r="E175" s="152"/>
      <c r="F175" s="152"/>
      <c r="G175" s="152"/>
      <c r="H175" s="152"/>
      <c r="I175">
        <f>125*F177</f>
        <v>189482.45940000002</v>
      </c>
      <c r="J175" s="79">
        <f t="shared" si="0"/>
        <v>42444070.905600004</v>
      </c>
      <c r="K175">
        <f t="shared" ref="K175:K186" si="1">J175+400000</f>
        <v>42844070.905600004</v>
      </c>
    </row>
    <row r="176" spans="1:14" customFormat="1" x14ac:dyDescent="0.25">
      <c r="A176" s="142">
        <v>1</v>
      </c>
      <c r="B176" s="142"/>
      <c r="C176" s="68" t="s">
        <v>170</v>
      </c>
      <c r="D176" s="58">
        <f>(92.25+1.2*2.21)*10.764</f>
        <v>1021.525128</v>
      </c>
      <c r="E176" s="68">
        <v>0</v>
      </c>
      <c r="F176" s="58">
        <f>D176*(($F$167)+1)+(IF(E176&lt;101,E176,IF(E176&lt;201,E176/2,IF(E176&lt;=301,E176/3,E176/4))))</f>
        <v>1583.3639484</v>
      </c>
      <c r="G176" s="143" t="str">
        <f>A175</f>
        <v>1st Floor for Residential</v>
      </c>
      <c r="H176" s="143"/>
      <c r="I176">
        <f>125*F178</f>
        <v>194133.18015</v>
      </c>
      <c r="J176" s="79">
        <f t="shared" si="0"/>
        <v>43485832.353599995</v>
      </c>
      <c r="K176">
        <f t="shared" si="1"/>
        <v>43885832.353599995</v>
      </c>
    </row>
    <row r="177" spans="1:11" customFormat="1" x14ac:dyDescent="0.25">
      <c r="A177" s="142">
        <v>2</v>
      </c>
      <c r="B177" s="142"/>
      <c r="C177" s="68" t="s">
        <v>170</v>
      </c>
      <c r="D177" s="58">
        <f>(88.18+1.2*2.23)*10.764</f>
        <v>977.97398400000009</v>
      </c>
      <c r="E177" s="68">
        <v>0</v>
      </c>
      <c r="F177" s="58">
        <f>D177*(($F$167)+1)+(IF(E177&lt;101,E177,IF(E177&lt;201,E177/2,IF(E177&lt;=301,E177/3,E177/4))))</f>
        <v>1515.8596752000001</v>
      </c>
      <c r="G177" s="143"/>
      <c r="H177" s="143"/>
      <c r="J177" s="79">
        <f t="shared" si="0"/>
        <v>0</v>
      </c>
      <c r="K177">
        <f t="shared" si="1"/>
        <v>400000</v>
      </c>
    </row>
    <row r="178" spans="1:11" customFormat="1" x14ac:dyDescent="0.25">
      <c r="A178" s="142">
        <v>3</v>
      </c>
      <c r="B178" s="142"/>
      <c r="C178" s="68" t="s">
        <v>170</v>
      </c>
      <c r="D178" s="58">
        <f>(90.41+1.2*2.23)*10.764</f>
        <v>1001.9777039999999</v>
      </c>
      <c r="E178" s="68">
        <v>0</v>
      </c>
      <c r="F178" s="58">
        <f>D178*(($F$167)+1)+(IF(E178&lt;101,E178,IF(E178&lt;201,E178/2,IF(E178&lt;=301,E178/3,E178/4))))</f>
        <v>1553.0654411999999</v>
      </c>
      <c r="G178" s="143"/>
      <c r="H178" s="143"/>
      <c r="I178">
        <f>125*F180</f>
        <v>197920.49355000001</v>
      </c>
      <c r="J178" s="79">
        <f t="shared" si="0"/>
        <v>44334190.555200003</v>
      </c>
      <c r="K178">
        <f t="shared" si="1"/>
        <v>44734190.555200003</v>
      </c>
    </row>
    <row r="179" spans="1:11" customFormat="1" x14ac:dyDescent="0.25">
      <c r="A179" s="152" t="s">
        <v>319</v>
      </c>
      <c r="B179" s="152"/>
      <c r="C179" s="152"/>
      <c r="D179" s="152"/>
      <c r="E179" s="152"/>
      <c r="F179" s="152"/>
      <c r="G179" s="152"/>
      <c r="H179" s="152"/>
      <c r="I179">
        <f>125*F181</f>
        <v>189482.45940000002</v>
      </c>
      <c r="J179" s="79">
        <f t="shared" si="0"/>
        <v>42444070.905600004</v>
      </c>
      <c r="K179">
        <f t="shared" si="1"/>
        <v>42844070.905600004</v>
      </c>
    </row>
    <row r="180" spans="1:11" customFormat="1" x14ac:dyDescent="0.25">
      <c r="A180" s="142">
        <v>1</v>
      </c>
      <c r="B180" s="142"/>
      <c r="C180" s="68" t="s">
        <v>170</v>
      </c>
      <c r="D180" s="58">
        <f>(92.25+1.2*2.21)*10.764</f>
        <v>1021.525128</v>
      </c>
      <c r="E180" s="68">
        <v>0</v>
      </c>
      <c r="F180" s="58">
        <f>D180*(($F$167)+1)+(IF(E180&lt;101,E180,IF(E180&lt;201,E180/2,IF(E180&lt;=301,E180/3,E180/4))))</f>
        <v>1583.3639484</v>
      </c>
      <c r="G180" s="143" t="str">
        <f>A179</f>
        <v>2nd, 3rd, 8th &amp; 15th Floor</v>
      </c>
      <c r="H180" s="143"/>
      <c r="I180">
        <f>125*F182</f>
        <v>194133.18015</v>
      </c>
      <c r="J180" s="79">
        <f t="shared" si="0"/>
        <v>43485832.353599995</v>
      </c>
      <c r="K180">
        <f t="shared" si="1"/>
        <v>43885832.353599995</v>
      </c>
    </row>
    <row r="181" spans="1:11" customFormat="1" x14ac:dyDescent="0.25">
      <c r="A181" s="142">
        <v>2</v>
      </c>
      <c r="B181" s="142"/>
      <c r="C181" s="68" t="s">
        <v>170</v>
      </c>
      <c r="D181" s="58">
        <f>(88.18+1.2*2.23)*10.764</f>
        <v>977.97398400000009</v>
      </c>
      <c r="E181" s="68">
        <v>0</v>
      </c>
      <c r="F181" s="58">
        <f>D181*(($F$167)+1)+(IF(E181&lt;101,E181,IF(E181&lt;201,E181/2,IF(E181&lt;=301,E181/3,E181/4))))</f>
        <v>1515.8596752000001</v>
      </c>
      <c r="G181" s="143"/>
      <c r="H181" s="143"/>
      <c r="J181" s="79">
        <f t="shared" si="0"/>
        <v>0</v>
      </c>
      <c r="K181">
        <f t="shared" si="1"/>
        <v>400000</v>
      </c>
    </row>
    <row r="182" spans="1:11" customFormat="1" x14ac:dyDescent="0.25">
      <c r="A182" s="142">
        <v>3</v>
      </c>
      <c r="B182" s="142"/>
      <c r="C182" s="68" t="s">
        <v>170</v>
      </c>
      <c r="D182" s="58">
        <f>(90.41+1.2*2.23)*10.764</f>
        <v>1001.9777039999999</v>
      </c>
      <c r="E182" s="68">
        <v>0</v>
      </c>
      <c r="F182" s="58">
        <f>D182*(($F$167)+1)+(IF(E182&lt;101,E182,IF(E182&lt;201,E182/2,IF(E182&lt;=301,E182/3,E182/4))))</f>
        <v>1553.0654411999999</v>
      </c>
      <c r="G182" s="143"/>
      <c r="H182" s="143"/>
      <c r="I182">
        <f>125*F184</f>
        <v>197920.49355000001</v>
      </c>
      <c r="J182" s="79">
        <f t="shared" si="0"/>
        <v>44334190.555200003</v>
      </c>
      <c r="K182">
        <f t="shared" si="1"/>
        <v>44734190.555200003</v>
      </c>
    </row>
    <row r="183" spans="1:11" customFormat="1" x14ac:dyDescent="0.25">
      <c r="A183" s="152" t="s">
        <v>320</v>
      </c>
      <c r="B183" s="152"/>
      <c r="C183" s="152"/>
      <c r="D183" s="152"/>
      <c r="E183" s="152"/>
      <c r="F183" s="152"/>
      <c r="G183" s="152"/>
      <c r="H183" s="152"/>
      <c r="I183">
        <f>125*F185</f>
        <v>189482.45940000002</v>
      </c>
      <c r="J183" s="79">
        <f t="shared" si="0"/>
        <v>42444070.905600004</v>
      </c>
      <c r="K183">
        <f t="shared" si="1"/>
        <v>42844070.905600004</v>
      </c>
    </row>
    <row r="184" spans="1:11" customFormat="1" x14ac:dyDescent="0.25">
      <c r="A184" s="142">
        <v>1</v>
      </c>
      <c r="B184" s="142"/>
      <c r="C184" s="68" t="s">
        <v>170</v>
      </c>
      <c r="D184" s="58">
        <f>(92.25+1.2*2.21)*10.764</f>
        <v>1021.525128</v>
      </c>
      <c r="E184" s="68">
        <v>0</v>
      </c>
      <c r="F184" s="58">
        <f>D184*(($F$167)+1)+(IF(E184&lt;101,E184,IF(E184&lt;201,E184/2,IF(E184&lt;=301,E184/3,E184/4))))</f>
        <v>1583.3639484</v>
      </c>
      <c r="G184" s="143" t="str">
        <f>A183</f>
        <v>4th, 5th &amp; 11th Floor</v>
      </c>
      <c r="H184" s="143"/>
      <c r="I184">
        <f>125*F186</f>
        <v>194133.18015</v>
      </c>
      <c r="J184" s="79">
        <f t="shared" si="0"/>
        <v>43485832.353599995</v>
      </c>
      <c r="K184">
        <f t="shared" si="1"/>
        <v>43885832.353599995</v>
      </c>
    </row>
    <row r="185" spans="1:11" s="88" customFormat="1" x14ac:dyDescent="0.25">
      <c r="A185" s="142">
        <v>2</v>
      </c>
      <c r="B185" s="142"/>
      <c r="C185" s="68" t="s">
        <v>170</v>
      </c>
      <c r="D185" s="58">
        <f>(88.18+1.2*2.23)*10.764</f>
        <v>977.97398400000009</v>
      </c>
      <c r="E185" s="68">
        <v>0</v>
      </c>
      <c r="F185" s="58">
        <f>D185*(($F$167)+1)+(IF(E185&lt;101,E185,IF(E185&lt;201,E185/2,IF(E185&lt;=301,E185/3,E185/4))))</f>
        <v>1515.8596752000001</v>
      </c>
      <c r="G185" s="143"/>
      <c r="H185" s="143"/>
      <c r="J185" s="79">
        <f t="shared" si="0"/>
        <v>0</v>
      </c>
      <c r="K185">
        <f t="shared" si="1"/>
        <v>400000</v>
      </c>
    </row>
    <row r="186" spans="1:11" s="88" customFormat="1" x14ac:dyDescent="0.25">
      <c r="A186" s="142">
        <v>3</v>
      </c>
      <c r="B186" s="142"/>
      <c r="C186" s="68" t="s">
        <v>170</v>
      </c>
      <c r="D186" s="58">
        <f>(90.41+1.2*2.23)*10.764</f>
        <v>1001.9777039999999</v>
      </c>
      <c r="E186" s="68">
        <v>0</v>
      </c>
      <c r="F186" s="58">
        <f>D186*(($F$167)+1)+(IF(E186&lt;101,E186,IF(E186&lt;201,E186/2,IF(E186&lt;=301,E186/3,E186/4))))</f>
        <v>1553.0654411999999</v>
      </c>
      <c r="G186" s="143"/>
      <c r="H186" s="143"/>
      <c r="I186" s="88">
        <f>125*F188</f>
        <v>197920.49355000001</v>
      </c>
      <c r="J186" s="79">
        <f t="shared" si="0"/>
        <v>44334190.555200003</v>
      </c>
      <c r="K186">
        <f t="shared" si="1"/>
        <v>44734190.555200003</v>
      </c>
    </row>
    <row r="187" spans="1:11" s="88" customFormat="1" x14ac:dyDescent="0.25">
      <c r="A187" s="152" t="s">
        <v>211</v>
      </c>
      <c r="B187" s="152"/>
      <c r="C187" s="152"/>
      <c r="D187" s="152"/>
      <c r="E187" s="152"/>
      <c r="F187" s="152"/>
      <c r="G187" s="152"/>
      <c r="H187" s="152"/>
      <c r="I187" s="88">
        <f>125*F189</f>
        <v>189482.45940000002</v>
      </c>
    </row>
    <row r="188" spans="1:11" s="88" customFormat="1" x14ac:dyDescent="0.25">
      <c r="A188" s="142">
        <v>1</v>
      </c>
      <c r="B188" s="142"/>
      <c r="C188" s="68" t="s">
        <v>170</v>
      </c>
      <c r="D188" s="58">
        <f>(92.25+1.2*2.21)*10.764</f>
        <v>1021.525128</v>
      </c>
      <c r="E188" s="68">
        <v>0</v>
      </c>
      <c r="F188" s="58">
        <f>D188*(($F$167)+1)+(IF(E188&lt;101,E188,IF(E188&lt;201,E188/2,IF(E188&lt;=301,E188/3,E188/4))))</f>
        <v>1583.3639484</v>
      </c>
      <c r="G188" s="143" t="str">
        <f>A187</f>
        <v>6th Floor (Part Refuge Area)</v>
      </c>
      <c r="H188" s="143"/>
      <c r="I188" s="88">
        <f>125*F190</f>
        <v>0</v>
      </c>
    </row>
    <row r="189" spans="1:11" customFormat="1" x14ac:dyDescent="0.25">
      <c r="A189" s="142">
        <v>2</v>
      </c>
      <c r="B189" s="142"/>
      <c r="C189" s="68" t="s">
        <v>170</v>
      </c>
      <c r="D189" s="58">
        <f>(88.18+1.2*2.23)*10.764</f>
        <v>977.97398400000009</v>
      </c>
      <c r="E189" s="68">
        <v>0</v>
      </c>
      <c r="F189" s="58">
        <f>D189*(($F$167)+1)+(IF(E189&lt;101,E189,IF(E189&lt;201,E189/2,IF(E189&lt;=301,E189/3,E189/4))))</f>
        <v>1515.8596752000001</v>
      </c>
      <c r="G189" s="143"/>
      <c r="H189" s="143"/>
    </row>
    <row r="190" spans="1:11" customFormat="1" x14ac:dyDescent="0.25">
      <c r="A190" s="142">
        <v>3</v>
      </c>
      <c r="B190" s="142"/>
      <c r="C190" s="145" t="s">
        <v>210</v>
      </c>
      <c r="D190" s="146"/>
      <c r="E190" s="146"/>
      <c r="F190" s="147"/>
      <c r="G190" s="143"/>
      <c r="H190" s="143"/>
      <c r="I190">
        <f>125*F192</f>
        <v>197920.49355000001</v>
      </c>
    </row>
    <row r="191" spans="1:11" customFormat="1" x14ac:dyDescent="0.25">
      <c r="A191" s="152" t="s">
        <v>322</v>
      </c>
      <c r="B191" s="152"/>
      <c r="C191" s="152"/>
      <c r="D191" s="152"/>
      <c r="E191" s="152"/>
      <c r="F191" s="152"/>
      <c r="G191" s="152"/>
      <c r="H191" s="152"/>
      <c r="I191">
        <f>125*F193</f>
        <v>189482.45940000002</v>
      </c>
    </row>
    <row r="192" spans="1:11" customFormat="1" x14ac:dyDescent="0.25">
      <c r="A192" s="142">
        <v>1</v>
      </c>
      <c r="B192" s="142"/>
      <c r="C192" s="68" t="s">
        <v>170</v>
      </c>
      <c r="D192" s="58">
        <f>(92.25+1.2*2.21)*10.764</f>
        <v>1021.525128</v>
      </c>
      <c r="E192" s="68">
        <v>0</v>
      </c>
      <c r="F192" s="58">
        <f>D192*(($F$167)+1)+(IF(E192&lt;101,E192,IF(E192&lt;201,E192/2,IF(E192&lt;=301,E192/3,E192/4))))</f>
        <v>1583.3639484</v>
      </c>
      <c r="G192" s="143" t="str">
        <f>A191</f>
        <v>7th &amp; 14th Floor</v>
      </c>
      <c r="H192" s="143"/>
      <c r="I192">
        <f>125*F194</f>
        <v>194133.18015</v>
      </c>
    </row>
    <row r="193" spans="1:9" customFormat="1" x14ac:dyDescent="0.25">
      <c r="A193" s="142">
        <v>2</v>
      </c>
      <c r="B193" s="142"/>
      <c r="C193" s="68" t="s">
        <v>170</v>
      </c>
      <c r="D193" s="58">
        <f>(88.18+1.2*2.23)*10.764</f>
        <v>977.97398400000009</v>
      </c>
      <c r="E193" s="68">
        <v>0</v>
      </c>
      <c r="F193" s="58">
        <f>D193*(($F$167)+1)+(IF(E193&lt;101,E193,IF(E193&lt;201,E193/2,IF(E193&lt;=301,E193/3,E193/4))))</f>
        <v>1515.8596752000001</v>
      </c>
      <c r="G193" s="143"/>
      <c r="H193" s="143"/>
    </row>
    <row r="194" spans="1:9" customFormat="1" x14ac:dyDescent="0.25">
      <c r="A194" s="142">
        <v>3</v>
      </c>
      <c r="B194" s="142"/>
      <c r="C194" s="68" t="s">
        <v>170</v>
      </c>
      <c r="D194" s="58">
        <f>(90.41+1.2*2.23)*10.764</f>
        <v>1001.9777039999999</v>
      </c>
      <c r="E194" s="68">
        <v>0</v>
      </c>
      <c r="F194" s="58">
        <f>D194*(($F$167)+1)+(IF(E194&lt;101,E194,IF(E194&lt;201,E194/2,IF(E194&lt;=301,E194/3,E194/4))))</f>
        <v>1553.0654411999999</v>
      </c>
      <c r="G194" s="143"/>
      <c r="H194" s="143"/>
      <c r="I194">
        <f>125*F196</f>
        <v>197920.49355000001</v>
      </c>
    </row>
    <row r="195" spans="1:9" customFormat="1" x14ac:dyDescent="0.25">
      <c r="A195" s="152" t="s">
        <v>321</v>
      </c>
      <c r="B195" s="152"/>
      <c r="C195" s="152"/>
      <c r="D195" s="152"/>
      <c r="E195" s="152"/>
      <c r="F195" s="152"/>
      <c r="G195" s="152"/>
      <c r="H195" s="152"/>
      <c r="I195">
        <f>125*F197</f>
        <v>189482.45940000002</v>
      </c>
    </row>
    <row r="196" spans="1:9" customFormat="1" x14ac:dyDescent="0.25">
      <c r="A196" s="142">
        <v>1</v>
      </c>
      <c r="B196" s="142"/>
      <c r="C196" s="68" t="s">
        <v>170</v>
      </c>
      <c r="D196" s="58">
        <f>(92.25+1.2*2.21)*10.764</f>
        <v>1021.525128</v>
      </c>
      <c r="E196" s="68">
        <v>0</v>
      </c>
      <c r="F196" s="58">
        <f>D196*(($F$167)+1)+(IF(E196&lt;101,E196,IF(E196&lt;201,E196/2,IF(E196&lt;=301,E196/3,E196/4))))</f>
        <v>1583.3639484</v>
      </c>
      <c r="G196" s="143" t="str">
        <f>A195</f>
        <v>9th, 10th, 16th &amp; 17th Floor</v>
      </c>
      <c r="H196" s="143"/>
      <c r="I196">
        <f>125*F198</f>
        <v>194133.18015</v>
      </c>
    </row>
    <row r="197" spans="1:9" s="88" customFormat="1" x14ac:dyDescent="0.25">
      <c r="A197" s="142">
        <v>2</v>
      </c>
      <c r="B197" s="142"/>
      <c r="C197" s="68" t="s">
        <v>170</v>
      </c>
      <c r="D197" s="58">
        <f>(88.18+1.2*2.23)*10.764</f>
        <v>977.97398400000009</v>
      </c>
      <c r="E197" s="68">
        <v>0</v>
      </c>
      <c r="F197" s="58">
        <f>D197*(($F$167)+1)+(IF(E197&lt;101,E197,IF(E197&lt;201,E197/2,IF(E197&lt;=301,E197/3,E197/4))))</f>
        <v>1515.8596752000001</v>
      </c>
      <c r="G197" s="143"/>
      <c r="H197" s="143"/>
    </row>
    <row r="198" spans="1:9" s="88" customFormat="1" x14ac:dyDescent="0.25">
      <c r="A198" s="142">
        <v>3</v>
      </c>
      <c r="B198" s="142"/>
      <c r="C198" s="68" t="s">
        <v>170</v>
      </c>
      <c r="D198" s="58">
        <f>(90.41+1.2*2.23)*10.764</f>
        <v>1001.9777039999999</v>
      </c>
      <c r="E198" s="68">
        <v>0</v>
      </c>
      <c r="F198" s="58">
        <f>D198*(($F$167)+1)+(IF(E198&lt;101,E198,IF(E198&lt;201,E198/2,IF(E198&lt;=301,E198/3,E198/4))))</f>
        <v>1553.0654411999999</v>
      </c>
      <c r="G198" s="143"/>
      <c r="H198" s="143"/>
    </row>
    <row r="199" spans="1:9" s="88" customFormat="1" x14ac:dyDescent="0.25">
      <c r="A199" s="144" t="s">
        <v>351</v>
      </c>
      <c r="B199" s="144"/>
      <c r="C199" s="144"/>
      <c r="D199" s="144"/>
      <c r="E199" s="144"/>
      <c r="F199" s="144"/>
      <c r="G199" s="144"/>
      <c r="H199" s="144"/>
    </row>
    <row r="200" spans="1:9" s="88" customFormat="1" x14ac:dyDescent="0.25">
      <c r="A200" s="142">
        <v>1</v>
      </c>
      <c r="B200" s="142"/>
      <c r="C200" s="68" t="s">
        <v>170</v>
      </c>
      <c r="D200" s="58">
        <f>(92.25+1.2*2.21)*10.764</f>
        <v>1021.525128</v>
      </c>
      <c r="E200" s="68">
        <v>0</v>
      </c>
      <c r="F200" s="58">
        <f>D200*(($F$167)+1)+(IF(E200&lt;101,E200,IF(E200&lt;201,E200/2,IF(E200&lt;=301,E200/3,E200/4))))</f>
        <v>1583.3639484</v>
      </c>
      <c r="G200" s="143" t="s">
        <v>262</v>
      </c>
      <c r="H200" s="143"/>
      <c r="I200" s="88">
        <f>125*F202</f>
        <v>260193.22728749996</v>
      </c>
    </row>
    <row r="201" spans="1:9" s="88" customFormat="1" ht="20.25" customHeight="1" x14ac:dyDescent="0.25">
      <c r="A201" s="142">
        <v>2</v>
      </c>
      <c r="B201" s="142"/>
      <c r="C201" s="68" t="s">
        <v>170</v>
      </c>
      <c r="D201" s="58">
        <f>(88.18+1.2*2.23)*10.764</f>
        <v>977.97398400000009</v>
      </c>
      <c r="E201" s="68">
        <v>0</v>
      </c>
      <c r="F201" s="58">
        <f>D201*(($F$167)+1)+(IF(E201&lt;101,E201,IF(E201&lt;201,E201/2,IF(E201&lt;=301,E201/3,E201/4))))</f>
        <v>1515.8596752000001</v>
      </c>
      <c r="G201" s="143"/>
      <c r="H201" s="143"/>
    </row>
    <row r="202" spans="1:9" s="88" customFormat="1" ht="62.25" customHeight="1" x14ac:dyDescent="0.25">
      <c r="A202" s="142">
        <v>3</v>
      </c>
      <c r="B202" s="142"/>
      <c r="C202" s="69" t="s">
        <v>387</v>
      </c>
      <c r="D202" s="58">
        <f>(90.41+4.65*3+2.47*2.58+1.58*2.33+0.9*1.67+2.45*1.45+1.2*2.23+1.2*2.18)*10.764</f>
        <v>1342.9327859999999</v>
      </c>
      <c r="E202" s="68">
        <v>0</v>
      </c>
      <c r="F202" s="58">
        <f>D202*(($F$167)+1)+(IF(E202&lt;101,E202,IF(E202&lt;201,E202/2,IF(E202&lt;=301,E202/3,E202/4))))</f>
        <v>2081.5458182999996</v>
      </c>
      <c r="G202" s="143" t="s">
        <v>263</v>
      </c>
      <c r="H202" s="143"/>
    </row>
    <row r="203" spans="1:9" s="88" customFormat="1" x14ac:dyDescent="0.25">
      <c r="A203" s="144" t="s">
        <v>350</v>
      </c>
      <c r="B203" s="144"/>
      <c r="C203" s="144"/>
      <c r="D203" s="144"/>
      <c r="E203" s="144"/>
      <c r="F203" s="144"/>
      <c r="G203" s="144"/>
      <c r="H203" s="144"/>
    </row>
    <row r="204" spans="1:9" s="88" customFormat="1" x14ac:dyDescent="0.25">
      <c r="A204" s="142">
        <v>1</v>
      </c>
      <c r="B204" s="142"/>
      <c r="C204" s="68" t="s">
        <v>170</v>
      </c>
      <c r="D204" s="58">
        <f>(92.25+1.2*2.21)*10.764</f>
        <v>1021.525128</v>
      </c>
      <c r="E204" s="68">
        <v>0</v>
      </c>
      <c r="F204" s="58">
        <f>D204*(($F$167)+1)+(IF(E204&lt;101,E204,IF(E204&lt;201,E204/2,IF(E204&lt;=301,E204/3,E204/4))))</f>
        <v>1583.3639484</v>
      </c>
      <c r="G204" s="143" t="str">
        <f>A203</f>
        <v>13th Floor Upper Duplex Floor (Part Refuge Area)</v>
      </c>
      <c r="H204" s="143"/>
    </row>
    <row r="205" spans="1:9" s="2" customFormat="1" x14ac:dyDescent="0.25">
      <c r="A205" s="142">
        <v>2</v>
      </c>
      <c r="B205" s="142"/>
      <c r="C205" s="68" t="s">
        <v>170</v>
      </c>
      <c r="D205" s="58">
        <f>(88.18+1.2*2.23)*10.764</f>
        <v>977.97398400000009</v>
      </c>
      <c r="E205" s="68">
        <v>0</v>
      </c>
      <c r="F205" s="58">
        <f>D205*(($F$167)+1)+(IF(E205&lt;101,E205,IF(E205&lt;201,E205/2,IF(E205&lt;=301,E205/3,E205/4))))</f>
        <v>1515.8596752000001</v>
      </c>
      <c r="G205" s="143"/>
      <c r="H205" s="143"/>
    </row>
    <row r="206" spans="1:9" s="2" customFormat="1" x14ac:dyDescent="0.25">
      <c r="A206" s="142">
        <v>3</v>
      </c>
      <c r="B206" s="142"/>
      <c r="C206" s="145" t="s">
        <v>324</v>
      </c>
      <c r="D206" s="146"/>
      <c r="E206" s="146"/>
      <c r="F206" s="147"/>
      <c r="G206" s="143"/>
      <c r="H206" s="143"/>
    </row>
    <row r="207" spans="1:9" s="2" customFormat="1" x14ac:dyDescent="0.25">
      <c r="A207" s="106" t="s">
        <v>323</v>
      </c>
      <c r="B207" s="106"/>
      <c r="C207" s="106"/>
      <c r="D207" s="106"/>
      <c r="E207" s="106"/>
      <c r="F207" s="106"/>
      <c r="G207" s="106"/>
      <c r="H207" s="106"/>
    </row>
    <row r="208" spans="1:9" s="2" customFormat="1" x14ac:dyDescent="0.25">
      <c r="A208" s="106" t="s">
        <v>197</v>
      </c>
      <c r="B208" s="106"/>
      <c r="C208" s="106"/>
      <c r="D208" s="106"/>
      <c r="E208" s="106"/>
      <c r="F208" s="106"/>
      <c r="G208" s="106"/>
      <c r="H208" s="106"/>
    </row>
    <row r="209" spans="1:11" s="2" customFormat="1" x14ac:dyDescent="0.25">
      <c r="A209" s="106" t="s">
        <v>198</v>
      </c>
      <c r="B209" s="106"/>
      <c r="C209" s="106"/>
      <c r="D209" s="106"/>
      <c r="E209" s="106"/>
      <c r="F209" s="106"/>
      <c r="G209" s="106"/>
      <c r="H209" s="106"/>
      <c r="J209" s="2">
        <v>22500</v>
      </c>
    </row>
    <row r="210" spans="1:11" s="2" customFormat="1" x14ac:dyDescent="0.25">
      <c r="A210" s="106" t="s">
        <v>327</v>
      </c>
      <c r="B210" s="106"/>
      <c r="C210" s="106"/>
      <c r="D210" s="106"/>
      <c r="E210" s="106"/>
      <c r="F210" s="106"/>
      <c r="G210" s="106"/>
      <c r="H210" s="106"/>
      <c r="J210" s="2">
        <f t="shared" ref="J210:J222" si="2">J$209*F212</f>
        <v>34842615.912</v>
      </c>
    </row>
    <row r="211" spans="1:11" s="2" customFormat="1" x14ac:dyDescent="0.25">
      <c r="A211" s="106" t="s">
        <v>203</v>
      </c>
      <c r="B211" s="106"/>
      <c r="C211" s="106"/>
      <c r="D211" s="106"/>
      <c r="E211" s="106"/>
      <c r="F211" s="106"/>
      <c r="G211" s="106"/>
      <c r="H211" s="106"/>
      <c r="J211" s="2">
        <f t="shared" si="2"/>
        <v>33874098.101999998</v>
      </c>
    </row>
    <row r="212" spans="1:11" s="2" customFormat="1" x14ac:dyDescent="0.25">
      <c r="A212" s="105">
        <v>1</v>
      </c>
      <c r="B212" s="105"/>
      <c r="C212" s="60" t="s">
        <v>170</v>
      </c>
      <c r="D212" s="60">
        <f>(90.26+2.13*1.2)*10.764</f>
        <v>999.07142399999998</v>
      </c>
      <c r="E212" s="60">
        <v>0</v>
      </c>
      <c r="F212" s="58">
        <f>D212*(($F$167)+1)+(IF(E212&lt;101,E212,IF(E212&lt;201,E212/2,IF(E212&lt;=301,E212/3,E212/4))))</f>
        <v>1548.5607072</v>
      </c>
      <c r="G212" s="107" t="str">
        <f>A211</f>
        <v>1st Podium Floor for Residential</v>
      </c>
      <c r="H212" s="108"/>
      <c r="J212" s="2">
        <f t="shared" si="2"/>
        <v>0</v>
      </c>
    </row>
    <row r="213" spans="1:11" s="2" customFormat="1" x14ac:dyDescent="0.25">
      <c r="A213" s="105">
        <v>2</v>
      </c>
      <c r="B213" s="105"/>
      <c r="C213" s="60" t="s">
        <v>170</v>
      </c>
      <c r="D213" s="60">
        <f>(87.8+2.03*1.2)*10.764</f>
        <v>971.30030399999987</v>
      </c>
      <c r="E213" s="60">
        <v>0</v>
      </c>
      <c r="F213" s="58">
        <f>D213*(($F$167)+1)+(IF(E213&lt;101,E213,IF(E213&lt;201,E213/2,IF(E213&lt;=301,E213/3,E213/4))))</f>
        <v>1505.5154711999999</v>
      </c>
      <c r="G213" s="111"/>
      <c r="H213" s="112"/>
      <c r="J213" s="2">
        <f t="shared" si="2"/>
        <v>34842615.912</v>
      </c>
    </row>
    <row r="214" spans="1:11" s="2" customFormat="1" x14ac:dyDescent="0.25">
      <c r="A214" s="115" t="s">
        <v>318</v>
      </c>
      <c r="B214" s="115"/>
      <c r="C214" s="115"/>
      <c r="D214" s="115"/>
      <c r="E214" s="115"/>
      <c r="F214" s="115"/>
      <c r="G214" s="115"/>
      <c r="H214" s="115"/>
      <c r="J214" s="2">
        <f t="shared" si="2"/>
        <v>33874098.101999998</v>
      </c>
    </row>
    <row r="215" spans="1:11" s="2" customFormat="1" x14ac:dyDescent="0.25">
      <c r="A215" s="105">
        <v>1</v>
      </c>
      <c r="B215" s="105"/>
      <c r="C215" s="60" t="s">
        <v>170</v>
      </c>
      <c r="D215" s="60">
        <f>(90.26+2.13*1.2)*10.764</f>
        <v>999.07142399999998</v>
      </c>
      <c r="E215" s="60">
        <v>0</v>
      </c>
      <c r="F215" s="58">
        <f>D215*(($F$167)+1)+(IF(E215&lt;101,E215,IF(E215&lt;201,E215/2,IF(E215&lt;=301,E215/3,E215/4))))</f>
        <v>1548.5607072</v>
      </c>
      <c r="G215" s="107" t="str">
        <f>A214</f>
        <v>1st Floor for Residential</v>
      </c>
      <c r="H215" s="108"/>
      <c r="J215" s="2">
        <f t="shared" si="2"/>
        <v>0</v>
      </c>
    </row>
    <row r="216" spans="1:11" s="2" customFormat="1" x14ac:dyDescent="0.25">
      <c r="A216" s="105">
        <v>2</v>
      </c>
      <c r="B216" s="105"/>
      <c r="C216" s="60" t="s">
        <v>170</v>
      </c>
      <c r="D216" s="60">
        <f>(87.8+2.03*1.2)*10.764</f>
        <v>971.30030399999987</v>
      </c>
      <c r="E216" s="60">
        <v>0</v>
      </c>
      <c r="F216" s="58">
        <f>D216*(($F$167)+1)+(IF(E216&lt;101,E216,IF(E216&lt;201,E216/2,IF(E216&lt;=301,E216/3,E216/4))))</f>
        <v>1505.5154711999999</v>
      </c>
      <c r="G216" s="111"/>
      <c r="H216" s="112"/>
      <c r="J216" s="2">
        <f t="shared" si="2"/>
        <v>34842615.912</v>
      </c>
      <c r="K216" s="2">
        <f>D218*1.55</f>
        <v>1548.5607072</v>
      </c>
    </row>
    <row r="217" spans="1:11" s="2" customFormat="1" x14ac:dyDescent="0.25">
      <c r="A217" s="115" t="s">
        <v>313</v>
      </c>
      <c r="B217" s="115"/>
      <c r="C217" s="115"/>
      <c r="D217" s="115"/>
      <c r="E217" s="115"/>
      <c r="F217" s="115"/>
      <c r="G217" s="115"/>
      <c r="H217" s="115"/>
      <c r="J217" s="2">
        <f t="shared" si="2"/>
        <v>33874098.101999998</v>
      </c>
    </row>
    <row r="218" spans="1:11" s="2" customFormat="1" x14ac:dyDescent="0.25">
      <c r="A218" s="105">
        <v>1</v>
      </c>
      <c r="B218" s="105" t="s">
        <v>221</v>
      </c>
      <c r="C218" s="60" t="s">
        <v>170</v>
      </c>
      <c r="D218" s="60">
        <f>(90.26+2.13*1.2)*10.764</f>
        <v>999.07142399999998</v>
      </c>
      <c r="E218" s="60">
        <v>0</v>
      </c>
      <c r="F218" s="58">
        <f>D218*(($F$167)+1)+(IF(E218&lt;101,E218,IF(E218&lt;201,E218/2,IF(E218&lt;=301,E218/3,E218/4))))</f>
        <v>1548.5607072</v>
      </c>
      <c r="G218" s="107" t="str">
        <f>A217</f>
        <v>2nd, 3rd, 8th to 10th, 15th to 17th Floor for Residential</v>
      </c>
      <c r="H218" s="108"/>
      <c r="J218" s="2">
        <f t="shared" si="2"/>
        <v>0</v>
      </c>
    </row>
    <row r="219" spans="1:11" s="2" customFormat="1" x14ac:dyDescent="0.25">
      <c r="A219" s="105">
        <v>2</v>
      </c>
      <c r="B219" s="105" t="s">
        <v>222</v>
      </c>
      <c r="C219" s="60" t="s">
        <v>170</v>
      </c>
      <c r="D219" s="60">
        <f>(87.8+2.03*1.2)*10.764</f>
        <v>971.30030399999987</v>
      </c>
      <c r="E219" s="60">
        <v>0</v>
      </c>
      <c r="F219" s="58">
        <f>D219*(($F$167)+1)+(IF(E219&lt;101,E219,IF(E219&lt;201,E219/2,IF(E219&lt;=301,E219/3,E219/4))))</f>
        <v>1505.5154711999999</v>
      </c>
      <c r="G219" s="111"/>
      <c r="H219" s="112"/>
      <c r="J219" s="2">
        <f t="shared" si="2"/>
        <v>34842615.912</v>
      </c>
    </row>
    <row r="220" spans="1:11" s="2" customFormat="1" x14ac:dyDescent="0.25">
      <c r="A220" s="115" t="s">
        <v>317</v>
      </c>
      <c r="B220" s="115"/>
      <c r="C220" s="115"/>
      <c r="D220" s="115"/>
      <c r="E220" s="115"/>
      <c r="F220" s="115"/>
      <c r="G220" s="115"/>
      <c r="H220" s="115"/>
      <c r="J220" s="2">
        <f t="shared" si="2"/>
        <v>33874098.101999998</v>
      </c>
    </row>
    <row r="221" spans="1:11" s="2" customFormat="1" x14ac:dyDescent="0.25">
      <c r="A221" s="105">
        <v>1</v>
      </c>
      <c r="B221" s="105"/>
      <c r="C221" s="60" t="s">
        <v>170</v>
      </c>
      <c r="D221" s="60">
        <f>(90.26+2.13*1.2)*10.764</f>
        <v>999.07142399999998</v>
      </c>
      <c r="E221" s="60">
        <v>0</v>
      </c>
      <c r="F221" s="58">
        <f>D221*(($F$167)+1)+(IF(E221&lt;101,E221,IF(E221&lt;201,E221/2,IF(E221&lt;=301,E221/3,E221/4))))</f>
        <v>1548.5607072</v>
      </c>
      <c r="G221" s="107" t="str">
        <f>A220</f>
        <v>4th &amp; 11th Floor for Residential</v>
      </c>
      <c r="H221" s="108"/>
      <c r="J221" s="2">
        <f t="shared" si="2"/>
        <v>0</v>
      </c>
    </row>
    <row r="222" spans="1:11" s="2" customFormat="1" x14ac:dyDescent="0.25">
      <c r="A222" s="105">
        <v>2</v>
      </c>
      <c r="B222" s="105"/>
      <c r="C222" s="60" t="s">
        <v>170</v>
      </c>
      <c r="D222" s="60">
        <f>(87.8+2.03*1.2)*10.764</f>
        <v>971.30030399999987</v>
      </c>
      <c r="E222" s="60">
        <v>0</v>
      </c>
      <c r="F222" s="58">
        <f>D222*(($F$167)+1)+(IF(E222&lt;101,E222,IF(E222&lt;201,E222/2,IF(E222&lt;=301,E222/3,E222/4))))</f>
        <v>1505.5154711999999</v>
      </c>
      <c r="G222" s="111"/>
      <c r="H222" s="112"/>
      <c r="J222" s="2">
        <f t="shared" si="2"/>
        <v>34842615.912</v>
      </c>
    </row>
    <row r="223" spans="1:11" s="2" customFormat="1" x14ac:dyDescent="0.25">
      <c r="A223" s="186" t="s">
        <v>352</v>
      </c>
      <c r="B223" s="186"/>
      <c r="C223" s="186"/>
      <c r="D223" s="186"/>
      <c r="E223" s="186"/>
      <c r="F223" s="186"/>
      <c r="G223" s="186"/>
      <c r="H223" s="186"/>
    </row>
    <row r="224" spans="1:11" s="2" customFormat="1" x14ac:dyDescent="0.25">
      <c r="A224" s="105">
        <v>1</v>
      </c>
      <c r="B224" s="105"/>
      <c r="C224" s="60" t="s">
        <v>170</v>
      </c>
      <c r="D224" s="60">
        <f>(90.26+2.13*1.2)*10.764</f>
        <v>999.07142399999998</v>
      </c>
      <c r="E224" s="60">
        <v>0</v>
      </c>
      <c r="F224" s="58">
        <f>D224*(($F$167)+1)+(IF(E224&lt;101,E224,IF(E224&lt;201,E224/2,IF(E224&lt;=301,E224/3,E224/4))))</f>
        <v>1548.5607072</v>
      </c>
      <c r="G224" s="107" t="s">
        <v>315</v>
      </c>
      <c r="H224" s="108"/>
    </row>
    <row r="225" spans="1:10" s="2" customFormat="1" ht="63" x14ac:dyDescent="0.25">
      <c r="A225" s="105">
        <v>2</v>
      </c>
      <c r="B225" s="105"/>
      <c r="C225" s="60" t="s">
        <v>354</v>
      </c>
      <c r="D225" s="90">
        <f>(90.26+29.29+2.03*1.2*2)*10.764</f>
        <v>1339.2784080000001</v>
      </c>
      <c r="E225" s="60">
        <v>0</v>
      </c>
      <c r="F225" s="58">
        <f>D225*(($F$167)+1)+(IF(E225&lt;101,E225,IF(E225&lt;201,E225/2,IF(E225&lt;=301,E225/3,E225/4))))</f>
        <v>2075.8815324000002</v>
      </c>
      <c r="G225" s="107" t="s">
        <v>314</v>
      </c>
      <c r="H225" s="108"/>
    </row>
    <row r="226" spans="1:10" s="2" customFormat="1" x14ac:dyDescent="0.25">
      <c r="A226" s="115" t="s">
        <v>353</v>
      </c>
      <c r="B226" s="115"/>
      <c r="C226" s="115"/>
      <c r="D226" s="115"/>
      <c r="E226" s="115"/>
      <c r="F226" s="115"/>
      <c r="G226" s="115"/>
      <c r="H226" s="115"/>
    </row>
    <row r="227" spans="1:10" s="2" customFormat="1" x14ac:dyDescent="0.25">
      <c r="A227" s="105">
        <v>1</v>
      </c>
      <c r="B227" s="105"/>
      <c r="C227" s="60" t="s">
        <v>170</v>
      </c>
      <c r="D227" s="60">
        <f>(90.26+2.13*1.2)*10.764</f>
        <v>999.07142399999998</v>
      </c>
      <c r="E227" s="60">
        <v>0</v>
      </c>
      <c r="F227" s="58">
        <f>D227*(($F$167)+1)+(IF(E227&lt;101,E227,IF(E227&lt;201,E227/2,IF(E227&lt;=301,E227/3,E227/4))))</f>
        <v>1548.5607072</v>
      </c>
      <c r="G227" s="107" t="str">
        <f>A226</f>
        <v>6th Upper Duplex Floor for Residential (Part Refuge Area)</v>
      </c>
      <c r="H227" s="108"/>
    </row>
    <row r="228" spans="1:10" s="2" customFormat="1" x14ac:dyDescent="0.25">
      <c r="A228" s="105">
        <v>2</v>
      </c>
      <c r="B228" s="105"/>
      <c r="C228" s="145" t="s">
        <v>326</v>
      </c>
      <c r="D228" s="146"/>
      <c r="E228" s="146"/>
      <c r="F228" s="147"/>
      <c r="G228" s="111"/>
      <c r="H228" s="112"/>
    </row>
    <row r="229" spans="1:10" s="2" customFormat="1" x14ac:dyDescent="0.25">
      <c r="A229" s="115" t="s">
        <v>316</v>
      </c>
      <c r="B229" s="115"/>
      <c r="C229" s="115"/>
      <c r="D229" s="115"/>
      <c r="E229" s="115"/>
      <c r="F229" s="115"/>
      <c r="G229" s="115"/>
      <c r="H229" s="115"/>
    </row>
    <row r="230" spans="1:10" s="2" customFormat="1" x14ac:dyDescent="0.25">
      <c r="A230" s="105">
        <v>1</v>
      </c>
      <c r="B230" s="105"/>
      <c r="C230" s="60" t="s">
        <v>170</v>
      </c>
      <c r="D230" s="60">
        <f>(90.26+2.13*1.2)*10.764</f>
        <v>999.07142399999998</v>
      </c>
      <c r="E230" s="60">
        <v>0</v>
      </c>
      <c r="F230" s="58">
        <f>D230*(($F$167)+1)+(IF(E230&lt;101,E230,IF(E230&lt;201,E230/2,IF(E230&lt;=301,E230/3,E230/4))))</f>
        <v>1548.5607072</v>
      </c>
      <c r="G230" s="107" t="str">
        <f>A229</f>
        <v>7th &amp; 14th Floor for Residential</v>
      </c>
      <c r="H230" s="108"/>
    </row>
    <row r="231" spans="1:10" s="2" customFormat="1" x14ac:dyDescent="0.25">
      <c r="A231" s="105">
        <v>2</v>
      </c>
      <c r="B231" s="105"/>
      <c r="C231" s="60" t="s">
        <v>170</v>
      </c>
      <c r="D231" s="60">
        <f>(87.8+2.03*1.2)*10.764</f>
        <v>971.30030399999987</v>
      </c>
      <c r="E231" s="60">
        <v>0</v>
      </c>
      <c r="F231" s="58">
        <f>D231*(($F$167)+1)+(IF(E231&lt;101,E231,IF(E231&lt;201,E231/2,IF(E231&lt;=301,E231/3,E231/4))))</f>
        <v>1505.5154711999999</v>
      </c>
      <c r="G231" s="111"/>
      <c r="H231" s="112"/>
    </row>
    <row r="232" spans="1:10" s="2" customFormat="1" x14ac:dyDescent="0.25">
      <c r="A232" s="115" t="s">
        <v>355</v>
      </c>
      <c r="B232" s="115"/>
      <c r="C232" s="115"/>
      <c r="D232" s="115"/>
      <c r="E232" s="115"/>
      <c r="F232" s="115"/>
      <c r="G232" s="115"/>
      <c r="H232" s="115"/>
    </row>
    <row r="233" spans="1:10" s="2" customFormat="1" x14ac:dyDescent="0.25">
      <c r="A233" s="105">
        <v>1</v>
      </c>
      <c r="B233" s="105"/>
      <c r="C233" s="60" t="s">
        <v>170</v>
      </c>
      <c r="D233" s="60">
        <f>(90.26+2.13*1.2)*10.764</f>
        <v>999.07142399999998</v>
      </c>
      <c r="E233" s="60">
        <v>0</v>
      </c>
      <c r="F233" s="58">
        <f>D233*(($F$167)+1)+(IF(E233&lt;101,E233,IF(E233&lt;201,E233/2,IF(E233&lt;=301,E233/3,E233/4))))</f>
        <v>1548.5607072</v>
      </c>
      <c r="G233" s="107" t="s">
        <v>262</v>
      </c>
      <c r="H233" s="108"/>
    </row>
    <row r="234" spans="1:10" s="2" customFormat="1" ht="63.75" customHeight="1" x14ac:dyDescent="0.25">
      <c r="A234" s="105">
        <v>2</v>
      </c>
      <c r="B234" s="105"/>
      <c r="C234" s="60" t="s">
        <v>356</v>
      </c>
      <c r="D234" s="60">
        <f>(90.26+2.99*2.28+3.59*3+1.06*1.4+3.49*4.6+3*1.45+1.14*3.05+2.03*1.2*2)*10.764</f>
        <v>1486.3383287999998</v>
      </c>
      <c r="E234" s="60">
        <v>0</v>
      </c>
      <c r="F234" s="58">
        <f>D234*(($F$167)+1)+(IF(E234&lt;101,E234,IF(E234&lt;201,E234/2,IF(E234&lt;=301,E234/3,E234/4))))</f>
        <v>2303.8244096399999</v>
      </c>
      <c r="G234" s="107" t="s">
        <v>263</v>
      </c>
      <c r="H234" s="108"/>
    </row>
    <row r="235" spans="1:10" s="2" customFormat="1" ht="15.75" customHeight="1" x14ac:dyDescent="0.25">
      <c r="A235" s="106" t="s">
        <v>357</v>
      </c>
      <c r="B235" s="106"/>
      <c r="C235" s="106"/>
      <c r="D235" s="106"/>
      <c r="E235" s="106"/>
      <c r="F235" s="106"/>
      <c r="G235" s="106"/>
      <c r="H235" s="106"/>
    </row>
    <row r="236" spans="1:10" s="2" customFormat="1" x14ac:dyDescent="0.25">
      <c r="A236" s="105">
        <v>1</v>
      </c>
      <c r="B236" s="105"/>
      <c r="C236" s="60" t="s">
        <v>170</v>
      </c>
      <c r="D236" s="60">
        <f>(90.26+2.13*1.2)*10.764</f>
        <v>999.07142399999998</v>
      </c>
      <c r="E236" s="60">
        <v>0</v>
      </c>
      <c r="F236" s="58">
        <f>D236*(($F$167)+1)+(IF(E236&lt;101,E236,IF(E236&lt;201,E236/2,IF(E236&lt;=301,E236/3,E236/4))))</f>
        <v>1548.5607072</v>
      </c>
      <c r="G236" s="107" t="str">
        <f>A235</f>
        <v>13th Upper Duplex Floor for Residential (Part Refuge Area)</v>
      </c>
      <c r="H236" s="108"/>
    </row>
    <row r="237" spans="1:10" s="2" customFormat="1" x14ac:dyDescent="0.25">
      <c r="A237" s="105">
        <v>2</v>
      </c>
      <c r="B237" s="105"/>
      <c r="C237" s="145" t="s">
        <v>324</v>
      </c>
      <c r="D237" s="146"/>
      <c r="E237" s="146"/>
      <c r="F237" s="147"/>
      <c r="G237" s="111"/>
      <c r="H237" s="112"/>
    </row>
    <row r="238" spans="1:10" s="2" customFormat="1" x14ac:dyDescent="0.25">
      <c r="A238" s="106" t="s">
        <v>200</v>
      </c>
      <c r="B238" s="106"/>
      <c r="C238" s="106"/>
      <c r="D238" s="106"/>
      <c r="E238" s="106"/>
      <c r="F238" s="106"/>
      <c r="G238" s="106"/>
      <c r="H238" s="106"/>
    </row>
    <row r="239" spans="1:10" s="2" customFormat="1" x14ac:dyDescent="0.25">
      <c r="A239" s="115" t="s">
        <v>198</v>
      </c>
      <c r="B239" s="115"/>
      <c r="C239" s="115"/>
      <c r="D239" s="115"/>
      <c r="E239" s="115"/>
      <c r="F239" s="115"/>
      <c r="G239" s="115"/>
      <c r="H239" s="115"/>
      <c r="J239" s="2">
        <v>22500</v>
      </c>
    </row>
    <row r="240" spans="1:10" s="2" customFormat="1" x14ac:dyDescent="0.25">
      <c r="A240" s="106" t="s">
        <v>327</v>
      </c>
      <c r="B240" s="106"/>
      <c r="C240" s="106"/>
      <c r="D240" s="106"/>
      <c r="E240" s="106"/>
      <c r="F240" s="106"/>
      <c r="G240" s="106"/>
      <c r="H240" s="106"/>
      <c r="I240" s="57">
        <f>38500000/F242</f>
        <v>24552.299638240191</v>
      </c>
      <c r="J240" s="2">
        <f t="shared" ref="J240:J269" si="3">J$239*F242</f>
        <v>35281827.476999998</v>
      </c>
    </row>
    <row r="241" spans="1:11" s="2" customFormat="1" x14ac:dyDescent="0.25">
      <c r="A241" s="106" t="s">
        <v>203</v>
      </c>
      <c r="B241" s="106"/>
      <c r="C241" s="106"/>
      <c r="D241" s="106"/>
      <c r="E241" s="106"/>
      <c r="F241" s="106"/>
      <c r="G241" s="106"/>
      <c r="H241" s="106"/>
      <c r="I241" s="57">
        <f>38500000/F243</f>
        <v>25414.912923472868</v>
      </c>
      <c r="J241" s="2">
        <f t="shared" si="3"/>
        <v>34084319.022000007</v>
      </c>
      <c r="K241" s="57">
        <f>(5.33*4.05+3*0.6+1.55*1.11+2.13*3.57+3.1*3.65+3.05*3.65+1.45*2.4+0.98*0.9+3.05*4.65+1.45*2.4+2.15*0.6+0.45*0.6+0.8*0.9+1.45*2.45)</f>
        <v>83.015599999999992</v>
      </c>
    </row>
    <row r="242" spans="1:11" s="2" customFormat="1" x14ac:dyDescent="0.25">
      <c r="A242" s="105">
        <v>1</v>
      </c>
      <c r="B242" s="105"/>
      <c r="C242" s="60" t="s">
        <v>170</v>
      </c>
      <c r="D242" s="60">
        <f>(91.34+2.18*0.6+2.23*0.6)*10.764</f>
        <v>1011.665304</v>
      </c>
      <c r="E242" s="60">
        <v>0</v>
      </c>
      <c r="F242" s="58">
        <f>D242*(($F$167)+1)+(IF(E242&lt;101,E242,IF(E242&lt;201,E242/2,IF(E242&lt;=301,E242/3,E242/4))))</f>
        <v>1568.0812212000001</v>
      </c>
      <c r="G242" s="107" t="str">
        <f>A241</f>
        <v>1st Podium Floor for Residential</v>
      </c>
      <c r="H242" s="108"/>
      <c r="I242" s="57">
        <f>38500000/F244</f>
        <v>24789.683022147721</v>
      </c>
      <c r="J242" s="2">
        <f t="shared" si="3"/>
        <v>34943972.427000001</v>
      </c>
      <c r="K242" s="57">
        <f>(5.33*4.05+3*0.6+1.55*2.48+2.13*3.65+3.1*3.65+3.05*3.65+1.45*2.4+3.05*4.65+2.15*0.6+0.75*0.7+1.45*2.4+1.45*2.45+0.8*0.9+0.98*0.9)</f>
        <v>85.56450000000001</v>
      </c>
    </row>
    <row r="243" spans="1:11" s="2" customFormat="1" x14ac:dyDescent="0.25">
      <c r="A243" s="105">
        <v>2</v>
      </c>
      <c r="B243" s="105"/>
      <c r="C243" s="60" t="s">
        <v>170</v>
      </c>
      <c r="D243" s="60">
        <f>(88.06+2.28*1.2)*10.764</f>
        <v>977.32814400000007</v>
      </c>
      <c r="E243" s="60">
        <v>0</v>
      </c>
      <c r="F243" s="58">
        <f>D243*(($F$167)+1)+(IF(E243&lt;101,E243,IF(E243&lt;201,E243/2,IF(E243&lt;=301,E243/3,E243/4))))</f>
        <v>1514.8586232000002</v>
      </c>
      <c r="G243" s="109"/>
      <c r="H243" s="110"/>
      <c r="J243" s="2">
        <f t="shared" si="3"/>
        <v>0</v>
      </c>
    </row>
    <row r="244" spans="1:11" s="2" customFormat="1" x14ac:dyDescent="0.25">
      <c r="A244" s="105">
        <v>3</v>
      </c>
      <c r="B244" s="105"/>
      <c r="C244" s="60" t="s">
        <v>170</v>
      </c>
      <c r="D244" s="60">
        <f>(90.41+2.18*0.6+2.28*0.6)*10.764</f>
        <v>1001.9777039999999</v>
      </c>
      <c r="E244" s="60">
        <v>0</v>
      </c>
      <c r="F244" s="58">
        <f>D244*(($F$167)+1)+(IF(E244&lt;101,E244,IF(E244&lt;201,E244/2,IF(E244&lt;=301,E244/3,E244/4))))</f>
        <v>1553.0654411999999</v>
      </c>
      <c r="G244" s="111"/>
      <c r="H244" s="112"/>
      <c r="I244" s="57">
        <f>38500000/F246</f>
        <v>24552.299638240191</v>
      </c>
      <c r="J244" s="2">
        <f t="shared" si="3"/>
        <v>35281827.476999998</v>
      </c>
      <c r="K244" s="2">
        <f>45000000/F246</f>
        <v>28697.493083657366</v>
      </c>
    </row>
    <row r="245" spans="1:11" s="2" customFormat="1" x14ac:dyDescent="0.25">
      <c r="A245" s="106" t="s">
        <v>318</v>
      </c>
      <c r="B245" s="106"/>
      <c r="C245" s="106"/>
      <c r="D245" s="106"/>
      <c r="E245" s="106"/>
      <c r="F245" s="106"/>
      <c r="G245" s="106"/>
      <c r="H245" s="106"/>
      <c r="I245" s="57">
        <f>38500000/F247</f>
        <v>25431.718764323345</v>
      </c>
      <c r="J245" s="2">
        <f t="shared" si="3"/>
        <v>34061795.351999998</v>
      </c>
      <c r="K245" s="2">
        <f>41400000/F247</f>
        <v>27347.354723194454</v>
      </c>
    </row>
    <row r="246" spans="1:11" s="2" customFormat="1" x14ac:dyDescent="0.25">
      <c r="A246" s="105">
        <v>1</v>
      </c>
      <c r="B246" s="105"/>
      <c r="C246" s="60" t="s">
        <v>170</v>
      </c>
      <c r="D246" s="60">
        <f>(91.34+2.18*0.6+2.23*0.6)*10.764</f>
        <v>1011.665304</v>
      </c>
      <c r="E246" s="60">
        <v>0</v>
      </c>
      <c r="F246" s="58">
        <f>D246*(($F$167)+1)+(IF(E246&lt;101,E246,IF(E246&lt;201,E246/2,IF(E246&lt;=301,E246/3,E246/4))))</f>
        <v>1568.0812212000001</v>
      </c>
      <c r="G246" s="107" t="str">
        <f>A245</f>
        <v>1st Floor for Residential</v>
      </c>
      <c r="H246" s="108"/>
      <c r="I246" s="57">
        <f>38500000/F248</f>
        <v>24789.683022147721</v>
      </c>
      <c r="J246" s="2">
        <f t="shared" si="3"/>
        <v>34943972.427000001</v>
      </c>
    </row>
    <row r="247" spans="1:11" s="2" customFormat="1" x14ac:dyDescent="0.25">
      <c r="A247" s="105">
        <v>2</v>
      </c>
      <c r="B247" s="105"/>
      <c r="C247" s="60" t="s">
        <v>170</v>
      </c>
      <c r="D247" s="60">
        <f>(88.06+2.18*0.6+2.28*0.6)*10.764</f>
        <v>976.68230399999993</v>
      </c>
      <c r="E247" s="60">
        <v>0</v>
      </c>
      <c r="F247" s="58">
        <f>D247*(($F$167)+1)+(IF(E247&lt;101,E247,IF(E247&lt;201,E247/2,IF(E247&lt;=301,E247/3,E247/4))))</f>
        <v>1513.8575711999999</v>
      </c>
      <c r="G247" s="109"/>
      <c r="H247" s="110"/>
      <c r="J247" s="2">
        <f t="shared" si="3"/>
        <v>0</v>
      </c>
    </row>
    <row r="248" spans="1:11" s="2" customFormat="1" x14ac:dyDescent="0.25">
      <c r="A248" s="105">
        <v>3</v>
      </c>
      <c r="B248" s="105"/>
      <c r="C248" s="60" t="s">
        <v>170</v>
      </c>
      <c r="D248" s="60">
        <f>(90.41+2.18*0.6+2.28*0.6)*10.764</f>
        <v>1001.9777039999999</v>
      </c>
      <c r="E248" s="60">
        <v>0</v>
      </c>
      <c r="F248" s="58">
        <f>D248*(($F$167)+1)+(IF(E248&lt;101,E248,IF(E248&lt;201,E248/2,IF(E248&lt;=301,E248/3,E248/4))))</f>
        <v>1553.0654411999999</v>
      </c>
      <c r="G248" s="111"/>
      <c r="H248" s="112"/>
      <c r="I248" s="57">
        <f>38500000/F250</f>
        <v>24552.299638240191</v>
      </c>
      <c r="J248" s="2">
        <f t="shared" si="3"/>
        <v>35281827.476999998</v>
      </c>
      <c r="K248" s="2">
        <f>45000000/F250</f>
        <v>28697.493083657366</v>
      </c>
    </row>
    <row r="249" spans="1:11" s="2" customFormat="1" x14ac:dyDescent="0.25">
      <c r="A249" s="106" t="s">
        <v>364</v>
      </c>
      <c r="B249" s="106"/>
      <c r="C249" s="106"/>
      <c r="D249" s="106"/>
      <c r="E249" s="106"/>
      <c r="F249" s="106"/>
      <c r="G249" s="106"/>
      <c r="H249" s="106"/>
      <c r="I249" s="57">
        <f>38500000/F251</f>
        <v>25431.718764323345</v>
      </c>
      <c r="J249" s="2">
        <f t="shared" si="3"/>
        <v>34061795.351999998</v>
      </c>
      <c r="K249" s="2">
        <f>41400000/F251</f>
        <v>27347.354723194454</v>
      </c>
    </row>
    <row r="250" spans="1:11" s="2" customFormat="1" x14ac:dyDescent="0.25">
      <c r="A250" s="105">
        <v>1</v>
      </c>
      <c r="B250" s="105"/>
      <c r="C250" s="60" t="s">
        <v>170</v>
      </c>
      <c r="D250" s="60">
        <f>(91.34+2.18*0.6+2.23*0.6)*10.764</f>
        <v>1011.665304</v>
      </c>
      <c r="E250" s="60">
        <v>0</v>
      </c>
      <c r="F250" s="58">
        <f>D250*(($F$167)+1)+(IF(E250&lt;101,E250,IF(E250&lt;201,E250/2,IF(E250&lt;=301,E250/3,E250/4))))</f>
        <v>1568.0812212000001</v>
      </c>
      <c r="G250" s="107" t="str">
        <f>A249</f>
        <v>2nd, 3rd &amp; 8th Floor for Residential</v>
      </c>
      <c r="H250" s="108"/>
      <c r="I250" s="57">
        <f>38500000/F252</f>
        <v>24789.683022147721</v>
      </c>
      <c r="J250" s="2">
        <f t="shared" si="3"/>
        <v>34943972.427000001</v>
      </c>
    </row>
    <row r="251" spans="1:11" s="2" customFormat="1" x14ac:dyDescent="0.25">
      <c r="A251" s="105">
        <v>2</v>
      </c>
      <c r="B251" s="105"/>
      <c r="C251" s="60" t="s">
        <v>170</v>
      </c>
      <c r="D251" s="60">
        <f>(88.06+2.18*0.6+2.28*0.6)*10.764</f>
        <v>976.68230399999993</v>
      </c>
      <c r="E251" s="60">
        <v>0</v>
      </c>
      <c r="F251" s="58">
        <f>D251*(($F$167)+1)+(IF(E251&lt;101,E251,IF(E251&lt;201,E251/2,IF(E251&lt;=301,E251/3,E251/4))))</f>
        <v>1513.8575711999999</v>
      </c>
      <c r="G251" s="109"/>
      <c r="H251" s="110"/>
      <c r="J251" s="2">
        <f t="shared" si="3"/>
        <v>0</v>
      </c>
    </row>
    <row r="252" spans="1:11" s="2" customFormat="1" x14ac:dyDescent="0.25">
      <c r="A252" s="105">
        <v>3</v>
      </c>
      <c r="B252" s="105"/>
      <c r="C252" s="60" t="s">
        <v>170</v>
      </c>
      <c r="D252" s="60">
        <f>(90.41+2.18*0.6+2.28*0.6)*10.764</f>
        <v>1001.9777039999999</v>
      </c>
      <c r="E252" s="60">
        <v>0</v>
      </c>
      <c r="F252" s="58">
        <f>D252*(($F$167)+1)+(IF(E252&lt;101,E252,IF(E252&lt;201,E252/2,IF(E252&lt;=301,E252/3,E252/4))))</f>
        <v>1553.0654411999999</v>
      </c>
      <c r="G252" s="111"/>
      <c r="H252" s="112"/>
      <c r="I252" s="57">
        <f>38500000/F254</f>
        <v>24552.299638240191</v>
      </c>
      <c r="J252" s="2">
        <f t="shared" si="3"/>
        <v>35281827.476999998</v>
      </c>
      <c r="K252" s="2">
        <f>45000000/F254</f>
        <v>28697.493083657366</v>
      </c>
    </row>
    <row r="253" spans="1:11" s="2" customFormat="1" x14ac:dyDescent="0.25">
      <c r="A253" s="106" t="s">
        <v>365</v>
      </c>
      <c r="B253" s="106"/>
      <c r="C253" s="106"/>
      <c r="D253" s="106"/>
      <c r="E253" s="106"/>
      <c r="F253" s="106"/>
      <c r="G253" s="106"/>
      <c r="H253" s="106"/>
      <c r="I253" s="57">
        <f>38500000/F255</f>
        <v>25431.718764323345</v>
      </c>
      <c r="J253" s="2">
        <f t="shared" si="3"/>
        <v>34061795.351999998</v>
      </c>
      <c r="K253" s="2">
        <f>41400000/F255</f>
        <v>27347.354723194454</v>
      </c>
    </row>
    <row r="254" spans="1:11" s="2" customFormat="1" x14ac:dyDescent="0.25">
      <c r="A254" s="105">
        <v>1</v>
      </c>
      <c r="B254" s="105"/>
      <c r="C254" s="60" t="s">
        <v>170</v>
      </c>
      <c r="D254" s="60">
        <f>(91.34+2.18*0.6+2.23*0.6)*10.764</f>
        <v>1011.665304</v>
      </c>
      <c r="E254" s="60">
        <v>0</v>
      </c>
      <c r="F254" s="58">
        <f>D254*(($F$167)+1)+(IF(E254&lt;101,E254,IF(E254&lt;201,E254/2,IF(E254&lt;=301,E254/3,E254/4))))</f>
        <v>1568.0812212000001</v>
      </c>
      <c r="G254" s="107" t="str">
        <f>A253</f>
        <v>4th &amp; 5th Floor for Residential</v>
      </c>
      <c r="H254" s="108"/>
      <c r="I254" s="57">
        <f>38500000/F256</f>
        <v>24789.683022147721</v>
      </c>
      <c r="J254" s="2">
        <f t="shared" si="3"/>
        <v>34943972.427000001</v>
      </c>
    </row>
    <row r="255" spans="1:11" s="2" customFormat="1" x14ac:dyDescent="0.25">
      <c r="A255" s="105">
        <v>2</v>
      </c>
      <c r="B255" s="105"/>
      <c r="C255" s="60" t="s">
        <v>170</v>
      </c>
      <c r="D255" s="60">
        <f>(88.06+2.18*0.6+2.28*0.6)*10.764</f>
        <v>976.68230399999993</v>
      </c>
      <c r="E255" s="60">
        <v>0</v>
      </c>
      <c r="F255" s="58">
        <f>D255*(($F$167)+1)+(IF(E255&lt;101,E255,IF(E255&lt;201,E255/2,IF(E255&lt;=301,E255/3,E255/4))))</f>
        <v>1513.8575711999999</v>
      </c>
      <c r="G255" s="109"/>
      <c r="H255" s="110"/>
      <c r="J255" s="2">
        <f t="shared" si="3"/>
        <v>0</v>
      </c>
    </row>
    <row r="256" spans="1:11" s="2" customFormat="1" x14ac:dyDescent="0.25">
      <c r="A256" s="105">
        <v>3</v>
      </c>
      <c r="B256" s="105"/>
      <c r="C256" s="60" t="s">
        <v>170</v>
      </c>
      <c r="D256" s="60">
        <f>(90.41+2.18*0.6+2.28*0.6)*10.764</f>
        <v>1001.9777039999999</v>
      </c>
      <c r="E256" s="60">
        <v>0</v>
      </c>
      <c r="F256" s="58">
        <f>D256*(($F$167)+1)+(IF(E256&lt;101,E256,IF(E256&lt;201,E256/2,IF(E256&lt;=301,E256/3,E256/4))))</f>
        <v>1553.0654411999999</v>
      </c>
      <c r="G256" s="111"/>
      <c r="H256" s="112"/>
      <c r="I256" s="57">
        <f>38500000/F258</f>
        <v>24552.299638240191</v>
      </c>
      <c r="J256" s="2">
        <f t="shared" si="3"/>
        <v>35281827.476999998</v>
      </c>
      <c r="K256" s="2">
        <f>45000000/F258</f>
        <v>28697.493083657366</v>
      </c>
    </row>
    <row r="257" spans="1:14" s="2" customFormat="1" x14ac:dyDescent="0.25">
      <c r="A257" s="106" t="s">
        <v>367</v>
      </c>
      <c r="B257" s="106"/>
      <c r="C257" s="106"/>
      <c r="D257" s="106"/>
      <c r="E257" s="106"/>
      <c r="F257" s="106"/>
      <c r="G257" s="106"/>
      <c r="H257" s="106"/>
      <c r="I257" s="57" t="e">
        <f>38500000/F259</f>
        <v>#DIV/0!</v>
      </c>
      <c r="J257" s="2">
        <f t="shared" si="3"/>
        <v>0</v>
      </c>
      <c r="K257" s="2" t="e">
        <f>41400000/F259</f>
        <v>#DIV/0!</v>
      </c>
    </row>
    <row r="258" spans="1:14" s="2" customFormat="1" x14ac:dyDescent="0.25">
      <c r="A258" s="105">
        <v>1</v>
      </c>
      <c r="B258" s="105"/>
      <c r="C258" s="60" t="s">
        <v>170</v>
      </c>
      <c r="D258" s="60">
        <f>(91.34+2.18*0.6+2.23*0.6)*10.764</f>
        <v>1011.665304</v>
      </c>
      <c r="E258" s="60">
        <v>0</v>
      </c>
      <c r="F258" s="58">
        <f>D258*(($F$167)+1)+(IF(E258&lt;101,E258,IF(E258&lt;201,E258/2,IF(E258&lt;=301,E258/3,E258/4))))</f>
        <v>1568.0812212000001</v>
      </c>
      <c r="G258" s="107" t="str">
        <f>A257</f>
        <v>6th Floor for Residential (Part Refuge Area)</v>
      </c>
      <c r="H258" s="108"/>
      <c r="I258" s="57">
        <f>38500000/F260</f>
        <v>24789.683022147721</v>
      </c>
      <c r="J258" s="2">
        <f t="shared" si="3"/>
        <v>34943972.427000001</v>
      </c>
    </row>
    <row r="259" spans="1:14" s="2" customFormat="1" x14ac:dyDescent="0.25">
      <c r="A259" s="105">
        <v>2</v>
      </c>
      <c r="B259" s="105"/>
      <c r="C259" s="125" t="s">
        <v>210</v>
      </c>
      <c r="D259" s="126"/>
      <c r="E259" s="126"/>
      <c r="F259" s="127"/>
      <c r="G259" s="109"/>
      <c r="H259" s="110"/>
      <c r="J259" s="2">
        <f t="shared" si="3"/>
        <v>0</v>
      </c>
    </row>
    <row r="260" spans="1:14" s="2" customFormat="1" x14ac:dyDescent="0.25">
      <c r="A260" s="105">
        <v>3</v>
      </c>
      <c r="B260" s="105"/>
      <c r="C260" s="60" t="s">
        <v>170</v>
      </c>
      <c r="D260" s="60">
        <f>(90.41+2.18*0.6+2.28*0.6)*10.764</f>
        <v>1001.9777039999999</v>
      </c>
      <c r="E260" s="60">
        <v>0</v>
      </c>
      <c r="F260" s="58">
        <f>D260*(($F$167)+1)+(IF(E260&lt;101,E260,IF(E260&lt;201,E260/2,IF(E260&lt;=301,E260/3,E260/4))))</f>
        <v>1553.0654411999999</v>
      </c>
      <c r="G260" s="111"/>
      <c r="H260" s="112"/>
      <c r="I260" s="57">
        <f>38500000/F262</f>
        <v>24552.299638240191</v>
      </c>
      <c r="J260" s="2">
        <f t="shared" si="3"/>
        <v>35281827.476999998</v>
      </c>
      <c r="K260" s="2">
        <f>45000000/F262</f>
        <v>28697.493083657366</v>
      </c>
    </row>
    <row r="261" spans="1:14" s="2" customFormat="1" x14ac:dyDescent="0.25">
      <c r="A261" s="106" t="s">
        <v>366</v>
      </c>
      <c r="B261" s="106"/>
      <c r="C261" s="106"/>
      <c r="D261" s="106"/>
      <c r="E261" s="106"/>
      <c r="F261" s="106"/>
      <c r="G261" s="106"/>
      <c r="H261" s="106"/>
      <c r="I261" s="57">
        <f>38500000/F263</f>
        <v>25431.718764323345</v>
      </c>
      <c r="J261" s="2">
        <f t="shared" si="3"/>
        <v>34061795.351999998</v>
      </c>
      <c r="K261" s="2">
        <f>41400000/F263</f>
        <v>27347.354723194454</v>
      </c>
    </row>
    <row r="262" spans="1:14" s="2" customFormat="1" x14ac:dyDescent="0.25">
      <c r="A262" s="105">
        <v>1</v>
      </c>
      <c r="B262" s="105"/>
      <c r="C262" s="60" t="s">
        <v>170</v>
      </c>
      <c r="D262" s="60">
        <f>(91.34+2.18*0.6+2.23*0.6)*10.764</f>
        <v>1011.665304</v>
      </c>
      <c r="E262" s="60">
        <v>0</v>
      </c>
      <c r="F262" s="58">
        <f>D262*(($F$167)+1)+(IF(E262&lt;101,E262,IF(E262&lt;201,E262/2,IF(E262&lt;=301,E262/3,E262/4))))</f>
        <v>1568.0812212000001</v>
      </c>
      <c r="G262" s="107" t="str">
        <f>A261</f>
        <v>7th Floor for Residential</v>
      </c>
      <c r="H262" s="108"/>
      <c r="I262" s="57">
        <f>38500000/F264</f>
        <v>24789.683022147721</v>
      </c>
      <c r="J262" s="2">
        <f t="shared" si="3"/>
        <v>34943972.427000001</v>
      </c>
    </row>
    <row r="263" spans="1:14" s="2" customFormat="1" x14ac:dyDescent="0.25">
      <c r="A263" s="105">
        <v>2</v>
      </c>
      <c r="B263" s="105"/>
      <c r="C263" s="60" t="s">
        <v>170</v>
      </c>
      <c r="D263" s="60">
        <f>(88.06+2.18*0.6+2.28*0.6)*10.764</f>
        <v>976.68230399999993</v>
      </c>
      <c r="E263" s="60">
        <v>0</v>
      </c>
      <c r="F263" s="58">
        <f>D263*(($F$167)+1)+(IF(E263&lt;101,E263,IF(E263&lt;201,E263/2,IF(E263&lt;=301,E263/3,E263/4))))</f>
        <v>1513.8575711999999</v>
      </c>
      <c r="G263" s="109"/>
      <c r="H263" s="110"/>
      <c r="J263" s="2">
        <f t="shared" si="3"/>
        <v>0</v>
      </c>
    </row>
    <row r="264" spans="1:14" s="2" customFormat="1" x14ac:dyDescent="0.25">
      <c r="A264" s="105">
        <v>3</v>
      </c>
      <c r="B264" s="105"/>
      <c r="C264" s="60" t="s">
        <v>170</v>
      </c>
      <c r="D264" s="60">
        <f>(90.41+2.18*0.6+2.28*0.6)*10.764</f>
        <v>1001.9777039999999</v>
      </c>
      <c r="E264" s="60">
        <v>0</v>
      </c>
      <c r="F264" s="58">
        <f>D264*(($F$167)+1)+(IF(E264&lt;101,E264,IF(E264&lt;201,E264/2,IF(E264&lt;=301,E264/3,E264/4))))</f>
        <v>1553.0654411999999</v>
      </c>
      <c r="G264" s="111"/>
      <c r="H264" s="112"/>
      <c r="I264" s="57">
        <f>38500000/F266</f>
        <v>24552.299638240191</v>
      </c>
      <c r="J264" s="2">
        <f t="shared" si="3"/>
        <v>35281827.476999998</v>
      </c>
      <c r="K264" s="2">
        <f>45000000/F266</f>
        <v>28697.493083657366</v>
      </c>
    </row>
    <row r="265" spans="1:14" s="2" customFormat="1" x14ac:dyDescent="0.25">
      <c r="A265" s="106" t="s">
        <v>330</v>
      </c>
      <c r="B265" s="106"/>
      <c r="C265" s="106"/>
      <c r="D265" s="106"/>
      <c r="E265" s="106"/>
      <c r="F265" s="106"/>
      <c r="G265" s="106"/>
      <c r="H265" s="106"/>
      <c r="I265" s="57">
        <f>38500000/F267</f>
        <v>25431.718764323345</v>
      </c>
      <c r="J265" s="2">
        <f t="shared" si="3"/>
        <v>34061795.351999998</v>
      </c>
      <c r="K265" s="2">
        <f>41400000/F267</f>
        <v>27347.354723194454</v>
      </c>
    </row>
    <row r="266" spans="1:14" s="2" customFormat="1" x14ac:dyDescent="0.25">
      <c r="A266" s="105">
        <v>1</v>
      </c>
      <c r="B266" s="105"/>
      <c r="C266" s="60" t="s">
        <v>170</v>
      </c>
      <c r="D266" s="60">
        <f>(91.34+2.18*0.6+2.23*0.6)*10.764</f>
        <v>1011.665304</v>
      </c>
      <c r="E266" s="60">
        <v>0</v>
      </c>
      <c r="F266" s="58">
        <f>D266*(($F$167)+1)+(IF(E266&lt;101,E266,IF(E266&lt;201,E266/2,IF(E266&lt;=301,E266/3,E266/4))))</f>
        <v>1568.0812212000001</v>
      </c>
      <c r="G266" s="107" t="str">
        <f>A265</f>
        <v>9th &amp; 10th Floor for Residential</v>
      </c>
      <c r="H266" s="108"/>
      <c r="I266" s="57">
        <f>38500000/F268</f>
        <v>24789.683022147721</v>
      </c>
      <c r="J266" s="2">
        <f t="shared" si="3"/>
        <v>34943972.427000001</v>
      </c>
    </row>
    <row r="267" spans="1:14" s="2" customFormat="1" x14ac:dyDescent="0.25">
      <c r="A267" s="105">
        <v>2</v>
      </c>
      <c r="B267" s="105"/>
      <c r="C267" s="60" t="s">
        <v>170</v>
      </c>
      <c r="D267" s="60">
        <f>(88.06+2.18*0.6+2.28*0.6)*10.764</f>
        <v>976.68230399999993</v>
      </c>
      <c r="E267" s="60">
        <v>0</v>
      </c>
      <c r="F267" s="58">
        <f>D267*(($F$167)+1)+(IF(E267&lt;101,E267,IF(E267&lt;201,E267/2,IF(E267&lt;=301,E267/3,E267/4))))</f>
        <v>1513.8575711999999</v>
      </c>
      <c r="G267" s="109"/>
      <c r="H267" s="110"/>
      <c r="J267" s="2">
        <f t="shared" si="3"/>
        <v>0</v>
      </c>
    </row>
    <row r="268" spans="1:14" s="2" customFormat="1" x14ac:dyDescent="0.25">
      <c r="A268" s="105">
        <v>3</v>
      </c>
      <c r="B268" s="105"/>
      <c r="C268" s="60" t="s">
        <v>170</v>
      </c>
      <c r="D268" s="60">
        <f>(90.41+2.18*0.6+2.28*0.6)*10.764</f>
        <v>1001.9777039999999</v>
      </c>
      <c r="E268" s="60">
        <v>0</v>
      </c>
      <c r="F268" s="58">
        <f>D268*(($F$167)+1)+(IF(E268&lt;101,E268,IF(E268&lt;201,E268/2,IF(E268&lt;=301,E268/3,E268/4))))</f>
        <v>1553.0654411999999</v>
      </c>
      <c r="G268" s="111"/>
      <c r="H268" s="112"/>
      <c r="J268" s="2">
        <f t="shared" si="3"/>
        <v>0</v>
      </c>
    </row>
    <row r="269" spans="1:14" s="2" customFormat="1" x14ac:dyDescent="0.25">
      <c r="A269" s="106" t="s">
        <v>201</v>
      </c>
      <c r="B269" s="106"/>
      <c r="C269" s="106"/>
      <c r="D269" s="106"/>
      <c r="E269" s="106"/>
      <c r="F269" s="106"/>
      <c r="G269" s="106"/>
      <c r="H269" s="106"/>
      <c r="J269" s="2">
        <f t="shared" si="3"/>
        <v>0</v>
      </c>
    </row>
    <row r="270" spans="1:14" s="2" customFormat="1" x14ac:dyDescent="0.25">
      <c r="A270" s="106" t="s">
        <v>198</v>
      </c>
      <c r="B270" s="106"/>
      <c r="C270" s="106"/>
      <c r="D270" s="106"/>
      <c r="E270" s="106"/>
      <c r="F270" s="106"/>
      <c r="G270" s="106"/>
      <c r="H270" s="106"/>
      <c r="J270" s="2">
        <v>28000</v>
      </c>
      <c r="N270" s="2">
        <v>29000</v>
      </c>
    </row>
    <row r="271" spans="1:14" s="2" customFormat="1" x14ac:dyDescent="0.25">
      <c r="A271" s="106" t="s">
        <v>328</v>
      </c>
      <c r="B271" s="106"/>
      <c r="C271" s="106"/>
      <c r="D271" s="106"/>
      <c r="E271" s="106"/>
      <c r="F271" s="106"/>
      <c r="G271" s="106"/>
      <c r="H271" s="106"/>
      <c r="I271">
        <f t="shared" ref="I271:I276" si="4">125*F273</f>
        <v>103045.79024999998</v>
      </c>
      <c r="J271" s="57">
        <f t="shared" ref="J271:J292" si="5">J$270*F273</f>
        <v>23082257.015999995</v>
      </c>
      <c r="L271" s="2">
        <f>24000000/F273</f>
        <v>29113.270835438136</v>
      </c>
      <c r="M271" s="2">
        <f t="shared" ref="M271:M281" si="6">D273*1.6</f>
        <v>850.95878399999992</v>
      </c>
      <c r="N271" s="2">
        <f>N$270*M271</f>
        <v>24677804.735999998</v>
      </c>
    </row>
    <row r="272" spans="1:14" s="2" customFormat="1" x14ac:dyDescent="0.25">
      <c r="A272" s="115" t="s">
        <v>203</v>
      </c>
      <c r="B272" s="115"/>
      <c r="C272" s="115"/>
      <c r="D272" s="115"/>
      <c r="E272" s="115"/>
      <c r="F272" s="115"/>
      <c r="G272" s="115"/>
      <c r="H272" s="115"/>
      <c r="I272">
        <f t="shared" si="4"/>
        <v>103045.79024999998</v>
      </c>
      <c r="J272" s="57">
        <f t="shared" si="5"/>
        <v>23082257.015999995</v>
      </c>
      <c r="M272" s="2">
        <f t="shared" si="6"/>
        <v>850.95878399999992</v>
      </c>
      <c r="N272" s="2">
        <f t="shared" ref="N272:N281" si="7">N$270*M272</f>
        <v>24677804.735999998</v>
      </c>
    </row>
    <row r="273" spans="1:14" s="2" customFormat="1" x14ac:dyDescent="0.25">
      <c r="A273" s="105">
        <v>1</v>
      </c>
      <c r="B273" s="105"/>
      <c r="C273" s="60" t="s">
        <v>204</v>
      </c>
      <c r="D273" s="60">
        <f>49.41*10.764</f>
        <v>531.8492399999999</v>
      </c>
      <c r="E273" s="60">
        <v>0</v>
      </c>
      <c r="F273" s="58">
        <f t="shared" ref="F273:F278" si="8">D273*(($F$167)+1)+(IF(E273&lt;101,E273,IF(E273&lt;201,E273/2,IF(E273&lt;=301,E273/3,E273/4))))</f>
        <v>824.36632199999985</v>
      </c>
      <c r="G273" s="107" t="str">
        <f>A272</f>
        <v>1st Podium Floor for Residential</v>
      </c>
      <c r="H273" s="108"/>
      <c r="I273">
        <f t="shared" si="4"/>
        <v>103504.60575</v>
      </c>
      <c r="J273" s="57">
        <f t="shared" si="5"/>
        <v>23185031.687999997</v>
      </c>
      <c r="M273" s="2">
        <f t="shared" si="6"/>
        <v>854.74771199999998</v>
      </c>
      <c r="N273" s="2">
        <f t="shared" si="7"/>
        <v>24787683.647999998</v>
      </c>
    </row>
    <row r="274" spans="1:14" s="2" customFormat="1" x14ac:dyDescent="0.25">
      <c r="A274" s="105">
        <v>2</v>
      </c>
      <c r="B274" s="105"/>
      <c r="C274" s="60" t="s">
        <v>204</v>
      </c>
      <c r="D274" s="60">
        <f>49.41*10.764</f>
        <v>531.8492399999999</v>
      </c>
      <c r="E274" s="60">
        <v>0</v>
      </c>
      <c r="F274" s="58">
        <f t="shared" si="8"/>
        <v>824.36632199999985</v>
      </c>
      <c r="G274" s="109"/>
      <c r="H274" s="110"/>
      <c r="I274">
        <f t="shared" si="4"/>
        <v>103504.60575</v>
      </c>
      <c r="J274" s="57">
        <f t="shared" si="5"/>
        <v>23185031.687999997</v>
      </c>
      <c r="M274" s="2">
        <f t="shared" si="6"/>
        <v>854.74771199999998</v>
      </c>
      <c r="N274" s="2">
        <f t="shared" si="7"/>
        <v>24787683.647999998</v>
      </c>
    </row>
    <row r="275" spans="1:14" s="2" customFormat="1" x14ac:dyDescent="0.25">
      <c r="A275" s="105">
        <v>3</v>
      </c>
      <c r="B275" s="105"/>
      <c r="C275" s="60" t="s">
        <v>204</v>
      </c>
      <c r="D275" s="60">
        <f>49.63*10.764</f>
        <v>534.21731999999997</v>
      </c>
      <c r="E275" s="60">
        <v>0</v>
      </c>
      <c r="F275" s="58">
        <f t="shared" si="8"/>
        <v>828.03684599999997</v>
      </c>
      <c r="G275" s="109"/>
      <c r="H275" s="110"/>
      <c r="I275">
        <f t="shared" si="4"/>
        <v>103483.75049999998</v>
      </c>
      <c r="J275" s="57">
        <f t="shared" si="5"/>
        <v>23180360.111999996</v>
      </c>
      <c r="M275" s="2">
        <f t="shared" si="6"/>
        <v>854.57548799999995</v>
      </c>
      <c r="N275" s="2">
        <f t="shared" si="7"/>
        <v>24782689.151999999</v>
      </c>
    </row>
    <row r="276" spans="1:14" s="2" customFormat="1" x14ac:dyDescent="0.25">
      <c r="A276" s="105">
        <v>4</v>
      </c>
      <c r="B276" s="105"/>
      <c r="C276" s="60" t="s">
        <v>204</v>
      </c>
      <c r="D276" s="60">
        <f>49.63*10.764</f>
        <v>534.21731999999997</v>
      </c>
      <c r="E276" s="60">
        <v>0</v>
      </c>
      <c r="F276" s="58">
        <f t="shared" si="8"/>
        <v>828.03684599999997</v>
      </c>
      <c r="G276" s="109"/>
      <c r="H276" s="110"/>
      <c r="I276">
        <f t="shared" si="4"/>
        <v>103483.75049999998</v>
      </c>
      <c r="J276" s="57">
        <f t="shared" si="5"/>
        <v>23180360.111999996</v>
      </c>
      <c r="M276" s="2">
        <f t="shared" si="6"/>
        <v>854.57548799999995</v>
      </c>
      <c r="N276" s="2">
        <f t="shared" si="7"/>
        <v>24782689.151999999</v>
      </c>
    </row>
    <row r="277" spans="1:14" s="2" customFormat="1" x14ac:dyDescent="0.25">
      <c r="A277" s="105">
        <v>5</v>
      </c>
      <c r="B277" s="105"/>
      <c r="C277" s="60" t="s">
        <v>204</v>
      </c>
      <c r="D277" s="60">
        <f>49.62*10.764</f>
        <v>534.10967999999991</v>
      </c>
      <c r="E277" s="60">
        <v>0</v>
      </c>
      <c r="F277" s="58">
        <f t="shared" si="8"/>
        <v>827.87000399999988</v>
      </c>
      <c r="G277" s="109"/>
      <c r="H277" s="110"/>
      <c r="J277" s="57">
        <f t="shared" si="5"/>
        <v>0</v>
      </c>
      <c r="M277" s="2">
        <f t="shared" si="6"/>
        <v>0</v>
      </c>
      <c r="N277" s="2">
        <f t="shared" si="7"/>
        <v>0</v>
      </c>
    </row>
    <row r="278" spans="1:14" s="2" customFormat="1" x14ac:dyDescent="0.25">
      <c r="A278" s="105">
        <v>6</v>
      </c>
      <c r="B278" s="105"/>
      <c r="C278" s="60" t="s">
        <v>204</v>
      </c>
      <c r="D278" s="60">
        <f>49.62*10.764</f>
        <v>534.10967999999991</v>
      </c>
      <c r="E278" s="60">
        <v>0</v>
      </c>
      <c r="F278" s="58">
        <f t="shared" si="8"/>
        <v>827.87000399999988</v>
      </c>
      <c r="G278" s="111"/>
      <c r="H278" s="112"/>
      <c r="J278" s="57">
        <f t="shared" si="5"/>
        <v>23082257.015999995</v>
      </c>
      <c r="M278" s="2">
        <f t="shared" si="6"/>
        <v>850.95878399999992</v>
      </c>
      <c r="N278" s="2">
        <f t="shared" si="7"/>
        <v>24677804.735999998</v>
      </c>
    </row>
    <row r="279" spans="1:14" s="2" customFormat="1" x14ac:dyDescent="0.25">
      <c r="A279" s="115" t="s">
        <v>318</v>
      </c>
      <c r="B279" s="115"/>
      <c r="C279" s="115"/>
      <c r="D279" s="115"/>
      <c r="E279" s="115"/>
      <c r="F279" s="115"/>
      <c r="G279" s="115"/>
      <c r="H279" s="115"/>
      <c r="J279" s="57">
        <f t="shared" si="5"/>
        <v>23082257.015999995</v>
      </c>
      <c r="M279" s="2">
        <f t="shared" si="6"/>
        <v>850.95878399999992</v>
      </c>
      <c r="N279" s="2">
        <f t="shared" si="7"/>
        <v>24677804.735999998</v>
      </c>
    </row>
    <row r="280" spans="1:14" s="2" customFormat="1" x14ac:dyDescent="0.25">
      <c r="A280" s="105">
        <v>1</v>
      </c>
      <c r="B280" s="105" t="s">
        <v>223</v>
      </c>
      <c r="C280" s="60" t="s">
        <v>204</v>
      </c>
      <c r="D280" s="60">
        <f>49.41*10.764</f>
        <v>531.8492399999999</v>
      </c>
      <c r="E280" s="60">
        <v>0</v>
      </c>
      <c r="F280" s="58">
        <f t="shared" ref="F280:F285" si="9">D280*(($F$167)+1)+(IF(E280&lt;101,E280,IF(E280&lt;201,E280/2,IF(E280&lt;=301,E280/3,E280/4))))</f>
        <v>824.36632199999985</v>
      </c>
      <c r="G280" s="107" t="str">
        <f>A279</f>
        <v>1st Floor for Residential</v>
      </c>
      <c r="H280" s="108"/>
      <c r="J280" s="57">
        <f t="shared" si="5"/>
        <v>23185031.687999997</v>
      </c>
      <c r="M280" s="2">
        <f t="shared" si="6"/>
        <v>854.74771199999998</v>
      </c>
      <c r="N280" s="2">
        <f t="shared" si="7"/>
        <v>24787683.647999998</v>
      </c>
    </row>
    <row r="281" spans="1:14" s="2" customFormat="1" x14ac:dyDescent="0.25">
      <c r="A281" s="105">
        <f>A280+1</f>
        <v>2</v>
      </c>
      <c r="B281" s="105" t="s">
        <v>224</v>
      </c>
      <c r="C281" s="60" t="s">
        <v>204</v>
      </c>
      <c r="D281" s="60">
        <f>49.41*10.764</f>
        <v>531.8492399999999</v>
      </c>
      <c r="E281" s="60">
        <v>0</v>
      </c>
      <c r="F281" s="58">
        <f t="shared" si="9"/>
        <v>824.36632199999985</v>
      </c>
      <c r="G281" s="109"/>
      <c r="H281" s="110"/>
      <c r="I281" s="57">
        <f>17227000/F283</f>
        <v>20804.629749531701</v>
      </c>
      <c r="J281" s="57">
        <f t="shared" si="5"/>
        <v>23185031.687999997</v>
      </c>
      <c r="M281" s="2">
        <f t="shared" si="6"/>
        <v>854.74771199999998</v>
      </c>
      <c r="N281" s="2">
        <f t="shared" si="7"/>
        <v>24787683.647999998</v>
      </c>
    </row>
    <row r="282" spans="1:14" s="2" customFormat="1" x14ac:dyDescent="0.25">
      <c r="A282" s="105">
        <f t="shared" ref="A282:A285" si="10">A281+1</f>
        <v>3</v>
      </c>
      <c r="B282" s="105" t="s">
        <v>369</v>
      </c>
      <c r="C282" s="60" t="s">
        <v>204</v>
      </c>
      <c r="D282" s="60">
        <f>49.63*10.764</f>
        <v>534.21731999999997</v>
      </c>
      <c r="E282" s="60">
        <v>0</v>
      </c>
      <c r="F282" s="58">
        <f t="shared" si="9"/>
        <v>828.03684599999997</v>
      </c>
      <c r="G282" s="109"/>
      <c r="H282" s="110"/>
      <c r="I282" s="57"/>
      <c r="J282" s="2">
        <f t="shared" si="5"/>
        <v>23180360.111999996</v>
      </c>
    </row>
    <row r="283" spans="1:14" s="2" customFormat="1" x14ac:dyDescent="0.25">
      <c r="A283" s="105">
        <f t="shared" si="10"/>
        <v>4</v>
      </c>
      <c r="B283" s="105" t="s">
        <v>370</v>
      </c>
      <c r="C283" s="60" t="s">
        <v>204</v>
      </c>
      <c r="D283" s="60">
        <f>49.63*10.764</f>
        <v>534.21731999999997</v>
      </c>
      <c r="E283" s="60">
        <v>0</v>
      </c>
      <c r="F283" s="58">
        <f t="shared" si="9"/>
        <v>828.03684599999997</v>
      </c>
      <c r="G283" s="109"/>
      <c r="H283" s="110"/>
      <c r="I283" s="57"/>
      <c r="J283" s="2">
        <f t="shared" si="5"/>
        <v>23180360.111999996</v>
      </c>
    </row>
    <row r="284" spans="1:14" s="2" customFormat="1" x14ac:dyDescent="0.25">
      <c r="A284" s="105">
        <f t="shared" si="10"/>
        <v>5</v>
      </c>
      <c r="B284" s="105" t="s">
        <v>371</v>
      </c>
      <c r="C284" s="60" t="s">
        <v>204</v>
      </c>
      <c r="D284" s="60">
        <f>49.62*10.764</f>
        <v>534.10967999999991</v>
      </c>
      <c r="E284" s="60">
        <v>0</v>
      </c>
      <c r="F284" s="58">
        <f t="shared" si="9"/>
        <v>827.87000399999988</v>
      </c>
      <c r="G284" s="109"/>
      <c r="H284" s="110"/>
      <c r="J284" s="2">
        <f t="shared" si="5"/>
        <v>0</v>
      </c>
    </row>
    <row r="285" spans="1:14" s="2" customFormat="1" x14ac:dyDescent="0.25">
      <c r="A285" s="105">
        <f t="shared" si="10"/>
        <v>6</v>
      </c>
      <c r="B285" s="105" t="s">
        <v>372</v>
      </c>
      <c r="C285" s="60" t="s">
        <v>204</v>
      </c>
      <c r="D285" s="60">
        <f>49.62*10.764</f>
        <v>534.10967999999991</v>
      </c>
      <c r="E285" s="60">
        <v>0</v>
      </c>
      <c r="F285" s="58">
        <f t="shared" si="9"/>
        <v>827.87000399999988</v>
      </c>
      <c r="G285" s="111"/>
      <c r="H285" s="112"/>
      <c r="J285" s="2">
        <f t="shared" si="5"/>
        <v>23082257.015999995</v>
      </c>
    </row>
    <row r="286" spans="1:14" s="2" customFormat="1" x14ac:dyDescent="0.25">
      <c r="A286" s="115" t="s">
        <v>329</v>
      </c>
      <c r="B286" s="115"/>
      <c r="C286" s="115"/>
      <c r="D286" s="115"/>
      <c r="E286" s="115"/>
      <c r="F286" s="115"/>
      <c r="G286" s="115"/>
      <c r="H286" s="115"/>
      <c r="J286" s="2">
        <f t="shared" si="5"/>
        <v>23082257.015999995</v>
      </c>
    </row>
    <row r="287" spans="1:14" s="2" customFormat="1" x14ac:dyDescent="0.25">
      <c r="A287" s="105">
        <v>1</v>
      </c>
      <c r="B287" s="105" t="s">
        <v>223</v>
      </c>
      <c r="C287" s="60" t="s">
        <v>204</v>
      </c>
      <c r="D287" s="60">
        <f>49.41*10.764</f>
        <v>531.8492399999999</v>
      </c>
      <c r="E287" s="60">
        <v>0</v>
      </c>
      <c r="F287" s="58">
        <f t="shared" ref="F287:F292" si="11">D287*(($F$167)+1)+(IF(E287&lt;101,E287,IF(E287&lt;201,E287/2,IF(E287&lt;=301,E287/3,E287/4))))</f>
        <v>824.36632199999985</v>
      </c>
      <c r="G287" s="107" t="str">
        <f>A286</f>
        <v>2nd &amp; 3rd Floor for Residential</v>
      </c>
      <c r="H287" s="108"/>
      <c r="J287" s="2">
        <f t="shared" si="5"/>
        <v>23185031.687999997</v>
      </c>
    </row>
    <row r="288" spans="1:14" s="2" customFormat="1" x14ac:dyDescent="0.25">
      <c r="A288" s="105">
        <f>A287+1</f>
        <v>2</v>
      </c>
      <c r="B288" s="105" t="s">
        <v>224</v>
      </c>
      <c r="C288" s="60" t="s">
        <v>204</v>
      </c>
      <c r="D288" s="60">
        <f>49.41*10.764</f>
        <v>531.8492399999999</v>
      </c>
      <c r="E288" s="60">
        <v>0</v>
      </c>
      <c r="F288" s="58">
        <f t="shared" si="11"/>
        <v>824.36632199999985</v>
      </c>
      <c r="G288" s="109"/>
      <c r="H288" s="110"/>
      <c r="I288" s="57">
        <f>17227000/F290</f>
        <v>20804.629749531701</v>
      </c>
      <c r="J288" s="2">
        <f t="shared" si="5"/>
        <v>23185031.687999997</v>
      </c>
    </row>
    <row r="289" spans="1:12" s="2" customFormat="1" x14ac:dyDescent="0.25">
      <c r="A289" s="105">
        <f t="shared" ref="A289:A292" si="12">A288+1</f>
        <v>3</v>
      </c>
      <c r="B289" s="105" t="s">
        <v>369</v>
      </c>
      <c r="C289" s="60" t="s">
        <v>204</v>
      </c>
      <c r="D289" s="60">
        <f>49.63*10.764</f>
        <v>534.21731999999997</v>
      </c>
      <c r="E289" s="60">
        <v>0</v>
      </c>
      <c r="F289" s="58">
        <f t="shared" si="11"/>
        <v>828.03684599999997</v>
      </c>
      <c r="G289" s="109"/>
      <c r="H289" s="110"/>
      <c r="I289" s="57"/>
      <c r="J289" s="2">
        <f t="shared" si="5"/>
        <v>23180360.111999996</v>
      </c>
    </row>
    <row r="290" spans="1:12" s="2" customFormat="1" x14ac:dyDescent="0.25">
      <c r="A290" s="105">
        <f t="shared" si="12"/>
        <v>4</v>
      </c>
      <c r="B290" s="105" t="s">
        <v>370</v>
      </c>
      <c r="C290" s="60" t="s">
        <v>204</v>
      </c>
      <c r="D290" s="60">
        <f>49.63*10.764</f>
        <v>534.21731999999997</v>
      </c>
      <c r="E290" s="60">
        <v>0</v>
      </c>
      <c r="F290" s="58">
        <f t="shared" si="11"/>
        <v>828.03684599999997</v>
      </c>
      <c r="G290" s="109"/>
      <c r="H290" s="110"/>
      <c r="I290" s="57"/>
      <c r="J290" s="2">
        <f t="shared" si="5"/>
        <v>23180360.111999996</v>
      </c>
    </row>
    <row r="291" spans="1:12" s="2" customFormat="1" x14ac:dyDescent="0.25">
      <c r="A291" s="105">
        <f t="shared" si="12"/>
        <v>5</v>
      </c>
      <c r="B291" s="105" t="s">
        <v>371</v>
      </c>
      <c r="C291" s="60" t="s">
        <v>204</v>
      </c>
      <c r="D291" s="60">
        <f>49.62*10.764</f>
        <v>534.10967999999991</v>
      </c>
      <c r="E291" s="60">
        <v>0</v>
      </c>
      <c r="F291" s="58">
        <f t="shared" si="11"/>
        <v>827.87000399999988</v>
      </c>
      <c r="G291" s="109"/>
      <c r="H291" s="110"/>
      <c r="I291" s="57"/>
      <c r="J291" s="2">
        <f t="shared" si="5"/>
        <v>0</v>
      </c>
    </row>
    <row r="292" spans="1:12" s="2" customFormat="1" x14ac:dyDescent="0.25">
      <c r="A292" s="105">
        <f t="shared" si="12"/>
        <v>6</v>
      </c>
      <c r="B292" s="105" t="s">
        <v>372</v>
      </c>
      <c r="C292" s="60" t="s">
        <v>204</v>
      </c>
      <c r="D292" s="60">
        <f>49.62*10.764</f>
        <v>534.10967999999991</v>
      </c>
      <c r="E292" s="60">
        <v>0</v>
      </c>
      <c r="F292" s="58">
        <f t="shared" si="11"/>
        <v>827.87000399999988</v>
      </c>
      <c r="G292" s="111"/>
      <c r="H292" s="112"/>
      <c r="I292" s="57"/>
      <c r="J292" s="2">
        <f t="shared" si="5"/>
        <v>23082257.015999995</v>
      </c>
    </row>
    <row r="293" spans="1:12" s="2" customFormat="1" x14ac:dyDescent="0.25">
      <c r="A293" s="115" t="s">
        <v>207</v>
      </c>
      <c r="B293" s="115"/>
      <c r="C293" s="115"/>
      <c r="D293" s="115"/>
      <c r="E293" s="115"/>
      <c r="F293" s="115"/>
      <c r="G293" s="115"/>
      <c r="H293" s="115"/>
      <c r="I293" s="57"/>
    </row>
    <row r="294" spans="1:12" s="2" customFormat="1" x14ac:dyDescent="0.25">
      <c r="A294" s="105">
        <v>1</v>
      </c>
      <c r="B294" s="105" t="s">
        <v>223</v>
      </c>
      <c r="C294" s="60" t="s">
        <v>204</v>
      </c>
      <c r="D294" s="60">
        <f>49.41*10.764</f>
        <v>531.8492399999999</v>
      </c>
      <c r="E294" s="60">
        <v>0</v>
      </c>
      <c r="F294" s="58">
        <f t="shared" ref="F294:F299" si="13">D294*(($F$167)+1)+(IF(E294&lt;101,E294,IF(E294&lt;201,E294/2,IF(E294&lt;=301,E294/3,E294/4))))</f>
        <v>824.36632199999985</v>
      </c>
      <c r="G294" s="107" t="str">
        <f>A293</f>
        <v>4th Floor</v>
      </c>
      <c r="H294" s="108"/>
      <c r="I294" s="57">
        <f>20100000/F296</f>
        <v>20551.387676365965</v>
      </c>
    </row>
    <row r="295" spans="1:12" s="2" customFormat="1" x14ac:dyDescent="0.25">
      <c r="A295" s="105">
        <f>A294+1</f>
        <v>2</v>
      </c>
      <c r="B295" s="105" t="s">
        <v>224</v>
      </c>
      <c r="C295" s="60" t="s">
        <v>204</v>
      </c>
      <c r="D295" s="60">
        <f>(51.15+2.35*2.53)*10.764</f>
        <v>614.575962</v>
      </c>
      <c r="E295" s="60">
        <v>0</v>
      </c>
      <c r="F295" s="58">
        <f t="shared" si="13"/>
        <v>952.59274110000001</v>
      </c>
      <c r="G295" s="109"/>
      <c r="H295" s="110"/>
    </row>
    <row r="296" spans="1:12" s="2" customFormat="1" x14ac:dyDescent="0.25">
      <c r="A296" s="105">
        <f t="shared" ref="A296:A299" si="14">A295+1</f>
        <v>3</v>
      </c>
      <c r="B296" s="105" t="s">
        <v>369</v>
      </c>
      <c r="C296" s="60" t="s">
        <v>204</v>
      </c>
      <c r="D296" s="60">
        <f>(52.91+2.43*2.35)*10.764</f>
        <v>630.99106199999994</v>
      </c>
      <c r="E296" s="60">
        <v>0</v>
      </c>
      <c r="F296" s="58">
        <f t="shared" si="13"/>
        <v>978.03614609999988</v>
      </c>
      <c r="G296" s="109"/>
      <c r="H296" s="110"/>
    </row>
    <row r="297" spans="1:12" s="2" customFormat="1" x14ac:dyDescent="0.25">
      <c r="A297" s="105">
        <f t="shared" si="14"/>
        <v>4</v>
      </c>
      <c r="B297" s="105" t="s">
        <v>370</v>
      </c>
      <c r="C297" s="60" t="s">
        <v>204</v>
      </c>
      <c r="D297" s="60">
        <f>(52.91+2.43*2.35)*10.764</f>
        <v>630.99106199999994</v>
      </c>
      <c r="E297" s="60">
        <v>0</v>
      </c>
      <c r="F297" s="58">
        <f t="shared" si="13"/>
        <v>978.03614609999988</v>
      </c>
      <c r="G297" s="109"/>
      <c r="H297" s="110"/>
    </row>
    <row r="298" spans="1:12" s="2" customFormat="1" x14ac:dyDescent="0.25">
      <c r="A298" s="105">
        <f t="shared" si="14"/>
        <v>5</v>
      </c>
      <c r="B298" s="105" t="s">
        <v>371</v>
      </c>
      <c r="C298" s="60" t="s">
        <v>204</v>
      </c>
      <c r="D298" s="60">
        <f>49.62*10.764</f>
        <v>534.10967999999991</v>
      </c>
      <c r="E298" s="60">
        <v>0</v>
      </c>
      <c r="F298" s="58">
        <f t="shared" si="13"/>
        <v>827.87000399999988</v>
      </c>
      <c r="G298" s="109"/>
      <c r="H298" s="110"/>
    </row>
    <row r="299" spans="1:12" s="2" customFormat="1" ht="15.75" customHeight="1" x14ac:dyDescent="0.25">
      <c r="A299" s="105">
        <f t="shared" si="14"/>
        <v>6</v>
      </c>
      <c r="B299" s="105" t="s">
        <v>372</v>
      </c>
      <c r="C299" s="60" t="s">
        <v>204</v>
      </c>
      <c r="D299" s="60">
        <f>49.62*10.764</f>
        <v>534.10967999999991</v>
      </c>
      <c r="E299" s="60">
        <v>0</v>
      </c>
      <c r="F299" s="58">
        <f t="shared" si="13"/>
        <v>827.87000399999988</v>
      </c>
      <c r="G299" s="111"/>
      <c r="H299" s="112"/>
    </row>
    <row r="300" spans="1:12" s="2" customFormat="1" ht="15.75" customHeight="1" x14ac:dyDescent="0.25">
      <c r="A300" s="115" t="s">
        <v>386</v>
      </c>
      <c r="B300" s="115"/>
      <c r="C300" s="115"/>
      <c r="D300" s="115"/>
      <c r="E300" s="115"/>
      <c r="F300" s="115"/>
      <c r="G300" s="115"/>
      <c r="H300" s="115"/>
    </row>
    <row r="301" spans="1:12" s="2" customFormat="1" ht="15.75" customHeight="1" x14ac:dyDescent="0.25">
      <c r="A301" s="105">
        <v>1</v>
      </c>
      <c r="B301" s="105" t="s">
        <v>223</v>
      </c>
      <c r="C301" s="60" t="s">
        <v>204</v>
      </c>
      <c r="D301" s="60">
        <f>(51.37+2.35*2.53)*10.764</f>
        <v>616.94404199999997</v>
      </c>
      <c r="E301" s="60">
        <v>0</v>
      </c>
      <c r="F301" s="58">
        <f t="shared" ref="F301:F306" si="15">D301*(($F$167)+1)+(IF(E301&lt;101,E301,IF(E301&lt;201,E301/2,IF(E301&lt;=301,E301/3,E301/4))))</f>
        <v>956.26326510000001</v>
      </c>
      <c r="G301" s="107" t="str">
        <f>A300</f>
        <v>5th, 8th, 11th, 12th, 15th &amp; 16th Floor</v>
      </c>
      <c r="H301" s="108"/>
    </row>
    <row r="302" spans="1:12" s="2" customFormat="1" ht="15.75" customHeight="1" x14ac:dyDescent="0.25">
      <c r="A302" s="105">
        <f>A301+1</f>
        <v>2</v>
      </c>
      <c r="B302" s="105" t="s">
        <v>224</v>
      </c>
      <c r="C302" s="60" t="s">
        <v>204</v>
      </c>
      <c r="D302" s="60">
        <f>(51.37+2.35*2.53)*10.764</f>
        <v>616.94404199999997</v>
      </c>
      <c r="E302" s="60">
        <v>0</v>
      </c>
      <c r="F302" s="58">
        <f t="shared" si="15"/>
        <v>956.26326510000001</v>
      </c>
      <c r="G302" s="109"/>
      <c r="H302" s="110"/>
      <c r="I302" s="2" t="s">
        <v>275</v>
      </c>
    </row>
    <row r="303" spans="1:12" s="2" customFormat="1" ht="15.75" customHeight="1" x14ac:dyDescent="0.25">
      <c r="A303" s="105">
        <f t="shared" ref="A303:A306" si="16">A302+1</f>
        <v>3</v>
      </c>
      <c r="B303" s="105" t="s">
        <v>369</v>
      </c>
      <c r="C303" s="60" t="s">
        <v>204</v>
      </c>
      <c r="D303" s="60">
        <f>(52.91+2.43*2.35)*10.764</f>
        <v>630.99106199999994</v>
      </c>
      <c r="E303" s="60">
        <v>0</v>
      </c>
      <c r="F303" s="58">
        <f t="shared" si="15"/>
        <v>978.03614609999988</v>
      </c>
      <c r="G303" s="109"/>
      <c r="H303" s="110"/>
      <c r="I303" s="57">
        <f>(22003239-800000)/F305</f>
        <v>21686.801273321656</v>
      </c>
      <c r="J303" s="2">
        <f>207692/F305</f>
        <v>212.42863555227206</v>
      </c>
      <c r="K303" s="2">
        <f>8*50</f>
        <v>400</v>
      </c>
      <c r="L303" s="57">
        <f>I303-K303</f>
        <v>21286.801273321656</v>
      </c>
    </row>
    <row r="304" spans="1:12" s="2" customFormat="1" ht="15.75" customHeight="1" x14ac:dyDescent="0.25">
      <c r="A304" s="105">
        <f t="shared" si="16"/>
        <v>4</v>
      </c>
      <c r="B304" s="105" t="s">
        <v>370</v>
      </c>
      <c r="C304" s="60" t="s">
        <v>204</v>
      </c>
      <c r="D304" s="60">
        <f>(52.91+2.43*2.35)*10.764</f>
        <v>630.99106199999994</v>
      </c>
      <c r="E304" s="60">
        <v>0</v>
      </c>
      <c r="F304" s="58">
        <f t="shared" si="15"/>
        <v>978.03614609999988</v>
      </c>
      <c r="G304" s="109"/>
      <c r="H304" s="110"/>
    </row>
    <row r="305" spans="1:12" s="2" customFormat="1" x14ac:dyDescent="0.25">
      <c r="A305" s="105">
        <f t="shared" si="16"/>
        <v>5</v>
      </c>
      <c r="B305" s="105" t="s">
        <v>371</v>
      </c>
      <c r="C305" s="60" t="s">
        <v>204</v>
      </c>
      <c r="D305" s="60">
        <f>(52.89+2.43*2.35)*10.764</f>
        <v>630.77578200000005</v>
      </c>
      <c r="E305" s="60">
        <v>0</v>
      </c>
      <c r="F305" s="58">
        <f t="shared" si="15"/>
        <v>977.70246210000005</v>
      </c>
      <c r="G305" s="109"/>
      <c r="H305" s="110"/>
    </row>
    <row r="306" spans="1:12" s="2" customFormat="1" x14ac:dyDescent="0.25">
      <c r="A306" s="105">
        <f t="shared" si="16"/>
        <v>6</v>
      </c>
      <c r="B306" s="105" t="s">
        <v>372</v>
      </c>
      <c r="C306" s="60" t="s">
        <v>204</v>
      </c>
      <c r="D306" s="60">
        <f>(52.89+2.43*2.35)*10.764</f>
        <v>630.77578200000005</v>
      </c>
      <c r="E306" s="60">
        <v>0</v>
      </c>
      <c r="F306" s="58">
        <f t="shared" si="15"/>
        <v>977.70246210000005</v>
      </c>
      <c r="G306" s="111"/>
      <c r="H306" s="112"/>
    </row>
    <row r="307" spans="1:12" s="2" customFormat="1" x14ac:dyDescent="0.25">
      <c r="A307" s="115" t="s">
        <v>211</v>
      </c>
      <c r="B307" s="115"/>
      <c r="C307" s="115"/>
      <c r="D307" s="115"/>
      <c r="E307" s="115"/>
      <c r="F307" s="115"/>
      <c r="G307" s="115"/>
      <c r="H307" s="115"/>
    </row>
    <row r="308" spans="1:12" s="2" customFormat="1" x14ac:dyDescent="0.25">
      <c r="A308" s="105">
        <v>1</v>
      </c>
      <c r="B308" s="105" t="s">
        <v>223</v>
      </c>
      <c r="C308" s="60" t="s">
        <v>204</v>
      </c>
      <c r="D308" s="90">
        <f>(51.37+2.35*2.53)*10.764</f>
        <v>616.94404199999997</v>
      </c>
      <c r="E308" s="60">
        <v>0</v>
      </c>
      <c r="F308" s="58">
        <f t="shared" ref="F308:F311" si="17">D308*(($F$167)+1)+(IF(E308&lt;101,E308,IF(E308&lt;201,E308/2,IF(E308&lt;=301,E308/3,E308/4))))</f>
        <v>956.26326510000001</v>
      </c>
      <c r="G308" s="107" t="str">
        <f>A307</f>
        <v>6th Floor (Part Refuge Area)</v>
      </c>
      <c r="H308" s="108"/>
    </row>
    <row r="309" spans="1:12" s="2" customFormat="1" x14ac:dyDescent="0.25">
      <c r="A309" s="105">
        <f>A308+1</f>
        <v>2</v>
      </c>
      <c r="B309" s="105" t="s">
        <v>224</v>
      </c>
      <c r="C309" s="60" t="s">
        <v>204</v>
      </c>
      <c r="D309" s="90">
        <f>(51.37+2.35*2.53)*10.764</f>
        <v>616.94404199999997</v>
      </c>
      <c r="E309" s="60">
        <v>0</v>
      </c>
      <c r="F309" s="58">
        <f t="shared" si="17"/>
        <v>956.26326510000001</v>
      </c>
      <c r="G309" s="109"/>
      <c r="H309" s="110"/>
      <c r="I309">
        <f>125*F311</f>
        <v>122254.51826249999</v>
      </c>
    </row>
    <row r="310" spans="1:12" s="2" customFormat="1" x14ac:dyDescent="0.25">
      <c r="A310" s="105">
        <f t="shared" ref="A310:A313" si="18">A309+1</f>
        <v>3</v>
      </c>
      <c r="B310" s="105" t="s">
        <v>369</v>
      </c>
      <c r="C310" s="60" t="s">
        <v>204</v>
      </c>
      <c r="D310" s="60">
        <f>(52.91+2.43*2.35)*10.764</f>
        <v>630.99106199999994</v>
      </c>
      <c r="E310" s="60">
        <v>0</v>
      </c>
      <c r="F310" s="58">
        <f t="shared" si="17"/>
        <v>978.03614609999988</v>
      </c>
      <c r="G310" s="109"/>
      <c r="H310" s="110"/>
    </row>
    <row r="311" spans="1:12" s="2" customFormat="1" x14ac:dyDescent="0.25">
      <c r="A311" s="105">
        <f t="shared" si="18"/>
        <v>4</v>
      </c>
      <c r="B311" s="105" t="s">
        <v>370</v>
      </c>
      <c r="C311" s="60" t="s">
        <v>204</v>
      </c>
      <c r="D311" s="60">
        <f>(52.91+2.43*2.35)*10.764</f>
        <v>630.99106199999994</v>
      </c>
      <c r="E311" s="60">
        <v>0</v>
      </c>
      <c r="F311" s="58">
        <f t="shared" si="17"/>
        <v>978.03614609999988</v>
      </c>
      <c r="G311" s="109"/>
      <c r="H311" s="110"/>
    </row>
    <row r="312" spans="1:12" s="2" customFormat="1" x14ac:dyDescent="0.25">
      <c r="A312" s="105">
        <f t="shared" si="18"/>
        <v>5</v>
      </c>
      <c r="B312" s="105" t="s">
        <v>371</v>
      </c>
      <c r="C312" s="107" t="s">
        <v>210</v>
      </c>
      <c r="D312" s="184"/>
      <c r="E312" s="184"/>
      <c r="F312" s="108"/>
      <c r="G312" s="109"/>
      <c r="H312" s="110"/>
    </row>
    <row r="313" spans="1:12" s="2" customFormat="1" ht="15.75" customHeight="1" x14ac:dyDescent="0.25">
      <c r="A313" s="105">
        <f t="shared" si="18"/>
        <v>6</v>
      </c>
      <c r="B313" s="105" t="s">
        <v>372</v>
      </c>
      <c r="C313" s="111"/>
      <c r="D313" s="185"/>
      <c r="E313" s="185"/>
      <c r="F313" s="112"/>
      <c r="G313" s="111"/>
      <c r="H313" s="112"/>
    </row>
    <row r="314" spans="1:12" s="2" customFormat="1" ht="15.75" customHeight="1" x14ac:dyDescent="0.25">
      <c r="A314" s="115" t="s">
        <v>322</v>
      </c>
      <c r="B314" s="115"/>
      <c r="C314" s="115"/>
      <c r="D314" s="115"/>
      <c r="E314" s="115"/>
      <c r="F314" s="115"/>
      <c r="G314" s="115"/>
      <c r="H314" s="115"/>
    </row>
    <row r="315" spans="1:12" s="2" customFormat="1" ht="15.75" customHeight="1" x14ac:dyDescent="0.25">
      <c r="A315" s="105">
        <v>1</v>
      </c>
      <c r="B315" s="105" t="s">
        <v>223</v>
      </c>
      <c r="C315" s="60" t="s">
        <v>204</v>
      </c>
      <c r="D315" s="60">
        <f>(51.37+2.35*2.53)*10.764</f>
        <v>616.94404199999997</v>
      </c>
      <c r="E315" s="60">
        <v>0</v>
      </c>
      <c r="F315" s="58">
        <f t="shared" ref="F315:F320" si="19">D315*(($F$167)+1)+(IF(E315&lt;101,E315,IF(E315&lt;201,E315/2,IF(E315&lt;=301,E315/3,E315/4))))</f>
        <v>956.26326510000001</v>
      </c>
      <c r="G315" s="107" t="str">
        <f>A314</f>
        <v>7th &amp; 14th Floor</v>
      </c>
      <c r="H315" s="108"/>
    </row>
    <row r="316" spans="1:12" s="2" customFormat="1" ht="15.75" customHeight="1" x14ac:dyDescent="0.25">
      <c r="A316" s="105">
        <f>A315+1</f>
        <v>2</v>
      </c>
      <c r="B316" s="105" t="s">
        <v>224</v>
      </c>
      <c r="C316" s="60" t="s">
        <v>204</v>
      </c>
      <c r="D316" s="60">
        <f>(51.37+2.35*2.53)*10.764</f>
        <v>616.94404199999997</v>
      </c>
      <c r="E316" s="60">
        <v>0</v>
      </c>
      <c r="F316" s="58">
        <f t="shared" si="19"/>
        <v>956.26326510000001</v>
      </c>
      <c r="G316" s="109"/>
      <c r="H316" s="110"/>
      <c r="I316" s="2" t="s">
        <v>275</v>
      </c>
    </row>
    <row r="317" spans="1:12" s="2" customFormat="1" ht="15.75" customHeight="1" x14ac:dyDescent="0.25">
      <c r="A317" s="105">
        <f t="shared" ref="A317:A320" si="20">A316+1</f>
        <v>3</v>
      </c>
      <c r="B317" s="105" t="s">
        <v>369</v>
      </c>
      <c r="C317" s="60" t="s">
        <v>204</v>
      </c>
      <c r="D317" s="60">
        <f>(52.91+2.43*2.35)*10.764</f>
        <v>630.99106199999994</v>
      </c>
      <c r="E317" s="60">
        <v>0</v>
      </c>
      <c r="F317" s="58">
        <f t="shared" si="19"/>
        <v>978.03614609999988</v>
      </c>
      <c r="G317" s="109"/>
      <c r="H317" s="110"/>
      <c r="I317" s="57">
        <f>(22003239-800000)/F319</f>
        <v>21686.801273321656</v>
      </c>
      <c r="J317" s="2">
        <f>207692/F319</f>
        <v>212.42863555227206</v>
      </c>
      <c r="K317" s="2">
        <f>8*50</f>
        <v>400</v>
      </c>
      <c r="L317" s="57">
        <f>I317-K317</f>
        <v>21286.801273321656</v>
      </c>
    </row>
    <row r="318" spans="1:12" s="2" customFormat="1" ht="15.75" customHeight="1" x14ac:dyDescent="0.25">
      <c r="A318" s="105">
        <f t="shared" si="20"/>
        <v>4</v>
      </c>
      <c r="B318" s="105" t="s">
        <v>370</v>
      </c>
      <c r="C318" s="60" t="s">
        <v>204</v>
      </c>
      <c r="D318" s="60">
        <f>(52.91+2.43*2.35)*10.764</f>
        <v>630.99106199999994</v>
      </c>
      <c r="E318" s="60">
        <v>0</v>
      </c>
      <c r="F318" s="58">
        <f t="shared" si="19"/>
        <v>978.03614609999988</v>
      </c>
      <c r="G318" s="109"/>
      <c r="H318" s="110"/>
    </row>
    <row r="319" spans="1:12" s="91" customFormat="1" x14ac:dyDescent="0.25">
      <c r="A319" s="105">
        <f t="shared" si="20"/>
        <v>5</v>
      </c>
      <c r="B319" s="105" t="s">
        <v>371</v>
      </c>
      <c r="C319" s="60" t="s">
        <v>204</v>
      </c>
      <c r="D319" s="60">
        <f>(52.89+2.43*2.35)*10.764</f>
        <v>630.77578200000005</v>
      </c>
      <c r="E319" s="60">
        <v>0</v>
      </c>
      <c r="F319" s="58">
        <f t="shared" si="19"/>
        <v>977.70246210000005</v>
      </c>
      <c r="G319" s="109"/>
      <c r="H319" s="110"/>
    </row>
    <row r="320" spans="1:12" s="2" customFormat="1" x14ac:dyDescent="0.25">
      <c r="A320" s="105">
        <f t="shared" si="20"/>
        <v>6</v>
      </c>
      <c r="B320" s="105" t="s">
        <v>372</v>
      </c>
      <c r="C320" s="60" t="s">
        <v>204</v>
      </c>
      <c r="D320" s="60">
        <f>(52.89+2.43*2.35)*10.764</f>
        <v>630.77578200000005</v>
      </c>
      <c r="E320" s="60">
        <v>0</v>
      </c>
      <c r="F320" s="58">
        <f t="shared" si="19"/>
        <v>977.70246210000005</v>
      </c>
      <c r="G320" s="111"/>
      <c r="H320" s="112"/>
    </row>
    <row r="321" spans="1:9" s="2" customFormat="1" x14ac:dyDescent="0.25">
      <c r="A321" s="186" t="s">
        <v>330</v>
      </c>
      <c r="B321" s="186"/>
      <c r="C321" s="186"/>
      <c r="D321" s="186"/>
      <c r="E321" s="186"/>
      <c r="F321" s="186"/>
      <c r="G321" s="186"/>
      <c r="H321" s="186"/>
    </row>
    <row r="322" spans="1:9" s="2" customFormat="1" x14ac:dyDescent="0.25">
      <c r="A322" s="105">
        <v>1</v>
      </c>
      <c r="B322" s="105" t="s">
        <v>223</v>
      </c>
      <c r="C322" s="60" t="s">
        <v>204</v>
      </c>
      <c r="D322" s="60">
        <f>(51.37+2.35*2.53)*10.764</f>
        <v>616.94404199999997</v>
      </c>
      <c r="E322" s="60">
        <v>0</v>
      </c>
      <c r="F322" s="58">
        <f t="shared" ref="F322:F327" si="21">D322*(($F$167)+1)+(IF(E322&lt;101,E322,IF(E322&lt;201,E322/2,IF(E322&lt;=301,E322/3,E322/4))))</f>
        <v>956.26326510000001</v>
      </c>
      <c r="G322" s="107" t="str">
        <f>A321</f>
        <v>9th &amp; 10th Floor for Residential</v>
      </c>
      <c r="H322" s="108"/>
    </row>
    <row r="323" spans="1:9" s="2" customFormat="1" x14ac:dyDescent="0.25">
      <c r="A323" s="105">
        <f>A322+1</f>
        <v>2</v>
      </c>
      <c r="B323" s="105" t="s">
        <v>224</v>
      </c>
      <c r="C323" s="60" t="s">
        <v>204</v>
      </c>
      <c r="D323" s="60">
        <f>(51.37+2.35*2.53)*10.764</f>
        <v>616.94404199999997</v>
      </c>
      <c r="E323" s="60">
        <v>0</v>
      </c>
      <c r="F323" s="58">
        <f t="shared" si="21"/>
        <v>956.26326510000001</v>
      </c>
      <c r="G323" s="109"/>
      <c r="H323" s="110"/>
      <c r="I323" s="57">
        <f>17227000/F325</f>
        <v>17613.868432873456</v>
      </c>
    </row>
    <row r="324" spans="1:9" s="2" customFormat="1" x14ac:dyDescent="0.25">
      <c r="A324" s="105">
        <f t="shared" ref="A324:A327" si="22">A323+1</f>
        <v>3</v>
      </c>
      <c r="B324" s="105" t="s">
        <v>369</v>
      </c>
      <c r="C324" s="60" t="s">
        <v>204</v>
      </c>
      <c r="D324" s="60">
        <f>(52.91+2.43*2.35)*10.764</f>
        <v>630.99106199999994</v>
      </c>
      <c r="E324" s="60">
        <v>0</v>
      </c>
      <c r="F324" s="58">
        <f t="shared" si="21"/>
        <v>978.03614609999988</v>
      </c>
      <c r="G324" s="109"/>
      <c r="H324" s="110"/>
      <c r="I324" s="57"/>
    </row>
    <row r="325" spans="1:9" s="2" customFormat="1" x14ac:dyDescent="0.25">
      <c r="A325" s="105">
        <f t="shared" si="22"/>
        <v>4</v>
      </c>
      <c r="B325" s="105" t="s">
        <v>370</v>
      </c>
      <c r="C325" s="60" t="s">
        <v>204</v>
      </c>
      <c r="D325" s="60">
        <f>(52.91+2.43*2.35)*10.764</f>
        <v>630.99106199999994</v>
      </c>
      <c r="E325" s="60">
        <v>0</v>
      </c>
      <c r="F325" s="58">
        <f t="shared" si="21"/>
        <v>978.03614609999988</v>
      </c>
      <c r="G325" s="109"/>
      <c r="H325" s="110"/>
      <c r="I325" s="57"/>
    </row>
    <row r="326" spans="1:9" s="2" customFormat="1" x14ac:dyDescent="0.25">
      <c r="A326" s="105">
        <f t="shared" si="22"/>
        <v>5</v>
      </c>
      <c r="B326" s="105" t="s">
        <v>371</v>
      </c>
      <c r="C326" s="60" t="s">
        <v>204</v>
      </c>
      <c r="D326" s="60">
        <f>(52.89+2.43*2.35)*10.764</f>
        <v>630.77578200000005</v>
      </c>
      <c r="E326" s="60">
        <v>0</v>
      </c>
      <c r="F326" s="58">
        <f t="shared" si="21"/>
        <v>977.70246210000005</v>
      </c>
      <c r="G326" s="109"/>
      <c r="H326" s="110"/>
    </row>
    <row r="327" spans="1:9" s="2" customFormat="1" x14ac:dyDescent="0.25">
      <c r="A327" s="105">
        <f t="shared" si="22"/>
        <v>6</v>
      </c>
      <c r="B327" s="105" t="s">
        <v>372</v>
      </c>
      <c r="C327" s="60" t="s">
        <v>204</v>
      </c>
      <c r="D327" s="60">
        <f>(52.89+2.43*2.35)*10.764</f>
        <v>630.77578200000005</v>
      </c>
      <c r="E327" s="60">
        <v>0</v>
      </c>
      <c r="F327" s="58">
        <f t="shared" si="21"/>
        <v>977.70246210000005</v>
      </c>
      <c r="G327" s="111"/>
      <c r="H327" s="112"/>
    </row>
    <row r="328" spans="1:9" s="2" customFormat="1" x14ac:dyDescent="0.25">
      <c r="A328" s="115" t="s">
        <v>209</v>
      </c>
      <c r="B328" s="115"/>
      <c r="C328" s="115"/>
      <c r="D328" s="115"/>
      <c r="E328" s="115"/>
      <c r="F328" s="115"/>
      <c r="G328" s="115"/>
      <c r="H328" s="115"/>
    </row>
    <row r="329" spans="1:9" s="2" customFormat="1" x14ac:dyDescent="0.25">
      <c r="A329" s="105">
        <v>1</v>
      </c>
      <c r="B329" s="105" t="s">
        <v>223</v>
      </c>
      <c r="C329" s="60" t="s">
        <v>204</v>
      </c>
      <c r="D329" s="92">
        <f>(51.37+2.35*2.53)*10.764</f>
        <v>616.94404199999997</v>
      </c>
      <c r="E329" s="60">
        <v>0</v>
      </c>
      <c r="F329" s="58">
        <f t="shared" ref="F329:F333" si="23">D329*(($F$167)+1)+(IF(E329&lt;101,E329,IF(E329&lt;201,E329/2,IF(E329&lt;=301,E329/3,E329/4))))</f>
        <v>956.26326510000001</v>
      </c>
      <c r="G329" s="107" t="str">
        <f>A328</f>
        <v>13th Floor (Part Refuge Area)</v>
      </c>
      <c r="H329" s="108"/>
    </row>
    <row r="330" spans="1:9" s="2" customFormat="1" x14ac:dyDescent="0.25">
      <c r="A330" s="105">
        <f>A329+1</f>
        <v>2</v>
      </c>
      <c r="B330" s="105" t="s">
        <v>224</v>
      </c>
      <c r="C330" s="60" t="s">
        <v>204</v>
      </c>
      <c r="D330" s="92">
        <f>(51.37+2.35*2.53)*10.764</f>
        <v>616.94404199999997</v>
      </c>
      <c r="E330" s="60">
        <v>0</v>
      </c>
      <c r="F330" s="58">
        <f t="shared" si="23"/>
        <v>956.26326510000001</v>
      </c>
      <c r="G330" s="109"/>
      <c r="H330" s="110"/>
    </row>
    <row r="331" spans="1:9" s="2" customFormat="1" x14ac:dyDescent="0.25">
      <c r="A331" s="105">
        <f t="shared" ref="A331:A334" si="24">A330+1</f>
        <v>3</v>
      </c>
      <c r="B331" s="105" t="s">
        <v>369</v>
      </c>
      <c r="C331" s="60" t="s">
        <v>204</v>
      </c>
      <c r="D331" s="92">
        <f>(52.91+2.43*2.35)*10.764</f>
        <v>630.99106199999994</v>
      </c>
      <c r="E331" s="60">
        <v>0</v>
      </c>
      <c r="F331" s="58">
        <f t="shared" si="23"/>
        <v>978.03614609999988</v>
      </c>
      <c r="G331" s="109"/>
      <c r="H331" s="110"/>
    </row>
    <row r="332" spans="1:9" s="2" customFormat="1" x14ac:dyDescent="0.25">
      <c r="A332" s="105">
        <f t="shared" si="24"/>
        <v>4</v>
      </c>
      <c r="B332" s="105" t="s">
        <v>370</v>
      </c>
      <c r="C332" s="60" t="s">
        <v>204</v>
      </c>
      <c r="D332" s="92">
        <f>(52.91+2.43*2.35)*10.764</f>
        <v>630.99106199999994</v>
      </c>
      <c r="E332" s="60">
        <v>0</v>
      </c>
      <c r="F332" s="58">
        <f t="shared" si="23"/>
        <v>978.03614609999988</v>
      </c>
      <c r="G332" s="109"/>
      <c r="H332" s="110"/>
    </row>
    <row r="333" spans="1:9" s="2" customFormat="1" x14ac:dyDescent="0.25">
      <c r="A333" s="105">
        <f t="shared" si="24"/>
        <v>5</v>
      </c>
      <c r="B333" s="105" t="s">
        <v>371</v>
      </c>
      <c r="C333" s="60" t="s">
        <v>204</v>
      </c>
      <c r="D333" s="92">
        <f>(52.89+2.43*2.35)*10.764</f>
        <v>630.77578200000005</v>
      </c>
      <c r="E333" s="60">
        <v>0</v>
      </c>
      <c r="F333" s="58">
        <f t="shared" si="23"/>
        <v>977.70246210000005</v>
      </c>
      <c r="G333" s="109"/>
      <c r="H333" s="110"/>
    </row>
    <row r="334" spans="1:9" s="2" customFormat="1" x14ac:dyDescent="0.25">
      <c r="A334" s="105">
        <f t="shared" si="24"/>
        <v>6</v>
      </c>
      <c r="B334" s="105" t="s">
        <v>372</v>
      </c>
      <c r="C334" s="125" t="s">
        <v>210</v>
      </c>
      <c r="D334" s="126"/>
      <c r="E334" s="126"/>
      <c r="F334" s="127"/>
      <c r="G334" s="111"/>
      <c r="H334" s="112"/>
    </row>
    <row r="335" spans="1:9" s="2" customFormat="1" x14ac:dyDescent="0.25">
      <c r="A335" s="106" t="s">
        <v>202</v>
      </c>
      <c r="B335" s="106"/>
      <c r="C335" s="106"/>
      <c r="D335" s="106"/>
      <c r="E335" s="106"/>
      <c r="F335" s="106"/>
      <c r="G335" s="106"/>
      <c r="H335" s="106"/>
    </row>
    <row r="336" spans="1:9" s="2" customFormat="1" x14ac:dyDescent="0.25">
      <c r="A336" s="106" t="s">
        <v>198</v>
      </c>
      <c r="B336" s="106"/>
      <c r="C336" s="106"/>
      <c r="D336" s="106"/>
      <c r="E336" s="106"/>
      <c r="F336" s="106"/>
      <c r="G336" s="106"/>
      <c r="H336" s="106"/>
    </row>
    <row r="337" spans="1:9" s="2" customFormat="1" ht="15.75" customHeight="1" x14ac:dyDescent="0.25">
      <c r="A337" s="106" t="s">
        <v>325</v>
      </c>
      <c r="B337" s="106"/>
      <c r="C337" s="106"/>
      <c r="D337" s="106"/>
      <c r="E337" s="106"/>
      <c r="F337" s="106"/>
      <c r="G337" s="106"/>
      <c r="H337" s="106"/>
      <c r="I337">
        <f t="shared" ref="I337:I341" si="25">125*F339</f>
        <v>43295.499000000003</v>
      </c>
    </row>
    <row r="338" spans="1:9" s="2" customFormat="1" x14ac:dyDescent="0.25">
      <c r="A338" s="115" t="s">
        <v>331</v>
      </c>
      <c r="B338" s="115"/>
      <c r="C338" s="115"/>
      <c r="D338" s="115"/>
      <c r="E338" s="115"/>
      <c r="F338" s="115"/>
      <c r="G338" s="115"/>
      <c r="H338" s="115"/>
      <c r="I338">
        <f t="shared" si="25"/>
        <v>43086.946499999998</v>
      </c>
    </row>
    <row r="339" spans="1:9" s="2" customFormat="1" x14ac:dyDescent="0.25">
      <c r="A339" s="105">
        <v>1</v>
      </c>
      <c r="B339" s="105"/>
      <c r="C339" s="60" t="s">
        <v>333</v>
      </c>
      <c r="D339" s="60">
        <f>20.76*10.764</f>
        <v>223.46064000000001</v>
      </c>
      <c r="E339" s="60">
        <v>0</v>
      </c>
      <c r="F339" s="58">
        <f t="shared" ref="F339:F341" si="26">D339*(($F$167)+1)+(IF(E339&lt;101,E339,IF(E339&lt;201,E339/2,IF(E339&lt;=301,E339/3,E339/4))))</f>
        <v>346.36399200000005</v>
      </c>
      <c r="G339" s="107" t="str">
        <f>A338</f>
        <v>1st Podium Floor for Commercial</v>
      </c>
      <c r="H339" s="108"/>
      <c r="I339">
        <f t="shared" si="25"/>
        <v>43086.946499999998</v>
      </c>
    </row>
    <row r="340" spans="1:9" s="2" customFormat="1" x14ac:dyDescent="0.25">
      <c r="A340" s="105">
        <v>2</v>
      </c>
      <c r="B340" s="105"/>
      <c r="C340" s="60" t="s">
        <v>333</v>
      </c>
      <c r="D340" s="60">
        <f>20.66*10.764</f>
        <v>222.38423999999998</v>
      </c>
      <c r="E340" s="60">
        <v>0</v>
      </c>
      <c r="F340" s="58">
        <f t="shared" si="26"/>
        <v>344.69557199999997</v>
      </c>
      <c r="G340" s="109"/>
      <c r="H340" s="110"/>
      <c r="I340">
        <f t="shared" si="25"/>
        <v>43107.801749999999</v>
      </c>
    </row>
    <row r="341" spans="1:9" s="2" customFormat="1" x14ac:dyDescent="0.25">
      <c r="A341" s="105">
        <v>3</v>
      </c>
      <c r="B341" s="105"/>
      <c r="C341" s="60" t="s">
        <v>333</v>
      </c>
      <c r="D341" s="60">
        <f>20.66*10.764</f>
        <v>222.38423999999998</v>
      </c>
      <c r="E341" s="60">
        <v>0</v>
      </c>
      <c r="F341" s="58">
        <f t="shared" si="26"/>
        <v>344.69557199999997</v>
      </c>
      <c r="G341" s="109"/>
      <c r="H341" s="110"/>
      <c r="I341">
        <f t="shared" si="25"/>
        <v>42711.551999999996</v>
      </c>
    </row>
    <row r="342" spans="1:9" s="2" customFormat="1" x14ac:dyDescent="0.25">
      <c r="A342" s="105">
        <v>4</v>
      </c>
      <c r="B342" s="105"/>
      <c r="C342" s="60" t="s">
        <v>333</v>
      </c>
      <c r="D342" s="60">
        <f>20.67*10.764</f>
        <v>222.49188000000001</v>
      </c>
      <c r="E342" s="60">
        <v>0</v>
      </c>
      <c r="F342" s="58">
        <f t="shared" ref="F342:F347" si="27">D342*(($F$167)+1)+(IF(E342&lt;101,E342,IF(E342&lt;201,E342/2,IF(E342&lt;=301,E342/3,E342/4))))</f>
        <v>344.862414</v>
      </c>
      <c r="G342" s="109"/>
      <c r="H342" s="110"/>
      <c r="I342">
        <f t="shared" ref="I342:I345" si="28">125*F344</f>
        <v>43086.946499999998</v>
      </c>
    </row>
    <row r="343" spans="1:9" s="2" customFormat="1" x14ac:dyDescent="0.25">
      <c r="A343" s="105">
        <v>5</v>
      </c>
      <c r="B343" s="105"/>
      <c r="C343" s="60" t="s">
        <v>333</v>
      </c>
      <c r="D343" s="60">
        <f>20.48*10.764</f>
        <v>220.44672</v>
      </c>
      <c r="E343" s="60">
        <v>0</v>
      </c>
      <c r="F343" s="58">
        <f t="shared" si="27"/>
        <v>341.69241599999998</v>
      </c>
      <c r="G343" s="109"/>
      <c r="H343" s="110"/>
      <c r="I343">
        <f t="shared" si="28"/>
        <v>42815.828249999999</v>
      </c>
    </row>
    <row r="344" spans="1:9" s="2" customFormat="1" x14ac:dyDescent="0.25">
      <c r="A344" s="105">
        <v>6</v>
      </c>
      <c r="B344" s="105"/>
      <c r="C344" s="60" t="s">
        <v>333</v>
      </c>
      <c r="D344" s="60">
        <f>20.66*10.764</f>
        <v>222.38423999999998</v>
      </c>
      <c r="E344" s="60">
        <v>0</v>
      </c>
      <c r="F344" s="58">
        <f t="shared" si="27"/>
        <v>344.69557199999997</v>
      </c>
      <c r="G344" s="109"/>
      <c r="H344" s="110"/>
      <c r="I344">
        <f t="shared" si="28"/>
        <v>47362.272749999996</v>
      </c>
    </row>
    <row r="345" spans="1:9" s="2" customFormat="1" x14ac:dyDescent="0.25">
      <c r="A345" s="105">
        <v>7</v>
      </c>
      <c r="B345" s="105"/>
      <c r="C345" s="60" t="s">
        <v>333</v>
      </c>
      <c r="D345" s="60">
        <f>20.53*10.764</f>
        <v>220.98491999999999</v>
      </c>
      <c r="E345" s="60">
        <v>0</v>
      </c>
      <c r="F345" s="58">
        <f t="shared" si="27"/>
        <v>342.52662599999996</v>
      </c>
      <c r="G345" s="109"/>
      <c r="H345" s="110"/>
      <c r="I345">
        <f t="shared" si="28"/>
        <v>43566.617250000003</v>
      </c>
    </row>
    <row r="346" spans="1:9" s="2" customFormat="1" x14ac:dyDescent="0.25">
      <c r="A346" s="105">
        <v>8</v>
      </c>
      <c r="B346" s="105"/>
      <c r="C346" s="60" t="s">
        <v>333</v>
      </c>
      <c r="D346" s="60">
        <f>22.71*10.764</f>
        <v>244.45043999999999</v>
      </c>
      <c r="E346" s="60">
        <v>0</v>
      </c>
      <c r="F346" s="58">
        <f t="shared" si="27"/>
        <v>378.89818199999996</v>
      </c>
      <c r="G346" s="109"/>
      <c r="H346" s="110"/>
    </row>
    <row r="347" spans="1:9" s="2" customFormat="1" ht="15.75" customHeight="1" x14ac:dyDescent="0.25">
      <c r="A347" s="105">
        <v>9</v>
      </c>
      <c r="B347" s="105"/>
      <c r="C347" s="60" t="s">
        <v>333</v>
      </c>
      <c r="D347" s="60">
        <f>20.89*10.764</f>
        <v>224.85996</v>
      </c>
      <c r="E347" s="60">
        <v>0</v>
      </c>
      <c r="F347" s="58">
        <f t="shared" si="27"/>
        <v>348.532938</v>
      </c>
      <c r="G347" s="111"/>
      <c r="H347" s="112"/>
    </row>
    <row r="348" spans="1:9" s="2" customFormat="1" x14ac:dyDescent="0.25">
      <c r="A348" s="115" t="s">
        <v>332</v>
      </c>
      <c r="B348" s="115"/>
      <c r="C348" s="115"/>
      <c r="D348" s="115"/>
      <c r="E348" s="115"/>
      <c r="F348" s="115"/>
      <c r="G348" s="115"/>
      <c r="H348" s="115"/>
    </row>
    <row r="349" spans="1:9" s="2" customFormat="1" x14ac:dyDescent="0.25">
      <c r="A349" s="105">
        <v>1</v>
      </c>
      <c r="B349" s="105" t="s">
        <v>223</v>
      </c>
      <c r="C349" s="60" t="s">
        <v>333</v>
      </c>
      <c r="D349" s="60">
        <f>20.76*10.764</f>
        <v>223.46064000000001</v>
      </c>
      <c r="E349" s="60">
        <v>0</v>
      </c>
      <c r="F349" s="58">
        <f t="shared" ref="F349:F358" si="29">D349*(($F$167)+1)+(IF(E349&lt;101,E349,IF(E349&lt;201,E349/2,IF(E349&lt;=301,E349/3,E349/4))))</f>
        <v>346.36399200000005</v>
      </c>
      <c r="G349" s="107" t="str">
        <f>A348</f>
        <v>1st to 7th Floor for Commercial</v>
      </c>
      <c r="H349" s="108"/>
    </row>
    <row r="350" spans="1:9" s="2" customFormat="1" x14ac:dyDescent="0.25">
      <c r="A350" s="105">
        <v>2</v>
      </c>
      <c r="B350" s="105" t="s">
        <v>334</v>
      </c>
      <c r="C350" s="60" t="s">
        <v>333</v>
      </c>
      <c r="D350" s="60">
        <f>20.66*10.764</f>
        <v>222.38423999999998</v>
      </c>
      <c r="E350" s="60">
        <v>0</v>
      </c>
      <c r="F350" s="58">
        <f t="shared" si="29"/>
        <v>344.69557199999997</v>
      </c>
      <c r="G350" s="109"/>
      <c r="H350" s="110"/>
      <c r="I350" s="57">
        <f>17227000/F352</f>
        <v>50367.50119362236</v>
      </c>
    </row>
    <row r="351" spans="1:9" s="2" customFormat="1" x14ac:dyDescent="0.25">
      <c r="A351" s="105">
        <v>3</v>
      </c>
      <c r="B351" s="105" t="s">
        <v>335</v>
      </c>
      <c r="C351" s="60" t="s">
        <v>333</v>
      </c>
      <c r="D351" s="60">
        <f>20.66*10.764</f>
        <v>222.38423999999998</v>
      </c>
      <c r="E351" s="60">
        <v>0</v>
      </c>
      <c r="F351" s="58">
        <f t="shared" si="29"/>
        <v>344.69557199999997</v>
      </c>
      <c r="G351" s="109"/>
      <c r="H351" s="110"/>
      <c r="I351" s="57"/>
    </row>
    <row r="352" spans="1:9" s="2" customFormat="1" x14ac:dyDescent="0.25">
      <c r="A352" s="105">
        <v>4</v>
      </c>
      <c r="B352" s="105" t="s">
        <v>336</v>
      </c>
      <c r="C352" s="60" t="s">
        <v>333</v>
      </c>
      <c r="D352" s="60">
        <f>20.5*10.764</f>
        <v>220.66199999999998</v>
      </c>
      <c r="E352" s="60">
        <v>0</v>
      </c>
      <c r="F352" s="58">
        <f t="shared" si="29"/>
        <v>342.02609999999999</v>
      </c>
      <c r="G352" s="109"/>
      <c r="H352" s="110"/>
      <c r="I352" s="57"/>
    </row>
    <row r="353" spans="1:9" s="2" customFormat="1" x14ac:dyDescent="0.25">
      <c r="A353" s="105">
        <v>5</v>
      </c>
      <c r="B353" s="105" t="s">
        <v>337</v>
      </c>
      <c r="C353" s="60" t="s">
        <v>333</v>
      </c>
      <c r="D353" s="60">
        <f>20.67*10.764</f>
        <v>222.49188000000001</v>
      </c>
      <c r="E353" s="60">
        <v>0</v>
      </c>
      <c r="F353" s="58">
        <f t="shared" si="29"/>
        <v>344.862414</v>
      </c>
      <c r="G353" s="109"/>
      <c r="H353" s="110"/>
    </row>
    <row r="354" spans="1:9" s="2" customFormat="1" x14ac:dyDescent="0.25">
      <c r="A354" s="105">
        <v>6</v>
      </c>
      <c r="B354" s="105" t="s">
        <v>338</v>
      </c>
      <c r="C354" s="60" t="s">
        <v>333</v>
      </c>
      <c r="D354" s="60">
        <f>20.48*10.764</f>
        <v>220.44672</v>
      </c>
      <c r="E354" s="60">
        <v>0</v>
      </c>
      <c r="F354" s="58">
        <f t="shared" si="29"/>
        <v>341.69241599999998</v>
      </c>
      <c r="G354" s="109"/>
      <c r="H354" s="110"/>
      <c r="I354" s="57">
        <f>17227000/F356</f>
        <v>50293.900363821645</v>
      </c>
    </row>
    <row r="355" spans="1:9" s="2" customFormat="1" x14ac:dyDescent="0.25">
      <c r="A355" s="105">
        <v>7</v>
      </c>
      <c r="B355" s="105" t="s">
        <v>339</v>
      </c>
      <c r="C355" s="60" t="s">
        <v>333</v>
      </c>
      <c r="D355" s="60">
        <f>20.66*10.764</f>
        <v>222.38423999999998</v>
      </c>
      <c r="E355" s="60">
        <v>0</v>
      </c>
      <c r="F355" s="58">
        <f t="shared" si="29"/>
        <v>344.69557199999997</v>
      </c>
      <c r="G355" s="109"/>
      <c r="H355" s="110"/>
      <c r="I355" s="57"/>
    </row>
    <row r="356" spans="1:9" s="2" customFormat="1" x14ac:dyDescent="0.25">
      <c r="A356" s="105">
        <v>8</v>
      </c>
      <c r="B356" s="105" t="s">
        <v>340</v>
      </c>
      <c r="C356" s="60" t="s">
        <v>333</v>
      </c>
      <c r="D356" s="60">
        <f>20.53*10.764</f>
        <v>220.98491999999999</v>
      </c>
      <c r="E356" s="60">
        <v>0</v>
      </c>
      <c r="F356" s="58">
        <f t="shared" si="29"/>
        <v>342.52662599999996</v>
      </c>
      <c r="G356" s="109"/>
      <c r="H356" s="110"/>
      <c r="I356" s="57"/>
    </row>
    <row r="357" spans="1:9" s="1" customFormat="1" x14ac:dyDescent="0.25">
      <c r="A357" s="105">
        <v>9</v>
      </c>
      <c r="B357" s="105" t="s">
        <v>341</v>
      </c>
      <c r="C357" s="60" t="s">
        <v>333</v>
      </c>
      <c r="D357" s="60">
        <f>22.71*10.764</f>
        <v>244.45043999999999</v>
      </c>
      <c r="E357" s="60">
        <v>0</v>
      </c>
      <c r="F357" s="58">
        <f t="shared" si="29"/>
        <v>378.89818199999996</v>
      </c>
      <c r="G357" s="109"/>
      <c r="H357" s="110"/>
    </row>
    <row r="358" spans="1:9" s="10" customFormat="1" x14ac:dyDescent="0.25">
      <c r="A358" s="105">
        <v>10</v>
      </c>
      <c r="B358" s="105" t="s">
        <v>342</v>
      </c>
      <c r="C358" s="60" t="s">
        <v>333</v>
      </c>
      <c r="D358" s="60">
        <f>20.89*10.764</f>
        <v>224.85996</v>
      </c>
      <c r="E358" s="60">
        <v>0</v>
      </c>
      <c r="F358" s="58">
        <f t="shared" si="29"/>
        <v>348.532938</v>
      </c>
      <c r="G358" s="111"/>
      <c r="H358" s="112"/>
      <c r="I358" s="10" t="s">
        <v>360</v>
      </c>
    </row>
    <row r="359" spans="1:9" x14ac:dyDescent="0.25">
      <c r="A359" s="167" t="s">
        <v>87</v>
      </c>
      <c r="B359" s="167"/>
      <c r="C359" s="167"/>
      <c r="D359" s="167"/>
      <c r="E359" s="167"/>
      <c r="F359" s="167"/>
      <c r="G359" s="167"/>
      <c r="H359" s="167"/>
    </row>
    <row r="360" spans="1:9" ht="189.75" customHeight="1" x14ac:dyDescent="0.25">
      <c r="A360" s="151" t="s">
        <v>399</v>
      </c>
      <c r="B360" s="151"/>
      <c r="C360" s="151"/>
      <c r="D360" s="151"/>
      <c r="E360" s="151"/>
      <c r="F360" s="151"/>
      <c r="G360" s="151"/>
      <c r="H360" s="151"/>
    </row>
    <row r="361" spans="1:9" ht="15.75" customHeight="1" x14ac:dyDescent="0.25">
      <c r="A361" s="153" t="s">
        <v>78</v>
      </c>
      <c r="B361" s="153"/>
      <c r="C361" s="153"/>
      <c r="D361" s="153"/>
      <c r="E361" s="153"/>
      <c r="F361" s="153"/>
      <c r="G361" s="153"/>
      <c r="H361" s="153"/>
      <c r="I361" s="8" t="s">
        <v>388</v>
      </c>
    </row>
    <row r="362" spans="1:9" x14ac:dyDescent="0.25">
      <c r="A362" s="150" t="s">
        <v>79</v>
      </c>
      <c r="B362" s="150"/>
      <c r="C362" s="150"/>
      <c r="D362" s="150"/>
      <c r="E362" s="150"/>
      <c r="F362" s="150"/>
      <c r="G362" s="150"/>
      <c r="H362" s="150"/>
    </row>
    <row r="363" spans="1:9" x14ac:dyDescent="0.25">
      <c r="A363" s="153" t="s">
        <v>80</v>
      </c>
      <c r="B363" s="153"/>
      <c r="C363" s="153"/>
      <c r="D363" s="153"/>
      <c r="E363" s="153"/>
      <c r="F363" s="153"/>
      <c r="G363" s="153"/>
      <c r="H363" s="153"/>
    </row>
    <row r="364" spans="1:9" x14ac:dyDescent="0.25">
      <c r="A364" s="150" t="s">
        <v>81</v>
      </c>
      <c r="B364" s="150"/>
      <c r="C364" s="150"/>
      <c r="D364" s="150"/>
      <c r="E364" s="150"/>
      <c r="F364" s="150"/>
      <c r="G364" s="150"/>
      <c r="H364" s="150"/>
    </row>
    <row r="365" spans="1:9" x14ac:dyDescent="0.25">
      <c r="A365" s="150" t="s">
        <v>82</v>
      </c>
      <c r="B365" s="150"/>
      <c r="C365" s="150"/>
      <c r="D365" s="150"/>
      <c r="E365" s="150"/>
      <c r="F365" s="150"/>
      <c r="G365" s="150"/>
      <c r="H365" s="150"/>
    </row>
    <row r="366" spans="1:9" x14ac:dyDescent="0.25">
      <c r="A366" s="150" t="s">
        <v>83</v>
      </c>
      <c r="B366" s="150"/>
      <c r="C366" s="150"/>
      <c r="D366" s="150"/>
      <c r="E366" s="150"/>
      <c r="F366" s="150"/>
      <c r="G366" s="150"/>
      <c r="H366" s="150"/>
    </row>
    <row r="367" spans="1:9" x14ac:dyDescent="0.25">
      <c r="A367" s="159" t="s">
        <v>84</v>
      </c>
      <c r="B367" s="159"/>
      <c r="C367" s="159"/>
      <c r="D367" s="159"/>
      <c r="E367" s="159"/>
      <c r="F367" s="159"/>
      <c r="G367" s="159"/>
      <c r="H367" s="159"/>
    </row>
    <row r="368" spans="1:9" x14ac:dyDescent="0.25">
      <c r="A368" s="171" t="s">
        <v>121</v>
      </c>
      <c r="B368" s="171"/>
      <c r="C368" s="171" t="s">
        <v>398</v>
      </c>
      <c r="D368" s="171"/>
      <c r="E368" s="171" t="s">
        <v>164</v>
      </c>
      <c r="F368" s="171"/>
      <c r="G368" s="171" t="s">
        <v>400</v>
      </c>
      <c r="H368" s="171"/>
    </row>
    <row r="369" spans="1:8" x14ac:dyDescent="0.25">
      <c r="A369" s="135" t="s">
        <v>124</v>
      </c>
      <c r="B369" s="135"/>
      <c r="C369" s="135"/>
      <c r="D369" s="135"/>
      <c r="E369" s="135"/>
      <c r="F369" s="135"/>
      <c r="G369" s="135"/>
      <c r="H369" s="135"/>
    </row>
    <row r="370" spans="1:8" x14ac:dyDescent="0.25">
      <c r="A370" s="135"/>
      <c r="B370" s="135"/>
      <c r="C370" s="135"/>
      <c r="D370" s="135"/>
      <c r="E370" s="135"/>
      <c r="F370" s="135"/>
      <c r="G370" s="135"/>
      <c r="H370" s="135"/>
    </row>
    <row r="371" spans="1:8" x14ac:dyDescent="0.25">
      <c r="A371" s="135"/>
      <c r="B371" s="135"/>
      <c r="C371" s="135"/>
      <c r="D371" s="135"/>
      <c r="E371" s="135"/>
      <c r="F371" s="135"/>
      <c r="G371" s="135"/>
      <c r="H371" s="135"/>
    </row>
    <row r="372" spans="1:8" x14ac:dyDescent="0.25">
      <c r="A372" s="135"/>
      <c r="B372" s="135"/>
      <c r="C372" s="135"/>
      <c r="D372" s="135"/>
      <c r="E372" s="135"/>
      <c r="F372" s="135"/>
      <c r="G372" s="135"/>
      <c r="H372" s="135"/>
    </row>
    <row r="373" spans="1:8" x14ac:dyDescent="0.25">
      <c r="A373" s="20" t="s">
        <v>85</v>
      </c>
      <c r="B373" s="21"/>
      <c r="C373" s="21"/>
      <c r="D373" s="20" t="str">
        <f>E8</f>
        <v>Purva Clermont</v>
      </c>
      <c r="F373" s="21"/>
      <c r="G373" s="21"/>
      <c r="H373" s="21"/>
    </row>
    <row r="374" spans="1:8" ht="15" customHeight="1" x14ac:dyDescent="0.25">
      <c r="A374" s="21"/>
      <c r="B374" s="21"/>
      <c r="C374" s="21"/>
      <c r="D374" s="21"/>
      <c r="E374" s="21"/>
      <c r="F374" s="21"/>
      <c r="G374" s="21"/>
      <c r="H374" s="21"/>
    </row>
    <row r="375" spans="1:8" x14ac:dyDescent="0.25">
      <c r="A375" s="21"/>
      <c r="B375"/>
      <c r="C375" s="21"/>
      <c r="D375" s="21"/>
      <c r="E375" s="21"/>
      <c r="F375" s="21"/>
      <c r="G375" s="21"/>
      <c r="H375" s="21"/>
    </row>
    <row r="391" spans="2:2" x14ac:dyDescent="0.25">
      <c r="B391"/>
    </row>
    <row r="407" spans="1:9" x14ac:dyDescent="0.25">
      <c r="D407"/>
      <c r="I407"/>
    </row>
    <row r="408" spans="1:9" x14ac:dyDescent="0.25">
      <c r="F408"/>
    </row>
    <row r="416" spans="1:9" x14ac:dyDescent="0.25">
      <c r="A416" s="23" t="s">
        <v>304</v>
      </c>
    </row>
    <row r="421" spans="9:9" x14ac:dyDescent="0.25">
      <c r="I421"/>
    </row>
    <row r="423" spans="9:9" x14ac:dyDescent="0.25">
      <c r="I423"/>
    </row>
    <row r="456" spans="1:1" x14ac:dyDescent="0.25">
      <c r="A456" s="23" t="s">
        <v>86</v>
      </c>
    </row>
  </sheetData>
  <mergeCells count="555">
    <mergeCell ref="A166:B167"/>
    <mergeCell ref="C166:C167"/>
    <mergeCell ref="D166:D167"/>
    <mergeCell ref="E166:E167"/>
    <mergeCell ref="G166:H167"/>
    <mergeCell ref="A141:E141"/>
    <mergeCell ref="F141:H141"/>
    <mergeCell ref="A163:B163"/>
    <mergeCell ref="D163:E163"/>
    <mergeCell ref="F163:H163"/>
    <mergeCell ref="A152:H152"/>
    <mergeCell ref="A153:B153"/>
    <mergeCell ref="D153:E153"/>
    <mergeCell ref="F153:H153"/>
    <mergeCell ref="A154:B154"/>
    <mergeCell ref="D154:E154"/>
    <mergeCell ref="F154:H154"/>
    <mergeCell ref="A155:B155"/>
    <mergeCell ref="D155:E155"/>
    <mergeCell ref="F155:H155"/>
    <mergeCell ref="A160:B160"/>
    <mergeCell ref="D160:E160"/>
    <mergeCell ref="F160:H160"/>
    <mergeCell ref="A161:B161"/>
    <mergeCell ref="D161:E161"/>
    <mergeCell ref="F161:H161"/>
    <mergeCell ref="A162:B162"/>
    <mergeCell ref="D162:E162"/>
    <mergeCell ref="F162:H162"/>
    <mergeCell ref="A122:B122"/>
    <mergeCell ref="C122:H122"/>
    <mergeCell ref="A124:B124"/>
    <mergeCell ref="C124:H124"/>
    <mergeCell ref="A125:B125"/>
    <mergeCell ref="E125:F125"/>
    <mergeCell ref="G125:H125"/>
    <mergeCell ref="A126:B126"/>
    <mergeCell ref="E126:F135"/>
    <mergeCell ref="G126:H135"/>
    <mergeCell ref="A127:B127"/>
    <mergeCell ref="A128:B128"/>
    <mergeCell ref="A129:B129"/>
    <mergeCell ref="A130:B130"/>
    <mergeCell ref="A131:B131"/>
    <mergeCell ref="A132:B132"/>
    <mergeCell ref="A133:B133"/>
    <mergeCell ref="A134:B134"/>
    <mergeCell ref="A357:B357"/>
    <mergeCell ref="A358:B358"/>
    <mergeCell ref="G339:H347"/>
    <mergeCell ref="G349:H358"/>
    <mergeCell ref="A348:H348"/>
    <mergeCell ref="A349:B349"/>
    <mergeCell ref="A350:B350"/>
    <mergeCell ref="A351:B351"/>
    <mergeCell ref="A352:B352"/>
    <mergeCell ref="A353:B353"/>
    <mergeCell ref="A354:B354"/>
    <mergeCell ref="A344:B344"/>
    <mergeCell ref="A345:B345"/>
    <mergeCell ref="A346:B346"/>
    <mergeCell ref="A347:B347"/>
    <mergeCell ref="A343:B343"/>
    <mergeCell ref="A339:B339"/>
    <mergeCell ref="A340:B340"/>
    <mergeCell ref="A341:B341"/>
    <mergeCell ref="A342:B342"/>
    <mergeCell ref="A355:B355"/>
    <mergeCell ref="A356:B356"/>
    <mergeCell ref="A330:B330"/>
    <mergeCell ref="A331:B331"/>
    <mergeCell ref="A332:B332"/>
    <mergeCell ref="A333:B333"/>
    <mergeCell ref="A334:B334"/>
    <mergeCell ref="C334:F334"/>
    <mergeCell ref="A328:H328"/>
    <mergeCell ref="A329:B329"/>
    <mergeCell ref="A335:H335"/>
    <mergeCell ref="A336:H336"/>
    <mergeCell ref="A337:H337"/>
    <mergeCell ref="A338:H338"/>
    <mergeCell ref="A236:B236"/>
    <mergeCell ref="A282:B282"/>
    <mergeCell ref="A283:B283"/>
    <mergeCell ref="A284:B284"/>
    <mergeCell ref="A285:B285"/>
    <mergeCell ref="A314:H314"/>
    <mergeCell ref="A304:B304"/>
    <mergeCell ref="A305:B305"/>
    <mergeCell ref="A306:B306"/>
    <mergeCell ref="G294:H299"/>
    <mergeCell ref="G301:H306"/>
    <mergeCell ref="G308:H313"/>
    <mergeCell ref="A289:B289"/>
    <mergeCell ref="A290:B290"/>
    <mergeCell ref="A291:B291"/>
    <mergeCell ref="A307:H307"/>
    <mergeCell ref="A308:B308"/>
    <mergeCell ref="A309:B309"/>
    <mergeCell ref="A310:B310"/>
    <mergeCell ref="A311:B311"/>
    <mergeCell ref="A312:B312"/>
    <mergeCell ref="A221:B221"/>
    <mergeCell ref="G221:H222"/>
    <mergeCell ref="A222:B222"/>
    <mergeCell ref="A229:H229"/>
    <mergeCell ref="A230:B230"/>
    <mergeCell ref="G230:H231"/>
    <mergeCell ref="A231:B231"/>
    <mergeCell ref="A223:H223"/>
    <mergeCell ref="A235:H235"/>
    <mergeCell ref="C228:F228"/>
    <mergeCell ref="A207:H207"/>
    <mergeCell ref="A214:H214"/>
    <mergeCell ref="A215:B215"/>
    <mergeCell ref="G215:H216"/>
    <mergeCell ref="A216:B216"/>
    <mergeCell ref="A209:H209"/>
    <mergeCell ref="A211:H211"/>
    <mergeCell ref="A210:H210"/>
    <mergeCell ref="A220:H220"/>
    <mergeCell ref="A217:H217"/>
    <mergeCell ref="A212:B212"/>
    <mergeCell ref="A213:B213"/>
    <mergeCell ref="A218:B218"/>
    <mergeCell ref="A219:B219"/>
    <mergeCell ref="C237:F237"/>
    <mergeCell ref="A245:H245"/>
    <mergeCell ref="A246:B246"/>
    <mergeCell ref="G246:H248"/>
    <mergeCell ref="A238:H238"/>
    <mergeCell ref="A239:H239"/>
    <mergeCell ref="A260:B260"/>
    <mergeCell ref="A249:H249"/>
    <mergeCell ref="A319:B319"/>
    <mergeCell ref="A313:B313"/>
    <mergeCell ref="A241:H241"/>
    <mergeCell ref="A272:H272"/>
    <mergeCell ref="A286:H286"/>
    <mergeCell ref="A287:B287"/>
    <mergeCell ref="A288:B288"/>
    <mergeCell ref="A243:B243"/>
    <mergeCell ref="A244:B244"/>
    <mergeCell ref="A275:B275"/>
    <mergeCell ref="A276:B276"/>
    <mergeCell ref="A279:H279"/>
    <mergeCell ref="A280:B280"/>
    <mergeCell ref="G280:H285"/>
    <mergeCell ref="A281:B281"/>
    <mergeCell ref="A321:H321"/>
    <mergeCell ref="A322:B322"/>
    <mergeCell ref="A269:H269"/>
    <mergeCell ref="A270:H270"/>
    <mergeCell ref="A271:H271"/>
    <mergeCell ref="A242:B242"/>
    <mergeCell ref="G287:H292"/>
    <mergeCell ref="A247:B247"/>
    <mergeCell ref="A248:B248"/>
    <mergeCell ref="G322:H327"/>
    <mergeCell ref="A323:B323"/>
    <mergeCell ref="A324:B324"/>
    <mergeCell ref="A325:B325"/>
    <mergeCell ref="A326:B326"/>
    <mergeCell ref="A327:B327"/>
    <mergeCell ref="A265:H265"/>
    <mergeCell ref="A266:B266"/>
    <mergeCell ref="G266:H268"/>
    <mergeCell ref="A267:B267"/>
    <mergeCell ref="A268:B268"/>
    <mergeCell ref="A250:B250"/>
    <mergeCell ref="G250:H252"/>
    <mergeCell ref="C312:F313"/>
    <mergeCell ref="A294:B294"/>
    <mergeCell ref="A295:B295"/>
    <mergeCell ref="A277:B277"/>
    <mergeCell ref="A278:B278"/>
    <mergeCell ref="A315:B315"/>
    <mergeCell ref="G315:H320"/>
    <mergeCell ref="A316:B316"/>
    <mergeCell ref="A317:B317"/>
    <mergeCell ref="A318:B318"/>
    <mergeCell ref="A320:B320"/>
    <mergeCell ref="A302:B302"/>
    <mergeCell ref="A303:B303"/>
    <mergeCell ref="A273:B273"/>
    <mergeCell ref="A274:B274"/>
    <mergeCell ref="A296:B296"/>
    <mergeCell ref="A297:B297"/>
    <mergeCell ref="A298:B298"/>
    <mergeCell ref="A299:B299"/>
    <mergeCell ref="A300:H300"/>
    <mergeCell ref="A292:B292"/>
    <mergeCell ref="A293:H293"/>
    <mergeCell ref="A64:C64"/>
    <mergeCell ref="D64:H64"/>
    <mergeCell ref="A75:B75"/>
    <mergeCell ref="A76:B76"/>
    <mergeCell ref="A196:B196"/>
    <mergeCell ref="G196:H198"/>
    <mergeCell ref="A197:B197"/>
    <mergeCell ref="A198:B198"/>
    <mergeCell ref="A191:H191"/>
    <mergeCell ref="A192:B192"/>
    <mergeCell ref="G192:H194"/>
    <mergeCell ref="A193:B193"/>
    <mergeCell ref="A194:B194"/>
    <mergeCell ref="A147:E147"/>
    <mergeCell ref="F147:H147"/>
    <mergeCell ref="A148:E148"/>
    <mergeCell ref="F148:H148"/>
    <mergeCell ref="A144:E144"/>
    <mergeCell ref="F144:H144"/>
    <mergeCell ref="A145:E145"/>
    <mergeCell ref="F145:H145"/>
    <mergeCell ref="A146:E146"/>
    <mergeCell ref="F146:H146"/>
    <mergeCell ref="E111:F111"/>
    <mergeCell ref="A78:B78"/>
    <mergeCell ref="A65:C65"/>
    <mergeCell ref="D65:H65"/>
    <mergeCell ref="A66:B66"/>
    <mergeCell ref="C68:H68"/>
    <mergeCell ref="A69:B69"/>
    <mergeCell ref="A70:B70"/>
    <mergeCell ref="A71:B71"/>
    <mergeCell ref="A72:B72"/>
    <mergeCell ref="E69:F69"/>
    <mergeCell ref="E70:F79"/>
    <mergeCell ref="G69:H69"/>
    <mergeCell ref="A73:B73"/>
    <mergeCell ref="A74:B74"/>
    <mergeCell ref="A68:B68"/>
    <mergeCell ref="G70:H79"/>
    <mergeCell ref="C36:H36"/>
    <mergeCell ref="A37:B37"/>
    <mergeCell ref="C37:H37"/>
    <mergeCell ref="A54:B55"/>
    <mergeCell ref="C54:E54"/>
    <mergeCell ref="A62:C62"/>
    <mergeCell ref="A63:C63"/>
    <mergeCell ref="D62:H62"/>
    <mergeCell ref="D63:H63"/>
    <mergeCell ref="A48:B53"/>
    <mergeCell ref="C49:E49"/>
    <mergeCell ref="G49:H49"/>
    <mergeCell ref="G48:H48"/>
    <mergeCell ref="D60:H60"/>
    <mergeCell ref="A60:C60"/>
    <mergeCell ref="G56:H56"/>
    <mergeCell ref="A56:B56"/>
    <mergeCell ref="C56:E56"/>
    <mergeCell ref="G46:H46"/>
    <mergeCell ref="G47:H47"/>
    <mergeCell ref="A47:B47"/>
    <mergeCell ref="C47:E47"/>
    <mergeCell ref="C48:E48"/>
    <mergeCell ref="A46:B46"/>
    <mergeCell ref="C50:E50"/>
    <mergeCell ref="G50:H50"/>
    <mergeCell ref="C51:E51"/>
    <mergeCell ref="G51:H51"/>
    <mergeCell ref="A32:B32"/>
    <mergeCell ref="C32:E32"/>
    <mergeCell ref="A33:B33"/>
    <mergeCell ref="C33:E33"/>
    <mergeCell ref="C34:E34"/>
    <mergeCell ref="A30:B30"/>
    <mergeCell ref="A61:C61"/>
    <mergeCell ref="D61:H61"/>
    <mergeCell ref="A59:C59"/>
    <mergeCell ref="D59:H59"/>
    <mergeCell ref="D58:H58"/>
    <mergeCell ref="C46:E46"/>
    <mergeCell ref="A41:D41"/>
    <mergeCell ref="E41:H41"/>
    <mergeCell ref="E42:H42"/>
    <mergeCell ref="E43:H43"/>
    <mergeCell ref="E44:H44"/>
    <mergeCell ref="A42:D42"/>
    <mergeCell ref="A43:D43"/>
    <mergeCell ref="A44:D44"/>
    <mergeCell ref="A45:H45"/>
    <mergeCell ref="A57:H57"/>
    <mergeCell ref="A58:C58"/>
    <mergeCell ref="A36:B36"/>
    <mergeCell ref="G54:H54"/>
    <mergeCell ref="C55:H55"/>
    <mergeCell ref="A369:H372"/>
    <mergeCell ref="A368:B368"/>
    <mergeCell ref="E368:F368"/>
    <mergeCell ref="C368:D368"/>
    <mergeCell ref="G368:H368"/>
    <mergeCell ref="A150:E150"/>
    <mergeCell ref="F150:H150"/>
    <mergeCell ref="A151:E151"/>
    <mergeCell ref="F151:H151"/>
    <mergeCell ref="D159:E159"/>
    <mergeCell ref="F159:H159"/>
    <mergeCell ref="A208:H208"/>
    <mergeCell ref="A159:B159"/>
    <mergeCell ref="A164:H164"/>
    <mergeCell ref="A157:B157"/>
    <mergeCell ref="D157:E157"/>
    <mergeCell ref="A156:H156"/>
    <mergeCell ref="F157:H157"/>
    <mergeCell ref="A363:H363"/>
    <mergeCell ref="A364:H364"/>
    <mergeCell ref="A365:H365"/>
    <mergeCell ref="A366:H366"/>
    <mergeCell ref="A367:H367"/>
    <mergeCell ref="A359:H359"/>
    <mergeCell ref="A17:B17"/>
    <mergeCell ref="C17:D17"/>
    <mergeCell ref="E17:F17"/>
    <mergeCell ref="G17:H17"/>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A1:H1"/>
    <mergeCell ref="A2:H2"/>
    <mergeCell ref="A3:D3"/>
    <mergeCell ref="E3:H3"/>
    <mergeCell ref="A4:D4"/>
    <mergeCell ref="A8:D8"/>
    <mergeCell ref="E8:H8"/>
    <mergeCell ref="A9:D9"/>
    <mergeCell ref="E9:H9"/>
    <mergeCell ref="E4:H4"/>
    <mergeCell ref="A11:D11"/>
    <mergeCell ref="E11:H11"/>
    <mergeCell ref="A5:D5"/>
    <mergeCell ref="A6:D6"/>
    <mergeCell ref="E6:H6"/>
    <mergeCell ref="A7:D7"/>
    <mergeCell ref="E7:H7"/>
    <mergeCell ref="A15:B15"/>
    <mergeCell ref="A12:D12"/>
    <mergeCell ref="E12:H12"/>
    <mergeCell ref="A13:D13"/>
    <mergeCell ref="C31:E31"/>
    <mergeCell ref="E13:H13"/>
    <mergeCell ref="A14:B14"/>
    <mergeCell ref="C14:H14"/>
    <mergeCell ref="C15:H15"/>
    <mergeCell ref="A10:D10"/>
    <mergeCell ref="E10:H10"/>
    <mergeCell ref="A16:B16"/>
    <mergeCell ref="C16:D16"/>
    <mergeCell ref="E16:F16"/>
    <mergeCell ref="G16:H16"/>
    <mergeCell ref="A24:D24"/>
    <mergeCell ref="A25:D25"/>
    <mergeCell ref="E25:H25"/>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361:H361"/>
    <mergeCell ref="A362:H362"/>
    <mergeCell ref="A165:H165"/>
    <mergeCell ref="G212:H213"/>
    <mergeCell ref="G218:H219"/>
    <mergeCell ref="G242:H244"/>
    <mergeCell ref="G273:H278"/>
    <mergeCell ref="A158:B158"/>
    <mergeCell ref="D158:E158"/>
    <mergeCell ref="F158:H158"/>
    <mergeCell ref="A168:H168"/>
    <mergeCell ref="A169:H169"/>
    <mergeCell ref="A170:H170"/>
    <mergeCell ref="A171:H171"/>
    <mergeCell ref="A172:B172"/>
    <mergeCell ref="G172:H174"/>
    <mergeCell ref="A173:B173"/>
    <mergeCell ref="A174:B174"/>
    <mergeCell ref="A183:H183"/>
    <mergeCell ref="A188:B188"/>
    <mergeCell ref="G188:H190"/>
    <mergeCell ref="A189:B189"/>
    <mergeCell ref="A190:B190"/>
    <mergeCell ref="A240:H240"/>
    <mergeCell ref="A360:H360"/>
    <mergeCell ref="A142:E142"/>
    <mergeCell ref="C190:F190"/>
    <mergeCell ref="A199:H199"/>
    <mergeCell ref="A184:B184"/>
    <mergeCell ref="G184:H186"/>
    <mergeCell ref="A185:B185"/>
    <mergeCell ref="A186:B186"/>
    <mergeCell ref="A187:H187"/>
    <mergeCell ref="A149:E149"/>
    <mergeCell ref="F149:H149"/>
    <mergeCell ref="A179:H179"/>
    <mergeCell ref="A180:B180"/>
    <mergeCell ref="G180:H182"/>
    <mergeCell ref="A181:B181"/>
    <mergeCell ref="A182:B182"/>
    <mergeCell ref="A175:H175"/>
    <mergeCell ref="A176:B176"/>
    <mergeCell ref="G176:H178"/>
    <mergeCell ref="A177:B177"/>
    <mergeCell ref="A178:B178"/>
    <mergeCell ref="A195:H195"/>
    <mergeCell ref="G329:H334"/>
    <mergeCell ref="A301:B301"/>
    <mergeCell ref="G200:H201"/>
    <mergeCell ref="A201:B201"/>
    <mergeCell ref="A112:B112"/>
    <mergeCell ref="E112:F121"/>
    <mergeCell ref="G112:H121"/>
    <mergeCell ref="A113:B113"/>
    <mergeCell ref="A114:B114"/>
    <mergeCell ref="A115:B115"/>
    <mergeCell ref="A116:B116"/>
    <mergeCell ref="A117:B117"/>
    <mergeCell ref="A118:B118"/>
    <mergeCell ref="A119:B119"/>
    <mergeCell ref="F142:H142"/>
    <mergeCell ref="A136:H136"/>
    <mergeCell ref="A139:H139"/>
    <mergeCell ref="A140:E140"/>
    <mergeCell ref="F140:H140"/>
    <mergeCell ref="A137:H137"/>
    <mergeCell ref="A138:B138"/>
    <mergeCell ref="C138:H138"/>
    <mergeCell ref="A135:B135"/>
    <mergeCell ref="A120:B120"/>
    <mergeCell ref="A143:E143"/>
    <mergeCell ref="F143:H143"/>
    <mergeCell ref="C66:H66"/>
    <mergeCell ref="A80:B80"/>
    <mergeCell ref="C80:H80"/>
    <mergeCell ref="A82:B82"/>
    <mergeCell ref="C82:H82"/>
    <mergeCell ref="A83:B83"/>
    <mergeCell ref="E83:F83"/>
    <mergeCell ref="G83:H83"/>
    <mergeCell ref="C108:H108"/>
    <mergeCell ref="A94:B94"/>
    <mergeCell ref="C94:H94"/>
    <mergeCell ref="A96:B96"/>
    <mergeCell ref="C96:H96"/>
    <mergeCell ref="A97:B97"/>
    <mergeCell ref="E97:F97"/>
    <mergeCell ref="G98:H107"/>
    <mergeCell ref="A99:B99"/>
    <mergeCell ref="A108:B108"/>
    <mergeCell ref="G97:H97"/>
    <mergeCell ref="A98:B98"/>
    <mergeCell ref="A104:B104"/>
    <mergeCell ref="E98:F107"/>
    <mergeCell ref="A79:B79"/>
    <mergeCell ref="A92:B92"/>
    <mergeCell ref="G234:H234"/>
    <mergeCell ref="A102:B102"/>
    <mergeCell ref="A103:B103"/>
    <mergeCell ref="A85:B85"/>
    <mergeCell ref="A86:B86"/>
    <mergeCell ref="A87:B87"/>
    <mergeCell ref="A88:B88"/>
    <mergeCell ref="A89:B89"/>
    <mergeCell ref="A90:B90"/>
    <mergeCell ref="A91:B91"/>
    <mergeCell ref="A93:B93"/>
    <mergeCell ref="A100:B100"/>
    <mergeCell ref="A101:B101"/>
    <mergeCell ref="C110:H110"/>
    <mergeCell ref="G111:H111"/>
    <mergeCell ref="A202:B202"/>
    <mergeCell ref="G202:H202"/>
    <mergeCell ref="A203:H203"/>
    <mergeCell ref="A204:B204"/>
    <mergeCell ref="G204:H206"/>
    <mergeCell ref="A205:B205"/>
    <mergeCell ref="A206:B206"/>
    <mergeCell ref="C206:F206"/>
    <mergeCell ref="A200:B200"/>
    <mergeCell ref="A84:B84"/>
    <mergeCell ref="I147:M147"/>
    <mergeCell ref="N147:P147"/>
    <mergeCell ref="C259:F259"/>
    <mergeCell ref="A261:H261"/>
    <mergeCell ref="A262:B262"/>
    <mergeCell ref="G262:H264"/>
    <mergeCell ref="A263:B263"/>
    <mergeCell ref="A264:B264"/>
    <mergeCell ref="A257:H257"/>
    <mergeCell ref="A258:B258"/>
    <mergeCell ref="G258:H260"/>
    <mergeCell ref="A259:B259"/>
    <mergeCell ref="G236:H237"/>
    <mergeCell ref="A237:B237"/>
    <mergeCell ref="A224:B224"/>
    <mergeCell ref="A225:B225"/>
    <mergeCell ref="A232:H232"/>
    <mergeCell ref="A233:B233"/>
    <mergeCell ref="G227:H228"/>
    <mergeCell ref="A234:B234"/>
    <mergeCell ref="G224:H224"/>
    <mergeCell ref="G225:H225"/>
    <mergeCell ref="G233:H233"/>
    <mergeCell ref="E5:H5"/>
    <mergeCell ref="C52:E52"/>
    <mergeCell ref="G52:H52"/>
    <mergeCell ref="C53:E53"/>
    <mergeCell ref="G53:H53"/>
    <mergeCell ref="A251:B251"/>
    <mergeCell ref="A252:B252"/>
    <mergeCell ref="A253:H253"/>
    <mergeCell ref="A254:B254"/>
    <mergeCell ref="G254:H256"/>
    <mergeCell ref="A255:B255"/>
    <mergeCell ref="A256:B256"/>
    <mergeCell ref="A77:B77"/>
    <mergeCell ref="E84:F93"/>
    <mergeCell ref="G84:H93"/>
    <mergeCell ref="A227:B227"/>
    <mergeCell ref="A226:H226"/>
    <mergeCell ref="A228:B228"/>
    <mergeCell ref="A121:B121"/>
    <mergeCell ref="A105:B105"/>
    <mergeCell ref="A106:B106"/>
    <mergeCell ref="A107:B107"/>
    <mergeCell ref="A110:B110"/>
    <mergeCell ref="A111:B111"/>
  </mergeCells>
  <hyperlinks>
    <hyperlink ref="C37" r:id="rId1"/>
    <hyperlink ref="I136" display="https://www.clermont-chembur.in/?utm_source=Google&amp;utm_medium=Search&amp;utm_campaign=2660_Clermont_Chembur_Harbour_Search&amp;utm_term=purva%20clermont&amp;utm_content=Phrase_Ad1&amp;tm=tt&amp;ap=gads&amp;aaid=adaXOkTYVYQJE&amp;gad_source=1&amp;gclid=Cj0KCQiA1Km7BhC9ARIsAFZfEIttb_mOT05"/>
  </hyperlinks>
  <printOptions horizontalCentered="1"/>
  <pageMargins left="0.19685039370078741" right="0.19685039370078741" top="0.78740157480314965" bottom="0.78740157480314965" header="0.19685039370078741" footer="0.19685039370078741"/>
  <pageSetup paperSize="9" fitToHeight="0" orientation="portrait" r:id="rId2"/>
  <headerFooter>
    <oddHeader>&amp;C&amp;G</oddHeader>
    <oddFooter>&amp;L&amp;"Times New Roman,Bold"&amp;12Ref No: &amp;F&amp;C&amp;G&amp;R&amp;"Times New Roman,Bold"&amp;12                                                      &amp;P</oddFooter>
  </headerFooter>
  <rowBreaks count="4" manualBreakCount="4">
    <brk id="79" max="16383" man="1"/>
    <brk id="372" max="7" man="1"/>
    <brk id="415" max="7" man="1"/>
    <brk id="455" max="7"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6"/>
  <sheetViews>
    <sheetView showWhiteSpace="0" view="pageBreakPreview" topLeftCell="A52" zoomScale="70" zoomScaleNormal="100" zoomScaleSheetLayoutView="70" zoomScalePageLayoutView="85" workbookViewId="0">
      <selection activeCell="C94" sqref="C94"/>
    </sheetView>
  </sheetViews>
  <sheetFormatPr defaultColWidth="9.140625" defaultRowHeight="15.75" x14ac:dyDescent="0.25"/>
  <cols>
    <col min="1" max="1" width="11.42578125" style="22" customWidth="1"/>
    <col min="2" max="2" width="11.140625" style="22" customWidth="1"/>
    <col min="3" max="3" width="12.7109375" style="22" customWidth="1"/>
    <col min="4" max="4" width="12.85546875" style="22" customWidth="1"/>
    <col min="5" max="7" width="11.7109375" style="22" customWidth="1"/>
    <col min="8" max="8" width="12.42578125" style="22" customWidth="1"/>
    <col min="9" max="9" width="20.42578125" style="8" customWidth="1"/>
    <col min="10" max="10" width="9.85546875" style="8" bestFit="1" customWidth="1"/>
    <col min="11"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8" ht="46.5" customHeight="1" x14ac:dyDescent="0.25">
      <c r="A1" s="165" t="s">
        <v>123</v>
      </c>
      <c r="B1" s="165"/>
      <c r="C1" s="165"/>
      <c r="D1" s="165"/>
      <c r="E1" s="165"/>
      <c r="F1" s="165"/>
      <c r="G1" s="165"/>
      <c r="H1" s="165"/>
    </row>
    <row r="2" spans="1:8" ht="16.5" customHeight="1" x14ac:dyDescent="0.25">
      <c r="A2" s="154" t="s">
        <v>0</v>
      </c>
      <c r="B2" s="154"/>
      <c r="C2" s="154"/>
      <c r="D2" s="154"/>
      <c r="E2" s="154"/>
      <c r="F2" s="154"/>
      <c r="G2" s="154"/>
      <c r="H2" s="154"/>
    </row>
    <row r="3" spans="1:8" x14ac:dyDescent="0.25">
      <c r="A3" s="150" t="s">
        <v>1</v>
      </c>
      <c r="B3" s="150"/>
      <c r="C3" s="150"/>
      <c r="D3" s="150"/>
      <c r="E3" s="103" t="s">
        <v>267</v>
      </c>
      <c r="F3" s="103"/>
      <c r="G3" s="103"/>
      <c r="H3" s="103"/>
    </row>
    <row r="4" spans="1:8" ht="15" customHeight="1" x14ac:dyDescent="0.25">
      <c r="A4" s="150" t="s">
        <v>2</v>
      </c>
      <c r="B4" s="150"/>
      <c r="C4" s="150"/>
      <c r="D4" s="150"/>
      <c r="E4" s="166" t="s">
        <v>177</v>
      </c>
      <c r="F4" s="166"/>
      <c r="G4" s="166"/>
      <c r="H4" s="166"/>
    </row>
    <row r="5" spans="1:8" x14ac:dyDescent="0.25">
      <c r="A5" s="150" t="s">
        <v>3</v>
      </c>
      <c r="B5" s="150"/>
      <c r="C5" s="150"/>
      <c r="D5" s="150"/>
      <c r="E5" s="103" t="s">
        <v>216</v>
      </c>
      <c r="F5" s="103"/>
      <c r="G5" s="103"/>
      <c r="H5" s="103"/>
    </row>
    <row r="6" spans="1:8" ht="16.5" customHeight="1" x14ac:dyDescent="0.25">
      <c r="A6" s="150" t="s">
        <v>4</v>
      </c>
      <c r="B6" s="150"/>
      <c r="C6" s="150"/>
      <c r="D6" s="150"/>
      <c r="E6" s="159" t="s">
        <v>178</v>
      </c>
      <c r="F6" s="159"/>
      <c r="G6" s="159"/>
      <c r="H6" s="159"/>
    </row>
    <row r="7" spans="1:8" ht="15" customHeight="1" x14ac:dyDescent="0.25">
      <c r="A7" s="150" t="s">
        <v>5</v>
      </c>
      <c r="B7" s="150"/>
      <c r="C7" s="150"/>
      <c r="D7" s="150"/>
      <c r="E7" s="159" t="str">
        <f>E6</f>
        <v>M/s.Puravankara Limited</v>
      </c>
      <c r="F7" s="159"/>
      <c r="G7" s="159"/>
      <c r="H7" s="159"/>
    </row>
    <row r="8" spans="1:8" x14ac:dyDescent="0.25">
      <c r="A8" s="150" t="s">
        <v>6</v>
      </c>
      <c r="B8" s="150"/>
      <c r="C8" s="150"/>
      <c r="D8" s="150"/>
      <c r="E8" s="150" t="s">
        <v>179</v>
      </c>
      <c r="F8" s="150"/>
      <c r="G8" s="150"/>
      <c r="H8" s="150"/>
    </row>
    <row r="9" spans="1:8" ht="15" customHeight="1" x14ac:dyDescent="0.25">
      <c r="A9" s="150" t="s">
        <v>180</v>
      </c>
      <c r="B9" s="150"/>
      <c r="C9" s="150"/>
      <c r="D9" s="150"/>
      <c r="E9" s="150" t="s">
        <v>248</v>
      </c>
      <c r="F9" s="150"/>
      <c r="G9" s="150"/>
      <c r="H9" s="150"/>
    </row>
    <row r="10" spans="1:8" x14ac:dyDescent="0.25">
      <c r="A10" s="102" t="s">
        <v>7</v>
      </c>
      <c r="B10" s="102"/>
      <c r="C10" s="102"/>
      <c r="D10" s="102"/>
      <c r="E10" s="102" t="s">
        <v>249</v>
      </c>
      <c r="F10" s="102"/>
      <c r="G10" s="102"/>
      <c r="H10" s="102"/>
    </row>
    <row r="11" spans="1:8" x14ac:dyDescent="0.25">
      <c r="A11" s="150" t="s">
        <v>8</v>
      </c>
      <c r="B11" s="150"/>
      <c r="C11" s="150"/>
      <c r="D11" s="150"/>
      <c r="E11" s="101" t="s">
        <v>217</v>
      </c>
      <c r="F11" s="101"/>
      <c r="G11" s="101"/>
      <c r="H11" s="101"/>
    </row>
    <row r="12" spans="1:8" ht="82.5" customHeight="1" x14ac:dyDescent="0.25">
      <c r="A12" s="150" t="s">
        <v>9</v>
      </c>
      <c r="B12" s="150"/>
      <c r="C12" s="150"/>
      <c r="D12" s="150"/>
      <c r="E12" s="101" t="s">
        <v>344</v>
      </c>
      <c r="F12" s="102"/>
      <c r="G12" s="102"/>
      <c r="H12" s="102"/>
    </row>
    <row r="13" spans="1:8" ht="34.5" customHeight="1" x14ac:dyDescent="0.25">
      <c r="A13" s="159" t="s">
        <v>10</v>
      </c>
      <c r="B13" s="159"/>
      <c r="C13" s="159" t="str">
        <f>CONCATENATE((IF(OR(E8="",E8="NA"),"",E8)),", ",(IF(OR(A14="",A14="NA"),"",A14)),".",(IF(OR(C14="",C14="NA"),"",C14)),", ",(IF(OR(C15="",C15="NA"),"",C15)),", ",(IF(OR(G15="",G15="NA"),"",G15)),", ",(IF(OR(C16="",C16="NA"),"",C16)),", ",(IF(OR(G16="",G16="NA"),"",G16)),".")</f>
        <v>Purva Clermont, CTS No.395, 395/1, 395/2, 395/3, 395/4, 395/5, 395/6, 395/7, 395/8, 395/9, 395/10, Raheja Acropolis Lane, Deonar, Govandi, Mumbai.</v>
      </c>
      <c r="D13" s="159"/>
      <c r="E13" s="159"/>
      <c r="F13" s="159"/>
      <c r="G13" s="159"/>
      <c r="H13" s="159"/>
    </row>
    <row r="14" spans="1:8" ht="15.75" customHeight="1" x14ac:dyDescent="0.25">
      <c r="A14" s="101" t="s">
        <v>188</v>
      </c>
      <c r="B14" s="101"/>
      <c r="C14" s="101" t="s">
        <v>245</v>
      </c>
      <c r="D14" s="101"/>
      <c r="E14" s="101"/>
      <c r="F14" s="101"/>
      <c r="G14" s="101"/>
      <c r="H14" s="101"/>
    </row>
    <row r="15" spans="1:8" ht="15.75" customHeight="1" x14ac:dyDescent="0.25">
      <c r="A15" s="159" t="s">
        <v>11</v>
      </c>
      <c r="B15" s="159"/>
      <c r="C15" s="101" t="s">
        <v>194</v>
      </c>
      <c r="D15" s="102"/>
      <c r="E15" s="159" t="s">
        <v>186</v>
      </c>
      <c r="F15" s="159"/>
      <c r="G15" s="101" t="s">
        <v>185</v>
      </c>
      <c r="H15" s="101"/>
    </row>
    <row r="16" spans="1:8" x14ac:dyDescent="0.25">
      <c r="A16" s="150" t="s">
        <v>13</v>
      </c>
      <c r="B16" s="150"/>
      <c r="C16" s="101" t="s">
        <v>247</v>
      </c>
      <c r="D16" s="101"/>
      <c r="E16" s="159" t="s">
        <v>12</v>
      </c>
      <c r="F16" s="159"/>
      <c r="G16" s="168" t="s">
        <v>187</v>
      </c>
      <c r="H16" s="168"/>
    </row>
    <row r="17" spans="1:8" x14ac:dyDescent="0.25">
      <c r="A17" s="150" t="s">
        <v>114</v>
      </c>
      <c r="B17" s="150"/>
      <c r="C17" s="101" t="s">
        <v>187</v>
      </c>
      <c r="D17" s="101"/>
      <c r="E17" s="159" t="s">
        <v>14</v>
      </c>
      <c r="F17" s="159"/>
      <c r="G17" s="101">
        <v>400088</v>
      </c>
      <c r="H17" s="101"/>
    </row>
    <row r="18" spans="1:8" ht="32.25" customHeight="1" x14ac:dyDescent="0.25">
      <c r="A18" s="150" t="s">
        <v>15</v>
      </c>
      <c r="B18" s="150"/>
      <c r="C18" s="206" t="s">
        <v>191</v>
      </c>
      <c r="D18" s="206"/>
      <c r="E18" s="159" t="s">
        <v>16</v>
      </c>
      <c r="F18" s="159"/>
      <c r="G18" s="101" t="s">
        <v>193</v>
      </c>
      <c r="H18" s="101"/>
    </row>
    <row r="19" spans="1:8" ht="15" customHeight="1" x14ac:dyDescent="0.25">
      <c r="A19" s="159" t="s">
        <v>120</v>
      </c>
      <c r="B19" s="159"/>
      <c r="C19" s="159"/>
      <c r="D19" s="159"/>
      <c r="E19" s="102" t="s">
        <v>17</v>
      </c>
      <c r="F19" s="102"/>
      <c r="G19" s="102"/>
      <c r="H19" s="102"/>
    </row>
    <row r="20" spans="1:8" x14ac:dyDescent="0.25">
      <c r="A20" s="159"/>
      <c r="B20" s="159"/>
      <c r="C20" s="159"/>
      <c r="D20" s="159"/>
      <c r="E20" s="102"/>
      <c r="F20" s="102"/>
      <c r="G20" s="102"/>
      <c r="H20" s="102"/>
    </row>
    <row r="21" spans="1:8" ht="15" customHeight="1" x14ac:dyDescent="0.25">
      <c r="A21" s="159" t="s">
        <v>18</v>
      </c>
      <c r="B21" s="159"/>
      <c r="C21" s="159"/>
      <c r="D21" s="159"/>
      <c r="E21" s="101" t="s">
        <v>19</v>
      </c>
      <c r="F21" s="101"/>
      <c r="G21" s="101"/>
      <c r="H21" s="101"/>
    </row>
    <row r="22" spans="1:8" ht="15" customHeight="1" x14ac:dyDescent="0.25">
      <c r="A22" s="150" t="s">
        <v>20</v>
      </c>
      <c r="B22" s="150"/>
      <c r="C22" s="150"/>
      <c r="D22" s="150"/>
      <c r="E22" s="101" t="s">
        <v>189</v>
      </c>
      <c r="F22" s="101"/>
      <c r="G22" s="101"/>
      <c r="H22" s="101"/>
    </row>
    <row r="23" spans="1:8" x14ac:dyDescent="0.25">
      <c r="A23" s="150" t="s">
        <v>21</v>
      </c>
      <c r="B23" s="150"/>
      <c r="C23" s="150"/>
      <c r="D23" s="150"/>
      <c r="E23" s="101" t="s">
        <v>22</v>
      </c>
      <c r="F23" s="101"/>
      <c r="G23" s="101"/>
      <c r="H23" s="101"/>
    </row>
    <row r="24" spans="1:8" x14ac:dyDescent="0.25">
      <c r="A24" s="150" t="s">
        <v>23</v>
      </c>
      <c r="B24" s="150"/>
      <c r="C24" s="150"/>
      <c r="D24" s="150"/>
      <c r="E24" s="101" t="s">
        <v>190</v>
      </c>
      <c r="F24" s="101"/>
      <c r="G24" s="101"/>
      <c r="H24" s="101"/>
    </row>
    <row r="25" spans="1:8" x14ac:dyDescent="0.25">
      <c r="A25" s="150" t="s">
        <v>24</v>
      </c>
      <c r="B25" s="150"/>
      <c r="C25" s="150"/>
      <c r="D25" s="150"/>
      <c r="E25" s="101" t="s">
        <v>25</v>
      </c>
      <c r="F25" s="101"/>
      <c r="G25" s="101"/>
      <c r="H25" s="101"/>
    </row>
    <row r="26" spans="1:8" x14ac:dyDescent="0.25">
      <c r="A26" s="150" t="s">
        <v>129</v>
      </c>
      <c r="B26" s="150"/>
      <c r="C26" s="150"/>
      <c r="D26" s="150"/>
      <c r="E26" s="101" t="s">
        <v>130</v>
      </c>
      <c r="F26" s="101"/>
      <c r="G26" s="101"/>
      <c r="H26" s="101"/>
    </row>
    <row r="27" spans="1:8" ht="15" customHeight="1" x14ac:dyDescent="0.25">
      <c r="A27" s="159" t="s">
        <v>36</v>
      </c>
      <c r="B27" s="159"/>
      <c r="C27" s="159"/>
      <c r="D27" s="159"/>
      <c r="E27" s="166" t="s">
        <v>125</v>
      </c>
      <c r="F27" s="166"/>
      <c r="G27" s="166"/>
      <c r="H27" s="166"/>
    </row>
    <row r="28" spans="1:8" x14ac:dyDescent="0.25">
      <c r="A28" s="159" t="s">
        <v>144</v>
      </c>
      <c r="B28" s="159"/>
      <c r="C28" s="159"/>
      <c r="D28" s="159"/>
      <c r="E28" s="159" t="s">
        <v>37</v>
      </c>
      <c r="F28" s="159"/>
      <c r="G28" s="159"/>
      <c r="H28" s="159"/>
    </row>
    <row r="29" spans="1:8" s="12" customFormat="1" x14ac:dyDescent="0.25">
      <c r="A29" s="175" t="s">
        <v>145</v>
      </c>
      <c r="B29" s="175"/>
      <c r="C29" s="163" t="s">
        <v>30</v>
      </c>
      <c r="D29" s="163"/>
      <c r="E29" s="163"/>
      <c r="F29" s="163" t="s">
        <v>32</v>
      </c>
      <c r="G29" s="163"/>
      <c r="H29" s="163"/>
    </row>
    <row r="30" spans="1:8" s="12" customFormat="1" x14ac:dyDescent="0.25">
      <c r="A30" s="164" t="s">
        <v>26</v>
      </c>
      <c r="B30" s="164" t="s">
        <v>31</v>
      </c>
      <c r="C30" s="128" t="s">
        <v>31</v>
      </c>
      <c r="D30" s="128"/>
      <c r="E30" s="128"/>
      <c r="F30" s="128" t="s">
        <v>192</v>
      </c>
      <c r="G30" s="128"/>
      <c r="H30" s="128"/>
    </row>
    <row r="31" spans="1:8" x14ac:dyDescent="0.25">
      <c r="A31" s="164" t="s">
        <v>27</v>
      </c>
      <c r="B31" s="164" t="s">
        <v>31</v>
      </c>
      <c r="C31" s="128" t="s">
        <v>31</v>
      </c>
      <c r="D31" s="128"/>
      <c r="E31" s="128"/>
      <c r="F31" s="128" t="s">
        <v>11</v>
      </c>
      <c r="G31" s="128"/>
      <c r="H31" s="128"/>
    </row>
    <row r="32" spans="1:8" s="12" customFormat="1" x14ac:dyDescent="0.25">
      <c r="A32" s="164" t="s">
        <v>29</v>
      </c>
      <c r="B32" s="164" t="s">
        <v>31</v>
      </c>
      <c r="C32" s="128" t="s">
        <v>31</v>
      </c>
      <c r="D32" s="128"/>
      <c r="E32" s="128"/>
      <c r="F32" s="128" t="s">
        <v>192</v>
      </c>
      <c r="G32" s="128"/>
      <c r="H32" s="128"/>
    </row>
    <row r="33" spans="1:8" x14ac:dyDescent="0.25">
      <c r="A33" s="164" t="s">
        <v>28</v>
      </c>
      <c r="B33" s="164" t="s">
        <v>31</v>
      </c>
      <c r="C33" s="128" t="s">
        <v>31</v>
      </c>
      <c r="D33" s="128"/>
      <c r="E33" s="128"/>
      <c r="F33" s="128" t="s">
        <v>191</v>
      </c>
      <c r="G33" s="128"/>
      <c r="H33" s="128"/>
    </row>
    <row r="34" spans="1:8" x14ac:dyDescent="0.25">
      <c r="A34" s="150" t="s">
        <v>33</v>
      </c>
      <c r="B34" s="150"/>
      <c r="C34" s="150"/>
      <c r="D34" s="150"/>
      <c r="E34" s="150"/>
      <c r="F34" s="150"/>
      <c r="G34" s="150"/>
      <c r="H34" s="150"/>
    </row>
    <row r="35" spans="1:8" ht="15.75" customHeight="1" x14ac:dyDescent="0.25">
      <c r="A35" s="154" t="s">
        <v>34</v>
      </c>
      <c r="B35" s="154"/>
      <c r="C35" s="207">
        <v>19.046958700000001</v>
      </c>
      <c r="D35" s="207"/>
      <c r="E35" s="154" t="s">
        <v>35</v>
      </c>
      <c r="F35" s="154"/>
      <c r="G35" s="208">
        <v>72.9133645</v>
      </c>
      <c r="H35" s="208"/>
    </row>
    <row r="36" spans="1:8" x14ac:dyDescent="0.25">
      <c r="A36" s="149" t="s">
        <v>38</v>
      </c>
      <c r="B36" s="149"/>
      <c r="C36" s="149"/>
      <c r="D36" s="149"/>
      <c r="E36" s="149"/>
      <c r="F36" s="149"/>
      <c r="G36" s="149"/>
      <c r="H36" s="149"/>
    </row>
    <row r="37" spans="1:8" x14ac:dyDescent="0.25">
      <c r="A37" s="150" t="s">
        <v>39</v>
      </c>
      <c r="B37" s="150"/>
      <c r="C37" s="150"/>
      <c r="D37" s="150"/>
      <c r="E37" s="170">
        <v>7544.54</v>
      </c>
      <c r="F37" s="170"/>
      <c r="G37" s="170"/>
      <c r="H37" s="170"/>
    </row>
    <row r="38" spans="1:8" x14ac:dyDescent="0.25">
      <c r="A38" s="150" t="s">
        <v>40</v>
      </c>
      <c r="B38" s="150"/>
      <c r="C38" s="150"/>
      <c r="D38" s="150"/>
      <c r="E38" s="169">
        <v>1</v>
      </c>
      <c r="F38" s="169"/>
      <c r="G38" s="169"/>
      <c r="H38" s="169"/>
    </row>
    <row r="39" spans="1:8" x14ac:dyDescent="0.25">
      <c r="A39" s="150" t="s">
        <v>41</v>
      </c>
      <c r="B39" s="150"/>
      <c r="C39" s="150"/>
      <c r="D39" s="150"/>
      <c r="E39" s="169">
        <f>E41/E37-E38</f>
        <v>0.5</v>
      </c>
      <c r="F39" s="169"/>
      <c r="G39" s="169"/>
      <c r="H39" s="169"/>
    </row>
    <row r="40" spans="1:8" x14ac:dyDescent="0.25">
      <c r="A40" s="150" t="s">
        <v>42</v>
      </c>
      <c r="B40" s="150"/>
      <c r="C40" s="150"/>
      <c r="D40" s="150"/>
      <c r="E40" s="169">
        <f>E38+E39</f>
        <v>1.5</v>
      </c>
      <c r="F40" s="169"/>
      <c r="G40" s="169"/>
      <c r="H40" s="169"/>
    </row>
    <row r="41" spans="1:8" x14ac:dyDescent="0.25">
      <c r="A41" s="150" t="s">
        <v>143</v>
      </c>
      <c r="B41" s="150"/>
      <c r="C41" s="150"/>
      <c r="D41" s="150"/>
      <c r="E41" s="176">
        <v>11316.81</v>
      </c>
      <c r="F41" s="176"/>
      <c r="G41" s="176"/>
      <c r="H41" s="176"/>
    </row>
    <row r="42" spans="1:8" x14ac:dyDescent="0.25">
      <c r="A42" s="102" t="s">
        <v>43</v>
      </c>
      <c r="B42" s="102"/>
      <c r="C42" s="102"/>
      <c r="D42" s="102"/>
      <c r="E42" s="102" t="s">
        <v>250</v>
      </c>
      <c r="F42" s="102"/>
      <c r="G42" s="102"/>
      <c r="H42" s="102"/>
    </row>
    <row r="43" spans="1:8" x14ac:dyDescent="0.25">
      <c r="A43" s="149" t="s">
        <v>44</v>
      </c>
      <c r="B43" s="149"/>
      <c r="C43" s="149"/>
      <c r="D43" s="149"/>
      <c r="E43" s="149"/>
      <c r="F43" s="149"/>
      <c r="G43" s="149"/>
      <c r="H43" s="149"/>
    </row>
    <row r="44" spans="1:8" ht="32.25" customHeight="1" x14ac:dyDescent="0.25">
      <c r="A44" s="159" t="s">
        <v>45</v>
      </c>
      <c r="B44" s="159"/>
      <c r="C44" s="209" t="s">
        <v>184</v>
      </c>
      <c r="D44" s="209"/>
      <c r="E44" s="209"/>
      <c r="F44" s="61" t="s">
        <v>46</v>
      </c>
      <c r="G44" s="101" t="s">
        <v>195</v>
      </c>
      <c r="H44" s="101"/>
    </row>
    <row r="45" spans="1:8" ht="31.5" customHeight="1" x14ac:dyDescent="0.25">
      <c r="A45" s="159" t="s">
        <v>47</v>
      </c>
      <c r="B45" s="159"/>
      <c r="C45" s="209" t="str">
        <f>C44</f>
        <v>P-2373/2019/(395 And Other)/M/E Ward/DEONAR-E</v>
      </c>
      <c r="D45" s="209"/>
      <c r="E45" s="209"/>
      <c r="F45" s="61" t="s">
        <v>46</v>
      </c>
      <c r="G45" s="101" t="str">
        <f>G44</f>
        <v>09/03/2020.</v>
      </c>
      <c r="H45" s="101"/>
    </row>
    <row r="46" spans="1:8" s="11" customFormat="1" ht="35.25" customHeight="1" x14ac:dyDescent="0.25">
      <c r="A46" s="101" t="s">
        <v>48</v>
      </c>
      <c r="B46" s="101"/>
      <c r="C46" s="209" t="s">
        <v>181</v>
      </c>
      <c r="D46" s="210"/>
      <c r="E46" s="210"/>
      <c r="F46" s="14" t="s">
        <v>46</v>
      </c>
      <c r="G46" s="210" t="s">
        <v>182</v>
      </c>
      <c r="H46" s="210"/>
    </row>
    <row r="47" spans="1:8" s="11" customFormat="1" ht="65.25" customHeight="1" x14ac:dyDescent="0.25">
      <c r="A47" s="101"/>
      <c r="B47" s="101"/>
      <c r="C47" s="209" t="s">
        <v>251</v>
      </c>
      <c r="D47" s="209"/>
      <c r="E47" s="209"/>
      <c r="F47" s="15" t="s">
        <v>139</v>
      </c>
      <c r="G47" s="101" t="s">
        <v>183</v>
      </c>
      <c r="H47" s="101"/>
    </row>
    <row r="48" spans="1:8" x14ac:dyDescent="0.25">
      <c r="A48" s="178" t="s">
        <v>49</v>
      </c>
      <c r="B48" s="178"/>
      <c r="C48" s="211" t="s">
        <v>163</v>
      </c>
      <c r="D48" s="212"/>
      <c r="E48" s="212" t="s">
        <v>50</v>
      </c>
      <c r="F48" s="63" t="s">
        <v>46</v>
      </c>
      <c r="G48" s="213" t="s">
        <v>31</v>
      </c>
      <c r="H48" s="214"/>
    </row>
    <row r="49" spans="1:11" x14ac:dyDescent="0.25">
      <c r="A49" s="177" t="s">
        <v>52</v>
      </c>
      <c r="B49" s="177"/>
      <c r="C49" s="177"/>
      <c r="D49" s="177"/>
      <c r="E49" s="177"/>
      <c r="F49" s="177"/>
      <c r="G49" s="177"/>
      <c r="H49" s="177"/>
    </row>
    <row r="50" spans="1:11" x14ac:dyDescent="0.25">
      <c r="A50" s="159" t="s">
        <v>142</v>
      </c>
      <c r="B50" s="159"/>
      <c r="C50" s="159"/>
      <c r="D50" s="150">
        <f>E41</f>
        <v>11316.81</v>
      </c>
      <c r="E50" s="150"/>
      <c r="F50" s="150"/>
      <c r="G50" s="150"/>
      <c r="H50" s="150"/>
    </row>
    <row r="51" spans="1:11" x14ac:dyDescent="0.25">
      <c r="A51" s="101" t="s">
        <v>53</v>
      </c>
      <c r="B51" s="102"/>
      <c r="C51" s="102"/>
      <c r="D51" s="102" t="s">
        <v>252</v>
      </c>
      <c r="E51" s="102"/>
      <c r="F51" s="102"/>
      <c r="G51" s="102"/>
      <c r="H51" s="102"/>
    </row>
    <row r="52" spans="1:11" ht="84.75" customHeight="1" x14ac:dyDescent="0.25">
      <c r="A52" s="101" t="s">
        <v>54</v>
      </c>
      <c r="B52" s="102"/>
      <c r="C52" s="102"/>
      <c r="D52" s="101" t="s">
        <v>253</v>
      </c>
      <c r="E52" s="102"/>
      <c r="F52" s="102"/>
      <c r="G52" s="102"/>
      <c r="H52" s="102"/>
    </row>
    <row r="53" spans="1:11" ht="82.5" customHeight="1" x14ac:dyDescent="0.25">
      <c r="A53" s="101" t="s">
        <v>140</v>
      </c>
      <c r="B53" s="102"/>
      <c r="C53" s="102"/>
      <c r="D53" s="101" t="s">
        <v>254</v>
      </c>
      <c r="E53" s="102"/>
      <c r="F53" s="102"/>
      <c r="G53" s="102"/>
      <c r="H53" s="102"/>
    </row>
    <row r="54" spans="1:11" ht="15.75" customHeight="1" x14ac:dyDescent="0.25">
      <c r="A54" s="150" t="s">
        <v>51</v>
      </c>
      <c r="B54" s="150"/>
      <c r="C54" s="150"/>
      <c r="D54" s="159" t="s">
        <v>196</v>
      </c>
      <c r="E54" s="159"/>
      <c r="F54" s="159"/>
      <c r="G54" s="159"/>
      <c r="H54" s="159"/>
    </row>
    <row r="55" spans="1:11" ht="15.75" customHeight="1" x14ac:dyDescent="0.25">
      <c r="A55" s="150" t="s">
        <v>136</v>
      </c>
      <c r="B55" s="150"/>
      <c r="C55" s="150"/>
      <c r="D55" s="159" t="s">
        <v>137</v>
      </c>
      <c r="E55" s="159"/>
      <c r="F55" s="159"/>
      <c r="G55" s="159"/>
      <c r="H55" s="159"/>
    </row>
    <row r="56" spans="1:11" ht="15.75" customHeight="1" x14ac:dyDescent="0.25">
      <c r="A56" s="150" t="s">
        <v>138</v>
      </c>
      <c r="B56" s="150"/>
      <c r="C56" s="150"/>
      <c r="D56" s="159" t="s">
        <v>25</v>
      </c>
      <c r="E56" s="159"/>
      <c r="F56" s="159"/>
      <c r="G56" s="159"/>
      <c r="H56" s="159"/>
      <c r="J56" s="24"/>
      <c r="K56" s="24"/>
    </row>
    <row r="57" spans="1:11" ht="15.75" customHeight="1" thickBot="1" x14ac:dyDescent="0.3">
      <c r="A57" s="215" t="s">
        <v>135</v>
      </c>
      <c r="B57" s="215"/>
      <c r="C57" s="215"/>
      <c r="D57" s="216" t="s">
        <v>218</v>
      </c>
      <c r="E57" s="216"/>
      <c r="F57" s="216"/>
      <c r="G57" s="216"/>
      <c r="H57" s="216"/>
      <c r="J57" s="24"/>
      <c r="K57" s="24"/>
    </row>
    <row r="58" spans="1:11" x14ac:dyDescent="0.25">
      <c r="A58" s="217" t="s">
        <v>255</v>
      </c>
      <c r="B58" s="218"/>
      <c r="C58" s="218"/>
      <c r="D58" s="218"/>
      <c r="E58" s="218"/>
      <c r="F58" s="218"/>
      <c r="G58" s="218"/>
      <c r="H58" s="219"/>
      <c r="I58" s="27" t="str">
        <f>(IF(C62=0,"Work not yet Started.",IF(C62=1,"Excavation work in process",IF(C62=2,"Excavation work completed",IF(C62=4,"Footing work is process",IF(C62=5,"Footing work Completed",IF(C62=7,"Plinth work is process",IF(C62=10,"Plinth work completed","0")))))))&amp;(IF(C63&gt;0,", RCC upto "&amp;C63&amp;" Slab completed",""))&amp;(IF(C64&gt;0,", Brickwork upto "&amp;C64&amp;" Floor completed"," "))&amp;(IF(C65&gt;0,", Plaster upto "&amp;C65&amp;" Floor completed"," "))&amp;(IF(C66&gt;0,", Flooring upto "&amp;C66&amp;" Floor completed"," "))&amp;(IF(C67&gt;0,", Painting upto "&amp;C67&amp;" Floor completed"," "))&amp;(IF(C68&gt;0,", Finishing upto "&amp;C68&amp;" Floor completed"," ")))</f>
        <v xml:space="preserve">Work not yet Started.     </v>
      </c>
      <c r="J58" s="28"/>
      <c r="K58" s="29"/>
    </row>
    <row r="59" spans="1:11" hidden="1" x14ac:dyDescent="0.25">
      <c r="A59" s="25" t="s">
        <v>111</v>
      </c>
      <c r="B59" s="16">
        <v>0</v>
      </c>
      <c r="C59" s="62" t="s">
        <v>113</v>
      </c>
      <c r="D59" s="16">
        <v>1</v>
      </c>
      <c r="E59" s="66" t="s">
        <v>112</v>
      </c>
      <c r="F59" s="16">
        <v>0</v>
      </c>
      <c r="G59" s="62" t="s">
        <v>128</v>
      </c>
      <c r="H59" s="26">
        <v>16</v>
      </c>
      <c r="I59" s="30" t="s">
        <v>161</v>
      </c>
      <c r="J59" s="24"/>
      <c r="K59" s="31"/>
    </row>
    <row r="60" spans="1:11" x14ac:dyDescent="0.25">
      <c r="A60" s="220" t="s">
        <v>141</v>
      </c>
      <c r="B60" s="163"/>
      <c r="C60" s="130" t="str">
        <f>I58</f>
        <v xml:space="preserve">Work not yet Started.     </v>
      </c>
      <c r="D60" s="130"/>
      <c r="E60" s="130"/>
      <c r="F60" s="130"/>
      <c r="G60" s="130"/>
      <c r="H60" s="131"/>
      <c r="I60" s="30" t="s">
        <v>176</v>
      </c>
      <c r="J60" s="24"/>
      <c r="K60" s="31"/>
    </row>
    <row r="61" spans="1:11" ht="36" customHeight="1" x14ac:dyDescent="0.25">
      <c r="A61" s="116" t="s">
        <v>55</v>
      </c>
      <c r="B61" s="113"/>
      <c r="C61" s="51" t="s">
        <v>131</v>
      </c>
      <c r="D61" s="51" t="s">
        <v>132</v>
      </c>
      <c r="E61" s="221" t="s">
        <v>134</v>
      </c>
      <c r="F61" s="221"/>
      <c r="G61" s="222" t="s">
        <v>133</v>
      </c>
      <c r="H61" s="223"/>
      <c r="I61" s="30" t="s">
        <v>162</v>
      </c>
      <c r="K61" s="32"/>
    </row>
    <row r="62" spans="1:11" x14ac:dyDescent="0.25">
      <c r="A62" s="116" t="s">
        <v>56</v>
      </c>
      <c r="B62" s="113"/>
      <c r="C62" s="52">
        <v>0</v>
      </c>
      <c r="D62" s="64">
        <f>((100/10)*C62)/100</f>
        <v>0</v>
      </c>
      <c r="E62" s="224">
        <f>(IF(C60=I60,"100%",IF(C60=I61,"100%",((C62+(40/(B59+D59+F59+H59)*C63)+(15/H59*C64)+(10/H59*C65)+(10/H59*C66)+(5/H59*C67)+(5/H59*C68))/100))))</f>
        <v>0</v>
      </c>
      <c r="F62" s="224"/>
      <c r="G62" s="226">
        <f>((IF(C62=1,"2",IF(C62=2,"4",IF(C62=4,"8",IF(C62=5,"15",IF(C62=7,"20",IF(C62=10,"30","0")))))))/100)+(((30/(H59+F59+D59+B59)*C63)+(15/H59*C64)+(10/H59*C65)+(5/H59*C66)+(5/H59*C67)+(5/H59*C68))/100)</f>
        <v>0</v>
      </c>
      <c r="H62" s="227"/>
      <c r="I62" s="33"/>
      <c r="K62" s="32"/>
    </row>
    <row r="63" spans="1:11" x14ac:dyDescent="0.25">
      <c r="A63" s="116" t="s">
        <v>160</v>
      </c>
      <c r="B63" s="113"/>
      <c r="C63" s="53">
        <v>0</v>
      </c>
      <c r="D63" s="64">
        <f>((100/(B59+F59+D59+H59))*C63)/100</f>
        <v>0</v>
      </c>
      <c r="E63" s="224"/>
      <c r="F63" s="224"/>
      <c r="G63" s="226"/>
      <c r="H63" s="227"/>
      <c r="I63" s="34" t="s">
        <v>154</v>
      </c>
      <c r="J63" s="35">
        <v>0.01</v>
      </c>
      <c r="K63" s="36">
        <v>0.02</v>
      </c>
    </row>
    <row r="64" spans="1:11" x14ac:dyDescent="0.25">
      <c r="A64" s="116" t="s">
        <v>57</v>
      </c>
      <c r="B64" s="113"/>
      <c r="C64" s="52">
        <v>0</v>
      </c>
      <c r="D64" s="64">
        <f>((100/H59)*C64)/100</f>
        <v>0</v>
      </c>
      <c r="E64" s="224"/>
      <c r="F64" s="224"/>
      <c r="G64" s="226"/>
      <c r="H64" s="227"/>
      <c r="I64" s="34" t="s">
        <v>155</v>
      </c>
      <c r="J64" s="35">
        <v>0.02</v>
      </c>
      <c r="K64" s="36">
        <v>0.04</v>
      </c>
    </row>
    <row r="65" spans="1:11" x14ac:dyDescent="0.25">
      <c r="A65" s="116" t="s">
        <v>58</v>
      </c>
      <c r="B65" s="113"/>
      <c r="C65" s="52">
        <v>0</v>
      </c>
      <c r="D65" s="64">
        <f>((100/H59)*C65)/100</f>
        <v>0</v>
      </c>
      <c r="E65" s="224"/>
      <c r="F65" s="224"/>
      <c r="G65" s="226"/>
      <c r="H65" s="227"/>
      <c r="I65" s="34" t="s">
        <v>156</v>
      </c>
      <c r="J65" s="35">
        <v>0.04</v>
      </c>
      <c r="K65" s="36">
        <v>0.08</v>
      </c>
    </row>
    <row r="66" spans="1:11" x14ac:dyDescent="0.25">
      <c r="A66" s="116" t="s">
        <v>59</v>
      </c>
      <c r="B66" s="113"/>
      <c r="C66" s="52">
        <v>0</v>
      </c>
      <c r="D66" s="64">
        <f>((100/H59)*C66)/100</f>
        <v>0</v>
      </c>
      <c r="E66" s="224"/>
      <c r="F66" s="224"/>
      <c r="G66" s="226"/>
      <c r="H66" s="227"/>
      <c r="I66" s="34" t="s">
        <v>157</v>
      </c>
      <c r="J66" s="35">
        <v>0.05</v>
      </c>
      <c r="K66" s="36">
        <v>0.15</v>
      </c>
    </row>
    <row r="67" spans="1:11" ht="15" customHeight="1" x14ac:dyDescent="0.25">
      <c r="A67" s="116" t="s">
        <v>60</v>
      </c>
      <c r="B67" s="113"/>
      <c r="C67" s="52">
        <v>0</v>
      </c>
      <c r="D67" s="64">
        <f>((100/H59)*C67)/100</f>
        <v>0</v>
      </c>
      <c r="E67" s="224"/>
      <c r="F67" s="224"/>
      <c r="G67" s="226"/>
      <c r="H67" s="227"/>
      <c r="I67" s="34" t="s">
        <v>158</v>
      </c>
      <c r="J67" s="35">
        <v>7.0000000000000007E-2</v>
      </c>
      <c r="K67" s="36">
        <v>0.2</v>
      </c>
    </row>
    <row r="68" spans="1:11" ht="16.5" thickBot="1" x14ac:dyDescent="0.3">
      <c r="A68" s="117" t="s">
        <v>61</v>
      </c>
      <c r="B68" s="118"/>
      <c r="C68" s="54">
        <v>0</v>
      </c>
      <c r="D68" s="65">
        <f>((100/H59)*C68)/100</f>
        <v>0</v>
      </c>
      <c r="E68" s="225"/>
      <c r="F68" s="225"/>
      <c r="G68" s="228"/>
      <c r="H68" s="229"/>
      <c r="I68" s="37" t="s">
        <v>159</v>
      </c>
      <c r="J68" s="38">
        <v>0.1</v>
      </c>
      <c r="K68" s="39">
        <v>0.3</v>
      </c>
    </row>
    <row r="69" spans="1:11" x14ac:dyDescent="0.25">
      <c r="A69" s="148" t="s">
        <v>219</v>
      </c>
      <c r="B69" s="148"/>
      <c r="C69" s="148"/>
      <c r="D69" s="148"/>
      <c r="E69" s="148"/>
      <c r="F69" s="148"/>
      <c r="G69" s="148"/>
      <c r="H69" s="148"/>
    </row>
    <row r="70" spans="1:11" x14ac:dyDescent="0.25">
      <c r="A70" s="150" t="s">
        <v>62</v>
      </c>
      <c r="B70" s="150"/>
      <c r="C70" s="150"/>
      <c r="D70" s="150"/>
      <c r="E70" s="150"/>
      <c r="F70" s="150"/>
      <c r="G70" s="150"/>
      <c r="H70" s="150"/>
    </row>
    <row r="71" spans="1:11" ht="15" customHeight="1" x14ac:dyDescent="0.25">
      <c r="A71" s="120" t="s">
        <v>115</v>
      </c>
      <c r="B71" s="120"/>
      <c r="C71" s="130" t="s">
        <v>116</v>
      </c>
      <c r="D71" s="130"/>
      <c r="E71" s="130"/>
      <c r="F71" s="130"/>
      <c r="G71" s="130"/>
      <c r="H71" s="130"/>
    </row>
    <row r="72" spans="1:11" x14ac:dyDescent="0.25">
      <c r="A72" s="149" t="s">
        <v>63</v>
      </c>
      <c r="B72" s="149"/>
      <c r="C72" s="149"/>
      <c r="D72" s="149"/>
      <c r="E72" s="149"/>
      <c r="F72" s="149"/>
      <c r="G72" s="149"/>
      <c r="H72" s="149"/>
    </row>
    <row r="73" spans="1:11" x14ac:dyDescent="0.25">
      <c r="A73" s="150" t="s">
        <v>117</v>
      </c>
      <c r="B73" s="150"/>
      <c r="C73" s="150"/>
      <c r="D73" s="150"/>
      <c r="E73" s="150"/>
      <c r="F73" s="210">
        <v>22000</v>
      </c>
      <c r="G73" s="210"/>
      <c r="H73" s="210"/>
    </row>
    <row r="74" spans="1:11" hidden="1" x14ac:dyDescent="0.25">
      <c r="A74" s="150" t="s">
        <v>126</v>
      </c>
      <c r="B74" s="150"/>
      <c r="C74" s="150"/>
      <c r="D74" s="150"/>
      <c r="E74" s="150"/>
      <c r="F74" s="210"/>
      <c r="G74" s="210"/>
      <c r="H74" s="210"/>
    </row>
    <row r="75" spans="1:11" hidden="1" x14ac:dyDescent="0.25">
      <c r="A75" s="150" t="s">
        <v>127</v>
      </c>
      <c r="B75" s="150"/>
      <c r="C75" s="150"/>
      <c r="D75" s="150"/>
      <c r="E75" s="150"/>
      <c r="F75" s="210"/>
      <c r="G75" s="210"/>
      <c r="H75" s="210"/>
    </row>
    <row r="76" spans="1:11" s="13" customFormat="1" hidden="1" x14ac:dyDescent="0.25">
      <c r="A76" s="150" t="s">
        <v>146</v>
      </c>
      <c r="B76" s="150"/>
      <c r="C76" s="150"/>
      <c r="D76" s="150"/>
      <c r="E76" s="150"/>
      <c r="F76" s="210" t="s">
        <v>31</v>
      </c>
      <c r="G76" s="210"/>
      <c r="H76" s="210"/>
    </row>
    <row r="77" spans="1:11" s="13" customFormat="1" hidden="1" x14ac:dyDescent="0.25">
      <c r="A77" s="150" t="s">
        <v>147</v>
      </c>
      <c r="B77" s="150"/>
      <c r="C77" s="150"/>
      <c r="D77" s="150"/>
      <c r="E77" s="150"/>
      <c r="F77" s="210" t="s">
        <v>31</v>
      </c>
      <c r="G77" s="210"/>
      <c r="H77" s="210"/>
    </row>
    <row r="78" spans="1:11" s="13" customFormat="1" hidden="1" x14ac:dyDescent="0.25">
      <c r="A78" s="150" t="s">
        <v>148</v>
      </c>
      <c r="B78" s="150"/>
      <c r="C78" s="150"/>
      <c r="D78" s="150"/>
      <c r="E78" s="150"/>
      <c r="F78" s="210" t="s">
        <v>31</v>
      </c>
      <c r="G78" s="210"/>
      <c r="H78" s="210"/>
    </row>
    <row r="79" spans="1:11" s="13" customFormat="1" hidden="1" x14ac:dyDescent="0.25">
      <c r="A79" s="150" t="s">
        <v>149</v>
      </c>
      <c r="B79" s="150"/>
      <c r="C79" s="150"/>
      <c r="D79" s="150"/>
      <c r="E79" s="150"/>
      <c r="F79" s="210" t="s">
        <v>31</v>
      </c>
      <c r="G79" s="210"/>
      <c r="H79" s="210"/>
    </row>
    <row r="80" spans="1:11" s="13" customFormat="1" hidden="1" x14ac:dyDescent="0.25">
      <c r="A80" s="150" t="s">
        <v>150</v>
      </c>
      <c r="B80" s="150"/>
      <c r="C80" s="150"/>
      <c r="D80" s="150"/>
      <c r="E80" s="150"/>
      <c r="F80" s="210" t="s">
        <v>31</v>
      </c>
      <c r="G80" s="210"/>
      <c r="H80" s="210"/>
    </row>
    <row r="81" spans="1:8" s="13" customFormat="1" hidden="1" x14ac:dyDescent="0.25">
      <c r="A81" s="150" t="s">
        <v>151</v>
      </c>
      <c r="B81" s="150"/>
      <c r="C81" s="150"/>
      <c r="D81" s="150"/>
      <c r="E81" s="150"/>
      <c r="F81" s="210" t="s">
        <v>31</v>
      </c>
      <c r="G81" s="210"/>
      <c r="H81" s="210"/>
    </row>
    <row r="82" spans="1:8" s="13" customFormat="1" hidden="1" x14ac:dyDescent="0.25">
      <c r="A82" s="150" t="s">
        <v>152</v>
      </c>
      <c r="B82" s="150"/>
      <c r="C82" s="150"/>
      <c r="D82" s="150"/>
      <c r="E82" s="150"/>
      <c r="F82" s="210" t="s">
        <v>31</v>
      </c>
      <c r="G82" s="210"/>
      <c r="H82" s="210"/>
    </row>
    <row r="83" spans="1:8" s="13" customFormat="1" hidden="1" x14ac:dyDescent="0.25">
      <c r="A83" s="150" t="s">
        <v>153</v>
      </c>
      <c r="B83" s="150"/>
      <c r="C83" s="150"/>
      <c r="D83" s="150"/>
      <c r="E83" s="150"/>
      <c r="F83" s="210" t="s">
        <v>31</v>
      </c>
      <c r="G83" s="210"/>
      <c r="H83" s="210"/>
    </row>
    <row r="84" spans="1:8" x14ac:dyDescent="0.25">
      <c r="A84" s="150" t="s">
        <v>64</v>
      </c>
      <c r="B84" s="150"/>
      <c r="C84" s="150"/>
      <c r="D84" s="150"/>
      <c r="E84" s="150"/>
      <c r="F84" s="209" t="s">
        <v>246</v>
      </c>
      <c r="G84" s="209"/>
      <c r="H84" s="209"/>
    </row>
    <row r="85" spans="1:8" s="9" customFormat="1" x14ac:dyDescent="0.25">
      <c r="A85" s="149" t="s">
        <v>65</v>
      </c>
      <c r="B85" s="149"/>
      <c r="C85" s="149"/>
      <c r="D85" s="149"/>
      <c r="E85" s="149"/>
      <c r="F85" s="210">
        <f>F73*0.8</f>
        <v>17600</v>
      </c>
      <c r="G85" s="210"/>
      <c r="H85" s="210"/>
    </row>
    <row r="86" spans="1:8" s="1" customFormat="1" ht="15.75" hidden="1" customHeight="1" x14ac:dyDescent="0.25">
      <c r="A86" s="174" t="s">
        <v>118</v>
      </c>
      <c r="B86" s="174"/>
      <c r="C86" s="174"/>
      <c r="D86" s="174"/>
      <c r="E86" s="174"/>
      <c r="F86" s="174"/>
      <c r="G86" s="174"/>
      <c r="H86" s="174"/>
    </row>
    <row r="87" spans="1:8" s="1" customFormat="1" ht="15.75" hidden="1" customHeight="1" x14ac:dyDescent="0.25">
      <c r="A87" s="172" t="s">
        <v>66</v>
      </c>
      <c r="B87" s="172"/>
      <c r="C87" s="17" t="s">
        <v>122</v>
      </c>
      <c r="D87" s="173" t="s">
        <v>67</v>
      </c>
      <c r="E87" s="173"/>
      <c r="F87" s="172" t="s">
        <v>68</v>
      </c>
      <c r="G87" s="172"/>
      <c r="H87" s="172"/>
    </row>
    <row r="88" spans="1:8" s="1" customFormat="1" x14ac:dyDescent="0.25">
      <c r="A88" s="174" t="s">
        <v>110</v>
      </c>
      <c r="B88" s="174"/>
      <c r="C88" s="174"/>
      <c r="D88" s="174"/>
      <c r="E88" s="174"/>
      <c r="F88" s="174"/>
      <c r="G88" s="174"/>
      <c r="H88" s="174"/>
    </row>
    <row r="89" spans="1:8" s="1" customFormat="1" x14ac:dyDescent="0.25">
      <c r="A89" s="172" t="s">
        <v>66</v>
      </c>
      <c r="B89" s="172"/>
      <c r="C89" s="17" t="s">
        <v>122</v>
      </c>
      <c r="D89" s="173" t="s">
        <v>67</v>
      </c>
      <c r="E89" s="173"/>
      <c r="F89" s="172" t="s">
        <v>68</v>
      </c>
      <c r="G89" s="172"/>
      <c r="H89" s="172"/>
    </row>
    <row r="90" spans="1:8" s="1" customFormat="1" x14ac:dyDescent="0.25">
      <c r="A90" s="156" t="s">
        <v>256</v>
      </c>
      <c r="B90" s="156"/>
      <c r="C90" s="59">
        <f>COUNT(D103:D105)+COUNT(D107:D109)*13+COUNT(D111:D112)+COUNT(D115:D117)+COUNT(D119:D120)</f>
        <v>49</v>
      </c>
      <c r="D90" s="157">
        <f>SUM(D103:D105)+SUM(D107:D109)*13+SUM(D111:D112)+SUM(D115:D117)+SUM(D119:D120)</f>
        <v>48068.902439999998</v>
      </c>
      <c r="E90" s="157"/>
      <c r="F90" s="157">
        <f>SUM(F103:F105)+SUM(F107:F109)*13+SUM(F111:F112)+SUM(F115:F117)+SUM(F119:F120)</f>
        <v>76910.243904000003</v>
      </c>
      <c r="G90" s="157"/>
      <c r="H90" s="157"/>
    </row>
    <row r="91" spans="1:8" s="1" customFormat="1" x14ac:dyDescent="0.25">
      <c r="A91" s="156" t="s">
        <v>197</v>
      </c>
      <c r="B91" s="156"/>
      <c r="C91" s="59">
        <f>COUNT(D126:D127)+COUNT(D129:D130)*4</f>
        <v>10</v>
      </c>
      <c r="D91" s="157">
        <f>SUM(D126:D127)+SUM(D129:D130)*4</f>
        <v>9629.4743999999992</v>
      </c>
      <c r="E91" s="157"/>
      <c r="F91" s="157">
        <f>SUM(F126:F127)+SUM(F129:F130)*4</f>
        <v>15407.159040000002</v>
      </c>
      <c r="G91" s="157"/>
      <c r="H91" s="157"/>
    </row>
    <row r="92" spans="1:8" s="1" customFormat="1" x14ac:dyDescent="0.25">
      <c r="A92" s="156" t="s">
        <v>200</v>
      </c>
      <c r="B92" s="156"/>
      <c r="C92" s="59">
        <f>COUNT(D135:D137)</f>
        <v>3</v>
      </c>
      <c r="D92" s="157">
        <f>SUM(D135:D137)</f>
        <v>2910.4779600000002</v>
      </c>
      <c r="E92" s="157"/>
      <c r="F92" s="157">
        <f>SUM(F135:F137)</f>
        <v>4656.7647359999992</v>
      </c>
      <c r="G92" s="157"/>
      <c r="H92" s="157"/>
    </row>
    <row r="93" spans="1:8" s="1" customFormat="1" x14ac:dyDescent="0.25">
      <c r="A93" s="156" t="s">
        <v>201</v>
      </c>
      <c r="B93" s="156"/>
      <c r="C93" s="59">
        <f>COUNT(D142:D147)+COUNT(D149:D154)*3+COUNT(D156:D161)+COUNT(D163:D168)*10+COUNT(D170:D173)+COUNT(D177:D181)</f>
        <v>99</v>
      </c>
      <c r="D93" s="157">
        <f>SUM(D142:D147)+SUM(D149:D154)*3+SUM(D156:D161)+SUM(D163:D168)*10+SUM(D170:D173)+SUM(D177:D181)</f>
        <v>55091.120759999998</v>
      </c>
      <c r="E93" s="157"/>
      <c r="F93" s="157">
        <f>SUM(F142:F147)+SUM(F149:F154)*3+SUM(F156:F161)+SUM(F163:F168)*10+SUM(F170:F173)+SUM(F177:F181)</f>
        <v>88145.793215999991</v>
      </c>
      <c r="G93" s="157"/>
      <c r="H93" s="157"/>
    </row>
    <row r="94" spans="1:8" s="1" customFormat="1" x14ac:dyDescent="0.25">
      <c r="A94" s="156" t="s">
        <v>202</v>
      </c>
      <c r="B94" s="156"/>
      <c r="C94" s="18">
        <f>COUNT(D187:D196)+COUNT(D198:D207)*7</f>
        <v>80</v>
      </c>
      <c r="D94" s="230">
        <f>SUM(D187:D196)+SUM(D198:D207)*7</f>
        <v>17920.768319999999</v>
      </c>
      <c r="E94" s="230"/>
      <c r="F94" s="231">
        <f>SUM(F187:F196)+SUM(F198:F207)*7</f>
        <v>28673.229312000003</v>
      </c>
      <c r="G94" s="231"/>
      <c r="H94" s="231"/>
    </row>
    <row r="95" spans="1:8" s="1" customFormat="1" x14ac:dyDescent="0.25">
      <c r="A95" s="174" t="s">
        <v>70</v>
      </c>
      <c r="B95" s="174"/>
      <c r="C95" s="50">
        <f>SUM(C90:C94)</f>
        <v>241</v>
      </c>
      <c r="D95" s="187">
        <f>SUM(D90:E94)</f>
        <v>133620.74387999999</v>
      </c>
      <c r="E95" s="187"/>
      <c r="F95" s="172">
        <f>SUM(F90:H94)</f>
        <v>213793.19020799999</v>
      </c>
      <c r="G95" s="172"/>
      <c r="H95" s="172"/>
    </row>
    <row r="96" spans="1:8" s="9" customFormat="1" x14ac:dyDescent="0.25">
      <c r="A96" s="154" t="s">
        <v>71</v>
      </c>
      <c r="B96" s="154"/>
      <c r="C96" s="154"/>
      <c r="D96" s="154"/>
      <c r="E96" s="154"/>
      <c r="F96" s="154"/>
      <c r="G96" s="154"/>
      <c r="H96" s="154"/>
    </row>
    <row r="97" spans="1:8" x14ac:dyDescent="0.25">
      <c r="A97" s="154" t="s">
        <v>72</v>
      </c>
      <c r="B97" s="154"/>
      <c r="C97" s="154"/>
      <c r="D97" s="154"/>
      <c r="E97" s="154"/>
      <c r="F97" s="154"/>
      <c r="G97" s="154"/>
      <c r="H97" s="154"/>
    </row>
    <row r="98" spans="1:8" ht="47.25" customHeight="1" x14ac:dyDescent="0.25">
      <c r="A98" s="202" t="s">
        <v>119</v>
      </c>
      <c r="B98" s="202"/>
      <c r="C98" s="67" t="s">
        <v>73</v>
      </c>
      <c r="D98" s="67" t="s">
        <v>74</v>
      </c>
      <c r="E98" s="19" t="s">
        <v>75</v>
      </c>
      <c r="F98" s="67" t="s">
        <v>76</v>
      </c>
      <c r="G98" s="202" t="s">
        <v>77</v>
      </c>
      <c r="H98" s="202"/>
    </row>
    <row r="99" spans="1:8" customFormat="1" ht="20.25" customHeight="1" x14ac:dyDescent="0.25">
      <c r="A99" s="144" t="s">
        <v>256</v>
      </c>
      <c r="B99" s="144"/>
      <c r="C99" s="144"/>
      <c r="D99" s="144"/>
      <c r="E99" s="144"/>
      <c r="F99" s="144"/>
      <c r="G99" s="144"/>
      <c r="H99" s="144"/>
    </row>
    <row r="100" spans="1:8" customFormat="1" ht="20.25" customHeight="1" x14ac:dyDescent="0.25">
      <c r="A100" s="144" t="s">
        <v>198</v>
      </c>
      <c r="B100" s="144"/>
      <c r="C100" s="144"/>
      <c r="D100" s="144"/>
      <c r="E100" s="144"/>
      <c r="F100" s="144"/>
      <c r="G100" s="144"/>
      <c r="H100" s="144"/>
    </row>
    <row r="101" spans="1:8" customFormat="1" ht="20.25" customHeight="1" x14ac:dyDescent="0.25">
      <c r="A101" s="144" t="s">
        <v>199</v>
      </c>
      <c r="B101" s="144"/>
      <c r="C101" s="144"/>
      <c r="D101" s="144"/>
      <c r="E101" s="144"/>
      <c r="F101" s="144"/>
      <c r="G101" s="144"/>
      <c r="H101" s="144"/>
    </row>
    <row r="102" spans="1:8" customFormat="1" ht="20.25" customHeight="1" x14ac:dyDescent="0.25">
      <c r="A102" s="144" t="s">
        <v>203</v>
      </c>
      <c r="B102" s="144"/>
      <c r="C102" s="144"/>
      <c r="D102" s="144"/>
      <c r="E102" s="144"/>
      <c r="F102" s="144"/>
      <c r="G102" s="144"/>
      <c r="H102" s="144"/>
    </row>
    <row r="103" spans="1:8" customFormat="1" ht="20.25" customHeight="1" x14ac:dyDescent="0.25">
      <c r="A103" s="142">
        <v>1</v>
      </c>
      <c r="B103" s="142"/>
      <c r="C103" s="68" t="s">
        <v>170</v>
      </c>
      <c r="D103" s="58">
        <f>92.17*10.764</f>
        <v>992.11788000000001</v>
      </c>
      <c r="E103" s="68">
        <v>0</v>
      </c>
      <c r="F103" s="58">
        <f>D103*1.6+E103</f>
        <v>1587.3886080000002</v>
      </c>
      <c r="G103" s="143" t="str">
        <f>A102</f>
        <v>1st Podium Floor for Residential</v>
      </c>
      <c r="H103" s="143"/>
    </row>
    <row r="104" spans="1:8" customFormat="1" x14ac:dyDescent="0.25">
      <c r="A104" s="142">
        <v>2</v>
      </c>
      <c r="B104" s="142"/>
      <c r="C104" s="68" t="s">
        <v>170</v>
      </c>
      <c r="D104" s="58">
        <f>88.43*10.764</f>
        <v>951.86052000000007</v>
      </c>
      <c r="E104" s="68">
        <v>0</v>
      </c>
      <c r="F104" s="58">
        <f>D104*1.6+E104</f>
        <v>1522.9768320000003</v>
      </c>
      <c r="G104" s="143"/>
      <c r="H104" s="143"/>
    </row>
    <row r="105" spans="1:8" customFormat="1" x14ac:dyDescent="0.25">
      <c r="A105" s="142">
        <v>3</v>
      </c>
      <c r="B105" s="142"/>
      <c r="C105" s="68" t="s">
        <v>170</v>
      </c>
      <c r="D105" s="58">
        <f>88.21*10.764</f>
        <v>949.49243999999987</v>
      </c>
      <c r="E105" s="68">
        <v>0</v>
      </c>
      <c r="F105" s="58">
        <f>D105*1.6+E105</f>
        <v>1519.1879039999999</v>
      </c>
      <c r="G105" s="143"/>
      <c r="H105" s="143"/>
    </row>
    <row r="106" spans="1:8" customFormat="1" ht="20.25" customHeight="1" x14ac:dyDescent="0.25">
      <c r="A106" s="144" t="s">
        <v>257</v>
      </c>
      <c r="B106" s="144"/>
      <c r="C106" s="144"/>
      <c r="D106" s="144"/>
      <c r="E106" s="144"/>
      <c r="F106" s="144"/>
      <c r="G106" s="144"/>
      <c r="H106" s="144"/>
    </row>
    <row r="107" spans="1:8" customFormat="1" ht="20.25" customHeight="1" x14ac:dyDescent="0.25">
      <c r="A107" s="142" t="s">
        <v>258</v>
      </c>
      <c r="B107" s="142"/>
      <c r="C107" s="68" t="s">
        <v>170</v>
      </c>
      <c r="D107" s="58">
        <f>92.17*10.764</f>
        <v>992.11788000000001</v>
      </c>
      <c r="E107" s="68">
        <v>0</v>
      </c>
      <c r="F107" s="58">
        <f>D107*1.6+E107</f>
        <v>1587.3886080000002</v>
      </c>
      <c r="G107" s="143" t="str">
        <f>A106</f>
        <v>1st to 5th, 7th to 11th, 14th to 16th Floor</v>
      </c>
      <c r="H107" s="143"/>
    </row>
    <row r="108" spans="1:8" customFormat="1" x14ac:dyDescent="0.25">
      <c r="A108" s="142" t="s">
        <v>259</v>
      </c>
      <c r="B108" s="142"/>
      <c r="C108" s="68" t="s">
        <v>170</v>
      </c>
      <c r="D108" s="58">
        <f>88.43*10.764</f>
        <v>951.86052000000007</v>
      </c>
      <c r="E108" s="68">
        <v>0</v>
      </c>
      <c r="F108" s="58">
        <f>D108*1.6+E108</f>
        <v>1522.9768320000003</v>
      </c>
      <c r="G108" s="143"/>
      <c r="H108" s="143"/>
    </row>
    <row r="109" spans="1:8" customFormat="1" x14ac:dyDescent="0.25">
      <c r="A109" s="142" t="s">
        <v>260</v>
      </c>
      <c r="B109" s="142"/>
      <c r="C109" s="68" t="s">
        <v>170</v>
      </c>
      <c r="D109" s="58">
        <f>90.79*10.764</f>
        <v>977.26355999999998</v>
      </c>
      <c r="E109" s="68">
        <v>0</v>
      </c>
      <c r="F109" s="58">
        <f>D109*1.6+E109</f>
        <v>1563.6216960000002</v>
      </c>
      <c r="G109" s="143"/>
      <c r="H109" s="143"/>
    </row>
    <row r="110" spans="1:8" customFormat="1" ht="20.25" customHeight="1" x14ac:dyDescent="0.25">
      <c r="A110" s="144" t="s">
        <v>211</v>
      </c>
      <c r="B110" s="144"/>
      <c r="C110" s="144"/>
      <c r="D110" s="144"/>
      <c r="E110" s="144"/>
      <c r="F110" s="144"/>
      <c r="G110" s="144"/>
      <c r="H110" s="144"/>
    </row>
    <row r="111" spans="1:8" customFormat="1" ht="20.25" customHeight="1" x14ac:dyDescent="0.25">
      <c r="A111" s="142">
        <v>601</v>
      </c>
      <c r="B111" s="142"/>
      <c r="C111" s="68" t="s">
        <v>170</v>
      </c>
      <c r="D111" s="58">
        <f>92.17*10.764</f>
        <v>992.11788000000001</v>
      </c>
      <c r="E111" s="68">
        <v>0</v>
      </c>
      <c r="F111" s="58">
        <f>D111*1.6+E111</f>
        <v>1587.3886080000002</v>
      </c>
      <c r="G111" s="143" t="str">
        <f>A110</f>
        <v>6th Floor (Part Refuge Area)</v>
      </c>
      <c r="H111" s="143"/>
    </row>
    <row r="112" spans="1:8" customFormat="1" x14ac:dyDescent="0.25">
      <c r="A112" s="142">
        <v>602</v>
      </c>
      <c r="B112" s="142"/>
      <c r="C112" s="68" t="s">
        <v>170</v>
      </c>
      <c r="D112" s="58">
        <f>88.43*10.764</f>
        <v>951.86052000000007</v>
      </c>
      <c r="E112" s="68">
        <v>0</v>
      </c>
      <c r="F112" s="58">
        <f>D112*1.6+E112</f>
        <v>1522.9768320000003</v>
      </c>
      <c r="G112" s="143"/>
      <c r="H112" s="143"/>
    </row>
    <row r="113" spans="1:8" customFormat="1" x14ac:dyDescent="0.25">
      <c r="A113" s="142">
        <v>603</v>
      </c>
      <c r="B113" s="142"/>
      <c r="C113" s="145" t="s">
        <v>210</v>
      </c>
      <c r="D113" s="146"/>
      <c r="E113" s="146"/>
      <c r="F113" s="147"/>
      <c r="G113" s="143"/>
      <c r="H113" s="143"/>
    </row>
    <row r="114" spans="1:8" customFormat="1" ht="20.25" customHeight="1" x14ac:dyDescent="0.25">
      <c r="A114" s="144" t="s">
        <v>261</v>
      </c>
      <c r="B114" s="144"/>
      <c r="C114" s="144"/>
      <c r="D114" s="144"/>
      <c r="E114" s="144"/>
      <c r="F114" s="144"/>
      <c r="G114" s="144"/>
      <c r="H114" s="144"/>
    </row>
    <row r="115" spans="1:8" customFormat="1" ht="20.25" customHeight="1" x14ac:dyDescent="0.25">
      <c r="A115" s="142">
        <v>1201</v>
      </c>
      <c r="B115" s="142"/>
      <c r="C115" s="68" t="s">
        <v>170</v>
      </c>
      <c r="D115" s="58">
        <f>92.17*10.764</f>
        <v>992.11788000000001</v>
      </c>
      <c r="E115" s="68">
        <v>0</v>
      </c>
      <c r="F115" s="58">
        <f>D115*1.6+E115</f>
        <v>1587.3886080000002</v>
      </c>
      <c r="G115" s="143" t="s">
        <v>262</v>
      </c>
      <c r="H115" s="143"/>
    </row>
    <row r="116" spans="1:8" customFormat="1" x14ac:dyDescent="0.25">
      <c r="A116" s="142">
        <v>1202</v>
      </c>
      <c r="B116" s="142"/>
      <c r="C116" s="68" t="s">
        <v>170</v>
      </c>
      <c r="D116" s="58">
        <f>88.43*10.764</f>
        <v>951.86052000000007</v>
      </c>
      <c r="E116" s="68">
        <v>0</v>
      </c>
      <c r="F116" s="58">
        <f>D116*1.6+E116</f>
        <v>1522.9768320000003</v>
      </c>
      <c r="G116" s="143"/>
      <c r="H116" s="143"/>
    </row>
    <row r="117" spans="1:8" customFormat="1" ht="31.5" x14ac:dyDescent="0.25">
      <c r="A117" s="142">
        <v>1203</v>
      </c>
      <c r="B117" s="142"/>
      <c r="C117" s="69" t="s">
        <v>264</v>
      </c>
      <c r="D117" s="58">
        <f>127.03*10.764</f>
        <v>1367.3509199999999</v>
      </c>
      <c r="E117" s="68">
        <v>0</v>
      </c>
      <c r="F117" s="58">
        <f>D117*1.6+E117</f>
        <v>2187.7614719999997</v>
      </c>
      <c r="G117" s="143" t="s">
        <v>263</v>
      </c>
      <c r="H117" s="143"/>
    </row>
    <row r="118" spans="1:8" customFormat="1" ht="20.25" customHeight="1" x14ac:dyDescent="0.25">
      <c r="A118" s="144" t="s">
        <v>209</v>
      </c>
      <c r="B118" s="144"/>
      <c r="C118" s="144"/>
      <c r="D118" s="144"/>
      <c r="E118" s="144"/>
      <c r="F118" s="144"/>
      <c r="G118" s="144"/>
      <c r="H118" s="144"/>
    </row>
    <row r="119" spans="1:8" customFormat="1" ht="20.25" customHeight="1" x14ac:dyDescent="0.25">
      <c r="A119" s="142">
        <v>1301</v>
      </c>
      <c r="B119" s="142"/>
      <c r="C119" s="68" t="s">
        <v>170</v>
      </c>
      <c r="D119" s="58">
        <f>92.17*10.764</f>
        <v>992.11788000000001</v>
      </c>
      <c r="E119" s="68">
        <v>0</v>
      </c>
      <c r="F119" s="58">
        <f>D119*1.6+E119</f>
        <v>1587.3886080000002</v>
      </c>
      <c r="G119" s="143" t="str">
        <f>A118</f>
        <v>13th Floor (Part Refuge Area)</v>
      </c>
      <c r="H119" s="143"/>
    </row>
    <row r="120" spans="1:8" customFormat="1" x14ac:dyDescent="0.25">
      <c r="A120" s="142">
        <v>1302</v>
      </c>
      <c r="B120" s="142"/>
      <c r="C120" s="68" t="s">
        <v>170</v>
      </c>
      <c r="D120" s="58">
        <f>88.43*10.764</f>
        <v>951.86052000000007</v>
      </c>
      <c r="E120" s="68">
        <v>0</v>
      </c>
      <c r="F120" s="58">
        <f>D120*1.6+E120</f>
        <v>1522.9768320000003</v>
      </c>
      <c r="G120" s="143"/>
      <c r="H120" s="143"/>
    </row>
    <row r="121" spans="1:8" customFormat="1" x14ac:dyDescent="0.25">
      <c r="A121" s="142">
        <v>1303</v>
      </c>
      <c r="B121" s="142"/>
      <c r="C121" s="145" t="s">
        <v>210</v>
      </c>
      <c r="D121" s="146"/>
      <c r="E121" s="146"/>
      <c r="F121" s="147"/>
      <c r="G121" s="143"/>
      <c r="H121" s="143"/>
    </row>
    <row r="122" spans="1:8" s="2" customFormat="1" x14ac:dyDescent="0.25">
      <c r="A122" s="106" t="s">
        <v>197</v>
      </c>
      <c r="B122" s="106"/>
      <c r="C122" s="106"/>
      <c r="D122" s="106"/>
      <c r="E122" s="106"/>
      <c r="F122" s="106"/>
      <c r="G122" s="106"/>
      <c r="H122" s="106"/>
    </row>
    <row r="123" spans="1:8" s="2" customFormat="1" x14ac:dyDescent="0.25">
      <c r="A123" s="106" t="s">
        <v>198</v>
      </c>
      <c r="B123" s="106"/>
      <c r="C123" s="106"/>
      <c r="D123" s="106"/>
      <c r="E123" s="106"/>
      <c r="F123" s="106"/>
      <c r="G123" s="106"/>
      <c r="H123" s="106"/>
    </row>
    <row r="124" spans="1:8" s="2" customFormat="1" x14ac:dyDescent="0.25">
      <c r="A124" s="106" t="s">
        <v>199</v>
      </c>
      <c r="B124" s="106"/>
      <c r="C124" s="106"/>
      <c r="D124" s="106"/>
      <c r="E124" s="106"/>
      <c r="F124" s="106"/>
      <c r="G124" s="106"/>
      <c r="H124" s="106"/>
    </row>
    <row r="125" spans="1:8" s="2" customFormat="1" x14ac:dyDescent="0.25">
      <c r="A125" s="106" t="s">
        <v>203</v>
      </c>
      <c r="B125" s="106"/>
      <c r="C125" s="106"/>
      <c r="D125" s="106"/>
      <c r="E125" s="106"/>
      <c r="F125" s="106"/>
      <c r="G125" s="106"/>
      <c r="H125" s="106"/>
    </row>
    <row r="126" spans="1:8" s="2" customFormat="1" x14ac:dyDescent="0.25">
      <c r="A126" s="105">
        <v>1</v>
      </c>
      <c r="B126" s="105"/>
      <c r="C126" s="60" t="s">
        <v>170</v>
      </c>
      <c r="D126" s="60">
        <f>90.8*10.764</f>
        <v>977.37119999999993</v>
      </c>
      <c r="E126" s="60">
        <v>0</v>
      </c>
      <c r="F126" s="60">
        <f>D126*1.6+E126</f>
        <v>1563.7939200000001</v>
      </c>
      <c r="G126" s="107" t="str">
        <f>A125</f>
        <v>1st Podium Floor for Residential</v>
      </c>
      <c r="H126" s="108"/>
    </row>
    <row r="127" spans="1:8" s="2" customFormat="1" x14ac:dyDescent="0.25">
      <c r="A127" s="105">
        <v>2</v>
      </c>
      <c r="B127" s="105"/>
      <c r="C127" s="60" t="s">
        <v>170</v>
      </c>
      <c r="D127" s="60">
        <f>88.12*10.764</f>
        <v>948.52368000000001</v>
      </c>
      <c r="E127" s="60">
        <v>0</v>
      </c>
      <c r="F127" s="60">
        <f>D127*1.6+E127</f>
        <v>1517.6378880000002</v>
      </c>
      <c r="G127" s="111"/>
      <c r="H127" s="112"/>
    </row>
    <row r="128" spans="1:8" s="2" customFormat="1" x14ac:dyDescent="0.25">
      <c r="A128" s="106" t="s">
        <v>205</v>
      </c>
      <c r="B128" s="106"/>
      <c r="C128" s="106"/>
      <c r="D128" s="106"/>
      <c r="E128" s="106"/>
      <c r="F128" s="106"/>
      <c r="G128" s="106"/>
      <c r="H128" s="106"/>
    </row>
    <row r="129" spans="1:9" s="2" customFormat="1" x14ac:dyDescent="0.25">
      <c r="A129" s="105" t="s">
        <v>221</v>
      </c>
      <c r="B129" s="105" t="s">
        <v>221</v>
      </c>
      <c r="C129" s="60" t="s">
        <v>170</v>
      </c>
      <c r="D129" s="60">
        <f>90.8*10.764</f>
        <v>977.37119999999993</v>
      </c>
      <c r="E129" s="60">
        <v>0</v>
      </c>
      <c r="F129" s="60">
        <f>D129*1.6+E129</f>
        <v>1563.7939200000001</v>
      </c>
      <c r="G129" s="107" t="str">
        <f>A128</f>
        <v>1st to 4th Floor for Residential</v>
      </c>
      <c r="H129" s="108"/>
    </row>
    <row r="130" spans="1:9" s="2" customFormat="1" x14ac:dyDescent="0.25">
      <c r="A130" s="105" t="s">
        <v>222</v>
      </c>
      <c r="B130" s="105" t="s">
        <v>222</v>
      </c>
      <c r="C130" s="60" t="s">
        <v>170</v>
      </c>
      <c r="D130" s="60">
        <f>88.12*10.764</f>
        <v>948.52368000000001</v>
      </c>
      <c r="E130" s="60">
        <v>0</v>
      </c>
      <c r="F130" s="60">
        <f>D130*1.6+E130</f>
        <v>1517.6378880000002</v>
      </c>
      <c r="G130" s="111"/>
      <c r="H130" s="112"/>
    </row>
    <row r="131" spans="1:9" s="2" customFormat="1" x14ac:dyDescent="0.25">
      <c r="A131" s="106" t="s">
        <v>200</v>
      </c>
      <c r="B131" s="106"/>
      <c r="C131" s="106"/>
      <c r="D131" s="106"/>
      <c r="E131" s="106"/>
      <c r="F131" s="106"/>
      <c r="G131" s="106"/>
      <c r="H131" s="106"/>
    </row>
    <row r="132" spans="1:9" s="2" customFormat="1" x14ac:dyDescent="0.25">
      <c r="A132" s="106" t="s">
        <v>198</v>
      </c>
      <c r="B132" s="106"/>
      <c r="C132" s="106"/>
      <c r="D132" s="106"/>
      <c r="E132" s="106"/>
      <c r="F132" s="106"/>
      <c r="G132" s="106"/>
      <c r="H132" s="106"/>
    </row>
    <row r="133" spans="1:9" s="2" customFormat="1" x14ac:dyDescent="0.25">
      <c r="A133" s="106" t="s">
        <v>199</v>
      </c>
      <c r="B133" s="106"/>
      <c r="C133" s="106"/>
      <c r="D133" s="106"/>
      <c r="E133" s="106"/>
      <c r="F133" s="106"/>
      <c r="G133" s="106"/>
      <c r="H133" s="106"/>
    </row>
    <row r="134" spans="1:9" s="2" customFormat="1" x14ac:dyDescent="0.25">
      <c r="A134" s="106" t="s">
        <v>203</v>
      </c>
      <c r="B134" s="106"/>
      <c r="C134" s="106"/>
      <c r="D134" s="106"/>
      <c r="E134" s="106"/>
      <c r="F134" s="106"/>
      <c r="G134" s="106"/>
      <c r="H134" s="106"/>
    </row>
    <row r="135" spans="1:9" s="2" customFormat="1" x14ac:dyDescent="0.25">
      <c r="A135" s="105">
        <v>1</v>
      </c>
      <c r="B135" s="105"/>
      <c r="C135" s="60" t="s">
        <v>170</v>
      </c>
      <c r="D135" s="60">
        <f>91.23*10.764</f>
        <v>981.99972000000002</v>
      </c>
      <c r="E135" s="60">
        <v>0</v>
      </c>
      <c r="F135" s="60">
        <f>D135*1.6+E135</f>
        <v>1571.199552</v>
      </c>
      <c r="G135" s="107" t="str">
        <f>A134</f>
        <v>1st Podium Floor for Residential</v>
      </c>
      <c r="H135" s="108"/>
      <c r="I135" s="57">
        <f>38500000/F135</f>
        <v>24503.571141547778</v>
      </c>
    </row>
    <row r="136" spans="1:9" s="2" customFormat="1" x14ac:dyDescent="0.25">
      <c r="A136" s="105">
        <v>2</v>
      </c>
      <c r="B136" s="105"/>
      <c r="C136" s="60" t="s">
        <v>170</v>
      </c>
      <c r="D136" s="60">
        <f>88.28*10.764</f>
        <v>950.24591999999996</v>
      </c>
      <c r="E136" s="60">
        <v>0</v>
      </c>
      <c r="F136" s="60">
        <f>D136*1.6+E136</f>
        <v>1520.393472</v>
      </c>
      <c r="G136" s="109"/>
      <c r="H136" s="110"/>
      <c r="I136" s="57">
        <f t="shared" ref="I136:I137" si="0">38500000/F136</f>
        <v>25322.392333976029</v>
      </c>
    </row>
    <row r="137" spans="1:9" s="2" customFormat="1" x14ac:dyDescent="0.25">
      <c r="A137" s="105">
        <v>3</v>
      </c>
      <c r="B137" s="105"/>
      <c r="C137" s="60" t="s">
        <v>170</v>
      </c>
      <c r="D137" s="60">
        <f>90.88*10.764</f>
        <v>978.23231999999985</v>
      </c>
      <c r="E137" s="60">
        <v>0</v>
      </c>
      <c r="F137" s="60">
        <f>D137*1.6+E137</f>
        <v>1565.1717119999998</v>
      </c>
      <c r="G137" s="111"/>
      <c r="H137" s="112"/>
      <c r="I137" s="57">
        <f t="shared" si="0"/>
        <v>24597.940088505769</v>
      </c>
    </row>
    <row r="138" spans="1:9" s="2" customFormat="1" x14ac:dyDescent="0.25">
      <c r="A138" s="106" t="s">
        <v>201</v>
      </c>
      <c r="B138" s="106"/>
      <c r="C138" s="106"/>
      <c r="D138" s="106"/>
      <c r="E138" s="106"/>
      <c r="F138" s="106"/>
      <c r="G138" s="106"/>
      <c r="H138" s="106"/>
    </row>
    <row r="139" spans="1:9" s="2" customFormat="1" x14ac:dyDescent="0.25">
      <c r="A139" s="106" t="s">
        <v>198</v>
      </c>
      <c r="B139" s="106"/>
      <c r="C139" s="106"/>
      <c r="D139" s="106"/>
      <c r="E139" s="106"/>
      <c r="F139" s="106"/>
      <c r="G139" s="106"/>
      <c r="H139" s="106"/>
    </row>
    <row r="140" spans="1:9" s="2" customFormat="1" x14ac:dyDescent="0.25">
      <c r="A140" s="106" t="s">
        <v>199</v>
      </c>
      <c r="B140" s="106"/>
      <c r="C140" s="106"/>
      <c r="D140" s="106"/>
      <c r="E140" s="106"/>
      <c r="F140" s="106"/>
      <c r="G140" s="106"/>
      <c r="H140" s="106"/>
    </row>
    <row r="141" spans="1:9" s="2" customFormat="1" x14ac:dyDescent="0.25">
      <c r="A141" s="106" t="s">
        <v>203</v>
      </c>
      <c r="B141" s="106"/>
      <c r="C141" s="106"/>
      <c r="D141" s="106"/>
      <c r="E141" s="106"/>
      <c r="F141" s="106"/>
      <c r="G141" s="106"/>
      <c r="H141" s="106"/>
    </row>
    <row r="142" spans="1:9" s="2" customFormat="1" x14ac:dyDescent="0.25">
      <c r="A142" s="105">
        <v>1</v>
      </c>
      <c r="B142" s="105"/>
      <c r="C142" s="60" t="s">
        <v>204</v>
      </c>
      <c r="D142" s="60">
        <f>49.76*10.764</f>
        <v>535.61663999999996</v>
      </c>
      <c r="E142" s="60">
        <v>0</v>
      </c>
      <c r="F142" s="60">
        <f t="shared" ref="F142:F147" si="1">D142*1.6+E142</f>
        <v>856.98662400000001</v>
      </c>
      <c r="G142" s="107" t="str">
        <f>A141</f>
        <v>1st Podium Floor for Residential</v>
      </c>
      <c r="H142" s="108"/>
    </row>
    <row r="143" spans="1:9" s="2" customFormat="1" x14ac:dyDescent="0.25">
      <c r="A143" s="105">
        <v>2</v>
      </c>
      <c r="B143" s="105"/>
      <c r="C143" s="60" t="s">
        <v>204</v>
      </c>
      <c r="D143" s="60">
        <f>49.76*10.764</f>
        <v>535.61663999999996</v>
      </c>
      <c r="E143" s="60">
        <v>0</v>
      </c>
      <c r="F143" s="60">
        <f t="shared" si="1"/>
        <v>856.98662400000001</v>
      </c>
      <c r="G143" s="109"/>
      <c r="H143" s="110"/>
    </row>
    <row r="144" spans="1:9" s="2" customFormat="1" x14ac:dyDescent="0.25">
      <c r="A144" s="105">
        <v>3</v>
      </c>
      <c r="B144" s="105"/>
      <c r="C144" s="60" t="s">
        <v>204</v>
      </c>
      <c r="D144" s="60">
        <f>50.19*10.764</f>
        <v>540.24515999999994</v>
      </c>
      <c r="E144" s="60">
        <v>0</v>
      </c>
      <c r="F144" s="60">
        <f t="shared" si="1"/>
        <v>864.39225599999997</v>
      </c>
      <c r="G144" s="109"/>
      <c r="H144" s="110"/>
    </row>
    <row r="145" spans="1:9" s="2" customFormat="1" x14ac:dyDescent="0.25">
      <c r="A145" s="105">
        <v>4</v>
      </c>
      <c r="B145" s="105"/>
      <c r="C145" s="60" t="s">
        <v>204</v>
      </c>
      <c r="D145" s="60">
        <f>49.7*10.764</f>
        <v>534.97080000000005</v>
      </c>
      <c r="E145" s="60">
        <v>0</v>
      </c>
      <c r="F145" s="60">
        <f t="shared" si="1"/>
        <v>855.95328000000018</v>
      </c>
      <c r="G145" s="109"/>
      <c r="H145" s="110"/>
    </row>
    <row r="146" spans="1:9" s="2" customFormat="1" x14ac:dyDescent="0.25">
      <c r="A146" s="105">
        <v>5</v>
      </c>
      <c r="B146" s="105"/>
      <c r="C146" s="60" t="s">
        <v>204</v>
      </c>
      <c r="D146" s="60">
        <f>49.7*10.764</f>
        <v>534.97080000000005</v>
      </c>
      <c r="E146" s="60">
        <v>0</v>
      </c>
      <c r="F146" s="60">
        <f t="shared" si="1"/>
        <v>855.95328000000018</v>
      </c>
      <c r="G146" s="109"/>
      <c r="H146" s="110"/>
    </row>
    <row r="147" spans="1:9" s="2" customFormat="1" x14ac:dyDescent="0.25">
      <c r="A147" s="105">
        <v>6</v>
      </c>
      <c r="B147" s="105"/>
      <c r="C147" s="60" t="s">
        <v>204</v>
      </c>
      <c r="D147" s="60">
        <f>49.7*10.764</f>
        <v>534.97080000000005</v>
      </c>
      <c r="E147" s="60">
        <v>0</v>
      </c>
      <c r="F147" s="60">
        <f t="shared" si="1"/>
        <v>855.95328000000018</v>
      </c>
      <c r="G147" s="111"/>
      <c r="H147" s="112"/>
    </row>
    <row r="148" spans="1:9" s="2" customFormat="1" x14ac:dyDescent="0.25">
      <c r="A148" s="106" t="s">
        <v>206</v>
      </c>
      <c r="B148" s="106"/>
      <c r="C148" s="106"/>
      <c r="D148" s="106"/>
      <c r="E148" s="106"/>
      <c r="F148" s="106"/>
      <c r="G148" s="106"/>
      <c r="H148" s="106"/>
    </row>
    <row r="149" spans="1:9" s="2" customFormat="1" x14ac:dyDescent="0.25">
      <c r="A149" s="105" t="s">
        <v>223</v>
      </c>
      <c r="B149" s="105" t="s">
        <v>223</v>
      </c>
      <c r="C149" s="60" t="s">
        <v>204</v>
      </c>
      <c r="D149" s="60">
        <f>49.76*10.764</f>
        <v>535.61663999999996</v>
      </c>
      <c r="E149" s="60">
        <v>0</v>
      </c>
      <c r="F149" s="60">
        <f t="shared" ref="F149:F154" si="2">D149*1.6+E149</f>
        <v>856.98662400000001</v>
      </c>
      <c r="G149" s="107" t="str">
        <f>A148</f>
        <v>1st to 3rd Floor for Residential</v>
      </c>
      <c r="H149" s="108"/>
    </row>
    <row r="150" spans="1:9" s="2" customFormat="1" x14ac:dyDescent="0.25">
      <c r="A150" s="105" t="s">
        <v>224</v>
      </c>
      <c r="B150" s="105" t="s">
        <v>224</v>
      </c>
      <c r="C150" s="60" t="s">
        <v>204</v>
      </c>
      <c r="D150" s="60">
        <f>49.76*10.764</f>
        <v>535.61663999999996</v>
      </c>
      <c r="E150" s="60">
        <v>0</v>
      </c>
      <c r="F150" s="60">
        <f t="shared" si="2"/>
        <v>856.98662400000001</v>
      </c>
      <c r="G150" s="109"/>
      <c r="H150" s="110"/>
    </row>
    <row r="151" spans="1:9" s="2" customFormat="1" x14ac:dyDescent="0.25">
      <c r="A151" s="105" t="s">
        <v>225</v>
      </c>
      <c r="B151" s="105" t="s">
        <v>225</v>
      </c>
      <c r="C151" s="60" t="s">
        <v>204</v>
      </c>
      <c r="D151" s="60">
        <f>50.19*10.764</f>
        <v>540.24515999999994</v>
      </c>
      <c r="E151" s="60">
        <v>0</v>
      </c>
      <c r="F151" s="60">
        <f t="shared" si="2"/>
        <v>864.39225599999997</v>
      </c>
      <c r="G151" s="109"/>
      <c r="H151" s="110"/>
    </row>
    <row r="152" spans="1:9" s="2" customFormat="1" x14ac:dyDescent="0.25">
      <c r="A152" s="105" t="s">
        <v>226</v>
      </c>
      <c r="B152" s="105" t="s">
        <v>226</v>
      </c>
      <c r="C152" s="60" t="s">
        <v>204</v>
      </c>
      <c r="D152" s="60">
        <f>49.7*10.764</f>
        <v>534.97080000000005</v>
      </c>
      <c r="E152" s="60">
        <v>0</v>
      </c>
      <c r="F152" s="60">
        <f t="shared" si="2"/>
        <v>855.95328000000018</v>
      </c>
      <c r="G152" s="109"/>
      <c r="H152" s="110"/>
      <c r="I152" s="2">
        <f>17227000/F152</f>
        <v>20126.098471168891</v>
      </c>
    </row>
    <row r="153" spans="1:9" s="2" customFormat="1" x14ac:dyDescent="0.25">
      <c r="A153" s="105" t="s">
        <v>227</v>
      </c>
      <c r="B153" s="105" t="s">
        <v>227</v>
      </c>
      <c r="C153" s="60" t="s">
        <v>204</v>
      </c>
      <c r="D153" s="60">
        <f>49.7*10.764</f>
        <v>534.97080000000005</v>
      </c>
      <c r="E153" s="60">
        <v>0</v>
      </c>
      <c r="F153" s="60">
        <f t="shared" si="2"/>
        <v>855.95328000000018</v>
      </c>
      <c r="G153" s="109"/>
      <c r="H153" s="110"/>
    </row>
    <row r="154" spans="1:9" s="2" customFormat="1" x14ac:dyDescent="0.25">
      <c r="A154" s="105" t="s">
        <v>228</v>
      </c>
      <c r="B154" s="105" t="s">
        <v>228</v>
      </c>
      <c r="C154" s="60" t="s">
        <v>204</v>
      </c>
      <c r="D154" s="60">
        <f>49.7*10.764</f>
        <v>534.97080000000005</v>
      </c>
      <c r="E154" s="60">
        <v>0</v>
      </c>
      <c r="F154" s="60">
        <f t="shared" si="2"/>
        <v>855.95328000000018</v>
      </c>
      <c r="G154" s="111"/>
      <c r="H154" s="112"/>
    </row>
    <row r="155" spans="1:9" s="2" customFormat="1" x14ac:dyDescent="0.25">
      <c r="A155" s="106" t="s">
        <v>207</v>
      </c>
      <c r="B155" s="106"/>
      <c r="C155" s="106"/>
      <c r="D155" s="106"/>
      <c r="E155" s="106"/>
      <c r="F155" s="106"/>
      <c r="G155" s="106"/>
      <c r="H155" s="106"/>
    </row>
    <row r="156" spans="1:9" s="2" customFormat="1" x14ac:dyDescent="0.25">
      <c r="A156" s="105">
        <v>401</v>
      </c>
      <c r="B156" s="105"/>
      <c r="C156" s="60" t="s">
        <v>204</v>
      </c>
      <c r="D156" s="60">
        <f>49.76*10.764</f>
        <v>535.61663999999996</v>
      </c>
      <c r="E156" s="60">
        <v>0</v>
      </c>
      <c r="F156" s="60">
        <f t="shared" ref="F156:F161" si="3">D156*1.6+E156</f>
        <v>856.98662400000001</v>
      </c>
      <c r="G156" s="107" t="str">
        <f>A155</f>
        <v>4th Floor</v>
      </c>
      <c r="H156" s="108"/>
    </row>
    <row r="157" spans="1:9" s="2" customFormat="1" x14ac:dyDescent="0.25">
      <c r="A157" s="105">
        <v>402</v>
      </c>
      <c r="B157" s="105"/>
      <c r="C157" s="60" t="s">
        <v>204</v>
      </c>
      <c r="D157" s="60">
        <f>51.61*10.764</f>
        <v>555.53003999999999</v>
      </c>
      <c r="E157" s="60">
        <v>0</v>
      </c>
      <c r="F157" s="60">
        <f t="shared" si="3"/>
        <v>888.84806400000002</v>
      </c>
      <c r="G157" s="109"/>
      <c r="H157" s="110"/>
    </row>
    <row r="158" spans="1:9" s="2" customFormat="1" x14ac:dyDescent="0.25">
      <c r="A158" s="105">
        <v>403</v>
      </c>
      <c r="B158" s="105"/>
      <c r="C158" s="60" t="s">
        <v>204</v>
      </c>
      <c r="D158" s="60">
        <f>52.86*10.764</f>
        <v>568.98503999999991</v>
      </c>
      <c r="E158" s="60">
        <v>0</v>
      </c>
      <c r="F158" s="60">
        <f t="shared" si="3"/>
        <v>910.37606399999993</v>
      </c>
      <c r="G158" s="109"/>
      <c r="H158" s="110"/>
      <c r="I158" s="2">
        <f>20100000/F158</f>
        <v>22078.787871118722</v>
      </c>
    </row>
    <row r="159" spans="1:9" s="2" customFormat="1" x14ac:dyDescent="0.25">
      <c r="A159" s="105">
        <v>404</v>
      </c>
      <c r="B159" s="105"/>
      <c r="C159" s="60" t="s">
        <v>204</v>
      </c>
      <c r="D159" s="60">
        <f>52.86*10.764</f>
        <v>568.98503999999991</v>
      </c>
      <c r="E159" s="60">
        <v>0</v>
      </c>
      <c r="F159" s="60">
        <f t="shared" si="3"/>
        <v>910.37606399999993</v>
      </c>
      <c r="G159" s="109"/>
      <c r="H159" s="110"/>
    </row>
    <row r="160" spans="1:9" s="2" customFormat="1" x14ac:dyDescent="0.25">
      <c r="A160" s="105">
        <v>405</v>
      </c>
      <c r="B160" s="105"/>
      <c r="C160" s="60" t="s">
        <v>204</v>
      </c>
      <c r="D160" s="60">
        <f>49.7*10.764</f>
        <v>534.97080000000005</v>
      </c>
      <c r="E160" s="60">
        <v>0</v>
      </c>
      <c r="F160" s="60">
        <f t="shared" si="3"/>
        <v>855.95328000000018</v>
      </c>
      <c r="G160" s="109"/>
      <c r="H160" s="110"/>
    </row>
    <row r="161" spans="1:8" s="2" customFormat="1" x14ac:dyDescent="0.25">
      <c r="A161" s="105">
        <v>406</v>
      </c>
      <c r="B161" s="105"/>
      <c r="C161" s="60" t="s">
        <v>204</v>
      </c>
      <c r="D161" s="60">
        <f>49.7*10.764</f>
        <v>534.97080000000005</v>
      </c>
      <c r="E161" s="60">
        <v>0</v>
      </c>
      <c r="F161" s="60">
        <f t="shared" si="3"/>
        <v>855.95328000000018</v>
      </c>
      <c r="G161" s="111"/>
      <c r="H161" s="112"/>
    </row>
    <row r="162" spans="1:8" s="2" customFormat="1" x14ac:dyDescent="0.25">
      <c r="A162" s="106" t="s">
        <v>208</v>
      </c>
      <c r="B162" s="106"/>
      <c r="C162" s="106"/>
      <c r="D162" s="106"/>
      <c r="E162" s="106"/>
      <c r="F162" s="106"/>
      <c r="G162" s="106"/>
      <c r="H162" s="106"/>
    </row>
    <row r="163" spans="1:8" s="2" customFormat="1" x14ac:dyDescent="0.25">
      <c r="A163" s="105" t="s">
        <v>229</v>
      </c>
      <c r="B163" s="105" t="s">
        <v>229</v>
      </c>
      <c r="C163" s="60" t="s">
        <v>204</v>
      </c>
      <c r="D163" s="60">
        <f>51.64*10.764</f>
        <v>555.85295999999994</v>
      </c>
      <c r="E163" s="60">
        <v>0</v>
      </c>
      <c r="F163" s="60">
        <f t="shared" ref="F163:F168" si="4">D163*1.6+E163</f>
        <v>889.36473599999999</v>
      </c>
      <c r="G163" s="107" t="str">
        <f>A162</f>
        <v>5th, 7th to 12th, 14th to 16th Floor</v>
      </c>
      <c r="H163" s="108"/>
    </row>
    <row r="164" spans="1:8" s="2" customFormat="1" x14ac:dyDescent="0.25">
      <c r="A164" s="105" t="s">
        <v>230</v>
      </c>
      <c r="B164" s="105" t="s">
        <v>230</v>
      </c>
      <c r="C164" s="60" t="s">
        <v>204</v>
      </c>
      <c r="D164" s="60">
        <f>51.64*10.764</f>
        <v>555.85295999999994</v>
      </c>
      <c r="E164" s="60">
        <v>0</v>
      </c>
      <c r="F164" s="60">
        <f t="shared" si="4"/>
        <v>889.36473599999999</v>
      </c>
      <c r="G164" s="109"/>
      <c r="H164" s="110"/>
    </row>
    <row r="165" spans="1:8" s="2" customFormat="1" x14ac:dyDescent="0.25">
      <c r="A165" s="105" t="s">
        <v>231</v>
      </c>
      <c r="B165" s="105" t="s">
        <v>231</v>
      </c>
      <c r="C165" s="60" t="s">
        <v>204</v>
      </c>
      <c r="D165" s="60">
        <f>52.86*10.764</f>
        <v>568.98503999999991</v>
      </c>
      <c r="E165" s="60">
        <v>0</v>
      </c>
      <c r="F165" s="60">
        <f t="shared" si="4"/>
        <v>910.37606399999993</v>
      </c>
      <c r="G165" s="109"/>
      <c r="H165" s="110"/>
    </row>
    <row r="166" spans="1:8" s="2" customFormat="1" x14ac:dyDescent="0.25">
      <c r="A166" s="105" t="s">
        <v>232</v>
      </c>
      <c r="B166" s="105" t="s">
        <v>232</v>
      </c>
      <c r="C166" s="60" t="s">
        <v>204</v>
      </c>
      <c r="D166" s="60">
        <f>52.86*10.764</f>
        <v>568.98503999999991</v>
      </c>
      <c r="E166" s="60">
        <v>0</v>
      </c>
      <c r="F166" s="60">
        <f t="shared" si="4"/>
        <v>910.37606399999993</v>
      </c>
      <c r="G166" s="109"/>
      <c r="H166" s="110"/>
    </row>
    <row r="167" spans="1:8" s="2" customFormat="1" x14ac:dyDescent="0.25">
      <c r="A167" s="105" t="s">
        <v>233</v>
      </c>
      <c r="B167" s="105" t="s">
        <v>233</v>
      </c>
      <c r="C167" s="60" t="s">
        <v>204</v>
      </c>
      <c r="D167" s="60">
        <f>52.76*10.764</f>
        <v>567.90863999999999</v>
      </c>
      <c r="E167" s="60">
        <v>0</v>
      </c>
      <c r="F167" s="60">
        <f t="shared" si="4"/>
        <v>908.65382399999999</v>
      </c>
      <c r="G167" s="109"/>
      <c r="H167" s="110"/>
    </row>
    <row r="168" spans="1:8" s="2" customFormat="1" x14ac:dyDescent="0.25">
      <c r="A168" s="105" t="s">
        <v>234</v>
      </c>
      <c r="B168" s="105" t="s">
        <v>234</v>
      </c>
      <c r="C168" s="60" t="s">
        <v>204</v>
      </c>
      <c r="D168" s="60">
        <f>52.8*10.764</f>
        <v>568.33919999999989</v>
      </c>
      <c r="E168" s="60">
        <v>0</v>
      </c>
      <c r="F168" s="60">
        <f t="shared" si="4"/>
        <v>909.34271999999987</v>
      </c>
      <c r="G168" s="111"/>
      <c r="H168" s="112"/>
    </row>
    <row r="169" spans="1:8" s="2" customFormat="1" x14ac:dyDescent="0.25">
      <c r="A169" s="106" t="s">
        <v>211</v>
      </c>
      <c r="B169" s="106"/>
      <c r="C169" s="106"/>
      <c r="D169" s="106"/>
      <c r="E169" s="106"/>
      <c r="F169" s="106"/>
      <c r="G169" s="106"/>
      <c r="H169" s="106"/>
    </row>
    <row r="170" spans="1:8" s="2" customFormat="1" x14ac:dyDescent="0.25">
      <c r="A170" s="105">
        <v>601</v>
      </c>
      <c r="B170" s="105"/>
      <c r="C170" s="60" t="s">
        <v>204</v>
      </c>
      <c r="D170" s="60">
        <f>51.64*10.764</f>
        <v>555.85295999999994</v>
      </c>
      <c r="E170" s="60">
        <v>0</v>
      </c>
      <c r="F170" s="60">
        <f t="shared" ref="F170:F173" si="5">D170*1.6+E170</f>
        <v>889.36473599999999</v>
      </c>
      <c r="G170" s="107" t="str">
        <f>A169</f>
        <v>6th Floor (Part Refuge Area)</v>
      </c>
      <c r="H170" s="108"/>
    </row>
    <row r="171" spans="1:8" s="2" customFormat="1" x14ac:dyDescent="0.25">
      <c r="A171" s="105">
        <v>602</v>
      </c>
      <c r="B171" s="105"/>
      <c r="C171" s="60" t="s">
        <v>204</v>
      </c>
      <c r="D171" s="60">
        <f>51.64*10.764</f>
        <v>555.85295999999994</v>
      </c>
      <c r="E171" s="60">
        <v>0</v>
      </c>
      <c r="F171" s="60">
        <f t="shared" si="5"/>
        <v>889.36473599999999</v>
      </c>
      <c r="G171" s="109"/>
      <c r="H171" s="110"/>
    </row>
    <row r="172" spans="1:8" s="2" customFormat="1" x14ac:dyDescent="0.25">
      <c r="A172" s="105">
        <v>603</v>
      </c>
      <c r="B172" s="105"/>
      <c r="C172" s="60" t="s">
        <v>204</v>
      </c>
      <c r="D172" s="60">
        <f>52.86*10.764</f>
        <v>568.98503999999991</v>
      </c>
      <c r="E172" s="60">
        <v>0</v>
      </c>
      <c r="F172" s="60">
        <f t="shared" si="5"/>
        <v>910.37606399999993</v>
      </c>
      <c r="G172" s="109"/>
      <c r="H172" s="110"/>
    </row>
    <row r="173" spans="1:8" s="2" customFormat="1" x14ac:dyDescent="0.25">
      <c r="A173" s="105">
        <v>604</v>
      </c>
      <c r="B173" s="105"/>
      <c r="C173" s="60" t="s">
        <v>204</v>
      </c>
      <c r="D173" s="60">
        <f>52.86*10.764</f>
        <v>568.98503999999991</v>
      </c>
      <c r="E173" s="60">
        <v>0</v>
      </c>
      <c r="F173" s="60">
        <f t="shared" si="5"/>
        <v>910.37606399999993</v>
      </c>
      <c r="G173" s="109"/>
      <c r="H173" s="110"/>
    </row>
    <row r="174" spans="1:8" s="2" customFormat="1" x14ac:dyDescent="0.25">
      <c r="A174" s="105">
        <v>605</v>
      </c>
      <c r="B174" s="105"/>
      <c r="C174" s="107" t="s">
        <v>210</v>
      </c>
      <c r="D174" s="184"/>
      <c r="E174" s="184"/>
      <c r="F174" s="108"/>
      <c r="G174" s="109"/>
      <c r="H174" s="110"/>
    </row>
    <row r="175" spans="1:8" s="2" customFormat="1" x14ac:dyDescent="0.25">
      <c r="A175" s="105">
        <v>606</v>
      </c>
      <c r="B175" s="105"/>
      <c r="C175" s="111"/>
      <c r="D175" s="185"/>
      <c r="E175" s="185"/>
      <c r="F175" s="112"/>
      <c r="G175" s="111"/>
      <c r="H175" s="112"/>
    </row>
    <row r="176" spans="1:8" s="2" customFormat="1" x14ac:dyDescent="0.25">
      <c r="A176" s="106" t="s">
        <v>209</v>
      </c>
      <c r="B176" s="106"/>
      <c r="C176" s="106"/>
      <c r="D176" s="106"/>
      <c r="E176" s="106"/>
      <c r="F176" s="106"/>
      <c r="G176" s="106"/>
      <c r="H176" s="106"/>
    </row>
    <row r="177" spans="1:8" s="2" customFormat="1" x14ac:dyDescent="0.25">
      <c r="A177" s="105">
        <v>1301</v>
      </c>
      <c r="B177" s="105"/>
      <c r="C177" s="60" t="s">
        <v>204</v>
      </c>
      <c r="D177" s="60">
        <f>51.64*10.764</f>
        <v>555.85295999999994</v>
      </c>
      <c r="E177" s="60">
        <v>0</v>
      </c>
      <c r="F177" s="60">
        <f t="shared" ref="F177:F181" si="6">D177*1.6+E177</f>
        <v>889.36473599999999</v>
      </c>
      <c r="G177" s="107" t="str">
        <f>A176</f>
        <v>13th Floor (Part Refuge Area)</v>
      </c>
      <c r="H177" s="108"/>
    </row>
    <row r="178" spans="1:8" s="2" customFormat="1" x14ac:dyDescent="0.25">
      <c r="A178" s="105">
        <v>1302</v>
      </c>
      <c r="B178" s="105"/>
      <c r="C178" s="60" t="s">
        <v>204</v>
      </c>
      <c r="D178" s="60">
        <f>51.64*10.764</f>
        <v>555.85295999999994</v>
      </c>
      <c r="E178" s="60">
        <v>0</v>
      </c>
      <c r="F178" s="60">
        <f t="shared" si="6"/>
        <v>889.36473599999999</v>
      </c>
      <c r="G178" s="109"/>
      <c r="H178" s="110"/>
    </row>
    <row r="179" spans="1:8" s="2" customFormat="1" x14ac:dyDescent="0.25">
      <c r="A179" s="105">
        <v>1303</v>
      </c>
      <c r="B179" s="105"/>
      <c r="C179" s="60" t="s">
        <v>204</v>
      </c>
      <c r="D179" s="60">
        <f>52.86*10.764</f>
        <v>568.98503999999991</v>
      </c>
      <c r="E179" s="60">
        <v>0</v>
      </c>
      <c r="F179" s="60">
        <f t="shared" si="6"/>
        <v>910.37606399999993</v>
      </c>
      <c r="G179" s="109"/>
      <c r="H179" s="110"/>
    </row>
    <row r="180" spans="1:8" s="2" customFormat="1" x14ac:dyDescent="0.25">
      <c r="A180" s="105">
        <v>1304</v>
      </c>
      <c r="B180" s="105"/>
      <c r="C180" s="60" t="s">
        <v>204</v>
      </c>
      <c r="D180" s="60">
        <f>52.86*10.764</f>
        <v>568.98503999999991</v>
      </c>
      <c r="E180" s="60">
        <v>0</v>
      </c>
      <c r="F180" s="60">
        <f t="shared" si="6"/>
        <v>910.37606399999993</v>
      </c>
      <c r="G180" s="109"/>
      <c r="H180" s="110"/>
    </row>
    <row r="181" spans="1:8" s="2" customFormat="1" x14ac:dyDescent="0.25">
      <c r="A181" s="105">
        <v>1305</v>
      </c>
      <c r="B181" s="105"/>
      <c r="C181" s="60" t="s">
        <v>204</v>
      </c>
      <c r="D181" s="60">
        <f>52.76*10.764</f>
        <v>567.90863999999999</v>
      </c>
      <c r="E181" s="60">
        <v>0</v>
      </c>
      <c r="F181" s="60">
        <f t="shared" si="6"/>
        <v>908.65382399999999</v>
      </c>
      <c r="G181" s="109"/>
      <c r="H181" s="110"/>
    </row>
    <row r="182" spans="1:8" s="2" customFormat="1" x14ac:dyDescent="0.25">
      <c r="A182" s="105">
        <v>1306</v>
      </c>
      <c r="B182" s="105"/>
      <c r="C182" s="125" t="s">
        <v>210</v>
      </c>
      <c r="D182" s="126"/>
      <c r="E182" s="126"/>
      <c r="F182" s="127"/>
      <c r="G182" s="111"/>
      <c r="H182" s="112"/>
    </row>
    <row r="183" spans="1:8" s="2" customFormat="1" x14ac:dyDescent="0.25">
      <c r="A183" s="106" t="s">
        <v>212</v>
      </c>
      <c r="B183" s="106"/>
      <c r="C183" s="106"/>
      <c r="D183" s="106"/>
      <c r="E183" s="106"/>
      <c r="F183" s="106"/>
      <c r="G183" s="106"/>
      <c r="H183" s="106"/>
    </row>
    <row r="184" spans="1:8" s="2" customFormat="1" x14ac:dyDescent="0.25">
      <c r="A184" s="106" t="s">
        <v>198</v>
      </c>
      <c r="B184" s="106"/>
      <c r="C184" s="106"/>
      <c r="D184" s="106"/>
      <c r="E184" s="106"/>
      <c r="F184" s="106"/>
      <c r="G184" s="106"/>
      <c r="H184" s="106"/>
    </row>
    <row r="185" spans="1:8" s="2" customFormat="1" x14ac:dyDescent="0.25">
      <c r="A185" s="106" t="s">
        <v>199</v>
      </c>
      <c r="B185" s="106"/>
      <c r="C185" s="106"/>
      <c r="D185" s="106"/>
      <c r="E185" s="106"/>
      <c r="F185" s="106"/>
      <c r="G185" s="106"/>
      <c r="H185" s="106"/>
    </row>
    <row r="186" spans="1:8" s="2" customFormat="1" x14ac:dyDescent="0.25">
      <c r="A186" s="106" t="s">
        <v>213</v>
      </c>
      <c r="B186" s="106"/>
      <c r="C186" s="106"/>
      <c r="D186" s="106"/>
      <c r="E186" s="106"/>
      <c r="F186" s="106"/>
      <c r="G186" s="106"/>
      <c r="H186" s="106"/>
    </row>
    <row r="187" spans="1:8" s="2" customFormat="1" x14ac:dyDescent="0.25">
      <c r="A187" s="125">
        <v>1</v>
      </c>
      <c r="B187" s="127"/>
      <c r="C187" s="60" t="s">
        <v>214</v>
      </c>
      <c r="D187" s="60">
        <f>20.46*10.764</f>
        <v>220.23143999999999</v>
      </c>
      <c r="E187" s="60">
        <v>0</v>
      </c>
      <c r="F187" s="60">
        <f t="shared" ref="F187:F196" si="7">D187*1.6+E187</f>
        <v>352.37030400000003</v>
      </c>
      <c r="G187" s="107" t="str">
        <f>A186</f>
        <v>1st Podium Floor</v>
      </c>
      <c r="H187" s="108"/>
    </row>
    <row r="188" spans="1:8" s="2" customFormat="1" x14ac:dyDescent="0.25">
      <c r="A188" s="125">
        <v>2</v>
      </c>
      <c r="B188" s="127"/>
      <c r="C188" s="60" t="s">
        <v>214</v>
      </c>
      <c r="D188" s="60">
        <f>22.62*10.764</f>
        <v>243.48167999999998</v>
      </c>
      <c r="E188" s="60">
        <v>0</v>
      </c>
      <c r="F188" s="60">
        <f t="shared" si="7"/>
        <v>389.57068800000002</v>
      </c>
      <c r="G188" s="109"/>
      <c r="H188" s="110"/>
    </row>
    <row r="189" spans="1:8" s="2" customFormat="1" x14ac:dyDescent="0.25">
      <c r="A189" s="125">
        <v>3</v>
      </c>
      <c r="B189" s="127"/>
      <c r="C189" s="60" t="s">
        <v>214</v>
      </c>
      <c r="D189" s="60">
        <f>20.63*10.764</f>
        <v>222.06131999999997</v>
      </c>
      <c r="E189" s="60">
        <v>0</v>
      </c>
      <c r="F189" s="60">
        <f t="shared" si="7"/>
        <v>355.29811199999995</v>
      </c>
      <c r="G189" s="109"/>
      <c r="H189" s="110"/>
    </row>
    <row r="190" spans="1:8" s="2" customFormat="1" x14ac:dyDescent="0.25">
      <c r="A190" s="125">
        <v>4</v>
      </c>
      <c r="B190" s="127"/>
      <c r="C190" s="60" t="s">
        <v>214</v>
      </c>
      <c r="D190" s="60">
        <f>20.61*10.764</f>
        <v>221.84603999999999</v>
      </c>
      <c r="E190" s="60">
        <v>0</v>
      </c>
      <c r="F190" s="60">
        <f t="shared" si="7"/>
        <v>354.953664</v>
      </c>
      <c r="G190" s="109"/>
      <c r="H190" s="110"/>
    </row>
    <row r="191" spans="1:8" s="2" customFormat="1" x14ac:dyDescent="0.25">
      <c r="A191" s="125">
        <v>5</v>
      </c>
      <c r="B191" s="127"/>
      <c r="C191" s="60" t="s">
        <v>214</v>
      </c>
      <c r="D191" s="60">
        <f>20.56*10.764</f>
        <v>221.30783999999997</v>
      </c>
      <c r="E191" s="60">
        <v>0</v>
      </c>
      <c r="F191" s="60">
        <f t="shared" si="7"/>
        <v>354.09254399999998</v>
      </c>
      <c r="G191" s="109"/>
      <c r="H191" s="110"/>
    </row>
    <row r="192" spans="1:8" s="2" customFormat="1" x14ac:dyDescent="0.25">
      <c r="A192" s="125">
        <v>6</v>
      </c>
      <c r="B192" s="127"/>
      <c r="C192" s="60" t="s">
        <v>214</v>
      </c>
      <c r="D192" s="60">
        <f>20.56*10.764</f>
        <v>221.30783999999997</v>
      </c>
      <c r="E192" s="60">
        <v>0</v>
      </c>
      <c r="F192" s="60">
        <f t="shared" si="7"/>
        <v>354.09254399999998</v>
      </c>
      <c r="G192" s="109"/>
      <c r="H192" s="110"/>
    </row>
    <row r="193" spans="1:8" s="2" customFormat="1" x14ac:dyDescent="0.25">
      <c r="A193" s="125">
        <v>7</v>
      </c>
      <c r="B193" s="127"/>
      <c r="C193" s="60" t="s">
        <v>214</v>
      </c>
      <c r="D193" s="60">
        <f>20.72*10.764</f>
        <v>223.03007999999997</v>
      </c>
      <c r="E193" s="60">
        <v>0</v>
      </c>
      <c r="F193" s="60">
        <f t="shared" si="7"/>
        <v>356.84812799999997</v>
      </c>
      <c r="G193" s="109"/>
      <c r="H193" s="110"/>
    </row>
    <row r="194" spans="1:8" s="2" customFormat="1" x14ac:dyDescent="0.25">
      <c r="A194" s="125">
        <v>8</v>
      </c>
      <c r="B194" s="127"/>
      <c r="C194" s="60" t="s">
        <v>214</v>
      </c>
      <c r="D194" s="60">
        <f>20.55*10.764</f>
        <v>221.2002</v>
      </c>
      <c r="E194" s="60">
        <v>0</v>
      </c>
      <c r="F194" s="60">
        <f t="shared" si="7"/>
        <v>353.92032</v>
      </c>
      <c r="G194" s="109"/>
      <c r="H194" s="110"/>
    </row>
    <row r="195" spans="1:8" s="2" customFormat="1" x14ac:dyDescent="0.25">
      <c r="A195" s="125">
        <v>9</v>
      </c>
      <c r="B195" s="127"/>
      <c r="C195" s="60" t="s">
        <v>214</v>
      </c>
      <c r="D195" s="60">
        <f>20.7*10.764</f>
        <v>222.81479999999999</v>
      </c>
      <c r="E195" s="60">
        <v>0</v>
      </c>
      <c r="F195" s="60">
        <f t="shared" si="7"/>
        <v>356.50368000000003</v>
      </c>
      <c r="G195" s="109"/>
      <c r="H195" s="110"/>
    </row>
    <row r="196" spans="1:8" s="2" customFormat="1" x14ac:dyDescent="0.25">
      <c r="A196" s="125">
        <v>10</v>
      </c>
      <c r="B196" s="127"/>
      <c r="C196" s="60" t="s">
        <v>214</v>
      </c>
      <c r="D196" s="60">
        <f>20.7*10.764</f>
        <v>222.81479999999999</v>
      </c>
      <c r="E196" s="60">
        <v>0</v>
      </c>
      <c r="F196" s="60">
        <f t="shared" si="7"/>
        <v>356.50368000000003</v>
      </c>
      <c r="G196" s="111"/>
      <c r="H196" s="112"/>
    </row>
    <row r="197" spans="1:8" s="2" customFormat="1" ht="15.75" customHeight="1" x14ac:dyDescent="0.25">
      <c r="A197" s="232" t="s">
        <v>215</v>
      </c>
      <c r="B197" s="233"/>
      <c r="C197" s="233"/>
      <c r="D197" s="233"/>
      <c r="E197" s="233"/>
      <c r="F197" s="233"/>
      <c r="G197" s="233"/>
      <c r="H197" s="234"/>
    </row>
    <row r="198" spans="1:8" s="2" customFormat="1" ht="15.75" customHeight="1" x14ac:dyDescent="0.25">
      <c r="A198" s="125" t="s">
        <v>235</v>
      </c>
      <c r="B198" s="127" t="s">
        <v>235</v>
      </c>
      <c r="C198" s="60" t="s">
        <v>214</v>
      </c>
      <c r="D198" s="60">
        <f>20.46*10.764</f>
        <v>220.23143999999999</v>
      </c>
      <c r="E198" s="60">
        <v>0</v>
      </c>
      <c r="F198" s="60">
        <f t="shared" ref="F198:F207" si="8">D198*1.6+E198</f>
        <v>352.37030400000003</v>
      </c>
      <c r="G198" s="107" t="str">
        <f>A197</f>
        <v>1st to 7th Floor</v>
      </c>
      <c r="H198" s="108"/>
    </row>
    <row r="199" spans="1:8" s="2" customFormat="1" ht="15.75" customHeight="1" x14ac:dyDescent="0.25">
      <c r="A199" s="125" t="s">
        <v>236</v>
      </c>
      <c r="B199" s="127" t="s">
        <v>236</v>
      </c>
      <c r="C199" s="60" t="s">
        <v>214</v>
      </c>
      <c r="D199" s="60">
        <f>22.62*10.764</f>
        <v>243.48167999999998</v>
      </c>
      <c r="E199" s="60">
        <v>0</v>
      </c>
      <c r="F199" s="60">
        <f t="shared" si="8"/>
        <v>389.57068800000002</v>
      </c>
      <c r="G199" s="109"/>
      <c r="H199" s="110"/>
    </row>
    <row r="200" spans="1:8" s="2" customFormat="1" ht="15.75" customHeight="1" x14ac:dyDescent="0.25">
      <c r="A200" s="125" t="s">
        <v>237</v>
      </c>
      <c r="B200" s="127" t="s">
        <v>237</v>
      </c>
      <c r="C200" s="60" t="s">
        <v>214</v>
      </c>
      <c r="D200" s="60">
        <f>20.63*10.764</f>
        <v>222.06131999999997</v>
      </c>
      <c r="E200" s="60">
        <v>0</v>
      </c>
      <c r="F200" s="60">
        <f t="shared" si="8"/>
        <v>355.29811199999995</v>
      </c>
      <c r="G200" s="109"/>
      <c r="H200" s="110"/>
    </row>
    <row r="201" spans="1:8" s="2" customFormat="1" ht="15.75" customHeight="1" x14ac:dyDescent="0.25">
      <c r="A201" s="125" t="s">
        <v>238</v>
      </c>
      <c r="B201" s="127" t="s">
        <v>238</v>
      </c>
      <c r="C201" s="60" t="s">
        <v>214</v>
      </c>
      <c r="D201" s="60">
        <f>20.61*10.764</f>
        <v>221.84603999999999</v>
      </c>
      <c r="E201" s="60">
        <v>0</v>
      </c>
      <c r="F201" s="60">
        <f t="shared" si="8"/>
        <v>354.953664</v>
      </c>
      <c r="G201" s="109"/>
      <c r="H201" s="110"/>
    </row>
    <row r="202" spans="1:8" s="2" customFormat="1" ht="15.75" customHeight="1" x14ac:dyDescent="0.25">
      <c r="A202" s="125" t="s">
        <v>239</v>
      </c>
      <c r="B202" s="127" t="s">
        <v>239</v>
      </c>
      <c r="C202" s="60" t="s">
        <v>214</v>
      </c>
      <c r="D202" s="60">
        <f>20.56*10.764</f>
        <v>221.30783999999997</v>
      </c>
      <c r="E202" s="60">
        <v>0</v>
      </c>
      <c r="F202" s="60">
        <f t="shared" si="8"/>
        <v>354.09254399999998</v>
      </c>
      <c r="G202" s="109"/>
      <c r="H202" s="110"/>
    </row>
    <row r="203" spans="1:8" s="2" customFormat="1" ht="15.75" customHeight="1" x14ac:dyDescent="0.25">
      <c r="A203" s="125" t="s">
        <v>240</v>
      </c>
      <c r="B203" s="127" t="s">
        <v>240</v>
      </c>
      <c r="C203" s="60" t="s">
        <v>214</v>
      </c>
      <c r="D203" s="60">
        <f>20.56*10.764</f>
        <v>221.30783999999997</v>
      </c>
      <c r="E203" s="60">
        <v>0</v>
      </c>
      <c r="F203" s="60">
        <f>D203*1.6+E203</f>
        <v>354.09254399999998</v>
      </c>
      <c r="G203" s="109"/>
      <c r="H203" s="110"/>
    </row>
    <row r="204" spans="1:8" s="2" customFormat="1" x14ac:dyDescent="0.25">
      <c r="A204" s="125" t="s">
        <v>241</v>
      </c>
      <c r="B204" s="127" t="s">
        <v>241</v>
      </c>
      <c r="C204" s="60" t="s">
        <v>214</v>
      </c>
      <c r="D204" s="60">
        <f>20.72*10.764</f>
        <v>223.03007999999997</v>
      </c>
      <c r="E204" s="60">
        <v>0</v>
      </c>
      <c r="F204" s="60">
        <f t="shared" si="8"/>
        <v>356.84812799999997</v>
      </c>
      <c r="G204" s="109"/>
      <c r="H204" s="110"/>
    </row>
    <row r="205" spans="1:8" s="2" customFormat="1" x14ac:dyDescent="0.25">
      <c r="A205" s="125" t="s">
        <v>242</v>
      </c>
      <c r="B205" s="127" t="s">
        <v>242</v>
      </c>
      <c r="C205" s="60" t="s">
        <v>214</v>
      </c>
      <c r="D205" s="60">
        <f>20.55*10.764</f>
        <v>221.2002</v>
      </c>
      <c r="E205" s="60">
        <v>0</v>
      </c>
      <c r="F205" s="60">
        <f t="shared" si="8"/>
        <v>353.92032</v>
      </c>
      <c r="G205" s="109"/>
      <c r="H205" s="110"/>
    </row>
    <row r="206" spans="1:8" s="2" customFormat="1" x14ac:dyDescent="0.25">
      <c r="A206" s="125" t="s">
        <v>243</v>
      </c>
      <c r="B206" s="127" t="s">
        <v>243</v>
      </c>
      <c r="C206" s="60" t="s">
        <v>214</v>
      </c>
      <c r="D206" s="60">
        <f>20.7*10.764</f>
        <v>222.81479999999999</v>
      </c>
      <c r="E206" s="60">
        <v>0</v>
      </c>
      <c r="F206" s="60">
        <f t="shared" si="8"/>
        <v>356.50368000000003</v>
      </c>
      <c r="G206" s="109"/>
      <c r="H206" s="110"/>
    </row>
    <row r="207" spans="1:8" s="2" customFormat="1" x14ac:dyDescent="0.25">
      <c r="A207" s="125" t="s">
        <v>244</v>
      </c>
      <c r="B207" s="127" t="s">
        <v>244</v>
      </c>
      <c r="C207" s="60" t="s">
        <v>214</v>
      </c>
      <c r="D207" s="60">
        <f>20.7*10.764</f>
        <v>222.81479999999999</v>
      </c>
      <c r="E207" s="60">
        <v>0</v>
      </c>
      <c r="F207" s="60">
        <f t="shared" si="8"/>
        <v>356.50368000000003</v>
      </c>
      <c r="G207" s="111"/>
      <c r="H207" s="112"/>
    </row>
    <row r="208" spans="1:8" s="1" customFormat="1" x14ac:dyDescent="0.25">
      <c r="A208" s="167" t="s">
        <v>87</v>
      </c>
      <c r="B208" s="167"/>
      <c r="C208" s="167"/>
      <c r="D208" s="167"/>
      <c r="E208" s="167"/>
      <c r="F208" s="167"/>
      <c r="G208" s="167"/>
      <c r="H208" s="167"/>
    </row>
    <row r="209" spans="1:8" s="10" customFormat="1" ht="147.75" customHeight="1" x14ac:dyDescent="0.25">
      <c r="A209" s="151" t="s">
        <v>266</v>
      </c>
      <c r="B209" s="151"/>
      <c r="C209" s="151"/>
      <c r="D209" s="151"/>
      <c r="E209" s="151"/>
      <c r="F209" s="151"/>
      <c r="G209" s="151"/>
      <c r="H209" s="151"/>
    </row>
    <row r="210" spans="1:8" x14ac:dyDescent="0.25">
      <c r="A210" s="153" t="s">
        <v>78</v>
      </c>
      <c r="B210" s="153"/>
      <c r="C210" s="153"/>
      <c r="D210" s="153"/>
      <c r="E210" s="153"/>
      <c r="F210" s="153"/>
      <c r="G210" s="153"/>
      <c r="H210" s="153"/>
    </row>
    <row r="211" spans="1:8" x14ac:dyDescent="0.25">
      <c r="A211" s="150" t="s">
        <v>79</v>
      </c>
      <c r="B211" s="150"/>
      <c r="C211" s="150"/>
      <c r="D211" s="150"/>
      <c r="E211" s="150"/>
      <c r="F211" s="150"/>
      <c r="G211" s="150"/>
      <c r="H211" s="150"/>
    </row>
    <row r="212" spans="1:8" ht="15.75" customHeight="1" x14ac:dyDescent="0.25">
      <c r="A212" s="153" t="s">
        <v>80</v>
      </c>
      <c r="B212" s="153"/>
      <c r="C212" s="153"/>
      <c r="D212" s="153"/>
      <c r="E212" s="153"/>
      <c r="F212" s="153"/>
      <c r="G212" s="153"/>
      <c r="H212" s="153"/>
    </row>
    <row r="213" spans="1:8" x14ac:dyDescent="0.25">
      <c r="A213" s="150" t="s">
        <v>81</v>
      </c>
      <c r="B213" s="150"/>
      <c r="C213" s="150"/>
      <c r="D213" s="150"/>
      <c r="E213" s="150"/>
      <c r="F213" s="150"/>
      <c r="G213" s="150"/>
      <c r="H213" s="150"/>
    </row>
    <row r="214" spans="1:8" x14ac:dyDescent="0.25">
      <c r="A214" s="150" t="s">
        <v>82</v>
      </c>
      <c r="B214" s="150"/>
      <c r="C214" s="150"/>
      <c r="D214" s="150"/>
      <c r="E214" s="150"/>
      <c r="F214" s="150"/>
      <c r="G214" s="150"/>
      <c r="H214" s="150"/>
    </row>
    <row r="215" spans="1:8" x14ac:dyDescent="0.25">
      <c r="A215" s="150" t="s">
        <v>83</v>
      </c>
      <c r="B215" s="150"/>
      <c r="C215" s="150"/>
      <c r="D215" s="150"/>
      <c r="E215" s="150"/>
      <c r="F215" s="150"/>
      <c r="G215" s="150"/>
      <c r="H215" s="150"/>
    </row>
    <row r="216" spans="1:8" ht="35.25" customHeight="1" x14ac:dyDescent="0.25">
      <c r="A216" s="159" t="s">
        <v>84</v>
      </c>
      <c r="B216" s="159"/>
      <c r="C216" s="159"/>
      <c r="D216" s="159"/>
      <c r="E216" s="159"/>
      <c r="F216" s="159"/>
      <c r="G216" s="159"/>
      <c r="H216" s="159"/>
    </row>
    <row r="217" spans="1:8" x14ac:dyDescent="0.25">
      <c r="A217" s="171" t="s">
        <v>121</v>
      </c>
      <c r="B217" s="171"/>
      <c r="C217" s="171" t="s">
        <v>265</v>
      </c>
      <c r="D217" s="171"/>
      <c r="E217" s="171" t="s">
        <v>164</v>
      </c>
      <c r="F217" s="171"/>
      <c r="G217" s="171" t="s">
        <v>220</v>
      </c>
      <c r="H217" s="171"/>
    </row>
    <row r="218" spans="1:8" x14ac:dyDescent="0.25">
      <c r="A218" s="135" t="s">
        <v>124</v>
      </c>
      <c r="B218" s="135"/>
      <c r="C218" s="135"/>
      <c r="D218" s="135"/>
      <c r="E218" s="135"/>
      <c r="F218" s="135"/>
      <c r="G218" s="135"/>
      <c r="H218" s="135"/>
    </row>
    <row r="219" spans="1:8" x14ac:dyDescent="0.25">
      <c r="A219" s="135"/>
      <c r="B219" s="135"/>
      <c r="C219" s="135"/>
      <c r="D219" s="135"/>
      <c r="E219" s="135"/>
      <c r="F219" s="135"/>
      <c r="G219" s="135"/>
      <c r="H219" s="135"/>
    </row>
    <row r="220" spans="1:8" x14ac:dyDescent="0.25">
      <c r="A220" s="135"/>
      <c r="B220" s="135"/>
      <c r="C220" s="135"/>
      <c r="D220" s="135"/>
      <c r="E220" s="135"/>
      <c r="F220" s="135"/>
      <c r="G220" s="135"/>
      <c r="H220" s="135"/>
    </row>
    <row r="221" spans="1:8" x14ac:dyDescent="0.25">
      <c r="A221" s="135"/>
      <c r="B221" s="135"/>
      <c r="C221" s="135"/>
      <c r="D221" s="135"/>
      <c r="E221" s="135"/>
      <c r="F221" s="135"/>
      <c r="G221" s="135"/>
      <c r="H221" s="135"/>
    </row>
    <row r="222" spans="1:8" x14ac:dyDescent="0.25">
      <c r="A222" s="20" t="s">
        <v>85</v>
      </c>
      <c r="B222" s="21"/>
      <c r="C222" s="21"/>
      <c r="D222" s="20" t="str">
        <f>E8</f>
        <v>Purva Clermont</v>
      </c>
      <c r="F222" s="21"/>
      <c r="G222" s="21"/>
      <c r="H222" s="21"/>
    </row>
    <row r="223" spans="1:8" x14ac:dyDescent="0.25">
      <c r="A223" s="21"/>
      <c r="B223" s="21"/>
      <c r="C223" s="21"/>
      <c r="D223" s="21"/>
      <c r="E223" s="21"/>
      <c r="F223" s="21"/>
      <c r="G223" s="21"/>
      <c r="H223" s="21"/>
    </row>
    <row r="224" spans="1:8" x14ac:dyDescent="0.25">
      <c r="A224" s="21"/>
      <c r="B224" s="21"/>
      <c r="C224" s="21"/>
      <c r="D224" s="21"/>
      <c r="E224" s="21"/>
      <c r="F224" s="21"/>
      <c r="G224" s="21"/>
      <c r="H224" s="21"/>
    </row>
    <row r="225" ht="15" customHeight="1" x14ac:dyDescent="0.25"/>
    <row r="266" spans="1:1" x14ac:dyDescent="0.25">
      <c r="A266" s="23" t="s">
        <v>86</v>
      </c>
    </row>
  </sheetData>
  <mergeCells count="345">
    <mergeCell ref="A218:H221"/>
    <mergeCell ref="A213:H213"/>
    <mergeCell ref="A214:H214"/>
    <mergeCell ref="A215:H215"/>
    <mergeCell ref="A216:H216"/>
    <mergeCell ref="A217:B217"/>
    <mergeCell ref="C217:D217"/>
    <mergeCell ref="E217:F217"/>
    <mergeCell ref="G217:H217"/>
    <mergeCell ref="A207:B207"/>
    <mergeCell ref="A208:H208"/>
    <mergeCell ref="A209:H209"/>
    <mergeCell ref="A210:H210"/>
    <mergeCell ref="A211:H211"/>
    <mergeCell ref="A212:H212"/>
    <mergeCell ref="A198:B198"/>
    <mergeCell ref="G198:H207"/>
    <mergeCell ref="A199:B199"/>
    <mergeCell ref="A200:B200"/>
    <mergeCell ref="A201:B201"/>
    <mergeCell ref="A202:B202"/>
    <mergeCell ref="A203:B203"/>
    <mergeCell ref="A204:B204"/>
    <mergeCell ref="A205:B205"/>
    <mergeCell ref="A206:B206"/>
    <mergeCell ref="A192:B192"/>
    <mergeCell ref="A193:B193"/>
    <mergeCell ref="A194:B194"/>
    <mergeCell ref="A195:B195"/>
    <mergeCell ref="A196:B196"/>
    <mergeCell ref="A197:H197"/>
    <mergeCell ref="A183:H183"/>
    <mergeCell ref="A184:H184"/>
    <mergeCell ref="A185:H185"/>
    <mergeCell ref="A186:H186"/>
    <mergeCell ref="A187:B187"/>
    <mergeCell ref="G187:H196"/>
    <mergeCell ref="A188:B188"/>
    <mergeCell ref="A189:B189"/>
    <mergeCell ref="A190:B190"/>
    <mergeCell ref="A191:B191"/>
    <mergeCell ref="A176:H176"/>
    <mergeCell ref="A177:B177"/>
    <mergeCell ref="G177:H182"/>
    <mergeCell ref="A178:B178"/>
    <mergeCell ref="A179:B179"/>
    <mergeCell ref="A180:B180"/>
    <mergeCell ref="A181:B181"/>
    <mergeCell ref="A182:B182"/>
    <mergeCell ref="C182:F182"/>
    <mergeCell ref="A169:H169"/>
    <mergeCell ref="A170:B170"/>
    <mergeCell ref="G170:H175"/>
    <mergeCell ref="A171:B171"/>
    <mergeCell ref="A172:B172"/>
    <mergeCell ref="A173:B173"/>
    <mergeCell ref="A174:B174"/>
    <mergeCell ref="C174:F175"/>
    <mergeCell ref="A175:B175"/>
    <mergeCell ref="A163:B163"/>
    <mergeCell ref="G163:H168"/>
    <mergeCell ref="A164:B164"/>
    <mergeCell ref="A165:B165"/>
    <mergeCell ref="A166:B166"/>
    <mergeCell ref="A167:B167"/>
    <mergeCell ref="A168:B168"/>
    <mergeCell ref="A155:H155"/>
    <mergeCell ref="A156:B156"/>
    <mergeCell ref="G156:H161"/>
    <mergeCell ref="A157:B157"/>
    <mergeCell ref="A158:B158"/>
    <mergeCell ref="A159:B159"/>
    <mergeCell ref="A160:B160"/>
    <mergeCell ref="A161:B161"/>
    <mergeCell ref="A148:H148"/>
    <mergeCell ref="A149:B149"/>
    <mergeCell ref="G149:H154"/>
    <mergeCell ref="A150:B150"/>
    <mergeCell ref="A151:B151"/>
    <mergeCell ref="A152:B152"/>
    <mergeCell ref="A153:B153"/>
    <mergeCell ref="A154:B154"/>
    <mergeCell ref="A162:H162"/>
    <mergeCell ref="A138:H138"/>
    <mergeCell ref="A139:H139"/>
    <mergeCell ref="A140:H140"/>
    <mergeCell ref="A141:H141"/>
    <mergeCell ref="A142:B142"/>
    <mergeCell ref="G142:H147"/>
    <mergeCell ref="A143:B143"/>
    <mergeCell ref="A144:B144"/>
    <mergeCell ref="A145:B145"/>
    <mergeCell ref="A146:B146"/>
    <mergeCell ref="A147:B147"/>
    <mergeCell ref="A133:H133"/>
    <mergeCell ref="A134:H134"/>
    <mergeCell ref="A135:B135"/>
    <mergeCell ref="G135:H137"/>
    <mergeCell ref="A136:B136"/>
    <mergeCell ref="A137:B137"/>
    <mergeCell ref="A128:H128"/>
    <mergeCell ref="A129:B129"/>
    <mergeCell ref="G129:H130"/>
    <mergeCell ref="A130:B130"/>
    <mergeCell ref="A131:H131"/>
    <mergeCell ref="A132:H132"/>
    <mergeCell ref="A123:H123"/>
    <mergeCell ref="A124:H124"/>
    <mergeCell ref="A125:H125"/>
    <mergeCell ref="A126:B126"/>
    <mergeCell ref="G126:H127"/>
    <mergeCell ref="A127:B127"/>
    <mergeCell ref="A119:B119"/>
    <mergeCell ref="G119:H121"/>
    <mergeCell ref="A120:B120"/>
    <mergeCell ref="A121:B121"/>
    <mergeCell ref="C121:F121"/>
    <mergeCell ref="A122:H122"/>
    <mergeCell ref="A115:B115"/>
    <mergeCell ref="G115:H116"/>
    <mergeCell ref="A116:B116"/>
    <mergeCell ref="A117:B117"/>
    <mergeCell ref="G117:H117"/>
    <mergeCell ref="A118:H118"/>
    <mergeCell ref="A111:B111"/>
    <mergeCell ref="G111:H113"/>
    <mergeCell ref="A112:B112"/>
    <mergeCell ref="A113:B113"/>
    <mergeCell ref="C113:F113"/>
    <mergeCell ref="A114:H114"/>
    <mergeCell ref="A106:H106"/>
    <mergeCell ref="A107:B107"/>
    <mergeCell ref="G107:H109"/>
    <mergeCell ref="A108:B108"/>
    <mergeCell ref="A109:B109"/>
    <mergeCell ref="A110:H110"/>
    <mergeCell ref="A99:H99"/>
    <mergeCell ref="A100:H100"/>
    <mergeCell ref="A101:H101"/>
    <mergeCell ref="A102:H102"/>
    <mergeCell ref="A103:B103"/>
    <mergeCell ref="G103:H105"/>
    <mergeCell ref="A104:B104"/>
    <mergeCell ref="A105:B105"/>
    <mergeCell ref="A95:B95"/>
    <mergeCell ref="D95:E95"/>
    <mergeCell ref="F95:H95"/>
    <mergeCell ref="A96:H96"/>
    <mergeCell ref="A97:H97"/>
    <mergeCell ref="A98:B98"/>
    <mergeCell ref="G98:H98"/>
    <mergeCell ref="A93:B93"/>
    <mergeCell ref="D93:E93"/>
    <mergeCell ref="F93:H93"/>
    <mergeCell ref="A94:B94"/>
    <mergeCell ref="D94:E94"/>
    <mergeCell ref="F94:H94"/>
    <mergeCell ref="A91:B91"/>
    <mergeCell ref="D91:E91"/>
    <mergeCell ref="F91:H91"/>
    <mergeCell ref="A92:B92"/>
    <mergeCell ref="D92:E92"/>
    <mergeCell ref="F92:H92"/>
    <mergeCell ref="A88:H88"/>
    <mergeCell ref="A89:B89"/>
    <mergeCell ref="D89:E89"/>
    <mergeCell ref="F89:H89"/>
    <mergeCell ref="A90:B90"/>
    <mergeCell ref="D90:E90"/>
    <mergeCell ref="F90:H90"/>
    <mergeCell ref="A85:E85"/>
    <mergeCell ref="F85:H85"/>
    <mergeCell ref="A86:H86"/>
    <mergeCell ref="A87:B87"/>
    <mergeCell ref="D87:E87"/>
    <mergeCell ref="F87:H87"/>
    <mergeCell ref="A82:E82"/>
    <mergeCell ref="F82:H82"/>
    <mergeCell ref="A83:E83"/>
    <mergeCell ref="F83:H83"/>
    <mergeCell ref="A84:E84"/>
    <mergeCell ref="F84:H84"/>
    <mergeCell ref="A79:E79"/>
    <mergeCell ref="F79:H79"/>
    <mergeCell ref="A80:E80"/>
    <mergeCell ref="F80:H80"/>
    <mergeCell ref="A81:E81"/>
    <mergeCell ref="F81:H81"/>
    <mergeCell ref="A76:E76"/>
    <mergeCell ref="F76:H76"/>
    <mergeCell ref="A77:E77"/>
    <mergeCell ref="F77:H77"/>
    <mergeCell ref="A78:E78"/>
    <mergeCell ref="F78:H78"/>
    <mergeCell ref="A72:H72"/>
    <mergeCell ref="A73:E73"/>
    <mergeCell ref="F73:H73"/>
    <mergeCell ref="A74:E74"/>
    <mergeCell ref="F74:H74"/>
    <mergeCell ref="A75:E75"/>
    <mergeCell ref="F75:H75"/>
    <mergeCell ref="A67:B67"/>
    <mergeCell ref="A68:B68"/>
    <mergeCell ref="A69:H69"/>
    <mergeCell ref="A70:H70"/>
    <mergeCell ref="A71:B71"/>
    <mergeCell ref="C71:H71"/>
    <mergeCell ref="A61:B61"/>
    <mergeCell ref="E61:F61"/>
    <mergeCell ref="G61:H61"/>
    <mergeCell ref="A62:B62"/>
    <mergeCell ref="E62:F68"/>
    <mergeCell ref="G62:H68"/>
    <mergeCell ref="A63:B63"/>
    <mergeCell ref="A64:B64"/>
    <mergeCell ref="A65:B65"/>
    <mergeCell ref="A66:B66"/>
    <mergeCell ref="A56:C56"/>
    <mergeCell ref="D56:H56"/>
    <mergeCell ref="A57:C57"/>
    <mergeCell ref="D57:H57"/>
    <mergeCell ref="A58:H58"/>
    <mergeCell ref="A60:B60"/>
    <mergeCell ref="C60:H60"/>
    <mergeCell ref="A53:C53"/>
    <mergeCell ref="D53:H53"/>
    <mergeCell ref="A54:C54"/>
    <mergeCell ref="D54:H54"/>
    <mergeCell ref="A55:C55"/>
    <mergeCell ref="D55:H55"/>
    <mergeCell ref="A49:H49"/>
    <mergeCell ref="A50:C50"/>
    <mergeCell ref="D50:H50"/>
    <mergeCell ref="A51:C51"/>
    <mergeCell ref="D51:H51"/>
    <mergeCell ref="A52:C52"/>
    <mergeCell ref="D52:H52"/>
    <mergeCell ref="A46:B47"/>
    <mergeCell ref="C46:E46"/>
    <mergeCell ref="G46:H46"/>
    <mergeCell ref="C47:E47"/>
    <mergeCell ref="G47:H47"/>
    <mergeCell ref="A48:B48"/>
    <mergeCell ref="C48:E48"/>
    <mergeCell ref="G48:H48"/>
    <mergeCell ref="A43:H43"/>
    <mergeCell ref="A44:B44"/>
    <mergeCell ref="C44:E44"/>
    <mergeCell ref="G44:H44"/>
    <mergeCell ref="A45:B45"/>
    <mergeCell ref="C45:E45"/>
    <mergeCell ref="G45:H45"/>
    <mergeCell ref="A40:D40"/>
    <mergeCell ref="E40:H40"/>
    <mergeCell ref="A41:D41"/>
    <mergeCell ref="E41:H41"/>
    <mergeCell ref="A42:D42"/>
    <mergeCell ref="E42:H42"/>
    <mergeCell ref="A37:D37"/>
    <mergeCell ref="E37:H37"/>
    <mergeCell ref="A38:D38"/>
    <mergeCell ref="E38:H38"/>
    <mergeCell ref="A39:D39"/>
    <mergeCell ref="E39:H39"/>
    <mergeCell ref="A34:H34"/>
    <mergeCell ref="A35:B35"/>
    <mergeCell ref="C35:D35"/>
    <mergeCell ref="E35:F35"/>
    <mergeCell ref="G35:H35"/>
    <mergeCell ref="A36:H36"/>
    <mergeCell ref="A32:B32"/>
    <mergeCell ref="C32:E32"/>
    <mergeCell ref="F32:H32"/>
    <mergeCell ref="A33:B33"/>
    <mergeCell ref="C33:E33"/>
    <mergeCell ref="F33:H33"/>
    <mergeCell ref="A30:B30"/>
    <mergeCell ref="C30:E30"/>
    <mergeCell ref="F30:H30"/>
    <mergeCell ref="A31:B31"/>
    <mergeCell ref="C31:E31"/>
    <mergeCell ref="F31:H31"/>
    <mergeCell ref="A27:D27"/>
    <mergeCell ref="E27:H27"/>
    <mergeCell ref="A28:D28"/>
    <mergeCell ref="E28:H28"/>
    <mergeCell ref="A29:B29"/>
    <mergeCell ref="C29:E29"/>
    <mergeCell ref="F29:H29"/>
    <mergeCell ref="A24:D24"/>
    <mergeCell ref="E24:H24"/>
    <mergeCell ref="A25:D25"/>
    <mergeCell ref="E25:H25"/>
    <mergeCell ref="A26:D26"/>
    <mergeCell ref="E26:H26"/>
    <mergeCell ref="A21:D21"/>
    <mergeCell ref="E21:H21"/>
    <mergeCell ref="A22:D22"/>
    <mergeCell ref="E22:H22"/>
    <mergeCell ref="A23:D23"/>
    <mergeCell ref="E23:H23"/>
    <mergeCell ref="A18:B18"/>
    <mergeCell ref="C18:D18"/>
    <mergeCell ref="E18:F18"/>
    <mergeCell ref="G18:H18"/>
    <mergeCell ref="A19:D20"/>
    <mergeCell ref="E19:H20"/>
    <mergeCell ref="A16:B16"/>
    <mergeCell ref="C16:D16"/>
    <mergeCell ref="E16:F16"/>
    <mergeCell ref="G16:H16"/>
    <mergeCell ref="A17:B17"/>
    <mergeCell ref="C17:D17"/>
    <mergeCell ref="E17:F17"/>
    <mergeCell ref="G17:H17"/>
    <mergeCell ref="A14:B14"/>
    <mergeCell ref="C14:H14"/>
    <mergeCell ref="A15:B15"/>
    <mergeCell ref="C15:D15"/>
    <mergeCell ref="E15:F15"/>
    <mergeCell ref="G15:H15"/>
    <mergeCell ref="A11:D11"/>
    <mergeCell ref="E11:H11"/>
    <mergeCell ref="A12:D12"/>
    <mergeCell ref="E12:H12"/>
    <mergeCell ref="A13:B13"/>
    <mergeCell ref="C13:H13"/>
    <mergeCell ref="A8:D8"/>
    <mergeCell ref="E8:H8"/>
    <mergeCell ref="A9:D9"/>
    <mergeCell ref="E9:H9"/>
    <mergeCell ref="A10:D10"/>
    <mergeCell ref="E10:H10"/>
    <mergeCell ref="A5:D5"/>
    <mergeCell ref="E5:H5"/>
    <mergeCell ref="A6:D6"/>
    <mergeCell ref="E6:H6"/>
    <mergeCell ref="A7:D7"/>
    <mergeCell ref="E7:H7"/>
    <mergeCell ref="A1:H1"/>
    <mergeCell ref="A2:H2"/>
    <mergeCell ref="A3:D3"/>
    <mergeCell ref="E3:H3"/>
    <mergeCell ref="A4:D4"/>
    <mergeCell ref="E4:H4"/>
  </mergeCells>
  <printOptions horizontalCentered="1"/>
  <pageMargins left="0.39370078740157483" right="0.39370078740157483" top="0.78740157480314965" bottom="0.78740157480314965" header="0.19685039370078741" footer="0.19685039370078741"/>
  <pageSetup orientation="portrait" r:id="rId1"/>
  <headerFooter>
    <oddHeader>&amp;C&amp;G</oddHeader>
    <oddFooter>&amp;L&amp;"Times New Roman,Bold"&amp;12Ref No: &amp;F&amp;R&amp;"Times New Roman,Bold"&amp;12&amp;G                                                              &amp;P</oddFooter>
  </headerFooter>
  <rowBreaks count="2" manualBreakCount="2">
    <brk id="221" max="16383" man="1"/>
    <brk id="265"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B16" workbookViewId="0">
      <selection activeCell="F29" sqref="F29"/>
    </sheetView>
  </sheetViews>
  <sheetFormatPr defaultRowHeight="15" x14ac:dyDescent="0.25"/>
  <cols>
    <col min="2" max="2" width="12.28515625" customWidth="1"/>
  </cols>
  <sheetData>
    <row r="2" spans="1:12" x14ac:dyDescent="0.25">
      <c r="B2" s="3" t="s">
        <v>88</v>
      </c>
      <c r="C2" s="235"/>
      <c r="D2" s="235"/>
    </row>
    <row r="3" spans="1:12" x14ac:dyDescent="0.25">
      <c r="D3" s="4"/>
      <c r="E3" s="4"/>
      <c r="F3" s="4"/>
      <c r="G3" s="4"/>
      <c r="H3" s="4"/>
      <c r="I3" s="4"/>
    </row>
    <row r="4" spans="1:12" x14ac:dyDescent="0.25">
      <c r="A4" s="3" t="s">
        <v>89</v>
      </c>
      <c r="B4" s="5" t="s">
        <v>90</v>
      </c>
      <c r="C4" s="236" t="s">
        <v>91</v>
      </c>
      <c r="D4" s="236"/>
      <c r="E4" s="236"/>
      <c r="F4" s="6"/>
      <c r="G4" s="236" t="s">
        <v>92</v>
      </c>
      <c r="H4" s="236"/>
      <c r="I4" s="236"/>
      <c r="J4" s="236" t="s">
        <v>93</v>
      </c>
      <c r="K4" s="236"/>
      <c r="L4" s="236"/>
    </row>
    <row r="5" spans="1:12" x14ac:dyDescent="0.25">
      <c r="A5" s="3">
        <v>202</v>
      </c>
      <c r="B5" s="5"/>
      <c r="C5" s="5" t="s">
        <v>94</v>
      </c>
      <c r="D5" s="5" t="s">
        <v>95</v>
      </c>
      <c r="E5" s="5" t="s">
        <v>69</v>
      </c>
      <c r="F5" s="5"/>
      <c r="G5" s="5" t="s">
        <v>94</v>
      </c>
      <c r="H5" s="5" t="s">
        <v>95</v>
      </c>
      <c r="I5" s="5" t="s">
        <v>69</v>
      </c>
      <c r="J5" s="5" t="s">
        <v>94</v>
      </c>
      <c r="K5" s="5" t="s">
        <v>95</v>
      </c>
      <c r="L5" s="5" t="s">
        <v>69</v>
      </c>
    </row>
    <row r="6" spans="1:12" x14ac:dyDescent="0.25">
      <c r="B6" s="7" t="s">
        <v>96</v>
      </c>
      <c r="C6" s="7">
        <v>3.23</v>
      </c>
      <c r="D6" s="7">
        <v>4.41</v>
      </c>
      <c r="E6" s="7">
        <f>C6*D6</f>
        <v>14.244300000000001</v>
      </c>
      <c r="F6" s="7" t="s">
        <v>97</v>
      </c>
      <c r="G6" s="7">
        <v>1.03</v>
      </c>
      <c r="H6" s="7">
        <v>0.08</v>
      </c>
      <c r="I6" s="7">
        <f>G6*H6</f>
        <v>8.2400000000000001E-2</v>
      </c>
      <c r="J6" s="7"/>
      <c r="K6" s="7"/>
      <c r="L6" s="7">
        <f>J6*K6</f>
        <v>0</v>
      </c>
    </row>
    <row r="7" spans="1:12" x14ac:dyDescent="0.25">
      <c r="B7" s="7"/>
      <c r="C7" s="7"/>
      <c r="D7" s="7"/>
      <c r="E7" s="7">
        <f t="shared" ref="E7:E33" si="0">C7*D7</f>
        <v>0</v>
      </c>
      <c r="F7" s="7" t="s">
        <v>98</v>
      </c>
      <c r="G7" s="7">
        <v>0.08</v>
      </c>
      <c r="H7" s="7">
        <v>2.75</v>
      </c>
      <c r="I7" s="7">
        <f t="shared" ref="I7:I29" si="1">G7*H7</f>
        <v>0.22</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99</v>
      </c>
      <c r="C9" s="7">
        <v>2.4900000000000002</v>
      </c>
      <c r="D9" s="7">
        <v>2.13</v>
      </c>
      <c r="E9" s="7">
        <f t="shared" si="0"/>
        <v>5.3037000000000001</v>
      </c>
      <c r="F9" s="7" t="s">
        <v>97</v>
      </c>
      <c r="G9" s="7">
        <v>2.37</v>
      </c>
      <c r="H9" s="7">
        <v>2.35</v>
      </c>
      <c r="I9" s="7">
        <f t="shared" si="1"/>
        <v>5.5695000000000006</v>
      </c>
      <c r="J9" s="7"/>
      <c r="K9" s="7"/>
      <c r="L9" s="7">
        <f t="shared" si="2"/>
        <v>0</v>
      </c>
    </row>
    <row r="10" spans="1:12" x14ac:dyDescent="0.25">
      <c r="B10" s="7"/>
      <c r="C10" s="7"/>
      <c r="D10" s="7"/>
      <c r="E10" s="7">
        <f t="shared" si="0"/>
        <v>0</v>
      </c>
      <c r="F10" s="7" t="s">
        <v>98</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100</v>
      </c>
      <c r="C13" s="7">
        <v>3.05</v>
      </c>
      <c r="D13" s="7">
        <v>2.97</v>
      </c>
      <c r="E13" s="7">
        <f t="shared" si="0"/>
        <v>9.0585000000000004</v>
      </c>
      <c r="F13" s="7" t="s">
        <v>97</v>
      </c>
      <c r="G13" s="7"/>
      <c r="H13" s="7"/>
      <c r="I13" s="7">
        <f t="shared" si="1"/>
        <v>0</v>
      </c>
      <c r="J13" s="7"/>
      <c r="K13" s="7"/>
      <c r="L13" s="7">
        <f t="shared" si="2"/>
        <v>0</v>
      </c>
    </row>
    <row r="14" spans="1:12" x14ac:dyDescent="0.25">
      <c r="B14" s="7"/>
      <c r="C14" s="7"/>
      <c r="D14" s="7"/>
      <c r="E14" s="7">
        <f t="shared" si="0"/>
        <v>0</v>
      </c>
      <c r="F14" s="7" t="s">
        <v>98</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101</v>
      </c>
      <c r="C17" s="7">
        <v>3.27</v>
      </c>
      <c r="D17" s="7">
        <v>3.05</v>
      </c>
      <c r="E17" s="7">
        <f t="shared" si="0"/>
        <v>9.9734999999999996</v>
      </c>
      <c r="F17" s="7" t="s">
        <v>97</v>
      </c>
      <c r="G17" s="7"/>
      <c r="H17" s="7"/>
      <c r="I17" s="7">
        <f t="shared" si="1"/>
        <v>0</v>
      </c>
      <c r="J17" s="7"/>
      <c r="K17" s="7"/>
      <c r="L17" s="7">
        <f t="shared" si="2"/>
        <v>0</v>
      </c>
    </row>
    <row r="18" spans="2:12" x14ac:dyDescent="0.25">
      <c r="B18" s="7"/>
      <c r="C18" s="7"/>
      <c r="D18" s="7"/>
      <c r="E18" s="7">
        <f t="shared" si="0"/>
        <v>0</v>
      </c>
      <c r="F18" s="7" t="s">
        <v>98</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101</v>
      </c>
      <c r="C20" s="7"/>
      <c r="D20" s="7"/>
      <c r="E20" s="7">
        <f t="shared" si="0"/>
        <v>0</v>
      </c>
      <c r="F20" s="7" t="s">
        <v>97</v>
      </c>
      <c r="G20" s="7"/>
      <c r="H20" s="7"/>
      <c r="I20" s="7">
        <f t="shared" si="1"/>
        <v>0</v>
      </c>
      <c r="J20" s="7"/>
      <c r="K20" s="7"/>
      <c r="L20" s="7">
        <f t="shared" si="2"/>
        <v>0</v>
      </c>
    </row>
    <row r="21" spans="2:12" x14ac:dyDescent="0.25">
      <c r="B21" s="7"/>
      <c r="C21" s="7"/>
      <c r="D21" s="7"/>
      <c r="E21" s="7">
        <f t="shared" si="0"/>
        <v>0</v>
      </c>
      <c r="F21" s="7" t="s">
        <v>98</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102</v>
      </c>
      <c r="C23" s="7">
        <v>2.08</v>
      </c>
      <c r="D23" s="7">
        <v>1.22</v>
      </c>
      <c r="E23" s="7">
        <f t="shared" si="0"/>
        <v>2.5375999999999999</v>
      </c>
      <c r="F23" s="7" t="s">
        <v>103</v>
      </c>
      <c r="G23" s="7"/>
      <c r="H23" s="7"/>
      <c r="I23" s="7">
        <f t="shared" si="1"/>
        <v>0</v>
      </c>
      <c r="J23" s="7"/>
      <c r="K23" s="7"/>
      <c r="L23" s="7">
        <f t="shared" si="2"/>
        <v>0</v>
      </c>
    </row>
    <row r="24" spans="2:12" x14ac:dyDescent="0.25">
      <c r="B24" s="7" t="s">
        <v>104</v>
      </c>
      <c r="C24" s="7">
        <v>1.45</v>
      </c>
      <c r="D24" s="7">
        <v>2.15</v>
      </c>
      <c r="E24" s="7">
        <f t="shared" si="0"/>
        <v>3.1174999999999997</v>
      </c>
      <c r="F24" s="7" t="s">
        <v>103</v>
      </c>
      <c r="G24" s="7"/>
      <c r="H24" s="7"/>
      <c r="I24" s="7">
        <f t="shared" si="1"/>
        <v>0</v>
      </c>
      <c r="J24" s="7"/>
      <c r="K24" s="7"/>
      <c r="L24" s="7">
        <f t="shared" si="2"/>
        <v>0</v>
      </c>
    </row>
    <row r="25" spans="2:12" x14ac:dyDescent="0.25">
      <c r="B25" s="7" t="s">
        <v>105</v>
      </c>
      <c r="C25" s="7"/>
      <c r="D25" s="7"/>
      <c r="E25" s="7">
        <f t="shared" si="0"/>
        <v>0</v>
      </c>
      <c r="F25" s="7" t="s">
        <v>103</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106</v>
      </c>
      <c r="C27" s="7">
        <v>1.33</v>
      </c>
      <c r="D27" s="7">
        <v>1.1499999999999999</v>
      </c>
      <c r="E27" s="7">
        <f t="shared" si="0"/>
        <v>1.5294999999999999</v>
      </c>
      <c r="F27" s="7"/>
      <c r="G27" s="7"/>
      <c r="H27" s="7"/>
      <c r="I27" s="7">
        <f t="shared" si="1"/>
        <v>0</v>
      </c>
      <c r="J27" s="7"/>
      <c r="K27" s="7"/>
      <c r="L27" s="7">
        <f t="shared" si="2"/>
        <v>0</v>
      </c>
    </row>
    <row r="28" spans="2:12" x14ac:dyDescent="0.25">
      <c r="B28" s="7" t="s">
        <v>107</v>
      </c>
      <c r="C28" s="7">
        <v>0.09</v>
      </c>
      <c r="D28" s="7">
        <v>1.32</v>
      </c>
      <c r="E28" s="7">
        <f t="shared" si="0"/>
        <v>0.1188</v>
      </c>
      <c r="F28" s="7"/>
      <c r="G28" s="7"/>
      <c r="H28" s="7"/>
      <c r="I28" s="7">
        <f t="shared" si="1"/>
        <v>0</v>
      </c>
      <c r="J28" s="7"/>
      <c r="K28" s="7"/>
      <c r="L28" s="7">
        <f t="shared" si="2"/>
        <v>0</v>
      </c>
    </row>
    <row r="29" spans="2:12" x14ac:dyDescent="0.25">
      <c r="B29" s="7" t="s">
        <v>108</v>
      </c>
      <c r="C29" s="7">
        <v>1.1499999999999999</v>
      </c>
      <c r="D29" s="7">
        <v>0.1</v>
      </c>
      <c r="E29" s="7">
        <f t="shared" si="0"/>
        <v>0.11499999999999999</v>
      </c>
      <c r="F29" s="7"/>
      <c r="G29" s="7"/>
      <c r="H29" s="7"/>
      <c r="I29" s="7">
        <f t="shared" si="1"/>
        <v>0</v>
      </c>
      <c r="J29" s="7"/>
      <c r="K29" s="7"/>
      <c r="L29" s="7">
        <f t="shared" si="2"/>
        <v>0</v>
      </c>
    </row>
    <row r="30" spans="2:12" x14ac:dyDescent="0.25">
      <c r="B30" s="7" t="s">
        <v>109</v>
      </c>
      <c r="C30" s="7">
        <v>1.86</v>
      </c>
      <c r="D30" s="7">
        <v>0.08</v>
      </c>
      <c r="E30" s="7">
        <f t="shared" si="0"/>
        <v>0.14880000000000002</v>
      </c>
      <c r="F30" s="7"/>
      <c r="G30" s="7"/>
      <c r="H30" s="7"/>
      <c r="I30" s="7">
        <f>G30*H30</f>
        <v>0</v>
      </c>
      <c r="J30" s="7"/>
      <c r="K30" s="7"/>
      <c r="L30" s="7">
        <f>J30*K30</f>
        <v>0</v>
      </c>
    </row>
    <row r="31" spans="2:12" x14ac:dyDescent="0.25">
      <c r="B31" s="7"/>
      <c r="C31" s="7">
        <v>0.08</v>
      </c>
      <c r="D31" s="7">
        <v>2.13</v>
      </c>
      <c r="E31" s="7">
        <f t="shared" si="0"/>
        <v>0.1704</v>
      </c>
      <c r="F31" s="7"/>
      <c r="G31" s="7"/>
      <c r="H31" s="7"/>
      <c r="I31" s="7">
        <f>G31*H31</f>
        <v>0</v>
      </c>
      <c r="J31" s="7"/>
      <c r="K31" s="7"/>
      <c r="L31" s="7">
        <f>J31*K31</f>
        <v>0</v>
      </c>
    </row>
    <row r="32" spans="2:12" x14ac:dyDescent="0.25">
      <c r="B32" s="7"/>
      <c r="C32" s="7">
        <v>1.03</v>
      </c>
      <c r="D32" s="7">
        <v>0.08</v>
      </c>
      <c r="E32" s="7">
        <f t="shared" si="0"/>
        <v>8.2400000000000001E-2</v>
      </c>
      <c r="F32" s="7"/>
      <c r="G32" s="7"/>
      <c r="H32" s="7"/>
      <c r="I32" s="7">
        <f>G32*H32</f>
        <v>0</v>
      </c>
      <c r="J32" s="7"/>
      <c r="K32" s="7"/>
      <c r="L32" s="7">
        <f>J32*K32</f>
        <v>0</v>
      </c>
    </row>
    <row r="33" spans="2:12" x14ac:dyDescent="0.25">
      <c r="B33" s="7"/>
      <c r="C33" s="7">
        <v>2.78</v>
      </c>
      <c r="D33" s="7">
        <v>0.08</v>
      </c>
      <c r="E33" s="7">
        <f t="shared" si="0"/>
        <v>0.22239999999999999</v>
      </c>
      <c r="F33" s="7"/>
      <c r="G33" s="7"/>
      <c r="H33" s="7"/>
      <c r="I33" s="7">
        <f>G33*H33</f>
        <v>0</v>
      </c>
      <c r="J33" s="7"/>
      <c r="K33" s="7"/>
      <c r="L33" s="7">
        <f>J33*K33</f>
        <v>0</v>
      </c>
    </row>
    <row r="34" spans="2:12" x14ac:dyDescent="0.25">
      <c r="B34" s="7" t="s">
        <v>70</v>
      </c>
      <c r="C34" s="7"/>
      <c r="D34" s="7">
        <f>E34*10.764</f>
        <v>501.84351360000005</v>
      </c>
      <c r="E34" s="7">
        <f>SUM(E6:E33)</f>
        <v>46.622400000000006</v>
      </c>
      <c r="F34" s="7"/>
      <c r="G34" s="7"/>
      <c r="H34" s="7">
        <f>I34*10.764</f>
        <v>63.205131599999994</v>
      </c>
      <c r="I34" s="7">
        <f>SUM(I6:I33)</f>
        <v>5.8719000000000001</v>
      </c>
      <c r="J34" s="7"/>
      <c r="K34" s="7">
        <f>L34*10.764</f>
        <v>0</v>
      </c>
      <c r="L34" s="7">
        <f>SUM(L6:L33)</f>
        <v>0</v>
      </c>
    </row>
    <row r="36" spans="2:12" x14ac:dyDescent="0.25">
      <c r="D36">
        <f>D34+H34</f>
        <v>565.04864520000001</v>
      </c>
      <c r="E36">
        <f>E34+I34</f>
        <v>52.49430000000001</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E1" sqref="E1:F10"/>
    </sheetView>
  </sheetViews>
  <sheetFormatPr defaultRowHeight="15" x14ac:dyDescent="0.25"/>
  <sheetData>
    <row r="1" spans="1:6" x14ac:dyDescent="0.25">
      <c r="A1">
        <v>1</v>
      </c>
      <c r="B1" t="str">
        <f>(100+A1)&amp;" to "&amp;(700+Note!A1)</f>
        <v>101 to 701</v>
      </c>
      <c r="E1" s="237" t="s">
        <v>235</v>
      </c>
      <c r="F1" s="237" t="s">
        <v>235</v>
      </c>
    </row>
    <row r="2" spans="1:6" x14ac:dyDescent="0.25">
      <c r="A2">
        <v>2</v>
      </c>
      <c r="B2" t="str">
        <f>(100+A2)&amp;" to "&amp;(700+Note!A2)</f>
        <v>102 to 702</v>
      </c>
      <c r="E2" s="237" t="s">
        <v>236</v>
      </c>
      <c r="F2" s="237" t="s">
        <v>236</v>
      </c>
    </row>
    <row r="3" spans="1:6" x14ac:dyDescent="0.25">
      <c r="A3">
        <v>3</v>
      </c>
      <c r="B3" t="str">
        <f>(100+A3)&amp;" to "&amp;(700+Note!A3)</f>
        <v>103 to 703</v>
      </c>
      <c r="E3" s="237" t="s">
        <v>237</v>
      </c>
      <c r="F3" s="237" t="s">
        <v>237</v>
      </c>
    </row>
    <row r="4" spans="1:6" x14ac:dyDescent="0.25">
      <c r="A4">
        <v>4</v>
      </c>
      <c r="B4" t="str">
        <f>(100+A4)&amp;" to "&amp;(700+Note!A4)</f>
        <v>104 to 704</v>
      </c>
      <c r="E4" s="237" t="s">
        <v>238</v>
      </c>
      <c r="F4" s="237" t="s">
        <v>238</v>
      </c>
    </row>
    <row r="5" spans="1:6" x14ac:dyDescent="0.25">
      <c r="A5">
        <v>5</v>
      </c>
      <c r="B5" t="str">
        <f>(100+A5)&amp;" to "&amp;(700+Note!A5)</f>
        <v>105 to 705</v>
      </c>
      <c r="E5" s="237" t="s">
        <v>239</v>
      </c>
      <c r="F5" s="237" t="s">
        <v>239</v>
      </c>
    </row>
    <row r="6" spans="1:6" x14ac:dyDescent="0.25">
      <c r="A6">
        <v>6</v>
      </c>
      <c r="B6" t="str">
        <f>(100+A6)&amp;" to "&amp;(700+Note!A6)</f>
        <v>106 to 706</v>
      </c>
      <c r="E6" s="237" t="s">
        <v>240</v>
      </c>
      <c r="F6" s="237" t="s">
        <v>240</v>
      </c>
    </row>
    <row r="7" spans="1:6" x14ac:dyDescent="0.25">
      <c r="A7">
        <v>7</v>
      </c>
      <c r="B7" t="str">
        <f>(100+A7)&amp;" to "&amp;(700+Note!A7)</f>
        <v>107 to 707</v>
      </c>
      <c r="E7" s="237" t="s">
        <v>241</v>
      </c>
      <c r="F7" s="237" t="s">
        <v>241</v>
      </c>
    </row>
    <row r="8" spans="1:6" x14ac:dyDescent="0.25">
      <c r="A8">
        <v>8</v>
      </c>
      <c r="B8" t="str">
        <f>(100+A8)&amp;" to "&amp;(700+Note!A8)</f>
        <v>108 to 708</v>
      </c>
      <c r="E8" s="237" t="s">
        <v>242</v>
      </c>
      <c r="F8" s="237" t="s">
        <v>242</v>
      </c>
    </row>
    <row r="9" spans="1:6" x14ac:dyDescent="0.25">
      <c r="A9">
        <v>9</v>
      </c>
      <c r="B9" t="str">
        <f>(100+A9)&amp;" to "&amp;(700+Note!A9)</f>
        <v>109 to 709</v>
      </c>
      <c r="E9" s="237" t="s">
        <v>243</v>
      </c>
      <c r="F9" s="237" t="s">
        <v>243</v>
      </c>
    </row>
    <row r="10" spans="1:6" x14ac:dyDescent="0.25">
      <c r="A10">
        <v>10</v>
      </c>
      <c r="B10" t="str">
        <f>(100+A10)&amp;" to "&amp;(700+Note!A10)</f>
        <v>110 to 710</v>
      </c>
      <c r="E10" s="237" t="s">
        <v>244</v>
      </c>
      <c r="F10" s="237" t="s">
        <v>244</v>
      </c>
    </row>
  </sheetData>
  <mergeCells count="10">
    <mergeCell ref="E7:F7"/>
    <mergeCell ref="E8:F8"/>
    <mergeCell ref="E9:F9"/>
    <mergeCell ref="E10:F10"/>
    <mergeCell ref="E1:F1"/>
    <mergeCell ref="E2:F2"/>
    <mergeCell ref="E3:F3"/>
    <mergeCell ref="E4:F4"/>
    <mergeCell ref="E5:F5"/>
    <mergeCell ref="E6: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115" zoomScaleNormal="115" workbookViewId="0">
      <selection activeCell="D5" sqref="D5"/>
    </sheetView>
  </sheetViews>
  <sheetFormatPr defaultColWidth="8.7109375" defaultRowHeight="15" x14ac:dyDescent="0.25"/>
  <cols>
    <col min="1" max="1" width="8.7109375" style="40"/>
    <col min="2" max="2" width="22.140625" style="40" customWidth="1"/>
    <col min="3" max="3" width="37" style="40" customWidth="1"/>
    <col min="4" max="5" width="11.42578125" style="40" customWidth="1"/>
    <col min="6" max="6" width="14" style="40" customWidth="1"/>
    <col min="7" max="7" width="20" style="40" customWidth="1"/>
    <col min="8" max="8" width="16.42578125" style="40" customWidth="1"/>
    <col min="9" max="16384" width="8.7109375" style="40"/>
  </cols>
  <sheetData>
    <row r="1" spans="1:9" ht="15" customHeight="1" x14ac:dyDescent="0.25"/>
    <row r="2" spans="1:9" ht="15" customHeight="1" x14ac:dyDescent="0.25">
      <c r="A2" s="41"/>
      <c r="B2" s="41"/>
      <c r="C2" s="41"/>
      <c r="D2" s="41"/>
      <c r="E2" s="41"/>
      <c r="F2" s="41"/>
      <c r="G2" s="41"/>
      <c r="H2" s="41"/>
    </row>
    <row r="3" spans="1:9" ht="15.75" customHeight="1" x14ac:dyDescent="0.25">
      <c r="A3" s="41"/>
      <c r="B3" s="238" t="s">
        <v>165</v>
      </c>
      <c r="C3" s="238"/>
      <c r="D3" s="238"/>
      <c r="E3" s="238"/>
      <c r="F3" s="238"/>
      <c r="G3" s="238"/>
      <c r="H3" s="238"/>
    </row>
    <row r="4" spans="1:9" x14ac:dyDescent="0.25">
      <c r="A4" s="41"/>
      <c r="B4" s="42" t="s">
        <v>166</v>
      </c>
      <c r="C4" s="42" t="s">
        <v>167</v>
      </c>
      <c r="D4" s="42" t="s">
        <v>89</v>
      </c>
      <c r="E4" s="42" t="s">
        <v>168</v>
      </c>
      <c r="F4" s="42" t="s">
        <v>174</v>
      </c>
      <c r="G4" s="42" t="s">
        <v>175</v>
      </c>
      <c r="H4" s="42" t="s">
        <v>169</v>
      </c>
    </row>
    <row r="5" spans="1:9" ht="15" customHeight="1" x14ac:dyDescent="0.25">
      <c r="A5" s="41"/>
      <c r="B5" s="44" t="s">
        <v>171</v>
      </c>
      <c r="C5" s="55" t="s">
        <v>179</v>
      </c>
      <c r="D5" s="56" t="s">
        <v>204</v>
      </c>
      <c r="E5" s="44">
        <v>575</v>
      </c>
      <c r="F5" s="45">
        <f>E5*1.6</f>
        <v>920</v>
      </c>
      <c r="G5" s="45">
        <f>H5/F5</f>
        <v>21847.82608695652</v>
      </c>
      <c r="H5" s="46">
        <v>20100000</v>
      </c>
    </row>
    <row r="6" spans="1:9" x14ac:dyDescent="0.25">
      <c r="A6" s="41"/>
      <c r="B6" s="44" t="s">
        <v>171</v>
      </c>
      <c r="C6" s="55" t="s">
        <v>179</v>
      </c>
      <c r="D6" s="56" t="s">
        <v>204</v>
      </c>
      <c r="E6" s="44">
        <v>690</v>
      </c>
      <c r="F6" s="45">
        <f t="shared" ref="F6:F7" si="0">E6*1.6</f>
        <v>1104</v>
      </c>
      <c r="G6" s="45">
        <f t="shared" ref="G6:G7" si="1">H6/F6</f>
        <v>21920.289855072464</v>
      </c>
      <c r="H6" s="46">
        <v>24200000</v>
      </c>
    </row>
    <row r="7" spans="1:9" ht="15" customHeight="1" x14ac:dyDescent="0.25">
      <c r="A7" s="41"/>
      <c r="B7" s="44" t="s">
        <v>171</v>
      </c>
      <c r="C7" s="55" t="s">
        <v>179</v>
      </c>
      <c r="D7" s="56" t="s">
        <v>170</v>
      </c>
      <c r="E7" s="44">
        <v>1100</v>
      </c>
      <c r="F7" s="45">
        <f t="shared" si="0"/>
        <v>1760</v>
      </c>
      <c r="G7" s="45">
        <f t="shared" si="1"/>
        <v>21875</v>
      </c>
      <c r="H7" s="46">
        <v>38500000</v>
      </c>
    </row>
    <row r="8" spans="1:9" ht="15" customHeight="1" x14ac:dyDescent="0.25">
      <c r="A8" s="41"/>
      <c r="B8" s="47" t="s">
        <v>172</v>
      </c>
      <c r="C8" s="44"/>
      <c r="D8" s="44"/>
      <c r="E8" s="44"/>
      <c r="F8" s="44"/>
      <c r="G8" s="48">
        <f>AVERAGE(G5:G7)</f>
        <v>21881.038647342997</v>
      </c>
      <c r="H8" s="44"/>
    </row>
    <row r="9" spans="1:9" ht="15" customHeight="1" x14ac:dyDescent="0.25">
      <c r="B9" s="47" t="s">
        <v>173</v>
      </c>
      <c r="C9" s="44"/>
      <c r="D9" s="44"/>
      <c r="E9" s="44"/>
      <c r="F9" s="49"/>
      <c r="G9" s="47">
        <v>21900</v>
      </c>
      <c r="H9" s="47"/>
      <c r="I9" s="43"/>
    </row>
    <row r="10" spans="1:9" ht="15" customHeight="1" x14ac:dyDescent="0.25"/>
    <row r="11" spans="1:9" ht="15" customHeight="1" x14ac:dyDescent="0.25"/>
    <row r="12"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Report</vt:lpstr>
      <vt:lpstr>Report (2)</vt:lpstr>
      <vt:lpstr>Flat detail</vt:lpstr>
      <vt:lpstr>Note</vt:lpstr>
      <vt:lpstr>valuation</vt:lpstr>
      <vt:lpstr>Report!Print_Area</vt:lpstr>
      <vt:lpstr>'Report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2025-09-18T12:19:30Z</cp:lastPrinted>
  <dcterms:created xsi:type="dcterms:W3CDTF">2019-07-16T09:29:46Z</dcterms:created>
  <dcterms:modified xsi:type="dcterms:W3CDTF">2025-09-18T12:22:37Z</dcterms:modified>
</cp:coreProperties>
</file>