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Report!$A$1:$H$600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5" l="1"/>
  <c r="I5" i="5"/>
  <c r="F5" i="5" l="1"/>
  <c r="F6" i="5"/>
  <c r="I246" i="1"/>
  <c r="D244" i="1"/>
  <c r="F244" i="1" s="1"/>
  <c r="J132" i="1"/>
  <c r="I132" i="1"/>
  <c r="D448" i="1"/>
  <c r="D447" i="1"/>
  <c r="F447" i="1" s="1"/>
  <c r="D446" i="1"/>
  <c r="F446" i="1" s="1"/>
  <c r="D445" i="1"/>
  <c r="D444" i="1"/>
  <c r="F444" i="1" s="1"/>
  <c r="D443" i="1"/>
  <c r="F443" i="1" s="1"/>
  <c r="D442" i="1"/>
  <c r="F442" i="1" s="1"/>
  <c r="D441" i="1"/>
  <c r="F441" i="1" s="1"/>
  <c r="D440" i="1"/>
  <c r="D439" i="1"/>
  <c r="F439" i="1" s="1"/>
  <c r="D434" i="1"/>
  <c r="F434" i="1" s="1"/>
  <c r="D432" i="1"/>
  <c r="F432" i="1" s="1"/>
  <c r="D431" i="1"/>
  <c r="F431" i="1" s="1"/>
  <c r="D430" i="1"/>
  <c r="F430" i="1" s="1"/>
  <c r="D429" i="1"/>
  <c r="F429" i="1" s="1"/>
  <c r="D428" i="1"/>
  <c r="F428" i="1" s="1"/>
  <c r="D427" i="1"/>
  <c r="F427" i="1" s="1"/>
  <c r="D426" i="1"/>
  <c r="F426" i="1" s="1"/>
  <c r="D425" i="1"/>
  <c r="F425" i="1" s="1"/>
  <c r="D424" i="1"/>
  <c r="F424" i="1" s="1"/>
  <c r="D423" i="1"/>
  <c r="F423" i="1" s="1"/>
  <c r="D418" i="1"/>
  <c r="F418" i="1" s="1"/>
  <c r="D416" i="1"/>
  <c r="F416" i="1" s="1"/>
  <c r="D415" i="1"/>
  <c r="F415" i="1" s="1"/>
  <c r="D414" i="1"/>
  <c r="F414" i="1" s="1"/>
  <c r="D413" i="1"/>
  <c r="F413" i="1" s="1"/>
  <c r="D412" i="1"/>
  <c r="D411" i="1"/>
  <c r="F411" i="1" s="1"/>
  <c r="D410" i="1"/>
  <c r="F410" i="1" s="1"/>
  <c r="D409" i="1"/>
  <c r="F409" i="1" s="1"/>
  <c r="D408" i="1"/>
  <c r="F408" i="1" s="1"/>
  <c r="D407" i="1"/>
  <c r="F407" i="1" s="1"/>
  <c r="D406" i="1"/>
  <c r="F406" i="1" s="1"/>
  <c r="D405" i="1"/>
  <c r="F405" i="1" s="1"/>
  <c r="D404" i="1"/>
  <c r="F404" i="1" s="1"/>
  <c r="D403" i="1"/>
  <c r="F403" i="1" s="1"/>
  <c r="D402" i="1"/>
  <c r="F402" i="1" s="1"/>
  <c r="D400" i="1"/>
  <c r="F400" i="1" s="1"/>
  <c r="D399" i="1"/>
  <c r="F399" i="1" s="1"/>
  <c r="D398" i="1"/>
  <c r="F398" i="1" s="1"/>
  <c r="D397" i="1"/>
  <c r="F397" i="1" s="1"/>
  <c r="D396" i="1"/>
  <c r="F396" i="1" s="1"/>
  <c r="D395" i="1"/>
  <c r="F395" i="1" s="1"/>
  <c r="D394" i="1"/>
  <c r="F394" i="1" s="1"/>
  <c r="D393" i="1"/>
  <c r="F393" i="1" s="1"/>
  <c r="D392" i="1"/>
  <c r="F392" i="1" s="1"/>
  <c r="D391" i="1"/>
  <c r="F391" i="1" s="1"/>
  <c r="D386" i="1"/>
  <c r="D382" i="1"/>
  <c r="F382" i="1" s="1"/>
  <c r="D381" i="1"/>
  <c r="F381" i="1" s="1"/>
  <c r="D380" i="1"/>
  <c r="F380" i="1" s="1"/>
  <c r="D379" i="1"/>
  <c r="F379" i="1" s="1"/>
  <c r="D375" i="1"/>
  <c r="F375" i="1" s="1"/>
  <c r="D373" i="1"/>
  <c r="F373" i="1" s="1"/>
  <c r="D372" i="1"/>
  <c r="F372" i="1" s="1"/>
  <c r="D371" i="1"/>
  <c r="F371" i="1" s="1"/>
  <c r="D370" i="1"/>
  <c r="D366" i="1"/>
  <c r="F366" i="1" s="1"/>
  <c r="D364" i="1"/>
  <c r="F364" i="1" s="1"/>
  <c r="D363" i="1"/>
  <c r="F363" i="1" s="1"/>
  <c r="D362" i="1"/>
  <c r="F362" i="1" s="1"/>
  <c r="D361" i="1"/>
  <c r="F361" i="1" s="1"/>
  <c r="D360" i="1"/>
  <c r="F360" i="1" s="1"/>
  <c r="D359" i="1"/>
  <c r="F359" i="1" s="1"/>
  <c r="D358" i="1"/>
  <c r="F358" i="1" s="1"/>
  <c r="D357" i="1"/>
  <c r="F357" i="1" s="1"/>
  <c r="D355" i="1"/>
  <c r="D354" i="1"/>
  <c r="D353" i="1"/>
  <c r="D352" i="1"/>
  <c r="F352" i="1" s="1"/>
  <c r="D348" i="1"/>
  <c r="D344" i="1"/>
  <c r="F344" i="1" s="1"/>
  <c r="D343" i="1"/>
  <c r="F343" i="1" s="1"/>
  <c r="D342" i="1"/>
  <c r="F342" i="1" s="1"/>
  <c r="D341" i="1"/>
  <c r="F341" i="1" s="1"/>
  <c r="D340" i="1"/>
  <c r="F340" i="1" s="1"/>
  <c r="D339" i="1"/>
  <c r="F339" i="1" s="1"/>
  <c r="D338" i="1"/>
  <c r="F338" i="1" s="1"/>
  <c r="D337" i="1"/>
  <c r="F337" i="1" s="1"/>
  <c r="D336" i="1"/>
  <c r="F336" i="1" s="1"/>
  <c r="D335" i="1"/>
  <c r="F335" i="1" s="1"/>
  <c r="D334" i="1"/>
  <c r="F334" i="1" s="1"/>
  <c r="D333" i="1"/>
  <c r="F333" i="1" s="1"/>
  <c r="D331" i="1"/>
  <c r="F331" i="1" s="1"/>
  <c r="D330" i="1"/>
  <c r="F330" i="1" s="1"/>
  <c r="D329" i="1"/>
  <c r="F329" i="1" s="1"/>
  <c r="D328" i="1"/>
  <c r="F328" i="1" s="1"/>
  <c r="D327" i="1"/>
  <c r="F327" i="1" s="1"/>
  <c r="D326" i="1"/>
  <c r="F326" i="1" s="1"/>
  <c r="D325" i="1"/>
  <c r="F325" i="1" s="1"/>
  <c r="D324" i="1"/>
  <c r="F324" i="1" s="1"/>
  <c r="D323" i="1"/>
  <c r="F323" i="1" s="1"/>
  <c r="D322" i="1"/>
  <c r="F322" i="1" s="1"/>
  <c r="D321" i="1"/>
  <c r="F321" i="1" s="1"/>
  <c r="D320" i="1"/>
  <c r="F320" i="1" s="1"/>
  <c r="D319" i="1"/>
  <c r="F319" i="1" s="1"/>
  <c r="D318" i="1"/>
  <c r="F318" i="1" s="1"/>
  <c r="D317" i="1"/>
  <c r="F317" i="1" s="1"/>
  <c r="D315" i="1"/>
  <c r="F315" i="1" s="1"/>
  <c r="D314" i="1"/>
  <c r="F314" i="1" s="1"/>
  <c r="D313" i="1"/>
  <c r="F313" i="1" s="1"/>
  <c r="D312" i="1"/>
  <c r="F312" i="1" s="1"/>
  <c r="D311" i="1"/>
  <c r="F311" i="1" s="1"/>
  <c r="D310" i="1"/>
  <c r="F310" i="1" s="1"/>
  <c r="D309" i="1"/>
  <c r="F309" i="1" s="1"/>
  <c r="D308" i="1"/>
  <c r="F308" i="1" s="1"/>
  <c r="D307" i="1"/>
  <c r="F307" i="1" s="1"/>
  <c r="D306" i="1"/>
  <c r="F306" i="1" s="1"/>
  <c r="D305" i="1"/>
  <c r="F305" i="1" s="1"/>
  <c r="D304" i="1"/>
  <c r="F304" i="1" s="1"/>
  <c r="D303" i="1"/>
  <c r="F303" i="1" s="1"/>
  <c r="D302" i="1"/>
  <c r="F302" i="1" s="1"/>
  <c r="D301" i="1"/>
  <c r="F301" i="1" s="1"/>
  <c r="D297" i="1"/>
  <c r="F297" i="1" s="1"/>
  <c r="D296" i="1"/>
  <c r="F296" i="1" s="1"/>
  <c r="D295" i="1"/>
  <c r="F295" i="1" s="1"/>
  <c r="D294" i="1"/>
  <c r="F294" i="1" s="1"/>
  <c r="D293" i="1"/>
  <c r="F293" i="1" s="1"/>
  <c r="D292" i="1"/>
  <c r="F292" i="1" s="1"/>
  <c r="D291" i="1"/>
  <c r="F291" i="1" s="1"/>
  <c r="D290" i="1"/>
  <c r="F290" i="1" s="1"/>
  <c r="D289" i="1"/>
  <c r="F289" i="1" s="1"/>
  <c r="D288" i="1"/>
  <c r="F288" i="1" s="1"/>
  <c r="D287" i="1"/>
  <c r="F287" i="1" s="1"/>
  <c r="D281" i="1"/>
  <c r="D280" i="1"/>
  <c r="F280" i="1" s="1"/>
  <c r="D279" i="1"/>
  <c r="F279" i="1" s="1"/>
  <c r="D278" i="1"/>
  <c r="F278" i="1" s="1"/>
  <c r="D277" i="1"/>
  <c r="F277" i="1" s="1"/>
  <c r="D276" i="1"/>
  <c r="F276" i="1" s="1"/>
  <c r="D275" i="1"/>
  <c r="F275" i="1" s="1"/>
  <c r="D274" i="1"/>
  <c r="F274" i="1" s="1"/>
  <c r="D273" i="1"/>
  <c r="F273" i="1" s="1"/>
  <c r="D272" i="1"/>
  <c r="F272" i="1" s="1"/>
  <c r="D271" i="1"/>
  <c r="F271" i="1" s="1"/>
  <c r="J271" i="1" s="1"/>
  <c r="D267" i="1"/>
  <c r="F267" i="1" s="1"/>
  <c r="D266" i="1"/>
  <c r="D265" i="1"/>
  <c r="F265" i="1" s="1"/>
  <c r="D264" i="1"/>
  <c r="F264" i="1" s="1"/>
  <c r="D263" i="1"/>
  <c r="F263" i="1" s="1"/>
  <c r="D262" i="1"/>
  <c r="F262" i="1" s="1"/>
  <c r="D261" i="1"/>
  <c r="F261" i="1" s="1"/>
  <c r="D260" i="1"/>
  <c r="F260" i="1" s="1"/>
  <c r="D259" i="1"/>
  <c r="F259" i="1" s="1"/>
  <c r="D258" i="1"/>
  <c r="F258" i="1" s="1"/>
  <c r="D257" i="1"/>
  <c r="F257" i="1" s="1"/>
  <c r="D256" i="1"/>
  <c r="F256" i="1" s="1"/>
  <c r="D255" i="1"/>
  <c r="F255" i="1" s="1"/>
  <c r="D254" i="1"/>
  <c r="F254" i="1" s="1"/>
  <c r="D253" i="1"/>
  <c r="F253" i="1" s="1"/>
  <c r="D249" i="1"/>
  <c r="F249" i="1" s="1"/>
  <c r="D248" i="1"/>
  <c r="F248" i="1" s="1"/>
  <c r="D247" i="1"/>
  <c r="F247" i="1" s="1"/>
  <c r="D246" i="1"/>
  <c r="F246" i="1" s="1"/>
  <c r="D245" i="1"/>
  <c r="F245" i="1" s="1"/>
  <c r="D243" i="1"/>
  <c r="F243" i="1" s="1"/>
  <c r="D242" i="1"/>
  <c r="F242" i="1" s="1"/>
  <c r="D241" i="1"/>
  <c r="F241" i="1" s="1"/>
  <c r="D240" i="1"/>
  <c r="D239" i="1"/>
  <c r="D229" i="1"/>
  <c r="D228" i="1"/>
  <c r="F228" i="1" s="1"/>
  <c r="D227" i="1"/>
  <c r="F227" i="1" s="1"/>
  <c r="D226" i="1"/>
  <c r="F226" i="1" s="1"/>
  <c r="D225" i="1"/>
  <c r="F225" i="1" s="1"/>
  <c r="D223" i="1"/>
  <c r="F223" i="1" s="1"/>
  <c r="D222" i="1"/>
  <c r="F222" i="1" s="1"/>
  <c r="D221" i="1"/>
  <c r="F221" i="1" s="1"/>
  <c r="D220" i="1"/>
  <c r="D219" i="1"/>
  <c r="F219" i="1" s="1"/>
  <c r="D217" i="1"/>
  <c r="F217" i="1" s="1"/>
  <c r="D216" i="1"/>
  <c r="F216" i="1" s="1"/>
  <c r="D215" i="1"/>
  <c r="F215" i="1" s="1"/>
  <c r="D214" i="1"/>
  <c r="F214" i="1" s="1"/>
  <c r="D213" i="1"/>
  <c r="F213" i="1" s="1"/>
  <c r="D211" i="1"/>
  <c r="F211" i="1" s="1"/>
  <c r="D210" i="1"/>
  <c r="F210" i="1" s="1"/>
  <c r="D209" i="1"/>
  <c r="F209" i="1" s="1"/>
  <c r="D208" i="1"/>
  <c r="F208" i="1" s="1"/>
  <c r="D207" i="1"/>
  <c r="F207" i="1" s="1"/>
  <c r="D206" i="1"/>
  <c r="F206" i="1" s="1"/>
  <c r="D205" i="1"/>
  <c r="F205" i="1" s="1"/>
  <c r="D204" i="1"/>
  <c r="F204" i="1" s="1"/>
  <c r="D203" i="1"/>
  <c r="F203" i="1" s="1"/>
  <c r="D202" i="1"/>
  <c r="F202" i="1" s="1"/>
  <c r="D201" i="1"/>
  <c r="F201" i="1" s="1"/>
  <c r="D200" i="1"/>
  <c r="F200" i="1" s="1"/>
  <c r="D194" i="1"/>
  <c r="F194" i="1" s="1"/>
  <c r="D193" i="1"/>
  <c r="F193" i="1" s="1"/>
  <c r="D192" i="1"/>
  <c r="F192" i="1" s="1"/>
  <c r="D191" i="1"/>
  <c r="F191" i="1" s="1"/>
  <c r="D190" i="1"/>
  <c r="F190" i="1" s="1"/>
  <c r="D189" i="1"/>
  <c r="D188" i="1"/>
  <c r="F188" i="1" s="1"/>
  <c r="D187" i="1"/>
  <c r="F187" i="1" s="1"/>
  <c r="D186" i="1"/>
  <c r="F186" i="1" s="1"/>
  <c r="D185" i="1"/>
  <c r="F185" i="1" s="1"/>
  <c r="D184" i="1"/>
  <c r="D183" i="1"/>
  <c r="F183" i="1" s="1"/>
  <c r="D180" i="1"/>
  <c r="F180" i="1" s="1"/>
  <c r="D179" i="1"/>
  <c r="D178" i="1"/>
  <c r="F178" i="1" s="1"/>
  <c r="D177" i="1"/>
  <c r="F177" i="1" s="1"/>
  <c r="D176" i="1"/>
  <c r="F176" i="1" s="1"/>
  <c r="D175" i="1"/>
  <c r="F175" i="1" s="1"/>
  <c r="D174" i="1"/>
  <c r="F174" i="1" s="1"/>
  <c r="D172" i="1"/>
  <c r="F172" i="1" s="1"/>
  <c r="D171" i="1"/>
  <c r="F171" i="1" s="1"/>
  <c r="D170" i="1"/>
  <c r="D169" i="1"/>
  <c r="F169" i="1" s="1"/>
  <c r="D168" i="1"/>
  <c r="F168" i="1" s="1"/>
  <c r="D167" i="1"/>
  <c r="F167" i="1" s="1"/>
  <c r="D166" i="1"/>
  <c r="D163" i="1"/>
  <c r="F163" i="1" s="1"/>
  <c r="D162" i="1"/>
  <c r="F162" i="1" s="1"/>
  <c r="D161" i="1"/>
  <c r="F161" i="1" s="1"/>
  <c r="D160" i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D153" i="1"/>
  <c r="D152" i="1"/>
  <c r="D151" i="1"/>
  <c r="A342" i="1"/>
  <c r="A343" i="1" s="1"/>
  <c r="A344" i="1" s="1"/>
  <c r="A338" i="1"/>
  <c r="A339" i="1" s="1"/>
  <c r="A340" i="1" s="1"/>
  <c r="A334" i="1"/>
  <c r="A335" i="1" s="1"/>
  <c r="A336" i="1" s="1"/>
  <c r="G333" i="1"/>
  <c r="A326" i="1"/>
  <c r="A327" i="1" s="1"/>
  <c r="A328" i="1" s="1"/>
  <c r="A329" i="1" s="1"/>
  <c r="A330" i="1" s="1"/>
  <c r="A331" i="1" s="1"/>
  <c r="A322" i="1"/>
  <c r="A323" i="1" s="1"/>
  <c r="A324" i="1" s="1"/>
  <c r="A318" i="1"/>
  <c r="A319" i="1" s="1"/>
  <c r="A320" i="1" s="1"/>
  <c r="G317" i="1"/>
  <c r="A310" i="1"/>
  <c r="A311" i="1" s="1"/>
  <c r="A312" i="1" s="1"/>
  <c r="A313" i="1" s="1"/>
  <c r="A314" i="1" s="1"/>
  <c r="A315" i="1" s="1"/>
  <c r="A306" i="1"/>
  <c r="A307" i="1" s="1"/>
  <c r="A308" i="1" s="1"/>
  <c r="A302" i="1"/>
  <c r="A303" i="1" s="1"/>
  <c r="A304" i="1" s="1"/>
  <c r="G301" i="1"/>
  <c r="F448" i="1"/>
  <c r="A446" i="1"/>
  <c r="A447" i="1" s="1"/>
  <c r="A448" i="1" s="1"/>
  <c r="F445" i="1"/>
  <c r="F440" i="1"/>
  <c r="A439" i="1"/>
  <c r="A440" i="1" s="1"/>
  <c r="A441" i="1" s="1"/>
  <c r="A442" i="1" s="1"/>
  <c r="A443" i="1" s="1"/>
  <c r="A444" i="1" s="1"/>
  <c r="A435" i="1"/>
  <c r="A436" i="1" s="1"/>
  <c r="A437" i="1" s="1"/>
  <c r="G434" i="1"/>
  <c r="A380" i="1"/>
  <c r="A381" i="1" s="1"/>
  <c r="A382" i="1" s="1"/>
  <c r="A376" i="1"/>
  <c r="A377" i="1" s="1"/>
  <c r="A378" i="1" s="1"/>
  <c r="G375" i="1"/>
  <c r="A294" i="1"/>
  <c r="A295" i="1" s="1"/>
  <c r="A296" i="1" s="1"/>
  <c r="A297" i="1" s="1"/>
  <c r="A298" i="1" s="1"/>
  <c r="A299" i="1" s="1"/>
  <c r="A290" i="1"/>
  <c r="A291" i="1" s="1"/>
  <c r="A292" i="1" s="1"/>
  <c r="A286" i="1"/>
  <c r="A287" i="1" s="1"/>
  <c r="A288" i="1" s="1"/>
  <c r="G285" i="1"/>
  <c r="A430" i="1"/>
  <c r="A431" i="1" s="1"/>
  <c r="A432" i="1" s="1"/>
  <c r="A423" i="1"/>
  <c r="A424" i="1" s="1"/>
  <c r="A425" i="1" s="1"/>
  <c r="A426" i="1" s="1"/>
  <c r="A427" i="1" s="1"/>
  <c r="A428" i="1" s="1"/>
  <c r="A419" i="1"/>
  <c r="A420" i="1" s="1"/>
  <c r="A421" i="1" s="1"/>
  <c r="G418" i="1"/>
  <c r="A371" i="1"/>
  <c r="A372" i="1" s="1"/>
  <c r="A373" i="1" s="1"/>
  <c r="F370" i="1"/>
  <c r="A367" i="1"/>
  <c r="A368" i="1" s="1"/>
  <c r="A369" i="1" s="1"/>
  <c r="G366" i="1"/>
  <c r="F281" i="1"/>
  <c r="A278" i="1"/>
  <c r="A279" i="1" s="1"/>
  <c r="A280" i="1" s="1"/>
  <c r="A281" i="1" s="1"/>
  <c r="A282" i="1" s="1"/>
  <c r="A283" i="1" s="1"/>
  <c r="A274" i="1"/>
  <c r="A275" i="1" s="1"/>
  <c r="A276" i="1" s="1"/>
  <c r="A270" i="1"/>
  <c r="A271" i="1" s="1"/>
  <c r="A272" i="1" s="1"/>
  <c r="G269" i="1"/>
  <c r="A414" i="1"/>
  <c r="A415" i="1" s="1"/>
  <c r="A416" i="1" s="1"/>
  <c r="F412" i="1"/>
  <c r="A407" i="1"/>
  <c r="A408" i="1" s="1"/>
  <c r="A409" i="1" s="1"/>
  <c r="A410" i="1" s="1"/>
  <c r="A411" i="1" s="1"/>
  <c r="A412" i="1" s="1"/>
  <c r="A403" i="1"/>
  <c r="A404" i="1" s="1"/>
  <c r="A405" i="1" s="1"/>
  <c r="G402" i="1"/>
  <c r="A362" i="1"/>
  <c r="A363" i="1" s="1"/>
  <c r="A364" i="1" s="1"/>
  <c r="A358" i="1"/>
  <c r="A359" i="1" s="1"/>
  <c r="A360" i="1" s="1"/>
  <c r="G357" i="1"/>
  <c r="F266" i="1"/>
  <c r="A262" i="1"/>
  <c r="A263" i="1" s="1"/>
  <c r="A264" i="1" s="1"/>
  <c r="A265" i="1" s="1"/>
  <c r="A266" i="1" s="1"/>
  <c r="A267" i="1" s="1"/>
  <c r="A258" i="1"/>
  <c r="A259" i="1" s="1"/>
  <c r="A260" i="1" s="1"/>
  <c r="A254" i="1"/>
  <c r="A255" i="1" s="1"/>
  <c r="A256" i="1" s="1"/>
  <c r="G253" i="1"/>
  <c r="G348" i="1"/>
  <c r="G386" i="1"/>
  <c r="A398" i="1"/>
  <c r="A399" i="1" s="1"/>
  <c r="A400" i="1" s="1"/>
  <c r="A391" i="1"/>
  <c r="A392" i="1" s="1"/>
  <c r="A393" i="1" s="1"/>
  <c r="A394" i="1" s="1"/>
  <c r="A395" i="1" s="1"/>
  <c r="A396" i="1" s="1"/>
  <c r="A387" i="1"/>
  <c r="A388" i="1" s="1"/>
  <c r="A389" i="1" s="1"/>
  <c r="A353" i="1"/>
  <c r="A354" i="1" s="1"/>
  <c r="A355" i="1" s="1"/>
  <c r="A349" i="1"/>
  <c r="A350" i="1" s="1"/>
  <c r="A351" i="1" s="1"/>
  <c r="I239" i="1"/>
  <c r="G237" i="1"/>
  <c r="A246" i="1"/>
  <c r="A242" i="1"/>
  <c r="A243" i="1" s="1"/>
  <c r="A244" i="1" s="1"/>
  <c r="F229" i="1"/>
  <c r="A226" i="1"/>
  <c r="A227" i="1" s="1"/>
  <c r="A228" i="1" s="1"/>
  <c r="G225" i="1"/>
  <c r="F179" i="1"/>
  <c r="A179" i="1"/>
  <c r="A175" i="1"/>
  <c r="A176" i="1" s="1"/>
  <c r="A177" i="1" s="1"/>
  <c r="G174" i="1"/>
  <c r="F170" i="1"/>
  <c r="F166" i="1"/>
  <c r="A171" i="1"/>
  <c r="A167" i="1"/>
  <c r="A168" i="1" s="1"/>
  <c r="A169" i="1" s="1"/>
  <c r="G166" i="1"/>
  <c r="F220" i="1"/>
  <c r="A220" i="1"/>
  <c r="A221" i="1" s="1"/>
  <c r="A222" i="1" s="1"/>
  <c r="G219" i="1"/>
  <c r="A214" i="1"/>
  <c r="A215" i="1" s="1"/>
  <c r="A216" i="1" s="1"/>
  <c r="G213" i="1"/>
  <c r="G183" i="1"/>
  <c r="G151" i="1"/>
  <c r="F160" i="1"/>
  <c r="A156" i="1"/>
  <c r="A157" i="1" s="1"/>
  <c r="A158" i="1" s="1"/>
  <c r="A160" i="1"/>
  <c r="A161" i="1" s="1"/>
  <c r="A162" i="1" s="1"/>
  <c r="A163" i="1" s="1"/>
  <c r="F189" i="1"/>
  <c r="I186" i="1"/>
  <c r="G200" i="1"/>
  <c r="I180" i="1"/>
  <c r="A209" i="1"/>
  <c r="A210" i="1" s="1"/>
  <c r="A211" i="1" s="1"/>
  <c r="A205" i="1"/>
  <c r="A206" i="1" s="1"/>
  <c r="A207" i="1" s="1"/>
  <c r="A201" i="1"/>
  <c r="A202" i="1" s="1"/>
  <c r="A203" i="1" s="1"/>
  <c r="A192" i="1"/>
  <c r="A193" i="1" s="1"/>
  <c r="A194" i="1" s="1"/>
  <c r="A188" i="1"/>
  <c r="A184" i="1"/>
  <c r="J112" i="1"/>
  <c r="J111" i="1"/>
  <c r="J110" i="1"/>
  <c r="J109" i="1"/>
  <c r="J98" i="1"/>
  <c r="J97" i="1"/>
  <c r="J96" i="1"/>
  <c r="J95" i="1"/>
  <c r="C142" i="1" l="1"/>
  <c r="F386" i="1"/>
  <c r="C140" i="1"/>
  <c r="C134" i="1"/>
  <c r="C141" i="1"/>
  <c r="C133" i="1"/>
  <c r="C132" i="1"/>
  <c r="E135" i="1"/>
  <c r="F184" i="1"/>
  <c r="G134" i="1" s="1"/>
  <c r="E140" i="1"/>
  <c r="E134" i="1"/>
  <c r="E141" i="1"/>
  <c r="G133" i="1"/>
  <c r="G135" i="1"/>
  <c r="G142" i="1"/>
  <c r="G136" i="1"/>
  <c r="C135" i="1"/>
  <c r="E142" i="1"/>
  <c r="E132" i="1"/>
  <c r="C136" i="1"/>
  <c r="E133" i="1"/>
  <c r="E136" i="1"/>
  <c r="A247" i="1"/>
  <c r="A248" i="1" s="1"/>
  <c r="A249" i="1" s="1"/>
  <c r="A250" i="1" s="1"/>
  <c r="A251" i="1" s="1"/>
  <c r="A185" i="1"/>
  <c r="A186" i="1" s="1"/>
  <c r="A189" i="1"/>
  <c r="A190" i="1" s="1"/>
  <c r="E3" i="1"/>
  <c r="E8" i="1"/>
  <c r="C137" i="1" l="1"/>
  <c r="C143" i="1"/>
  <c r="E143" i="1"/>
  <c r="E137" i="1"/>
  <c r="E43" i="1"/>
  <c r="E44" i="1" s="1"/>
  <c r="C15" i="1" l="1"/>
  <c r="E30" i="1" l="1"/>
  <c r="F239" i="1" l="1"/>
  <c r="K239" i="1" s="1"/>
  <c r="F240" i="1"/>
  <c r="A238" i="1"/>
  <c r="G140" i="1" l="1"/>
  <c r="A239" i="1"/>
  <c r="A240" i="1" s="1"/>
  <c r="F128" i="1"/>
  <c r="F152" i="1" l="1"/>
  <c r="F153" i="1"/>
  <c r="F154" i="1"/>
  <c r="F151" i="1"/>
  <c r="G132" i="1" l="1"/>
  <c r="G137" i="1" s="1"/>
  <c r="B451" i="1"/>
  <c r="F355" i="1" l="1"/>
  <c r="F354" i="1"/>
  <c r="F353" i="1"/>
  <c r="F348" i="1"/>
  <c r="G141" i="1" l="1"/>
  <c r="G143" i="1" s="1"/>
  <c r="B452" i="1"/>
  <c r="F10" i="5" l="1"/>
  <c r="G10" i="5" s="1"/>
  <c r="F9" i="5"/>
  <c r="G9" i="5" s="1"/>
  <c r="F8" i="5"/>
  <c r="G8" i="5" s="1"/>
  <c r="G7" i="5"/>
  <c r="G6" i="5"/>
  <c r="G5" i="5"/>
  <c r="D475" i="1"/>
  <c r="A152" i="1"/>
  <c r="J84" i="1"/>
  <c r="J83" i="1"/>
  <c r="J82" i="1"/>
  <c r="J81" i="1"/>
  <c r="C73" i="1"/>
  <c r="E27" i="1"/>
  <c r="E25" i="1"/>
  <c r="H74" i="1"/>
  <c r="G11" i="5" l="1"/>
  <c r="A153" i="1"/>
  <c r="A154" i="1" s="1"/>
  <c r="D67" i="1"/>
  <c r="D86" i="1"/>
  <c r="D84" i="1"/>
  <c r="D83" i="1"/>
  <c r="D82" i="1"/>
  <c r="D80" i="1"/>
  <c r="J73" i="1"/>
  <c r="D85" i="1"/>
  <c r="D81" i="1"/>
  <c r="J77" i="1"/>
  <c r="J78" i="1"/>
  <c r="C77" i="1" s="1"/>
  <c r="J76" i="1"/>
  <c r="J79" i="1"/>
  <c r="J80" i="1" s="1"/>
  <c r="J85" i="1" s="1"/>
  <c r="J86" i="1" s="1"/>
  <c r="C78" i="1" s="1"/>
  <c r="D79" i="1" l="1"/>
  <c r="J75" i="1"/>
  <c r="E77" i="1"/>
  <c r="D78" i="1"/>
  <c r="G77" i="1"/>
  <c r="D71" i="1" s="1"/>
  <c r="D72" i="1" s="1"/>
  <c r="D77" i="1"/>
  <c r="H88" i="1"/>
  <c r="D100" i="1" l="1"/>
  <c r="D98" i="1"/>
  <c r="D96" i="1"/>
  <c r="D94" i="1"/>
  <c r="J87" i="1"/>
  <c r="J89" i="1" s="1"/>
  <c r="J93" i="1"/>
  <c r="J94" i="1" s="1"/>
  <c r="J99" i="1" s="1"/>
  <c r="J100" i="1" s="1"/>
  <c r="C92" i="1" s="1"/>
  <c r="D92" i="1" s="1"/>
  <c r="J91" i="1"/>
  <c r="J90" i="1"/>
  <c r="D99" i="1"/>
  <c r="D97" i="1"/>
  <c r="D95" i="1"/>
  <c r="D93" i="1"/>
  <c r="J92" i="1"/>
  <c r="C91" i="1" s="1"/>
  <c r="I74" i="1"/>
  <c r="J74" i="1"/>
  <c r="F72" i="1"/>
  <c r="H102" i="1"/>
  <c r="E91" i="1" l="1"/>
  <c r="G91" i="1"/>
  <c r="D91" i="1"/>
  <c r="J88" i="1" s="1"/>
  <c r="J107" i="1"/>
  <c r="J108" i="1" s="1"/>
  <c r="J113" i="1" s="1"/>
  <c r="J114" i="1" s="1"/>
  <c r="C106" i="1" s="1"/>
  <c r="E105" i="1" s="1"/>
  <c r="J105" i="1"/>
  <c r="J104" i="1"/>
  <c r="D113" i="1"/>
  <c r="D111" i="1"/>
  <c r="D109" i="1"/>
  <c r="D107" i="1"/>
  <c r="J106" i="1"/>
  <c r="C105" i="1" s="1"/>
  <c r="D105" i="1" s="1"/>
  <c r="D114" i="1"/>
  <c r="D112" i="1"/>
  <c r="D110" i="1"/>
  <c r="D108" i="1"/>
  <c r="J101" i="1"/>
  <c r="J103" i="1" s="1"/>
  <c r="I75" i="1"/>
  <c r="I73" i="1" s="1"/>
  <c r="C75" i="1" s="1"/>
  <c r="G105" i="1" l="1"/>
  <c r="D106" i="1"/>
  <c r="I102" i="1" s="1"/>
  <c r="I103" i="1" s="1"/>
  <c r="J102" i="1"/>
  <c r="I88" i="1"/>
  <c r="I89" i="1" s="1"/>
  <c r="I101" i="1" l="1"/>
  <c r="C103" i="1" s="1"/>
  <c r="I87" i="1"/>
  <c r="C89" i="1" s="1"/>
</calcChain>
</file>

<file path=xl/comments1.xml><?xml version="1.0" encoding="utf-8"?>
<comments xmlns="http://schemas.openxmlformats.org/spreadsheetml/2006/main">
  <authors>
    <author>SACHIN</author>
  </authors>
  <commentList>
    <comment ref="C56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Floor with height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Survey Nos.</t>
        </r>
      </text>
    </comment>
  </commentList>
</comments>
</file>

<file path=xl/sharedStrings.xml><?xml version="1.0" encoding="utf-8"?>
<sst xmlns="http://schemas.openxmlformats.org/spreadsheetml/2006/main" count="660" uniqueCount="270">
  <si>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</si>
  <si>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</si>
  <si>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</si>
  <si>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</si>
  <si>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</si>
  <si>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</si>
  <si>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</si>
  <si>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</si>
  <si>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</si>
  <si>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</si>
  <si>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</si>
  <si>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</si>
  <si>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</si>
  <si>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</si>
  <si>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</si>
  <si>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</si>
  <si>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</si>
  <si>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</si>
  <si>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</si>
  <si>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</si>
  <si>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</si>
  <si>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</si>
  <si>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</si>
  <si>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</si>
  <si>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</si>
  <si>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</si>
  <si>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</si>
  <si>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</si>
  <si>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</si>
  <si>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</si>
  <si>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</si>
  <si>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</si>
  <si>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</si>
  <si>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</si>
  <si>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</si>
  <si>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</si>
  <si>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</si>
  <si>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</si>
  <si>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</si>
  <si>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</si>
  <si>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</si>
  <si>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</si>
  <si>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</si>
  <si>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</si>
  <si>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</si>
  <si>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</si>
  <si>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</si>
  <si>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</si>
  <si>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</si>
  <si>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</si>
  <si>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</si>
  <si>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</si>
  <si>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</si>
  <si>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</si>
  <si>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</si>
  <si>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</si>
  <si>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</si>
  <si>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</si>
  <si>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</si>
  <si>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</si>
  <si>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</si>
  <si>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</si>
  <si>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</si>
  <si>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</si>
  <si>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</si>
  <si>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</si>
  <si>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</si>
  <si>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</si>
  <si>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</si>
  <si>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</si>
  <si>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</si>
  <si>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</si>
  <si>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</si>
  <si>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</si>
  <si>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</si>
  <si>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</si>
  <si>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</si>
  <si>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</si>
  <si>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</si>
  <si>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</si>
  <si>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</si>
  <si>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</si>
  <si>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</si>
  <si>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</si>
  <si>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</si>
  <si>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</si>
  <si>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</si>
  <si>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</si>
  <si>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</si>
  <si>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</si>
  <si>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</si>
  <si>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</si>
  <si>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</si>
  <si>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</si>
  <si>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</si>
  <si>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</si>
  <si>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</si>
  <si>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</si>
  <si>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</si>
  <si>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</si>
  <si>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</si>
  <si>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</si>
  <si>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</si>
  <si>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</si>
  <si>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</si>
  <si>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</si>
  <si>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</si>
  <si>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</si>
  <si>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</si>
  <si>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</si>
  <si>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</si>
  <si>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</si>
  <si>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</si>
  <si>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</si>
  <si>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</si>
  <si>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</si>
  <si>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</si>
  <si>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</si>
  <si>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</si>
  <si>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</si>
  <si>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</si>
  <si>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</si>
  <si>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</si>
  <si>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</si>
  <si>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</si>
  <si>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</si>
  <si>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</si>
  <si>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</si>
  <si>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</si>
  <si>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</si>
  <si>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</si>
  <si>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</si>
  <si>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</si>
  <si>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</si>
  <si>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</si>
  <si>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</si>
  <si>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</si>
  <si>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</si>
  <si>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</si>
  <si>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</si>
  <si>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</si>
  <si>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</si>
  <si>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</si>
  <si>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</si>
  <si>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</si>
  <si>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</si>
  <si>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</si>
  <si>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</si>
  <si>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</si>
  <si>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</si>
  <si>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</si>
  <si>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</si>
  <si>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</si>
  <si>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</si>
  <si>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</si>
  <si>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</si>
  <si>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</si>
  <si>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</si>
  <si>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</si>
  <si>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</si>
  <si>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</si>
  <si>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</si>
  <si>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</si>
  <si>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</si>
  <si>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</si>
  <si>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</si>
  <si>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</si>
  <si>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</si>
  <si>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Axis Goregaon</t>
  </si>
  <si>
    <t>P51800047680</t>
  </si>
  <si>
    <t>As per RERA - 31/12/2028</t>
  </si>
  <si>
    <t>Slum Rehabilitation Authority (SRA)</t>
  </si>
  <si>
    <t>Andheri</t>
  </si>
  <si>
    <t>Mumbai</t>
  </si>
  <si>
    <t>Oshiwara</t>
  </si>
  <si>
    <t>Approved Plans, CC, Sale Plans, Cost Sheet</t>
  </si>
  <si>
    <t>CTS No</t>
  </si>
  <si>
    <t>Veena Dalwai Industrial Estate</t>
  </si>
  <si>
    <t>Navpada Road</t>
  </si>
  <si>
    <t>K-W/MHADA/0005/20220707/AP/S-1</t>
  </si>
  <si>
    <t>Office No. 1031, Wing J, Akshar Business Park, Plot No. 03 Sector 25, Near APMC Market, Vashi, Navi Mumbai, Maharashtra 400703 TEL: 022-46090378/79/80                                                                                                     E mail : vsjcapf@gmail.com. Web site : www.vsjadon.com</t>
  </si>
  <si>
    <t>As per Layout</t>
  </si>
  <si>
    <t>Latitude Longitude</t>
  </si>
  <si>
    <t>19.146663,72.842081</t>
  </si>
  <si>
    <t>https://maps.app.goo.gl/zky75EhVgAbic3rX6</t>
  </si>
  <si>
    <t>Open Plot</t>
  </si>
  <si>
    <t>20.00 M. W. Prop. D.P Road</t>
  </si>
  <si>
    <t>Internal Road</t>
  </si>
  <si>
    <t>27.45 Mt.W. Prop. D.P Road</t>
  </si>
  <si>
    <t>12.20 Mt. W. Prop. D.P Road</t>
  </si>
  <si>
    <t>Other Plot</t>
  </si>
  <si>
    <t>03 Wings</t>
  </si>
  <si>
    <t>Approved Builtup Area of Sale Building No.1 (Sq.Mt)</t>
  </si>
  <si>
    <t>Sale Building No.1 (Wing A) = Gr + P1 to P4 + 5th ('E' Deck) + 6th to 40th Floor
Sale Building No.1 (Wing B &amp; C) = 1B + Gr +  P1 to P4 + 5th ('E' Deck) + 6th to 34th Floor</t>
  </si>
  <si>
    <t>Sale Building No.1 (Wing A) = Gr + P1 to P4 + 5th ('E' Deck) + 6th to 40th Floor</t>
  </si>
  <si>
    <t>Building Details Floor Wise</t>
  </si>
  <si>
    <t>Layout :</t>
  </si>
  <si>
    <t xml:space="preserve">Details of Residential &amp; Commercial in Building   </t>
  </si>
  <si>
    <t>Sale Building No.1</t>
  </si>
  <si>
    <t>Wing A</t>
  </si>
  <si>
    <t>Wing C</t>
  </si>
  <si>
    <t>Wing B</t>
  </si>
  <si>
    <t>Ground Floor For Commercial, Space For Substation, MT. Room &amp; Parking</t>
  </si>
  <si>
    <t>Shop</t>
  </si>
  <si>
    <t>Ground Floor For Commercial &amp; Parking</t>
  </si>
  <si>
    <t>Ground Floor For Commercial, Security Cabin, MT Room &amp; Parking</t>
  </si>
  <si>
    <t>1st Podium Floor For Parking</t>
  </si>
  <si>
    <t>1st Podium Floor For Commercial &amp; Parking</t>
  </si>
  <si>
    <t>Office</t>
  </si>
  <si>
    <t>2nd &amp; 3rd Podium Floor For Commercial &amp; Parking</t>
  </si>
  <si>
    <t>2nd &amp; 3rd Podium Floor For Parking</t>
  </si>
  <si>
    <t>4th Podium Floor For Commercial &amp; Parking</t>
  </si>
  <si>
    <t>4th Podium Floor For Parking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</si>
  <si>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</si>
  <si>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5th ('E' Deck) Floor Society Office, Fitness Center, RG &amp; Swimming Pool</t>
  </si>
  <si>
    <t>6th Floor For Residential &amp; (Part Refuge Area)</t>
  </si>
  <si>
    <t>Refuge Area</t>
  </si>
  <si>
    <t>https://housing.com/in/buy/projects/page/288619-roswalt-zaiden-by-roswalt-realty-in-jogeshwari-west</t>
  </si>
  <si>
    <t>Fitness Center, RG, Library, Lift, Swimming Pool, Indoor Games, Childern's Play Area, Lawn, Stack Parking etc.</t>
  </si>
  <si>
    <t>1BHK</t>
  </si>
  <si>
    <t>2BHK</t>
  </si>
  <si>
    <t>3BHK</t>
  </si>
  <si>
    <t>7th to 12th, 14th to 19th, 21st to 26th &amp; 28th to 33rd Floor</t>
  </si>
  <si>
    <t>13th, 20th &amp; 27th Floor (Part Refuge Area)</t>
  </si>
  <si>
    <t>34th Floor (Part Refuge Area)</t>
  </si>
  <si>
    <t>35th Floor</t>
  </si>
  <si>
    <t>36th to 38th Floor</t>
  </si>
  <si>
    <t>39th &amp; 40th Floor</t>
  </si>
  <si>
    <t>We considered Gross carpet area = Net carpet + S.S Slab Area.</t>
  </si>
  <si>
    <t>As per RERA site, In the project Roswalt Zaidan consists Sale Building No.3 &amp; Roswalt Zaidan Wing A, B &amp; C</t>
  </si>
  <si>
    <t>We have received approved plans &amp; CC of Roswalt Zaidan Wing A, B &amp; C, Therefore We have not drafted area for Sale Building No.3</t>
  </si>
  <si>
    <t>410/C/1(Pt), 435, 435/1 to 147, 441 (Pt), 443 (Pt), 443/1 to 7</t>
  </si>
  <si>
    <t>Flats - 1131, Shops - 37, Offices - 41</t>
  </si>
  <si>
    <t>Jogeshwari West</t>
  </si>
  <si>
    <t>Pratiksha Nagar</t>
  </si>
  <si>
    <t xml:space="preserve">Please check for Fire Noc &amp; EC
</t>
  </si>
  <si>
    <t>1.7 KM from Jogeshwari Railway Station</t>
  </si>
  <si>
    <t>Sale Building No.1 (Wing A, B &amp; C)</t>
  </si>
  <si>
    <t>99 Square</t>
  </si>
  <si>
    <t>A S Hightech LLP</t>
  </si>
  <si>
    <t xml:space="preserve">ON CARPET </t>
  </si>
  <si>
    <t>Bank Name:</t>
  </si>
  <si>
    <t>Axis Bank</t>
  </si>
  <si>
    <t>Sale Building No.1 (Wing B &amp; C) = 1B + Gr +  P1 to P4 + 5th ('E' Deck) + 6th to 38th Floor</t>
  </si>
  <si>
    <t xml:space="preserve">Fire Noc No
Valid Up to: </t>
  </si>
  <si>
    <t>Maharashtra Housing and Area Development Authority(MHADA)</t>
  </si>
  <si>
    <t>Kalyan Dombivli Municipal Corporation (KMDC)</t>
  </si>
  <si>
    <t>Maharashtra State Road Development Corporation Limited (MSRDC)</t>
  </si>
  <si>
    <t>Town Planner, Palghar</t>
  </si>
  <si>
    <t>Kulgoan Badlapur Municipal Council</t>
  </si>
  <si>
    <t>Pen Municipal Council</t>
  </si>
  <si>
    <t xml:space="preserve">Environmental Clearance Certificate (EC) No
Valid Up for: </t>
  </si>
  <si>
    <t>Town Planning Thane</t>
  </si>
  <si>
    <t>Raigad Zilha Parishad</t>
  </si>
  <si>
    <t>Ulhasnagar Municipal Corporation</t>
  </si>
  <si>
    <t>Roha Municipal Council</t>
  </si>
  <si>
    <t>SIA/MH/INFRA2/448677/2023</t>
  </si>
  <si>
    <t xml:space="preserve">C.T. S No. 410/C/1(Pt), 435, 435/1 to 147, 441 (Pt), 443 (Pt), 443/1 to 7
</t>
  </si>
  <si>
    <t>P-17261/2023/(410C/1 And Other)/K/W
Ward/OSHIWARA/SRA-CFO/1/New.</t>
  </si>
  <si>
    <t>Wing ‘A’, ‘B’ &amp; ’C’ having Basement (-04.20 mtrs) + ground floor for shops + common 1st to 4th podium floor for car parking by way of 7.50 mtrs wide two-way ramp + 5th E-deck floor for amenities + 6th to 38th upper residential floors
with total height 119.95 mtrs</t>
  </si>
  <si>
    <t>Roswalt Zaiden</t>
  </si>
  <si>
    <t>Sale Building No.1 (Wing B) = 1B + Gr +  P1 to P4 + 5th ('E' Deck) + 6th to 38th Floor</t>
  </si>
  <si>
    <t>Sale Building No.1 (Wing C) = 1B + Gr +  P1 to P4 + 5th ('E' Deck) + 6th to 38th Floor</t>
  </si>
  <si>
    <t>Mr. Chinswami Shetty 9930900169</t>
  </si>
  <si>
    <t>This C.C is further extended for Wing A upto 18th floors for brick work &amp; 33rd to 38th floors along with L.M.R + O.H.T for R.C.C frame structure &amp; further CC to Wing B comprising of basement (pt.) + Ground Floor + 1st to 4th podium + 5th (E-deck floor) for R.C.C frame structure only as per last amended plans dated 28/03/2025.</t>
  </si>
  <si>
    <t>This C.C is re-endorsed and F.C.C to wing C from 6th to 16th floor is extended for R.C.C work only as per approved amended plans dated 18/06/2025.</t>
  </si>
  <si>
    <t>We have updated revised CC on 19/07/2025.</t>
  </si>
  <si>
    <t>Shruti Tathare</t>
  </si>
  <si>
    <t>Pratik Niwate</t>
  </si>
  <si>
    <t>Wing A, B &amp; C = Construction work is in process at the time of Visit (Internal Photographs was not allowed).
Wing B &amp; C = Construction work is in process at the time of Visit (Internal Photographs was not allowed) (Slow Speed).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</si>
</sst>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8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98">
    <xf numFmtId="0" fontId="0" fillId="0" borderId="0" xfId="0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15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3" fillId="0" borderId="3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9" fontId="8" fillId="0" borderId="6" xfId="8" applyFont="1" applyFill="1" applyBorder="1" applyAlignment="1" applyProtection="1">
      <alignment horizontal="center" vertical="top" wrapText="1"/>
      <protection locked="0"/>
    </xf>
    <xf numFmtId="0" fontId="8" fillId="0" borderId="0" xfId="1" applyFont="1"/>
    <xf numFmtId="0" fontId="16" fillId="0" borderId="0" xfId="1" applyFont="1"/>
    <xf numFmtId="0" fontId="13" fillId="0" borderId="0" xfId="1" applyFont="1"/>
    <xf numFmtId="1" fontId="8" fillId="0" borderId="0" xfId="1" applyNumberFormat="1" applyFont="1"/>
    <xf numFmtId="14" fontId="8" fillId="0" borderId="0" xfId="1" applyNumberFormat="1" applyFont="1"/>
    <xf numFmtId="0" fontId="8" fillId="0" borderId="0" xfId="1" applyFont="1" applyProtection="1">
      <protection hidden="1"/>
    </xf>
    <xf numFmtId="0" fontId="24" fillId="0" borderId="0" xfId="1" applyFont="1"/>
    <xf numFmtId="0" fontId="8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7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0" fontId="28" fillId="0" borderId="0" xfId="0" applyFont="1" applyAlignment="1">
      <alignment horizontal="left" vertical="center" readingOrder="1"/>
    </xf>
    <xf numFmtId="0" fontId="13" fillId="0" borderId="1" xfId="1" applyFont="1" applyBorder="1" applyAlignment="1" applyProtection="1">
      <alignment horizontal="center" vertical="top"/>
      <protection locked="0"/>
    </xf>
    <xf numFmtId="0" fontId="27" fillId="0" borderId="0" xfId="10"/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43" fontId="6" fillId="0" borderId="0" xfId="4" applyNumberFormat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14" fontId="7" fillId="0" borderId="7" xfId="1" applyNumberFormat="1" applyFont="1" applyBorder="1" applyAlignment="1" applyProtection="1">
      <alignment horizontal="left" vertical="top" wrapText="1"/>
      <protection locked="0"/>
    </xf>
    <xf numFmtId="1" fontId="9" fillId="0" borderId="7" xfId="0" applyNumberFormat="1" applyFont="1" applyBorder="1" applyAlignment="1" applyProtection="1">
      <alignment vertical="top" wrapText="1"/>
      <protection locked="0"/>
    </xf>
    <xf numFmtId="1" fontId="9" fillId="0" borderId="20" xfId="0" applyNumberFormat="1" applyFont="1" applyBorder="1" applyAlignment="1" applyProtection="1">
      <alignment vertical="top" wrapText="1"/>
      <protection locked="0"/>
    </xf>
    <xf numFmtId="1" fontId="9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 applyProtection="1">
      <alignment horizontal="center" vertical="top"/>
      <protection locked="0"/>
    </xf>
    <xf numFmtId="0" fontId="9" fillId="0" borderId="20" xfId="1" applyFont="1" applyBorder="1" applyAlignment="1" applyProtection="1">
      <alignment horizontal="center" vertical="top"/>
      <protection locked="0"/>
    </xf>
    <xf numFmtId="0" fontId="9" fillId="0" borderId="8" xfId="1" applyFont="1" applyBorder="1" applyAlignment="1" applyProtection="1">
      <alignment horizontal="center" vertical="top"/>
      <protection locked="0"/>
    </xf>
    <xf numFmtId="1" fontId="7" fillId="0" borderId="2" xfId="0" applyNumberFormat="1" applyFont="1" applyBorder="1" applyAlignment="1" applyProtection="1">
      <alignment horizontal="center" vertical="center" wrapText="1"/>
      <protection locked="0"/>
    </xf>
    <xf numFmtId="1" fontId="7" fillId="0" borderId="15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6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1" fontId="7" fillId="0" borderId="25" xfId="1" applyNumberFormat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14" fillId="0" borderId="7" xfId="1" applyNumberFormat="1" applyFont="1" applyBorder="1" applyAlignment="1" applyProtection="1">
      <alignment horizontal="center" vertical="center" wrapText="1"/>
      <protection locked="0"/>
    </xf>
    <xf numFmtId="1" fontId="14" fillId="0" borderId="20" xfId="1" applyNumberFormat="1" applyFont="1" applyBorder="1" applyAlignment="1" applyProtection="1">
      <alignment horizontal="center" vertical="center" wrapText="1"/>
      <protection locked="0"/>
    </xf>
    <xf numFmtId="1" fontId="14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20" xfId="1" applyNumberFormat="1" applyFont="1" applyBorder="1" applyAlignment="1" applyProtection="1">
      <alignment horizontal="center" vertical="center" wrapText="1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 applyProtection="1">
      <alignment horizontal="center" vertical="center" wrapText="1"/>
      <protection locked="0"/>
    </xf>
    <xf numFmtId="1" fontId="7" fillId="0" borderId="31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4" xfId="1" applyFont="1" applyBorder="1" applyAlignment="1" applyProtection="1">
      <alignment horizontal="center" vertical="top" wrapText="1"/>
      <protection locked="0"/>
    </xf>
    <xf numFmtId="0" fontId="8" fillId="0" borderId="3" xfId="1" applyFont="1" applyBorder="1" applyAlignment="1" applyProtection="1">
      <alignment horizontal="center" vertical="top" wrapText="1"/>
      <protection locked="0"/>
    </xf>
    <xf numFmtId="9" fontId="8" fillId="0" borderId="16" xfId="8" applyFont="1" applyFill="1" applyBorder="1" applyAlignment="1" applyProtection="1">
      <alignment horizontal="center" vertical="center" wrapText="1"/>
      <protection locked="0"/>
    </xf>
    <xf numFmtId="9" fontId="8" fillId="0" borderId="17" xfId="8" applyFont="1" applyFill="1" applyBorder="1" applyAlignment="1" applyProtection="1">
      <alignment horizontal="center" vertical="center" wrapText="1"/>
      <protection locked="0"/>
    </xf>
    <xf numFmtId="9" fontId="8" fillId="0" borderId="24" xfId="8" applyFont="1" applyFill="1" applyBorder="1" applyAlignment="1" applyProtection="1">
      <alignment horizontal="center" vertical="center" wrapText="1"/>
      <protection locked="0"/>
    </xf>
    <xf numFmtId="9" fontId="8" fillId="0" borderId="25" xfId="8" applyFont="1" applyFill="1" applyBorder="1" applyAlignment="1" applyProtection="1">
      <alignment horizontal="center" vertical="center" wrapText="1"/>
      <protection locked="0"/>
    </xf>
    <xf numFmtId="9" fontId="8" fillId="0" borderId="27" xfId="8" applyFont="1" applyFill="1" applyBorder="1" applyAlignment="1" applyProtection="1">
      <alignment horizontal="center" vertical="center" wrapText="1"/>
      <protection locked="0"/>
    </xf>
    <xf numFmtId="9" fontId="8" fillId="0" borderId="28" xfId="8" applyFont="1" applyFill="1" applyBorder="1" applyAlignment="1" applyProtection="1">
      <alignment horizontal="center" vertical="center" wrapText="1"/>
      <protection locked="0"/>
    </xf>
    <xf numFmtId="9" fontId="8" fillId="0" borderId="26" xfId="8" applyFont="1" applyFill="1" applyBorder="1" applyAlignment="1" applyProtection="1">
      <alignment horizontal="center" vertical="center" wrapText="1"/>
      <protection locked="0"/>
    </xf>
    <xf numFmtId="9" fontId="8" fillId="0" borderId="9" xfId="8" applyFont="1" applyFill="1" applyBorder="1" applyAlignment="1" applyProtection="1">
      <alignment horizontal="center" vertical="center" wrapText="1"/>
      <protection locked="0"/>
    </xf>
    <xf numFmtId="9" fontId="8" fillId="0" borderId="11" xfId="8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9" fillId="0" borderId="21" xfId="1" applyFont="1" applyBorder="1" applyAlignment="1" applyProtection="1">
      <alignment horizontal="left" vertical="top" wrapText="1"/>
      <protection locked="0"/>
    </xf>
    <xf numFmtId="0" fontId="9" fillId="0" borderId="14" xfId="1" applyFont="1" applyBorder="1" applyAlignment="1" applyProtection="1">
      <alignment horizontal="left" vertical="top" wrapText="1"/>
      <protection locked="0"/>
    </xf>
    <xf numFmtId="0" fontId="9" fillId="0" borderId="12" xfId="1" applyFont="1" applyBorder="1" applyAlignment="1" applyProtection="1">
      <alignment horizontal="left" vertical="top" wrapText="1"/>
      <protection locked="0"/>
    </xf>
    <xf numFmtId="0" fontId="9" fillId="0" borderId="13" xfId="1" applyFont="1" applyBorder="1" applyAlignment="1" applyProtection="1">
      <alignment horizontal="left" vertical="top" wrapText="1"/>
      <protection locked="0"/>
    </xf>
    <xf numFmtId="0" fontId="9" fillId="0" borderId="22" xfId="1" applyFont="1" applyBorder="1" applyAlignment="1" applyProtection="1">
      <alignment horizontal="left" vertical="top" wrapText="1"/>
      <protection locked="0"/>
    </xf>
    <xf numFmtId="0" fontId="14" fillId="0" borderId="3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4" xfId="1" applyFont="1" applyBorder="1" applyAlignment="1" applyProtection="1">
      <alignment horizontal="left" vertical="top" wrapText="1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" fontId="9" fillId="0" borderId="15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0" xfId="1" applyFont="1" applyAlignment="1">
      <alignment horizontal="center" vertical="center"/>
    </xf>
    <xf numFmtId="1" fontId="9" fillId="0" borderId="16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1" fontId="5" fillId="0" borderId="2" xfId="1" applyNumberFormat="1" applyFont="1" applyBorder="1" applyAlignment="1" applyProtection="1">
      <alignment horizontal="center" vertical="top" wrapText="1"/>
      <protection locked="0"/>
    </xf>
    <xf numFmtId="1" fontId="5" fillId="0" borderId="15" xfId="1" applyNumberFormat="1" applyFont="1" applyBorder="1" applyAlignment="1" applyProtection="1">
      <alignment horizontal="center" vertical="top" wrapText="1"/>
      <protection locked="0"/>
    </xf>
    <xf numFmtId="1" fontId="9" fillId="0" borderId="17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0" fontId="9" fillId="0" borderId="15" xfId="1" applyFont="1" applyBorder="1" applyAlignment="1" applyProtection="1">
      <alignment horizontal="center" vertical="top"/>
      <protection locked="0"/>
    </xf>
    <xf numFmtId="0" fontId="9" fillId="0" borderId="15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4" fillId="0" borderId="7" xfId="1" applyFont="1" applyBorder="1" applyAlignment="1" applyProtection="1">
      <alignment horizontal="left" vertical="top"/>
      <protection locked="0"/>
    </xf>
    <xf numFmtId="0" fontId="14" fillId="0" borderId="20" xfId="1" applyFont="1" applyBorder="1" applyAlignment="1" applyProtection="1">
      <alignment horizontal="left" vertical="top"/>
      <protection locked="0"/>
    </xf>
    <xf numFmtId="0" fontId="14" fillId="0" borderId="8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7" fillId="0" borderId="7" xfId="1" applyFont="1" applyBorder="1" applyAlignment="1" applyProtection="1">
      <alignment vertical="top" wrapText="1"/>
      <protection locked="0"/>
    </xf>
    <xf numFmtId="0" fontId="7" fillId="0" borderId="20" xfId="1" applyFont="1" applyBorder="1" applyAlignment="1" applyProtection="1">
      <alignment vertical="top" wrapText="1"/>
      <protection locked="0"/>
    </xf>
    <xf numFmtId="0" fontId="7" fillId="0" borderId="8" xfId="1" applyFont="1" applyBorder="1" applyAlignment="1" applyProtection="1">
      <alignment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8" fillId="0" borderId="7" xfId="1" applyFont="1" applyBorder="1" applyAlignment="1" applyProtection="1">
      <alignment horizontal="left"/>
      <protection locked="0"/>
    </xf>
    <xf numFmtId="0" fontId="8" fillId="0" borderId="20" xfId="1" applyFont="1" applyBorder="1" applyAlignment="1" applyProtection="1">
      <alignment horizontal="left"/>
      <protection locked="0"/>
    </xf>
    <xf numFmtId="0" fontId="8" fillId="0" borderId="8" xfId="1" applyFont="1" applyBorder="1" applyAlignment="1" applyProtection="1">
      <alignment horizontal="left"/>
      <protection locked="0"/>
    </xf>
    <xf numFmtId="0" fontId="13" fillId="0" borderId="3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14" fontId="13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9" fillId="0" borderId="7" xfId="1" applyFont="1" applyBorder="1" applyAlignment="1" applyProtection="1">
      <alignment horizontal="left" vertical="top" wrapText="1"/>
      <protection locked="0"/>
    </xf>
    <xf numFmtId="0" fontId="9" fillId="0" borderId="8" xfId="1" applyFont="1" applyBorder="1" applyAlignment="1" applyProtection="1">
      <alignment horizontal="left" vertical="top" wrapText="1"/>
      <protection locked="0"/>
    </xf>
    <xf numFmtId="0" fontId="9" fillId="0" borderId="7" xfId="1" applyFont="1" applyBorder="1" applyAlignment="1" applyProtection="1">
      <alignment horizontal="left" vertical="top"/>
      <protection locked="0"/>
    </xf>
    <xf numFmtId="0" fontId="9" fillId="0" borderId="8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14" fillId="0" borderId="7" xfId="0" applyNumberFormat="1" applyFont="1" applyBorder="1" applyAlignment="1" applyProtection="1">
      <alignment vertical="top" wrapText="1"/>
      <protection locked="0"/>
    </xf>
    <xf numFmtId="1" fontId="14" fillId="0" borderId="20" xfId="0" applyNumberFormat="1" applyFont="1" applyBorder="1" applyAlignment="1" applyProtection="1">
      <alignment vertical="top" wrapText="1"/>
      <protection locked="0"/>
    </xf>
    <xf numFmtId="1" fontId="14" fillId="0" borderId="8" xfId="0" applyNumberFormat="1" applyFont="1" applyBorder="1" applyAlignment="1" applyProtection="1">
      <alignment vertical="top" wrapText="1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9" fillId="0" borderId="20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0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26" Type="http://schemas.openxmlformats.org/officeDocument/2006/relationships/image" Target="../media/image24.jpeg"/><Relationship Id="rId3" Type="http://schemas.openxmlformats.org/officeDocument/2006/relationships/image" Target="../media/image3.png"/><Relationship Id="rId21" Type="http://schemas.openxmlformats.org/officeDocument/2006/relationships/image" Target="../media/image19.png"/><Relationship Id="rId7" Type="http://schemas.openxmlformats.org/officeDocument/2006/relationships/image" Target="../media/image6.png"/><Relationship Id="rId12" Type="http://schemas.openxmlformats.org/officeDocument/2006/relationships/image" Target="../media/image10.png"/><Relationship Id="rId17" Type="http://schemas.openxmlformats.org/officeDocument/2006/relationships/image" Target="../media/image15.jpg"/><Relationship Id="rId25" Type="http://schemas.openxmlformats.org/officeDocument/2006/relationships/image" Target="../media/image23.jpeg"/><Relationship Id="rId2" Type="http://schemas.openxmlformats.org/officeDocument/2006/relationships/image" Target="../media/image2.png"/><Relationship Id="rId16" Type="http://schemas.openxmlformats.org/officeDocument/2006/relationships/image" Target="../media/image14.jpg"/><Relationship Id="rId20" Type="http://schemas.openxmlformats.org/officeDocument/2006/relationships/image" Target="../media/image18.png"/><Relationship Id="rId29" Type="http://schemas.openxmlformats.org/officeDocument/2006/relationships/image" Target="../media/image27.jpe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11" Type="http://schemas.openxmlformats.org/officeDocument/2006/relationships/image" Target="../media/image9.png"/><Relationship Id="rId24" Type="http://schemas.openxmlformats.org/officeDocument/2006/relationships/image" Target="../media/image22.jpeg"/><Relationship Id="rId5" Type="http://schemas.openxmlformats.org/officeDocument/2006/relationships/image" Target="../media/image5.png"/><Relationship Id="rId15" Type="http://schemas.openxmlformats.org/officeDocument/2006/relationships/image" Target="../media/image13.jpg"/><Relationship Id="rId23" Type="http://schemas.openxmlformats.org/officeDocument/2006/relationships/image" Target="../media/image21.jpeg"/><Relationship Id="rId28" Type="http://schemas.openxmlformats.org/officeDocument/2006/relationships/image" Target="../media/image26.jpeg"/><Relationship Id="rId10" Type="http://schemas.openxmlformats.org/officeDocument/2006/relationships/image" Target="../media/image8.png"/><Relationship Id="rId19" Type="http://schemas.openxmlformats.org/officeDocument/2006/relationships/image" Target="../media/image17.jpeg"/><Relationship Id="rId4" Type="http://schemas.openxmlformats.org/officeDocument/2006/relationships/image" Target="../media/image4.png"/><Relationship Id="rId9" Type="http://schemas.openxmlformats.org/officeDocument/2006/relationships/image" Target="../media/image7.png"/><Relationship Id="rId14" Type="http://schemas.openxmlformats.org/officeDocument/2006/relationships/image" Target="../media/image12.png"/><Relationship Id="rId22" Type="http://schemas.openxmlformats.org/officeDocument/2006/relationships/image" Target="../media/image20.jpeg"/><Relationship Id="rId27" Type="http://schemas.openxmlformats.org/officeDocument/2006/relationships/image" Target="../media/image25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144604</xdr:colOff>
      <xdr:row>14</xdr:row>
      <xdr:rowOff>180202</xdr:rowOff>
    </xdr:from>
    <xdr:to>
      <xdr:col>17</xdr:col>
      <xdr:colOff>90251</xdr:colOff>
      <xdr:row>20</xdr:row>
      <xdr:rowOff>387344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6354" y="3171052"/>
          <a:ext cx="6956047" cy="1826392"/>
        </a:xfrm>
        <a:prstGeom prst="rect">
          <a:avLst/>
        </a:prstGeom>
      </xdr:spPr>
    </xdr:pic>
    <xdr:clientData/>
  </xdr:twoCellAnchor>
  <xdr:twoCellAnchor editAs="oneCell">
    <xdr:from>
      <xdr:col>8</xdr:col>
      <xdr:colOff>337705</xdr:colOff>
      <xdr:row>46</xdr:row>
      <xdr:rowOff>8659</xdr:rowOff>
    </xdr:from>
    <xdr:to>
      <xdr:col>13</xdr:col>
      <xdr:colOff>482906</xdr:colOff>
      <xdr:row>50</xdr:row>
      <xdr:rowOff>7071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10796" y="10191750"/>
          <a:ext cx="4258269" cy="1028844"/>
        </a:xfrm>
        <a:prstGeom prst="rect">
          <a:avLst/>
        </a:prstGeom>
      </xdr:spPr>
    </xdr:pic>
    <xdr:clientData/>
  </xdr:twoCellAnchor>
  <xdr:twoCellAnchor editAs="oneCell">
    <xdr:from>
      <xdr:col>11</xdr:col>
      <xdr:colOff>186358</xdr:colOff>
      <xdr:row>37</xdr:row>
      <xdr:rowOff>111064</xdr:rowOff>
    </xdr:from>
    <xdr:to>
      <xdr:col>21</xdr:col>
      <xdr:colOff>410973</xdr:colOff>
      <xdr:row>51</xdr:row>
      <xdr:rowOff>175948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81271" y="8683564"/>
          <a:ext cx="7074332" cy="3079754"/>
        </a:xfrm>
        <a:prstGeom prst="rect">
          <a:avLst/>
        </a:prstGeom>
      </xdr:spPr>
    </xdr:pic>
    <xdr:clientData/>
  </xdr:twoCellAnchor>
  <xdr:twoCellAnchor editAs="oneCell">
    <xdr:from>
      <xdr:col>10</xdr:col>
      <xdr:colOff>196791</xdr:colOff>
      <xdr:row>57</xdr:row>
      <xdr:rowOff>66921</xdr:rowOff>
    </xdr:from>
    <xdr:to>
      <xdr:col>22</xdr:col>
      <xdr:colOff>103555</xdr:colOff>
      <xdr:row>62</xdr:row>
      <xdr:rowOff>691747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87682" y="13716660"/>
          <a:ext cx="8081699" cy="2090847"/>
        </a:xfrm>
        <a:prstGeom prst="rect">
          <a:avLst/>
        </a:prstGeom>
      </xdr:spPr>
    </xdr:pic>
    <xdr:clientData/>
  </xdr:twoCellAnchor>
  <xdr:twoCellAnchor editAs="oneCell">
    <xdr:from>
      <xdr:col>1</xdr:col>
      <xdr:colOff>490896</xdr:colOff>
      <xdr:row>516</xdr:row>
      <xdr:rowOff>190500</xdr:rowOff>
    </xdr:from>
    <xdr:to>
      <xdr:col>5</xdr:col>
      <xdr:colOff>409575</xdr:colOff>
      <xdr:row>533</xdr:row>
      <xdr:rowOff>61188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96" y="107099100"/>
          <a:ext cx="3328629" cy="327111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390525</xdr:colOff>
      <xdr:row>533</xdr:row>
      <xdr:rowOff>176625</xdr:rowOff>
    </xdr:from>
    <xdr:to>
      <xdr:col>7</xdr:col>
      <xdr:colOff>38100</xdr:colOff>
      <xdr:row>556</xdr:row>
      <xdr:rowOff>160020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pSpPr/>
      </xdr:nvGrpSpPr>
      <xdr:grpSpPr>
        <a:xfrm>
          <a:off x="390525" y="112200150"/>
          <a:ext cx="5381625" cy="4583970"/>
          <a:chOff x="495300" y="55297800"/>
          <a:chExt cx="5426322" cy="4766849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email">
            <a:extLst>
              <a:ext uri="{BEBA8EAE-BF5A-486C-A8C5-ECC9F3942E4B}">
                <a14:imgProps xmlns:a14="http://schemas.microsoft.com/office/drawing/2010/main">
                  <a14:imgLayer r:embed="rId8"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5300" y="55297800"/>
            <a:ext cx="5426322" cy="476684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/>
        </xdr:nvSpPr>
        <xdr:spPr>
          <a:xfrm>
            <a:off x="2676525" y="56026050"/>
            <a:ext cx="1371600" cy="742950"/>
          </a:xfrm>
          <a:prstGeom prst="rect">
            <a:avLst/>
          </a:prstGeom>
          <a:noFill/>
          <a:ln w="381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SpPr/>
        </xdr:nvSpPr>
        <xdr:spPr>
          <a:xfrm>
            <a:off x="2695575" y="58226325"/>
            <a:ext cx="1371600" cy="714375"/>
          </a:xfrm>
          <a:prstGeom prst="rect">
            <a:avLst/>
          </a:prstGeom>
          <a:noFill/>
          <a:ln w="381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xmlns="" id="{00000000-0008-0000-0000-000017000000}"/>
              </a:ext>
            </a:extLst>
          </xdr:cNvPr>
          <xdr:cNvSpPr/>
        </xdr:nvSpPr>
        <xdr:spPr>
          <a:xfrm rot="5400000">
            <a:off x="2309813" y="57192863"/>
            <a:ext cx="1357312" cy="595312"/>
          </a:xfrm>
          <a:prstGeom prst="rect">
            <a:avLst/>
          </a:prstGeom>
          <a:noFill/>
          <a:ln w="381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xmlns="" id="{00000000-0008-0000-0000-000018000000}"/>
              </a:ext>
            </a:extLst>
          </xdr:cNvPr>
          <xdr:cNvSpPr/>
        </xdr:nvSpPr>
        <xdr:spPr>
          <a:xfrm>
            <a:off x="2438400" y="55759350"/>
            <a:ext cx="1943100" cy="254493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>
                <a:solidFill>
                  <a:srgbClr val="C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Sale Building</a:t>
            </a:r>
            <a:r>
              <a:rPr lang="en-IN" sz="1100" b="1" baseline="0">
                <a:solidFill>
                  <a:srgbClr val="C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No.1 (Wing A)</a:t>
            </a:r>
            <a:endParaRPr lang="en-IN" sz="1100" b="1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SpPr/>
        </xdr:nvSpPr>
        <xdr:spPr>
          <a:xfrm rot="16200000">
            <a:off x="1849193" y="57240487"/>
            <a:ext cx="1355972" cy="451098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100" b="1">
                <a:solidFill>
                  <a:srgbClr val="C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Sale Building</a:t>
            </a:r>
            <a:r>
              <a:rPr lang="en-IN" sz="1100" b="1" baseline="0">
                <a:solidFill>
                  <a:srgbClr val="C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No.1 (Wing B)</a:t>
            </a:r>
            <a:endParaRPr lang="en-IN" sz="1100" b="1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SpPr/>
        </xdr:nvSpPr>
        <xdr:spPr>
          <a:xfrm>
            <a:off x="2409825" y="58912125"/>
            <a:ext cx="1943100" cy="254493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>
                <a:solidFill>
                  <a:srgbClr val="C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Sale Building</a:t>
            </a:r>
            <a:r>
              <a:rPr lang="en-IN" sz="1100" b="1" baseline="0">
                <a:solidFill>
                  <a:srgbClr val="C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No.1 (Wing C)</a:t>
            </a:r>
            <a:endParaRPr lang="en-IN" sz="1100" b="1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10</xdr:col>
      <xdr:colOff>609600</xdr:colOff>
      <xdr:row>240</xdr:row>
      <xdr:rowOff>19050</xdr:rowOff>
    </xdr:from>
    <xdr:to>
      <xdr:col>14</xdr:col>
      <xdr:colOff>257550</xdr:colOff>
      <xdr:row>263</xdr:row>
      <xdr:rowOff>162587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915400" y="48710850"/>
          <a:ext cx="2686425" cy="4744112"/>
        </a:xfrm>
        <a:prstGeom prst="rect">
          <a:avLst/>
        </a:prstGeom>
      </xdr:spPr>
    </xdr:pic>
    <xdr:clientData/>
  </xdr:twoCellAnchor>
  <xdr:twoCellAnchor editAs="oneCell">
    <xdr:from>
      <xdr:col>14</xdr:col>
      <xdr:colOff>257175</xdr:colOff>
      <xdr:row>229</xdr:row>
      <xdr:rowOff>142875</xdr:rowOff>
    </xdr:from>
    <xdr:to>
      <xdr:col>18</xdr:col>
      <xdr:colOff>400441</xdr:colOff>
      <xdr:row>240</xdr:row>
      <xdr:rowOff>28921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601450" y="46234350"/>
          <a:ext cx="2800741" cy="2486371"/>
        </a:xfrm>
        <a:prstGeom prst="rect">
          <a:avLst/>
        </a:prstGeom>
      </xdr:spPr>
    </xdr:pic>
    <xdr:clientData/>
  </xdr:twoCellAnchor>
  <xdr:twoCellAnchor editAs="oneCell">
    <xdr:from>
      <xdr:col>8</xdr:col>
      <xdr:colOff>254212</xdr:colOff>
      <xdr:row>138</xdr:row>
      <xdr:rowOff>40140</xdr:rowOff>
    </xdr:from>
    <xdr:to>
      <xdr:col>14</xdr:col>
      <xdr:colOff>435904</xdr:colOff>
      <xdr:row>143</xdr:row>
      <xdr:rowOff>159851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643289" y="29955967"/>
          <a:ext cx="5142019" cy="1108846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133</xdr:row>
      <xdr:rowOff>19050</xdr:rowOff>
    </xdr:from>
    <xdr:to>
      <xdr:col>15</xdr:col>
      <xdr:colOff>75159</xdr:colOff>
      <xdr:row>136</xdr:row>
      <xdr:rowOff>137177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658100" y="29127450"/>
          <a:ext cx="4418559" cy="718202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590551</xdr:colOff>
      <xdr:row>559</xdr:row>
      <xdr:rowOff>114300</xdr:rowOff>
    </xdr:from>
    <xdr:to>
      <xdr:col>6</xdr:col>
      <xdr:colOff>685801</xdr:colOff>
      <xdr:row>576</xdr:row>
      <xdr:rowOff>153024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t="13496" r="1852"/>
        <a:stretch/>
      </xdr:blipFill>
      <xdr:spPr>
        <a:xfrm>
          <a:off x="590551" y="116024025"/>
          <a:ext cx="5048250" cy="343915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0</xdr:col>
      <xdr:colOff>308527</xdr:colOff>
      <xdr:row>577</xdr:row>
      <xdr:rowOff>114999</xdr:rowOff>
    </xdr:from>
    <xdr:to>
      <xdr:col>7</xdr:col>
      <xdr:colOff>242266</xdr:colOff>
      <xdr:row>597</xdr:row>
      <xdr:rowOff>192041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pSpPr/>
      </xdr:nvGrpSpPr>
      <xdr:grpSpPr>
        <a:xfrm>
          <a:off x="308527" y="120939624"/>
          <a:ext cx="5667789" cy="4077542"/>
          <a:chOff x="299002" y="119806149"/>
          <a:chExt cx="5667789" cy="4077542"/>
        </a:xfrm>
      </xdr:grpSpPr>
      <xdr:pic>
        <xdr:nvPicPr>
          <xdr:cNvPr id="32" name="Picture 31">
            <a:extLst>
              <a:ext uri="{FF2B5EF4-FFF2-40B4-BE49-F238E27FC236}">
                <a16:creationId xmlns:a16="http://schemas.microsoft.com/office/drawing/2014/main" xmlns="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299002" y="119806149"/>
            <a:ext cx="5667789" cy="4077542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34" name="Rectangle 33">
            <a:extLst>
              <a:ext uri="{FF2B5EF4-FFF2-40B4-BE49-F238E27FC236}">
                <a16:creationId xmlns:a16="http://schemas.microsoft.com/office/drawing/2014/main" xmlns="" id="{00000000-0008-0000-0000-000022000000}"/>
              </a:ext>
            </a:extLst>
          </xdr:cNvPr>
          <xdr:cNvSpPr/>
        </xdr:nvSpPr>
        <xdr:spPr>
          <a:xfrm rot="620987">
            <a:off x="2062312" y="121242014"/>
            <a:ext cx="1098151" cy="2134592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2</xdr:col>
      <xdr:colOff>397019</xdr:colOff>
      <xdr:row>589</xdr:row>
      <xdr:rowOff>36858</xdr:rowOff>
    </xdr:from>
    <xdr:to>
      <xdr:col>3</xdr:col>
      <xdr:colOff>846270</xdr:colOff>
      <xdr:row>590</xdr:row>
      <xdr:rowOff>141808</xdr:rowOff>
    </xdr:to>
    <xdr:sp macro="" textlink="">
      <xdr:nvSpPr>
        <xdr:cNvPr id="36" name="TextBox 12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 rot="411603">
          <a:off x="1959119" y="122147358"/>
          <a:ext cx="1296976" cy="304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1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Roswalt Zaidan Wing A, B &amp; C</a:t>
          </a:r>
        </a:p>
      </xdr:txBody>
    </xdr:sp>
    <xdr:clientData/>
  </xdr:twoCellAnchor>
  <xdr:twoCellAnchor>
    <xdr:from>
      <xdr:col>13</xdr:col>
      <xdr:colOff>711476</xdr:colOff>
      <xdr:row>478</xdr:row>
      <xdr:rowOff>14909</xdr:rowOff>
    </xdr:from>
    <xdr:to>
      <xdr:col>14</xdr:col>
      <xdr:colOff>654658</xdr:colOff>
      <xdr:row>479</xdr:row>
      <xdr:rowOff>112442</xdr:rowOff>
    </xdr:to>
    <xdr:sp macro="" textlink="">
      <xdr:nvSpPr>
        <xdr:cNvPr id="44" name="TextBox 35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/>
      </xdr:nvSpPr>
      <xdr:spPr>
        <a:xfrm>
          <a:off x="11531876" y="99664631"/>
          <a:ext cx="804573" cy="29631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Wing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A</a:t>
          </a:r>
          <a:endParaRPr lang="en-IN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91606</xdr:colOff>
      <xdr:row>475</xdr:row>
      <xdr:rowOff>83489</xdr:rowOff>
    </xdr:from>
    <xdr:to>
      <xdr:col>11</xdr:col>
      <xdr:colOff>171616</xdr:colOff>
      <xdr:row>476</xdr:row>
      <xdr:rowOff>181021</xdr:rowOff>
    </xdr:to>
    <xdr:sp macro="" textlink="">
      <xdr:nvSpPr>
        <xdr:cNvPr id="41" name="TextBox 35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/>
      </xdr:nvSpPr>
      <xdr:spPr>
        <a:xfrm>
          <a:off x="8659136" y="99136863"/>
          <a:ext cx="802254" cy="29631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Wing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A</a:t>
          </a:r>
          <a:endParaRPr lang="en-IN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815008</xdr:colOff>
      <xdr:row>476</xdr:row>
      <xdr:rowOff>17807</xdr:rowOff>
    </xdr:from>
    <xdr:to>
      <xdr:col>16</xdr:col>
      <xdr:colOff>141177</xdr:colOff>
      <xdr:row>505</xdr:row>
      <xdr:rowOff>84571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3FAFE185-A853-31CF-9F40-8AF2211745C8}"/>
            </a:ext>
          </a:extLst>
        </xdr:cNvPr>
        <xdr:cNvGrpSpPr/>
      </xdr:nvGrpSpPr>
      <xdr:grpSpPr>
        <a:xfrm>
          <a:off x="7196758" y="100639907"/>
          <a:ext cx="5707919" cy="5867489"/>
          <a:chOff x="177755" y="231621"/>
          <a:chExt cx="5890965" cy="5831459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xmlns="" id="{2F373ACF-4B2D-7919-3C42-48D7EDAC7DB6}"/>
              </a:ext>
            </a:extLst>
          </xdr:cNvPr>
          <xdr:cNvGrpSpPr/>
        </xdr:nvGrpSpPr>
        <xdr:grpSpPr>
          <a:xfrm>
            <a:off x="177755" y="231621"/>
            <a:ext cx="5890965" cy="3845342"/>
            <a:chOff x="177755" y="231621"/>
            <a:chExt cx="5890965" cy="3845342"/>
          </a:xfrm>
        </xdr:grpSpPr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xmlns="" id="{B967725F-1A3E-9EEE-D8A9-4C8B0FD76BE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7755" y="231622"/>
              <a:ext cx="2880000" cy="3845341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xmlns="" id="{AB58FB20-BC33-F80A-4782-BEA58FDFF88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188720" y="231621"/>
              <a:ext cx="2880000" cy="3845341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1" name="Group 10">
            <a:extLst>
              <a:ext uri="{FF2B5EF4-FFF2-40B4-BE49-F238E27FC236}">
                <a16:creationId xmlns:a16="http://schemas.microsoft.com/office/drawing/2014/main" xmlns="" id="{B17457B6-D6CB-7F94-7140-D8A13FEA1C43}"/>
              </a:ext>
            </a:extLst>
          </xdr:cNvPr>
          <xdr:cNvGrpSpPr/>
        </xdr:nvGrpSpPr>
        <xdr:grpSpPr>
          <a:xfrm>
            <a:off x="445814" y="4263080"/>
            <a:ext cx="5354846" cy="1800000"/>
            <a:chOff x="661089" y="4263080"/>
            <a:chExt cx="5354846" cy="1800000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xmlns="" id="{797F8A1A-4677-CCE7-DFCE-A1DF8ED842B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61089" y="4263080"/>
              <a:ext cx="23966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xmlns="" id="{7737E415-4E24-DE24-0920-C3A612C665D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188720" y="4263080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xmlns="" id="{C26A0025-CC31-A273-48C8-C77369DB3F6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667810" y="4263080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12" name="TextBox 17">
            <a:extLst>
              <a:ext uri="{FF2B5EF4-FFF2-40B4-BE49-F238E27FC236}">
                <a16:creationId xmlns:a16="http://schemas.microsoft.com/office/drawing/2014/main" xmlns="" id="{31F10E1B-8A6C-D4B6-D387-AE740F8AFDD3}"/>
              </a:ext>
            </a:extLst>
          </xdr:cNvPr>
          <xdr:cNvSpPr txBox="1"/>
        </xdr:nvSpPr>
        <xdr:spPr>
          <a:xfrm>
            <a:off x="4925099" y="448962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A</a:t>
            </a:r>
            <a:endParaRPr lang="en-IN" b="1"/>
          </a:p>
        </xdr:txBody>
      </xdr:sp>
      <xdr:sp macro="" textlink="">
        <xdr:nvSpPr>
          <xdr:cNvPr id="13" name="TextBox 18">
            <a:extLst>
              <a:ext uri="{FF2B5EF4-FFF2-40B4-BE49-F238E27FC236}">
                <a16:creationId xmlns:a16="http://schemas.microsoft.com/office/drawing/2014/main" xmlns="" id="{58A85108-EC0D-ED48-D2F1-938339C54516}"/>
              </a:ext>
            </a:extLst>
          </xdr:cNvPr>
          <xdr:cNvSpPr txBox="1"/>
        </xdr:nvSpPr>
        <xdr:spPr>
          <a:xfrm>
            <a:off x="584765" y="448962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A</a:t>
            </a:r>
            <a:endParaRPr lang="en-IN" b="1"/>
          </a:p>
        </xdr:txBody>
      </xdr:sp>
    </xdr:grpSp>
    <xdr:clientData/>
  </xdr:twoCellAnchor>
  <xdr:twoCellAnchor editAs="oneCell">
    <xdr:from>
      <xdr:col>8</xdr:col>
      <xdr:colOff>625175</xdr:colOff>
      <xdr:row>39</xdr:row>
      <xdr:rowOff>47211</xdr:rowOff>
    </xdr:from>
    <xdr:to>
      <xdr:col>15</xdr:col>
      <xdr:colOff>193863</xdr:colOff>
      <xdr:row>52</xdr:row>
      <xdr:rowOff>184963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006925" y="9057861"/>
          <a:ext cx="5169388" cy="3776302"/>
        </a:xfrm>
        <a:prstGeom prst="rect">
          <a:avLst/>
        </a:prstGeom>
      </xdr:spPr>
    </xdr:pic>
    <xdr:clientData/>
  </xdr:twoCellAnchor>
  <xdr:oneCellAnchor>
    <xdr:from>
      <xdr:col>9</xdr:col>
      <xdr:colOff>525569</xdr:colOff>
      <xdr:row>53</xdr:row>
      <xdr:rowOff>86967</xdr:rowOff>
    </xdr:from>
    <xdr:ext cx="7256694" cy="542625"/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054460" y="12502597"/>
          <a:ext cx="7256694" cy="542625"/>
        </a:xfrm>
        <a:prstGeom prst="rect">
          <a:avLst/>
        </a:prstGeom>
      </xdr:spPr>
    </xdr:pic>
    <xdr:clientData/>
  </xdr:oneCellAnchor>
  <xdr:twoCellAnchor>
    <xdr:from>
      <xdr:col>0</xdr:col>
      <xdr:colOff>209550</xdr:colOff>
      <xdr:row>475</xdr:row>
      <xdr:rowOff>57150</xdr:rowOff>
    </xdr:from>
    <xdr:to>
      <xdr:col>7</xdr:col>
      <xdr:colOff>247649</xdr:colOff>
      <xdr:row>515</xdr:row>
      <xdr:rowOff>54974</xdr:rowOff>
    </xdr:to>
    <xdr:grpSp>
      <xdr:nvGrpSpPr>
        <xdr:cNvPr id="3" name="Group 2"/>
        <xdr:cNvGrpSpPr/>
      </xdr:nvGrpSpPr>
      <xdr:grpSpPr>
        <a:xfrm>
          <a:off x="209550" y="100479225"/>
          <a:ext cx="5772149" cy="7998824"/>
          <a:chOff x="209550" y="100688775"/>
          <a:chExt cx="5772149" cy="7998824"/>
        </a:xfrm>
      </xdr:grpSpPr>
      <xdr:pic>
        <xdr:nvPicPr>
          <xdr:cNvPr id="45" name="Picture 44" descr="https://vsjcllp.vsjadon.com/upload/insp-246616-1525.jpeg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05250" y="106756199"/>
            <a:ext cx="1441406" cy="19218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45" descr="https://vsjcllp.vsjadon.com/upload/insp-246616-843.jpeg"/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47725" y="106765724"/>
            <a:ext cx="1441406" cy="19218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7" name="Picture 46" descr="https://vsjcllp.vsjadon.com/upload/insp-246616-845.jpeg"/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14800" y="104203499"/>
            <a:ext cx="1866899" cy="248919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8" name="Picture 47" descr="https://vsjcllp.vsjadon.com/upload/insp-246616-846.jpeg"/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90775" y="106765724"/>
            <a:ext cx="1441406" cy="19218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Picture 48" descr="https://vsjcllp.vsjadon.com/upload/insp-246616-844.jpeg"/>
          <xdr:cNvPicPr>
            <a:picLocks noChangeAspect="1" noChangeArrowheads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52650" y="104203499"/>
            <a:ext cx="1866899" cy="248919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0" name="Picture 49" descr="https://vsjcllp.vsjadon.com/upload/insp-246616-849.jpeg"/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9550" y="104203499"/>
            <a:ext cx="1866899" cy="248919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1" name="Picture 50" descr="https://vsjcllp.vsjadon.com/upload/insp-246616-861.jpeg"/>
          <xdr:cNvPicPr>
            <a:picLocks noChangeAspect="1" noChangeArrowheads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8624" y="100688775"/>
            <a:ext cx="2581275" cy="34417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51" descr="https://vsjcllp.vsjadon.com/upload/insp-246616-862.jpeg"/>
          <xdr:cNvPicPr>
            <a:picLocks noChangeAspect="1" noChangeArrowheads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14674" y="100688775"/>
            <a:ext cx="2581275" cy="34417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housing.com/in/buy/projects/page/288619-roswalt-zaiden-by-roswalt-realty-in-jogeshwari-west" TargetMode="External"/><Relationship Id="rId1" Type="http://schemas.openxmlformats.org/officeDocument/2006/relationships/hyperlink" Target="https://maps.app.goo.gl/zky75EhVgAbic3rX6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X559"/>
  <sheetViews>
    <sheetView tabSelected="1" view="pageBreakPreview" zoomScaleNormal="100" zoomScaleSheetLayoutView="100" workbookViewId="0">
      <selection activeCell="L11" sqref="L11"/>
    </sheetView>
  </sheetViews>
  <sheetFormatPr defaultColWidth="9.28515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7109375" style="40" customWidth="1"/>
    <col min="5" max="7" width="11.7109375" style="40" customWidth="1"/>
    <col min="8" max="8" width="9.710937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7109375" style="21" customWidth="1"/>
    <col min="14" max="14" width="12.5703125" style="21" customWidth="1"/>
    <col min="15" max="15" width="9.7109375" style="21" customWidth="1"/>
    <col min="16" max="16" width="11.7109375" style="21" customWidth="1"/>
    <col min="17" max="247" width="9.28515625" style="21"/>
    <col min="248" max="248" width="8.7109375" style="21" customWidth="1"/>
    <col min="249" max="249" width="9.71093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7109375" style="21" customWidth="1"/>
    <col min="256" max="256" width="11.28515625" style="21" customWidth="1"/>
    <col min="257" max="257" width="2.7109375" style="21" customWidth="1"/>
    <col min="258" max="258" width="3.5703125" style="21" customWidth="1"/>
    <col min="259" max="503" width="9.28515625" style="21"/>
    <col min="504" max="504" width="8.7109375" style="21" customWidth="1"/>
    <col min="505" max="505" width="9.71093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7109375" style="21" customWidth="1"/>
    <col min="512" max="512" width="11.28515625" style="21" customWidth="1"/>
    <col min="513" max="513" width="2.7109375" style="21" customWidth="1"/>
    <col min="514" max="514" width="3.5703125" style="21" customWidth="1"/>
    <col min="515" max="759" width="9.28515625" style="21"/>
    <col min="760" max="760" width="8.7109375" style="21" customWidth="1"/>
    <col min="761" max="761" width="9.71093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7109375" style="21" customWidth="1"/>
    <col min="768" max="768" width="11.28515625" style="21" customWidth="1"/>
    <col min="769" max="769" width="2.7109375" style="21" customWidth="1"/>
    <col min="770" max="770" width="3.5703125" style="21" customWidth="1"/>
    <col min="771" max="1015" width="9.28515625" style="21"/>
    <col min="1016" max="1016" width="8.7109375" style="21" customWidth="1"/>
    <col min="1017" max="1017" width="9.71093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7109375" style="21" customWidth="1"/>
    <col min="1024" max="1024" width="11.28515625" style="21" customWidth="1"/>
    <col min="1025" max="1025" width="2.7109375" style="21" customWidth="1"/>
    <col min="1026" max="1026" width="3.5703125" style="21" customWidth="1"/>
    <col min="1027" max="1271" width="9.28515625" style="21"/>
    <col min="1272" max="1272" width="8.7109375" style="21" customWidth="1"/>
    <col min="1273" max="1273" width="9.71093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7109375" style="21" customWidth="1"/>
    <col min="1280" max="1280" width="11.28515625" style="21" customWidth="1"/>
    <col min="1281" max="1281" width="2.7109375" style="21" customWidth="1"/>
    <col min="1282" max="1282" width="3.5703125" style="21" customWidth="1"/>
    <col min="1283" max="1527" width="9.28515625" style="21"/>
    <col min="1528" max="1528" width="8.7109375" style="21" customWidth="1"/>
    <col min="1529" max="1529" width="9.71093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7109375" style="21" customWidth="1"/>
    <col min="1536" max="1536" width="11.28515625" style="21" customWidth="1"/>
    <col min="1537" max="1537" width="2.7109375" style="21" customWidth="1"/>
    <col min="1538" max="1538" width="3.5703125" style="21" customWidth="1"/>
    <col min="1539" max="1783" width="9.28515625" style="21"/>
    <col min="1784" max="1784" width="8.7109375" style="21" customWidth="1"/>
    <col min="1785" max="1785" width="9.71093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7109375" style="21" customWidth="1"/>
    <col min="1792" max="1792" width="11.28515625" style="21" customWidth="1"/>
    <col min="1793" max="1793" width="2.7109375" style="21" customWidth="1"/>
    <col min="1794" max="1794" width="3.5703125" style="21" customWidth="1"/>
    <col min="1795" max="2039" width="9.28515625" style="21"/>
    <col min="2040" max="2040" width="8.7109375" style="21" customWidth="1"/>
    <col min="2041" max="2041" width="9.71093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7109375" style="21" customWidth="1"/>
    <col min="2048" max="2048" width="11.28515625" style="21" customWidth="1"/>
    <col min="2049" max="2049" width="2.7109375" style="21" customWidth="1"/>
    <col min="2050" max="2050" width="3.5703125" style="21" customWidth="1"/>
    <col min="2051" max="2295" width="9.28515625" style="21"/>
    <col min="2296" max="2296" width="8.7109375" style="21" customWidth="1"/>
    <col min="2297" max="2297" width="9.71093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7109375" style="21" customWidth="1"/>
    <col min="2304" max="2304" width="11.28515625" style="21" customWidth="1"/>
    <col min="2305" max="2305" width="2.7109375" style="21" customWidth="1"/>
    <col min="2306" max="2306" width="3.5703125" style="21" customWidth="1"/>
    <col min="2307" max="2551" width="9.28515625" style="21"/>
    <col min="2552" max="2552" width="8.7109375" style="21" customWidth="1"/>
    <col min="2553" max="2553" width="9.71093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7109375" style="21" customWidth="1"/>
    <col min="2560" max="2560" width="11.28515625" style="21" customWidth="1"/>
    <col min="2561" max="2561" width="2.7109375" style="21" customWidth="1"/>
    <col min="2562" max="2562" width="3.5703125" style="21" customWidth="1"/>
    <col min="2563" max="2807" width="9.28515625" style="21"/>
    <col min="2808" max="2808" width="8.7109375" style="21" customWidth="1"/>
    <col min="2809" max="2809" width="9.71093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7109375" style="21" customWidth="1"/>
    <col min="2816" max="2816" width="11.28515625" style="21" customWidth="1"/>
    <col min="2817" max="2817" width="2.7109375" style="21" customWidth="1"/>
    <col min="2818" max="2818" width="3.5703125" style="21" customWidth="1"/>
    <col min="2819" max="3063" width="9.28515625" style="21"/>
    <col min="3064" max="3064" width="8.7109375" style="21" customWidth="1"/>
    <col min="3065" max="3065" width="9.71093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7109375" style="21" customWidth="1"/>
    <col min="3072" max="3072" width="11.28515625" style="21" customWidth="1"/>
    <col min="3073" max="3073" width="2.7109375" style="21" customWidth="1"/>
    <col min="3074" max="3074" width="3.5703125" style="21" customWidth="1"/>
    <col min="3075" max="3319" width="9.28515625" style="21"/>
    <col min="3320" max="3320" width="8.7109375" style="21" customWidth="1"/>
    <col min="3321" max="3321" width="9.71093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7109375" style="21" customWidth="1"/>
    <col min="3328" max="3328" width="11.28515625" style="21" customWidth="1"/>
    <col min="3329" max="3329" width="2.7109375" style="21" customWidth="1"/>
    <col min="3330" max="3330" width="3.5703125" style="21" customWidth="1"/>
    <col min="3331" max="3575" width="9.28515625" style="21"/>
    <col min="3576" max="3576" width="8.7109375" style="21" customWidth="1"/>
    <col min="3577" max="3577" width="9.71093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7109375" style="21" customWidth="1"/>
    <col min="3584" max="3584" width="11.28515625" style="21" customWidth="1"/>
    <col min="3585" max="3585" width="2.7109375" style="21" customWidth="1"/>
    <col min="3586" max="3586" width="3.5703125" style="21" customWidth="1"/>
    <col min="3587" max="3831" width="9.28515625" style="21"/>
    <col min="3832" max="3832" width="8.7109375" style="21" customWidth="1"/>
    <col min="3833" max="3833" width="9.71093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7109375" style="21" customWidth="1"/>
    <col min="3840" max="3840" width="11.28515625" style="21" customWidth="1"/>
    <col min="3841" max="3841" width="2.7109375" style="21" customWidth="1"/>
    <col min="3842" max="3842" width="3.5703125" style="21" customWidth="1"/>
    <col min="3843" max="4087" width="9.28515625" style="21"/>
    <col min="4088" max="4088" width="8.7109375" style="21" customWidth="1"/>
    <col min="4089" max="4089" width="9.71093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7109375" style="21" customWidth="1"/>
    <col min="4096" max="4096" width="11.28515625" style="21" customWidth="1"/>
    <col min="4097" max="4097" width="2.7109375" style="21" customWidth="1"/>
    <col min="4098" max="4098" width="3.5703125" style="21" customWidth="1"/>
    <col min="4099" max="4343" width="9.28515625" style="21"/>
    <col min="4344" max="4344" width="8.7109375" style="21" customWidth="1"/>
    <col min="4345" max="4345" width="9.71093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7109375" style="21" customWidth="1"/>
    <col min="4352" max="4352" width="11.28515625" style="21" customWidth="1"/>
    <col min="4353" max="4353" width="2.7109375" style="21" customWidth="1"/>
    <col min="4354" max="4354" width="3.5703125" style="21" customWidth="1"/>
    <col min="4355" max="4599" width="9.28515625" style="21"/>
    <col min="4600" max="4600" width="8.7109375" style="21" customWidth="1"/>
    <col min="4601" max="4601" width="9.71093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7109375" style="21" customWidth="1"/>
    <col min="4608" max="4608" width="11.28515625" style="21" customWidth="1"/>
    <col min="4609" max="4609" width="2.7109375" style="21" customWidth="1"/>
    <col min="4610" max="4610" width="3.5703125" style="21" customWidth="1"/>
    <col min="4611" max="4855" width="9.28515625" style="21"/>
    <col min="4856" max="4856" width="8.7109375" style="21" customWidth="1"/>
    <col min="4857" max="4857" width="9.71093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7109375" style="21" customWidth="1"/>
    <col min="4864" max="4864" width="11.28515625" style="21" customWidth="1"/>
    <col min="4865" max="4865" width="2.7109375" style="21" customWidth="1"/>
    <col min="4866" max="4866" width="3.5703125" style="21" customWidth="1"/>
    <col min="4867" max="5111" width="9.28515625" style="21"/>
    <col min="5112" max="5112" width="8.7109375" style="21" customWidth="1"/>
    <col min="5113" max="5113" width="9.71093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7109375" style="21" customWidth="1"/>
    <col min="5120" max="5120" width="11.28515625" style="21" customWidth="1"/>
    <col min="5121" max="5121" width="2.7109375" style="21" customWidth="1"/>
    <col min="5122" max="5122" width="3.5703125" style="21" customWidth="1"/>
    <col min="5123" max="5367" width="9.28515625" style="21"/>
    <col min="5368" max="5368" width="8.7109375" style="21" customWidth="1"/>
    <col min="5369" max="5369" width="9.71093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7109375" style="21" customWidth="1"/>
    <col min="5376" max="5376" width="11.28515625" style="21" customWidth="1"/>
    <col min="5377" max="5377" width="2.7109375" style="21" customWidth="1"/>
    <col min="5378" max="5378" width="3.5703125" style="21" customWidth="1"/>
    <col min="5379" max="5623" width="9.28515625" style="21"/>
    <col min="5624" max="5624" width="8.7109375" style="21" customWidth="1"/>
    <col min="5625" max="5625" width="9.71093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7109375" style="21" customWidth="1"/>
    <col min="5632" max="5632" width="11.28515625" style="21" customWidth="1"/>
    <col min="5633" max="5633" width="2.7109375" style="21" customWidth="1"/>
    <col min="5634" max="5634" width="3.5703125" style="21" customWidth="1"/>
    <col min="5635" max="5879" width="9.28515625" style="21"/>
    <col min="5880" max="5880" width="8.7109375" style="21" customWidth="1"/>
    <col min="5881" max="5881" width="9.71093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7109375" style="21" customWidth="1"/>
    <col min="5888" max="5888" width="11.28515625" style="21" customWidth="1"/>
    <col min="5889" max="5889" width="2.7109375" style="21" customWidth="1"/>
    <col min="5890" max="5890" width="3.5703125" style="21" customWidth="1"/>
    <col min="5891" max="6135" width="9.28515625" style="21"/>
    <col min="6136" max="6136" width="8.7109375" style="21" customWidth="1"/>
    <col min="6137" max="6137" width="9.71093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7109375" style="21" customWidth="1"/>
    <col min="6144" max="6144" width="11.28515625" style="21" customWidth="1"/>
    <col min="6145" max="6145" width="2.7109375" style="21" customWidth="1"/>
    <col min="6146" max="6146" width="3.5703125" style="21" customWidth="1"/>
    <col min="6147" max="6391" width="9.28515625" style="21"/>
    <col min="6392" max="6392" width="8.7109375" style="21" customWidth="1"/>
    <col min="6393" max="6393" width="9.71093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7109375" style="21" customWidth="1"/>
    <col min="6400" max="6400" width="11.28515625" style="21" customWidth="1"/>
    <col min="6401" max="6401" width="2.7109375" style="21" customWidth="1"/>
    <col min="6402" max="6402" width="3.5703125" style="21" customWidth="1"/>
    <col min="6403" max="6647" width="9.28515625" style="21"/>
    <col min="6648" max="6648" width="8.7109375" style="21" customWidth="1"/>
    <col min="6649" max="6649" width="9.71093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7109375" style="21" customWidth="1"/>
    <col min="6656" max="6656" width="11.28515625" style="21" customWidth="1"/>
    <col min="6657" max="6657" width="2.7109375" style="21" customWidth="1"/>
    <col min="6658" max="6658" width="3.5703125" style="21" customWidth="1"/>
    <col min="6659" max="6903" width="9.28515625" style="21"/>
    <col min="6904" max="6904" width="8.7109375" style="21" customWidth="1"/>
    <col min="6905" max="6905" width="9.71093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7109375" style="21" customWidth="1"/>
    <col min="6912" max="6912" width="11.28515625" style="21" customWidth="1"/>
    <col min="6913" max="6913" width="2.7109375" style="21" customWidth="1"/>
    <col min="6914" max="6914" width="3.5703125" style="21" customWidth="1"/>
    <col min="6915" max="7159" width="9.28515625" style="21"/>
    <col min="7160" max="7160" width="8.7109375" style="21" customWidth="1"/>
    <col min="7161" max="7161" width="9.71093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7109375" style="21" customWidth="1"/>
    <col min="7168" max="7168" width="11.28515625" style="21" customWidth="1"/>
    <col min="7169" max="7169" width="2.7109375" style="21" customWidth="1"/>
    <col min="7170" max="7170" width="3.5703125" style="21" customWidth="1"/>
    <col min="7171" max="7415" width="9.28515625" style="21"/>
    <col min="7416" max="7416" width="8.7109375" style="21" customWidth="1"/>
    <col min="7417" max="7417" width="9.71093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7109375" style="21" customWidth="1"/>
    <col min="7424" max="7424" width="11.28515625" style="21" customWidth="1"/>
    <col min="7425" max="7425" width="2.7109375" style="21" customWidth="1"/>
    <col min="7426" max="7426" width="3.5703125" style="21" customWidth="1"/>
    <col min="7427" max="7671" width="9.28515625" style="21"/>
    <col min="7672" max="7672" width="8.7109375" style="21" customWidth="1"/>
    <col min="7673" max="7673" width="9.71093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7109375" style="21" customWidth="1"/>
    <col min="7680" max="7680" width="11.28515625" style="21" customWidth="1"/>
    <col min="7681" max="7681" width="2.7109375" style="21" customWidth="1"/>
    <col min="7682" max="7682" width="3.5703125" style="21" customWidth="1"/>
    <col min="7683" max="7927" width="9.28515625" style="21"/>
    <col min="7928" max="7928" width="8.7109375" style="21" customWidth="1"/>
    <col min="7929" max="7929" width="9.71093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7109375" style="21" customWidth="1"/>
    <col min="7936" max="7936" width="11.28515625" style="21" customWidth="1"/>
    <col min="7937" max="7937" width="2.7109375" style="21" customWidth="1"/>
    <col min="7938" max="7938" width="3.5703125" style="21" customWidth="1"/>
    <col min="7939" max="8183" width="9.28515625" style="21"/>
    <col min="8184" max="8184" width="8.7109375" style="21" customWidth="1"/>
    <col min="8185" max="8185" width="9.71093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7109375" style="21" customWidth="1"/>
    <col min="8192" max="8192" width="11.28515625" style="21" customWidth="1"/>
    <col min="8193" max="8193" width="2.7109375" style="21" customWidth="1"/>
    <col min="8194" max="8194" width="3.5703125" style="21" customWidth="1"/>
    <col min="8195" max="8439" width="9.28515625" style="21"/>
    <col min="8440" max="8440" width="8.7109375" style="21" customWidth="1"/>
    <col min="8441" max="8441" width="9.71093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7109375" style="21" customWidth="1"/>
    <col min="8448" max="8448" width="11.28515625" style="21" customWidth="1"/>
    <col min="8449" max="8449" width="2.7109375" style="21" customWidth="1"/>
    <col min="8450" max="8450" width="3.5703125" style="21" customWidth="1"/>
    <col min="8451" max="8695" width="9.28515625" style="21"/>
    <col min="8696" max="8696" width="8.7109375" style="21" customWidth="1"/>
    <col min="8697" max="8697" width="9.71093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7109375" style="21" customWidth="1"/>
    <col min="8704" max="8704" width="11.28515625" style="21" customWidth="1"/>
    <col min="8705" max="8705" width="2.7109375" style="21" customWidth="1"/>
    <col min="8706" max="8706" width="3.5703125" style="21" customWidth="1"/>
    <col min="8707" max="8951" width="9.28515625" style="21"/>
    <col min="8952" max="8952" width="8.7109375" style="21" customWidth="1"/>
    <col min="8953" max="8953" width="9.71093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7109375" style="21" customWidth="1"/>
    <col min="8960" max="8960" width="11.28515625" style="21" customWidth="1"/>
    <col min="8961" max="8961" width="2.7109375" style="21" customWidth="1"/>
    <col min="8962" max="8962" width="3.5703125" style="21" customWidth="1"/>
    <col min="8963" max="9207" width="9.28515625" style="21"/>
    <col min="9208" max="9208" width="8.7109375" style="21" customWidth="1"/>
    <col min="9209" max="9209" width="9.71093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7109375" style="21" customWidth="1"/>
    <col min="9216" max="9216" width="11.28515625" style="21" customWidth="1"/>
    <col min="9217" max="9217" width="2.7109375" style="21" customWidth="1"/>
    <col min="9218" max="9218" width="3.5703125" style="21" customWidth="1"/>
    <col min="9219" max="9463" width="9.28515625" style="21"/>
    <col min="9464" max="9464" width="8.7109375" style="21" customWidth="1"/>
    <col min="9465" max="9465" width="9.71093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7109375" style="21" customWidth="1"/>
    <col min="9472" max="9472" width="11.28515625" style="21" customWidth="1"/>
    <col min="9473" max="9473" width="2.7109375" style="21" customWidth="1"/>
    <col min="9474" max="9474" width="3.5703125" style="21" customWidth="1"/>
    <col min="9475" max="9719" width="9.28515625" style="21"/>
    <col min="9720" max="9720" width="8.7109375" style="21" customWidth="1"/>
    <col min="9721" max="9721" width="9.71093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7109375" style="21" customWidth="1"/>
    <col min="9728" max="9728" width="11.28515625" style="21" customWidth="1"/>
    <col min="9729" max="9729" width="2.7109375" style="21" customWidth="1"/>
    <col min="9730" max="9730" width="3.5703125" style="21" customWidth="1"/>
    <col min="9731" max="9975" width="9.28515625" style="21"/>
    <col min="9976" max="9976" width="8.7109375" style="21" customWidth="1"/>
    <col min="9977" max="9977" width="9.71093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7109375" style="21" customWidth="1"/>
    <col min="9984" max="9984" width="11.28515625" style="21" customWidth="1"/>
    <col min="9985" max="9985" width="2.7109375" style="21" customWidth="1"/>
    <col min="9986" max="9986" width="3.5703125" style="21" customWidth="1"/>
    <col min="9987" max="10231" width="9.28515625" style="21"/>
    <col min="10232" max="10232" width="8.7109375" style="21" customWidth="1"/>
    <col min="10233" max="10233" width="9.71093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7109375" style="21" customWidth="1"/>
    <col min="10240" max="10240" width="11.28515625" style="21" customWidth="1"/>
    <col min="10241" max="10241" width="2.7109375" style="21" customWidth="1"/>
    <col min="10242" max="10242" width="3.5703125" style="21" customWidth="1"/>
    <col min="10243" max="10487" width="9.28515625" style="21"/>
    <col min="10488" max="10488" width="8.7109375" style="21" customWidth="1"/>
    <col min="10489" max="10489" width="9.71093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7109375" style="21" customWidth="1"/>
    <col min="10496" max="10496" width="11.28515625" style="21" customWidth="1"/>
    <col min="10497" max="10497" width="2.7109375" style="21" customWidth="1"/>
    <col min="10498" max="10498" width="3.5703125" style="21" customWidth="1"/>
    <col min="10499" max="10743" width="9.28515625" style="21"/>
    <col min="10744" max="10744" width="8.7109375" style="21" customWidth="1"/>
    <col min="10745" max="10745" width="9.71093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7109375" style="21" customWidth="1"/>
    <col min="10752" max="10752" width="11.28515625" style="21" customWidth="1"/>
    <col min="10753" max="10753" width="2.7109375" style="21" customWidth="1"/>
    <col min="10754" max="10754" width="3.5703125" style="21" customWidth="1"/>
    <col min="10755" max="10999" width="9.28515625" style="21"/>
    <col min="11000" max="11000" width="8.7109375" style="21" customWidth="1"/>
    <col min="11001" max="11001" width="9.71093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7109375" style="21" customWidth="1"/>
    <col min="11008" max="11008" width="11.28515625" style="21" customWidth="1"/>
    <col min="11009" max="11009" width="2.7109375" style="21" customWidth="1"/>
    <col min="11010" max="11010" width="3.5703125" style="21" customWidth="1"/>
    <col min="11011" max="11255" width="9.28515625" style="21"/>
    <col min="11256" max="11256" width="8.7109375" style="21" customWidth="1"/>
    <col min="11257" max="11257" width="9.71093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7109375" style="21" customWidth="1"/>
    <col min="11264" max="11264" width="11.28515625" style="21" customWidth="1"/>
    <col min="11265" max="11265" width="2.7109375" style="21" customWidth="1"/>
    <col min="11266" max="11266" width="3.5703125" style="21" customWidth="1"/>
    <col min="11267" max="11511" width="9.28515625" style="21"/>
    <col min="11512" max="11512" width="8.7109375" style="21" customWidth="1"/>
    <col min="11513" max="11513" width="9.71093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7109375" style="21" customWidth="1"/>
    <col min="11520" max="11520" width="11.28515625" style="21" customWidth="1"/>
    <col min="11521" max="11521" width="2.7109375" style="21" customWidth="1"/>
    <col min="11522" max="11522" width="3.5703125" style="21" customWidth="1"/>
    <col min="11523" max="11767" width="9.28515625" style="21"/>
    <col min="11768" max="11768" width="8.7109375" style="21" customWidth="1"/>
    <col min="11769" max="11769" width="9.71093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7109375" style="21" customWidth="1"/>
    <col min="11776" max="11776" width="11.28515625" style="21" customWidth="1"/>
    <col min="11777" max="11777" width="2.7109375" style="21" customWidth="1"/>
    <col min="11778" max="11778" width="3.5703125" style="21" customWidth="1"/>
    <col min="11779" max="12023" width="9.28515625" style="21"/>
    <col min="12024" max="12024" width="8.7109375" style="21" customWidth="1"/>
    <col min="12025" max="12025" width="9.71093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7109375" style="21" customWidth="1"/>
    <col min="12032" max="12032" width="11.28515625" style="21" customWidth="1"/>
    <col min="12033" max="12033" width="2.7109375" style="21" customWidth="1"/>
    <col min="12034" max="12034" width="3.5703125" style="21" customWidth="1"/>
    <col min="12035" max="12279" width="9.28515625" style="21"/>
    <col min="12280" max="12280" width="8.7109375" style="21" customWidth="1"/>
    <col min="12281" max="12281" width="9.71093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7109375" style="21" customWidth="1"/>
    <col min="12288" max="12288" width="11.28515625" style="21" customWidth="1"/>
    <col min="12289" max="12289" width="2.7109375" style="21" customWidth="1"/>
    <col min="12290" max="12290" width="3.5703125" style="21" customWidth="1"/>
    <col min="12291" max="12535" width="9.28515625" style="21"/>
    <col min="12536" max="12536" width="8.7109375" style="21" customWidth="1"/>
    <col min="12537" max="12537" width="9.71093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7109375" style="21" customWidth="1"/>
    <col min="12544" max="12544" width="11.28515625" style="21" customWidth="1"/>
    <col min="12545" max="12545" width="2.7109375" style="21" customWidth="1"/>
    <col min="12546" max="12546" width="3.5703125" style="21" customWidth="1"/>
    <col min="12547" max="12791" width="9.28515625" style="21"/>
    <col min="12792" max="12792" width="8.7109375" style="21" customWidth="1"/>
    <col min="12793" max="12793" width="9.71093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7109375" style="21" customWidth="1"/>
    <col min="12800" max="12800" width="11.28515625" style="21" customWidth="1"/>
    <col min="12801" max="12801" width="2.7109375" style="21" customWidth="1"/>
    <col min="12802" max="12802" width="3.5703125" style="21" customWidth="1"/>
    <col min="12803" max="13047" width="9.28515625" style="21"/>
    <col min="13048" max="13048" width="8.7109375" style="21" customWidth="1"/>
    <col min="13049" max="13049" width="9.71093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7109375" style="21" customWidth="1"/>
    <col min="13056" max="13056" width="11.28515625" style="21" customWidth="1"/>
    <col min="13057" max="13057" width="2.7109375" style="21" customWidth="1"/>
    <col min="13058" max="13058" width="3.5703125" style="21" customWidth="1"/>
    <col min="13059" max="13303" width="9.28515625" style="21"/>
    <col min="13304" max="13304" width="8.7109375" style="21" customWidth="1"/>
    <col min="13305" max="13305" width="9.71093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7109375" style="21" customWidth="1"/>
    <col min="13312" max="13312" width="11.28515625" style="21" customWidth="1"/>
    <col min="13313" max="13313" width="2.7109375" style="21" customWidth="1"/>
    <col min="13314" max="13314" width="3.5703125" style="21" customWidth="1"/>
    <col min="13315" max="13559" width="9.28515625" style="21"/>
    <col min="13560" max="13560" width="8.7109375" style="21" customWidth="1"/>
    <col min="13561" max="13561" width="9.71093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7109375" style="21" customWidth="1"/>
    <col min="13568" max="13568" width="11.28515625" style="21" customWidth="1"/>
    <col min="13569" max="13569" width="2.7109375" style="21" customWidth="1"/>
    <col min="13570" max="13570" width="3.5703125" style="21" customWidth="1"/>
    <col min="13571" max="13815" width="9.28515625" style="21"/>
    <col min="13816" max="13816" width="8.7109375" style="21" customWidth="1"/>
    <col min="13817" max="13817" width="9.71093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7109375" style="21" customWidth="1"/>
    <col min="13824" max="13824" width="11.28515625" style="21" customWidth="1"/>
    <col min="13825" max="13825" width="2.7109375" style="21" customWidth="1"/>
    <col min="13826" max="13826" width="3.5703125" style="21" customWidth="1"/>
    <col min="13827" max="14071" width="9.28515625" style="21"/>
    <col min="14072" max="14072" width="8.7109375" style="21" customWidth="1"/>
    <col min="14073" max="14073" width="9.71093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7109375" style="21" customWidth="1"/>
    <col min="14080" max="14080" width="11.28515625" style="21" customWidth="1"/>
    <col min="14081" max="14081" width="2.7109375" style="21" customWidth="1"/>
    <col min="14082" max="14082" width="3.5703125" style="21" customWidth="1"/>
    <col min="14083" max="14327" width="9.28515625" style="21"/>
    <col min="14328" max="14328" width="8.7109375" style="21" customWidth="1"/>
    <col min="14329" max="14329" width="9.71093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7109375" style="21" customWidth="1"/>
    <col min="14336" max="14336" width="11.28515625" style="21" customWidth="1"/>
    <col min="14337" max="14337" width="2.7109375" style="21" customWidth="1"/>
    <col min="14338" max="14338" width="3.5703125" style="21" customWidth="1"/>
    <col min="14339" max="14583" width="9.28515625" style="21"/>
    <col min="14584" max="14584" width="8.7109375" style="21" customWidth="1"/>
    <col min="14585" max="14585" width="9.71093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7109375" style="21" customWidth="1"/>
    <col min="14592" max="14592" width="11.28515625" style="21" customWidth="1"/>
    <col min="14593" max="14593" width="2.7109375" style="21" customWidth="1"/>
    <col min="14594" max="14594" width="3.5703125" style="21" customWidth="1"/>
    <col min="14595" max="14839" width="9.28515625" style="21"/>
    <col min="14840" max="14840" width="8.7109375" style="21" customWidth="1"/>
    <col min="14841" max="14841" width="9.71093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7109375" style="21" customWidth="1"/>
    <col min="14848" max="14848" width="11.28515625" style="21" customWidth="1"/>
    <col min="14849" max="14849" width="2.7109375" style="21" customWidth="1"/>
    <col min="14850" max="14850" width="3.5703125" style="21" customWidth="1"/>
    <col min="14851" max="15095" width="9.28515625" style="21"/>
    <col min="15096" max="15096" width="8.7109375" style="21" customWidth="1"/>
    <col min="15097" max="15097" width="9.71093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7109375" style="21" customWidth="1"/>
    <col min="15104" max="15104" width="11.28515625" style="21" customWidth="1"/>
    <col min="15105" max="15105" width="2.7109375" style="21" customWidth="1"/>
    <col min="15106" max="15106" width="3.5703125" style="21" customWidth="1"/>
    <col min="15107" max="15351" width="9.28515625" style="21"/>
    <col min="15352" max="15352" width="8.7109375" style="21" customWidth="1"/>
    <col min="15353" max="15353" width="9.71093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7109375" style="21" customWidth="1"/>
    <col min="15360" max="15360" width="11.28515625" style="21" customWidth="1"/>
    <col min="15361" max="15361" width="2.7109375" style="21" customWidth="1"/>
    <col min="15362" max="15362" width="3.5703125" style="21" customWidth="1"/>
    <col min="15363" max="15607" width="9.28515625" style="21"/>
    <col min="15608" max="15608" width="8.7109375" style="21" customWidth="1"/>
    <col min="15609" max="15609" width="9.71093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7109375" style="21" customWidth="1"/>
    <col min="15616" max="15616" width="11.28515625" style="21" customWidth="1"/>
    <col min="15617" max="15617" width="2.7109375" style="21" customWidth="1"/>
    <col min="15618" max="15618" width="3.5703125" style="21" customWidth="1"/>
    <col min="15619" max="15863" width="9.28515625" style="21"/>
    <col min="15864" max="15864" width="8.7109375" style="21" customWidth="1"/>
    <col min="15865" max="15865" width="9.71093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7109375" style="21" customWidth="1"/>
    <col min="15872" max="15872" width="11.28515625" style="21" customWidth="1"/>
    <col min="15873" max="15873" width="2.7109375" style="21" customWidth="1"/>
    <col min="15874" max="15874" width="3.5703125" style="21" customWidth="1"/>
    <col min="15875" max="16119" width="9.28515625" style="21"/>
    <col min="16120" max="16120" width="8.7109375" style="21" customWidth="1"/>
    <col min="16121" max="16121" width="9.71093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7109375" style="21" customWidth="1"/>
    <col min="16128" max="16128" width="11.28515625" style="21" customWidth="1"/>
    <col min="16129" max="16129" width="2.7109375" style="21" customWidth="1"/>
    <col min="16130" max="16130" width="3.5703125" style="21" customWidth="1"/>
    <col min="16131" max="16384" width="9.28515625" style="21"/>
  </cols>
  <sheetData>
    <row r="1" spans="1:9" ht="46.5" customHeight="1" x14ac:dyDescent="0.25">
      <c r="A1" s="171" t="s">
        <v>180</v>
      </c>
      <c r="B1" s="171"/>
      <c r="C1" s="171"/>
      <c r="D1" s="171"/>
      <c r="E1" s="171"/>
      <c r="F1" s="171"/>
      <c r="G1" s="171"/>
      <c r="H1" s="171"/>
    </row>
    <row r="2" spans="1:9" ht="16.5" customHeight="1" x14ac:dyDescent="0.25">
      <c r="A2" s="162" t="s">
        <v>0</v>
      </c>
      <c r="B2" s="162"/>
      <c r="C2" s="162"/>
      <c r="D2" s="162"/>
      <c r="E2" s="162"/>
      <c r="F2" s="162"/>
      <c r="G2" s="162"/>
      <c r="H2" s="162"/>
    </row>
    <row r="3" spans="1:9" x14ac:dyDescent="0.25">
      <c r="A3" s="144" t="s">
        <v>1</v>
      </c>
      <c r="B3" s="144"/>
      <c r="C3" s="144"/>
      <c r="D3" s="144"/>
      <c r="E3" s="144" t="str">
        <f ca="1">TEXT(TODAY(),"DD/MM/YYYY")</f>
        <v>17/09/2025</v>
      </c>
      <c r="F3" s="144"/>
      <c r="G3" s="144"/>
      <c r="H3" s="144"/>
    </row>
    <row r="4" spans="1:9" x14ac:dyDescent="0.25">
      <c r="A4" s="144" t="s">
        <v>241</v>
      </c>
      <c r="B4" s="144"/>
      <c r="C4" s="144"/>
      <c r="D4" s="144"/>
      <c r="E4" s="172" t="s">
        <v>242</v>
      </c>
      <c r="F4" s="173"/>
      <c r="G4" s="173"/>
      <c r="H4" s="174"/>
    </row>
    <row r="5" spans="1:9" ht="15" customHeight="1" x14ac:dyDescent="0.25">
      <c r="A5" s="144" t="s">
        <v>2</v>
      </c>
      <c r="B5" s="144"/>
      <c r="C5" s="144"/>
      <c r="D5" s="144"/>
      <c r="E5" s="144" t="s">
        <v>168</v>
      </c>
      <c r="F5" s="144"/>
      <c r="G5" s="144"/>
      <c r="H5" s="144"/>
    </row>
    <row r="6" spans="1:9" x14ac:dyDescent="0.25">
      <c r="A6" s="144" t="s">
        <v>3</v>
      </c>
      <c r="B6" s="144"/>
      <c r="C6" s="144"/>
      <c r="D6" s="144"/>
      <c r="E6" s="170">
        <v>45908</v>
      </c>
      <c r="F6" s="144"/>
      <c r="G6" s="144"/>
      <c r="H6" s="144"/>
    </row>
    <row r="7" spans="1:9" ht="16.5" customHeight="1" x14ac:dyDescent="0.25">
      <c r="A7" s="144" t="s">
        <v>4</v>
      </c>
      <c r="B7" s="144"/>
      <c r="C7" s="144"/>
      <c r="D7" s="144"/>
      <c r="E7" s="144" t="s">
        <v>239</v>
      </c>
      <c r="F7" s="144"/>
      <c r="G7" s="144"/>
      <c r="H7" s="144"/>
      <c r="I7" s="53"/>
    </row>
    <row r="8" spans="1:9" ht="15" customHeight="1" x14ac:dyDescent="0.25">
      <c r="A8" s="144" t="s">
        <v>5</v>
      </c>
      <c r="B8" s="144"/>
      <c r="C8" s="144"/>
      <c r="D8" s="144"/>
      <c r="E8" s="144" t="str">
        <f>E7</f>
        <v>A S Hightech LLP</v>
      </c>
      <c r="F8" s="144"/>
      <c r="G8" s="144"/>
      <c r="H8" s="144"/>
    </row>
    <row r="9" spans="1:9" x14ac:dyDescent="0.25">
      <c r="A9" s="144" t="s">
        <v>6</v>
      </c>
      <c r="B9" s="144"/>
      <c r="C9" s="144"/>
      <c r="D9" s="144"/>
      <c r="E9" s="120" t="s">
        <v>260</v>
      </c>
      <c r="F9" s="120"/>
      <c r="G9" s="120"/>
      <c r="H9" s="120"/>
    </row>
    <row r="10" spans="1:9" x14ac:dyDescent="0.25">
      <c r="A10" s="144" t="s">
        <v>166</v>
      </c>
      <c r="B10" s="144"/>
      <c r="C10" s="144"/>
      <c r="D10" s="144"/>
      <c r="E10" s="144">
        <v>8097562221</v>
      </c>
      <c r="F10" s="144"/>
      <c r="G10" s="144"/>
      <c r="H10" s="144"/>
    </row>
    <row r="11" spans="1:9" x14ac:dyDescent="0.25">
      <c r="A11" s="144" t="s">
        <v>167</v>
      </c>
      <c r="B11" s="144"/>
      <c r="C11" s="144"/>
      <c r="D11" s="144"/>
      <c r="E11" s="144" t="s">
        <v>263</v>
      </c>
      <c r="F11" s="144"/>
      <c r="G11" s="144"/>
      <c r="H11" s="144"/>
    </row>
    <row r="12" spans="1:9" x14ac:dyDescent="0.25">
      <c r="A12" s="144" t="s">
        <v>7</v>
      </c>
      <c r="B12" s="144"/>
      <c r="C12" s="144"/>
      <c r="D12" s="144"/>
      <c r="E12" s="144" t="s">
        <v>237</v>
      </c>
      <c r="F12" s="144"/>
      <c r="G12" s="144"/>
      <c r="H12" s="144"/>
    </row>
    <row r="13" spans="1:9" x14ac:dyDescent="0.25">
      <c r="A13" s="125" t="s">
        <v>8</v>
      </c>
      <c r="B13" s="125"/>
      <c r="C13" s="125"/>
      <c r="D13" s="125"/>
      <c r="E13" s="150" t="s">
        <v>175</v>
      </c>
      <c r="F13" s="150"/>
      <c r="G13" s="150"/>
      <c r="H13" s="150"/>
    </row>
    <row r="14" spans="1:9" x14ac:dyDescent="0.25">
      <c r="A14" s="125" t="s">
        <v>9</v>
      </c>
      <c r="B14" s="125"/>
      <c r="C14" s="125"/>
      <c r="D14" s="125"/>
      <c r="E14" s="150" t="s">
        <v>169</v>
      </c>
      <c r="F14" s="144"/>
      <c r="G14" s="144"/>
      <c r="H14" s="144"/>
    </row>
    <row r="15" spans="1:9" ht="48.75" customHeight="1" x14ac:dyDescent="0.25">
      <c r="A15" s="168" t="s">
        <v>10</v>
      </c>
      <c r="B15" s="168"/>
      <c r="C15" s="168" t="str">
        <f>CONCATENATE((IF(OR(E9="",E9="NA"),"",E9)),",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Roswalt Zaiden, CTS No.410/C/1(Pt), 435, 435/1 to 147, 441 (Pt), 443 (Pt), 443/1 to 7, near Veena Dalwai Industrial Estate, Navpada Road, Pratiksha Nagar, Oshiwara, Jogeshwari West, Andheri, Mumbai - 400102.</v>
      </c>
      <c r="D15" s="168"/>
      <c r="E15" s="168"/>
      <c r="F15" s="168"/>
      <c r="G15" s="168"/>
      <c r="H15" s="168"/>
    </row>
    <row r="16" spans="1:9" x14ac:dyDescent="0.25">
      <c r="A16" s="150" t="s">
        <v>176</v>
      </c>
      <c r="B16" s="150"/>
      <c r="C16" s="150" t="s">
        <v>231</v>
      </c>
      <c r="D16" s="150"/>
      <c r="E16" s="150"/>
      <c r="F16" s="150"/>
      <c r="G16" s="150"/>
      <c r="H16" s="150"/>
    </row>
    <row r="17" spans="1:8" ht="15.75" customHeight="1" x14ac:dyDescent="0.25">
      <c r="A17" s="150" t="s">
        <v>165</v>
      </c>
      <c r="B17" s="150"/>
      <c r="C17" s="150" t="s">
        <v>234</v>
      </c>
      <c r="D17" s="150"/>
      <c r="E17" s="150"/>
      <c r="F17" s="150"/>
      <c r="G17" s="150"/>
      <c r="H17" s="150"/>
    </row>
    <row r="18" spans="1:8" ht="15.75" customHeight="1" x14ac:dyDescent="0.25">
      <c r="A18" s="168" t="s">
        <v>11</v>
      </c>
      <c r="B18" s="168"/>
      <c r="C18" s="144" t="s">
        <v>178</v>
      </c>
      <c r="D18" s="144"/>
      <c r="E18" s="168" t="s">
        <v>72</v>
      </c>
      <c r="F18" s="168"/>
      <c r="G18" s="150" t="s">
        <v>174</v>
      </c>
      <c r="H18" s="150"/>
    </row>
    <row r="19" spans="1:8" x14ac:dyDescent="0.25">
      <c r="A19" s="125" t="s">
        <v>13</v>
      </c>
      <c r="B19" s="125"/>
      <c r="C19" s="150" t="s">
        <v>233</v>
      </c>
      <c r="D19" s="150"/>
      <c r="E19" s="168" t="s">
        <v>12</v>
      </c>
      <c r="F19" s="168"/>
      <c r="G19" s="169" t="s">
        <v>173</v>
      </c>
      <c r="H19" s="169"/>
    </row>
    <row r="20" spans="1:8" x14ac:dyDescent="0.25">
      <c r="A20" s="125" t="s">
        <v>73</v>
      </c>
      <c r="B20" s="125"/>
      <c r="C20" s="150" t="s">
        <v>172</v>
      </c>
      <c r="D20" s="150"/>
      <c r="E20" s="168" t="s">
        <v>14</v>
      </c>
      <c r="F20" s="168"/>
      <c r="G20" s="150">
        <v>400102</v>
      </c>
      <c r="H20" s="150"/>
    </row>
    <row r="21" spans="1:8" ht="47.25" customHeight="1" x14ac:dyDescent="0.25">
      <c r="A21" s="125" t="s">
        <v>122</v>
      </c>
      <c r="B21" s="125"/>
      <c r="C21" s="150" t="s">
        <v>177</v>
      </c>
      <c r="D21" s="150"/>
      <c r="E21" s="168" t="s">
        <v>15</v>
      </c>
      <c r="F21" s="168"/>
      <c r="G21" s="150" t="s">
        <v>236</v>
      </c>
      <c r="H21" s="150"/>
    </row>
    <row r="22" spans="1:8" ht="15" customHeight="1" x14ac:dyDescent="0.25">
      <c r="A22" s="168" t="s">
        <v>75</v>
      </c>
      <c r="B22" s="168"/>
      <c r="C22" s="168"/>
      <c r="D22" s="168"/>
      <c r="E22" s="144" t="s">
        <v>16</v>
      </c>
      <c r="F22" s="144"/>
      <c r="G22" s="144"/>
      <c r="H22" s="144"/>
    </row>
    <row r="23" spans="1:8" ht="18.75" customHeight="1" x14ac:dyDescent="0.25">
      <c r="A23" s="168"/>
      <c r="B23" s="168"/>
      <c r="C23" s="168"/>
      <c r="D23" s="168"/>
      <c r="E23" s="144"/>
      <c r="F23" s="144"/>
      <c r="G23" s="144"/>
      <c r="H23" s="144"/>
    </row>
    <row r="24" spans="1:8" ht="15" customHeight="1" x14ac:dyDescent="0.25">
      <c r="A24" s="168" t="s">
        <v>17</v>
      </c>
      <c r="B24" s="168"/>
      <c r="C24" s="168"/>
      <c r="D24" s="168"/>
      <c r="E24" s="150" t="s">
        <v>18</v>
      </c>
      <c r="F24" s="150"/>
      <c r="G24" s="150"/>
      <c r="H24" s="150"/>
    </row>
    <row r="25" spans="1:8" ht="15" customHeight="1" x14ac:dyDescent="0.25">
      <c r="A25" s="125" t="s">
        <v>19</v>
      </c>
      <c r="B25" s="125"/>
      <c r="C25" s="125"/>
      <c r="D25" s="125"/>
      <c r="E25" s="150" t="str">
        <f>IF(AND(G19="Mumbai"),"Upper Class","Middle Class")</f>
        <v>Upper Class</v>
      </c>
      <c r="F25" s="150"/>
      <c r="G25" s="150"/>
      <c r="H25" s="150"/>
    </row>
    <row r="26" spans="1:8" x14ac:dyDescent="0.25">
      <c r="A26" s="125" t="s">
        <v>20</v>
      </c>
      <c r="B26" s="125"/>
      <c r="C26" s="125"/>
      <c r="D26" s="125"/>
      <c r="E26" s="150" t="s">
        <v>21</v>
      </c>
      <c r="F26" s="150"/>
      <c r="G26" s="150"/>
      <c r="H26" s="150"/>
    </row>
    <row r="27" spans="1:8" ht="15.75" customHeight="1" x14ac:dyDescent="0.25">
      <c r="A27" s="125" t="s">
        <v>22</v>
      </c>
      <c r="B27" s="125"/>
      <c r="C27" s="125"/>
      <c r="D27" s="125"/>
      <c r="E27" s="150" t="str">
        <f>IF(AND(G19="Mumbai"),"Developed","Developing")</f>
        <v>Developed</v>
      </c>
      <c r="F27" s="150"/>
      <c r="G27" s="150"/>
      <c r="H27" s="150"/>
    </row>
    <row r="28" spans="1:8" x14ac:dyDescent="0.25">
      <c r="A28" s="125" t="s">
        <v>23</v>
      </c>
      <c r="B28" s="125"/>
      <c r="C28" s="125"/>
      <c r="D28" s="125"/>
      <c r="E28" s="150" t="s">
        <v>24</v>
      </c>
      <c r="F28" s="150"/>
      <c r="G28" s="150"/>
      <c r="H28" s="150"/>
    </row>
    <row r="29" spans="1:8" ht="15.75" customHeight="1" x14ac:dyDescent="0.25">
      <c r="A29" s="125" t="s">
        <v>80</v>
      </c>
      <c r="B29" s="125"/>
      <c r="C29" s="125"/>
      <c r="D29" s="125"/>
      <c r="E29" s="150" t="s">
        <v>81</v>
      </c>
      <c r="F29" s="150"/>
      <c r="G29" s="150"/>
      <c r="H29" s="150"/>
    </row>
    <row r="30" spans="1:8" ht="15" customHeight="1" x14ac:dyDescent="0.25">
      <c r="A30" s="125" t="s">
        <v>32</v>
      </c>
      <c r="B30" s="125"/>
      <c r="C30" s="125"/>
      <c r="D30" s="125"/>
      <c r="E30" s="150" t="str">
        <f>IF(AND(ISNUMBER(SEARCH("Flat",D62)),ISNUMBER(SEARCH("Shop",D62)),ISNUMBER(SEARCH("Office",D62))),"Residential + Commercial",IF(AND(ISNUMBER(SEARCH("Flat",D62)),ISNUMBER(SEARCH("Shop",D62))),"Residential + Commercial",IF(AND(ISNUMBER(SEARCH("Flat",D62)),ISNUMBER(SEARCH("Office",D62))),"Residential + Commercial",IF(AND(ISNUMBER(SEARCH("Shop",D62)),ISNUMBER(SEARCH("Office",D62))),"Commercial",IF(ISNUMBER(SEARCH("Shop",D62)),"Commercial",IF(ISNUMBER(SEARCH("Office",D62)),"Commercial",IF(ISNUMBER(SEARCH("Flat",D62)),"Residential")))))))</f>
        <v>Residential + Commercial</v>
      </c>
      <c r="F30" s="150"/>
      <c r="G30" s="150"/>
      <c r="H30" s="150"/>
    </row>
    <row r="31" spans="1:8" ht="15.75" customHeight="1" x14ac:dyDescent="0.25">
      <c r="A31" s="125" t="s">
        <v>91</v>
      </c>
      <c r="B31" s="125"/>
      <c r="C31" s="125"/>
      <c r="D31" s="125"/>
      <c r="E31" s="150" t="s">
        <v>33</v>
      </c>
      <c r="F31" s="150"/>
      <c r="G31" s="150"/>
      <c r="H31" s="150"/>
    </row>
    <row r="32" spans="1:8" s="22" customFormat="1" x14ac:dyDescent="0.25">
      <c r="A32" s="194" t="s">
        <v>92</v>
      </c>
      <c r="B32" s="194"/>
      <c r="C32" s="154" t="s">
        <v>181</v>
      </c>
      <c r="D32" s="154"/>
      <c r="E32" s="154"/>
      <c r="F32" s="154" t="s">
        <v>30</v>
      </c>
      <c r="G32" s="154"/>
      <c r="H32" s="154"/>
    </row>
    <row r="33" spans="1:8" s="22" customFormat="1" x14ac:dyDescent="0.25">
      <c r="A33" s="167" t="s">
        <v>25</v>
      </c>
      <c r="B33" s="167" t="s">
        <v>29</v>
      </c>
      <c r="C33" s="142" t="s">
        <v>190</v>
      </c>
      <c r="D33" s="142"/>
      <c r="E33" s="142"/>
      <c r="F33" s="142" t="s">
        <v>185</v>
      </c>
      <c r="G33" s="142"/>
      <c r="H33" s="142"/>
    </row>
    <row r="34" spans="1:8" x14ac:dyDescent="0.25">
      <c r="A34" s="167" t="s">
        <v>26</v>
      </c>
      <c r="B34" s="167" t="s">
        <v>29</v>
      </c>
      <c r="C34" s="142" t="s">
        <v>189</v>
      </c>
      <c r="D34" s="142"/>
      <c r="E34" s="142"/>
      <c r="F34" s="161" t="s">
        <v>187</v>
      </c>
      <c r="G34" s="142"/>
      <c r="H34" s="142"/>
    </row>
    <row r="35" spans="1:8" s="22" customFormat="1" x14ac:dyDescent="0.25">
      <c r="A35" s="167" t="s">
        <v>28</v>
      </c>
      <c r="B35" s="167" t="s">
        <v>29</v>
      </c>
      <c r="C35" s="142" t="s">
        <v>186</v>
      </c>
      <c r="D35" s="142"/>
      <c r="E35" s="142"/>
      <c r="F35" s="142" t="s">
        <v>178</v>
      </c>
      <c r="G35" s="142"/>
      <c r="H35" s="142"/>
    </row>
    <row r="36" spans="1:8" x14ac:dyDescent="0.25">
      <c r="A36" s="167" t="s">
        <v>27</v>
      </c>
      <c r="B36" s="167" t="s">
        <v>29</v>
      </c>
      <c r="C36" s="142" t="s">
        <v>188</v>
      </c>
      <c r="D36" s="142"/>
      <c r="E36" s="142"/>
      <c r="F36" s="161" t="s">
        <v>187</v>
      </c>
      <c r="G36" s="142"/>
      <c r="H36" s="142"/>
    </row>
    <row r="37" spans="1:8" x14ac:dyDescent="0.25">
      <c r="A37" s="125" t="s">
        <v>31</v>
      </c>
      <c r="B37" s="125"/>
      <c r="C37" s="125"/>
      <c r="D37" s="125"/>
      <c r="E37" s="125"/>
      <c r="F37" s="125"/>
      <c r="G37" s="125"/>
      <c r="H37" s="125"/>
    </row>
    <row r="38" spans="1:8" ht="15.75" customHeight="1" x14ac:dyDescent="0.25">
      <c r="A38" s="162" t="s">
        <v>182</v>
      </c>
      <c r="B38" s="162"/>
      <c r="C38" s="163" t="s">
        <v>183</v>
      </c>
      <c r="D38" s="164"/>
      <c r="E38" s="164"/>
      <c r="F38" s="164"/>
      <c r="G38" s="164"/>
      <c r="H38" s="165"/>
    </row>
    <row r="39" spans="1:8" x14ac:dyDescent="0.25">
      <c r="A39" s="162" t="s">
        <v>164</v>
      </c>
      <c r="B39" s="162"/>
      <c r="C39" s="149" t="s">
        <v>184</v>
      </c>
      <c r="D39" s="150"/>
      <c r="E39" s="150"/>
      <c r="F39" s="150"/>
      <c r="G39" s="150"/>
      <c r="H39" s="150"/>
    </row>
    <row r="40" spans="1:8" x14ac:dyDescent="0.25">
      <c r="A40" s="145" t="s">
        <v>34</v>
      </c>
      <c r="B40" s="145"/>
      <c r="C40" s="145"/>
      <c r="D40" s="145"/>
      <c r="E40" s="145"/>
      <c r="F40" s="145"/>
      <c r="G40" s="145"/>
      <c r="H40" s="145"/>
    </row>
    <row r="41" spans="1:8" x14ac:dyDescent="0.25">
      <c r="A41" s="125" t="s">
        <v>35</v>
      </c>
      <c r="B41" s="125"/>
      <c r="C41" s="125"/>
      <c r="D41" s="125"/>
      <c r="E41" s="143">
        <v>15259.68</v>
      </c>
      <c r="F41" s="143"/>
      <c r="G41" s="143"/>
      <c r="H41" s="143"/>
    </row>
    <row r="42" spans="1:8" x14ac:dyDescent="0.25">
      <c r="A42" s="125" t="s">
        <v>36</v>
      </c>
      <c r="B42" s="125"/>
      <c r="C42" s="125"/>
      <c r="D42" s="125"/>
      <c r="E42" s="159">
        <v>4</v>
      </c>
      <c r="F42" s="159"/>
      <c r="G42" s="159"/>
      <c r="H42" s="159"/>
    </row>
    <row r="43" spans="1:8" x14ac:dyDescent="0.25">
      <c r="A43" s="125" t="s">
        <v>37</v>
      </c>
      <c r="B43" s="125"/>
      <c r="C43" s="125"/>
      <c r="D43" s="125"/>
      <c r="E43" s="159">
        <f>E45/E41-E42</f>
        <v>2.5538104337705638</v>
      </c>
      <c r="F43" s="159"/>
      <c r="G43" s="159"/>
      <c r="H43" s="159"/>
    </row>
    <row r="44" spans="1:8" x14ac:dyDescent="0.25">
      <c r="A44" s="125" t="s">
        <v>38</v>
      </c>
      <c r="B44" s="125"/>
      <c r="C44" s="125"/>
      <c r="D44" s="125"/>
      <c r="E44" s="159">
        <f>E42+E43</f>
        <v>6.5538104337705638</v>
      </c>
      <c r="F44" s="159"/>
      <c r="G44" s="159"/>
      <c r="H44" s="159"/>
    </row>
    <row r="45" spans="1:8" x14ac:dyDescent="0.25">
      <c r="A45" s="125" t="s">
        <v>90</v>
      </c>
      <c r="B45" s="125"/>
      <c r="C45" s="125"/>
      <c r="D45" s="125"/>
      <c r="E45" s="160">
        <v>100009.05</v>
      </c>
      <c r="F45" s="160"/>
      <c r="G45" s="160"/>
      <c r="H45" s="160"/>
    </row>
    <row r="46" spans="1:8" x14ac:dyDescent="0.25">
      <c r="A46" s="144" t="s">
        <v>39</v>
      </c>
      <c r="B46" s="144"/>
      <c r="C46" s="144"/>
      <c r="D46" s="144"/>
      <c r="E46" s="144" t="s">
        <v>191</v>
      </c>
      <c r="F46" s="144"/>
      <c r="G46" s="144"/>
      <c r="H46" s="144"/>
    </row>
    <row r="47" spans="1:8" x14ac:dyDescent="0.25">
      <c r="A47" s="145" t="s">
        <v>40</v>
      </c>
      <c r="B47" s="145"/>
      <c r="C47" s="145"/>
      <c r="D47" s="145"/>
      <c r="E47" s="145"/>
      <c r="F47" s="145"/>
      <c r="G47" s="145"/>
      <c r="H47" s="145"/>
    </row>
    <row r="48" spans="1:8" ht="33.75" customHeight="1" x14ac:dyDescent="0.25">
      <c r="A48" s="65" t="s">
        <v>151</v>
      </c>
      <c r="B48" s="67"/>
      <c r="C48" s="151" t="s">
        <v>171</v>
      </c>
      <c r="D48" s="152"/>
      <c r="E48" s="152"/>
      <c r="F48" s="152"/>
      <c r="G48" s="152"/>
      <c r="H48" s="153"/>
    </row>
    <row r="49" spans="1:24" ht="15.75" customHeight="1" x14ac:dyDescent="0.25">
      <c r="A49" s="65" t="s">
        <v>41</v>
      </c>
      <c r="B49" s="67"/>
      <c r="C49" s="65" t="s">
        <v>179</v>
      </c>
      <c r="D49" s="66"/>
      <c r="E49" s="67"/>
      <c r="F49" s="18" t="s">
        <v>42</v>
      </c>
      <c r="G49" s="68">
        <v>45379</v>
      </c>
      <c r="H49" s="67"/>
    </row>
    <row r="50" spans="1:24" x14ac:dyDescent="0.25">
      <c r="A50" s="65" t="s">
        <v>43</v>
      </c>
      <c r="B50" s="67"/>
      <c r="C50" s="65" t="s">
        <v>179</v>
      </c>
      <c r="D50" s="66"/>
      <c r="E50" s="67"/>
      <c r="F50" s="18" t="s">
        <v>42</v>
      </c>
      <c r="G50" s="68">
        <v>45379</v>
      </c>
      <c r="H50" s="67"/>
    </row>
    <row r="51" spans="1:24" s="23" customFormat="1" x14ac:dyDescent="0.25">
      <c r="A51" s="175" t="s">
        <v>155</v>
      </c>
      <c r="B51" s="176"/>
      <c r="C51" s="65" t="s">
        <v>179</v>
      </c>
      <c r="D51" s="66"/>
      <c r="E51" s="67"/>
      <c r="F51" s="18" t="s">
        <v>42</v>
      </c>
      <c r="G51" s="68">
        <v>45776</v>
      </c>
      <c r="H51" s="67"/>
    </row>
    <row r="52" spans="1:24" s="23" customFormat="1" ht="79.5" customHeight="1" x14ac:dyDescent="0.25">
      <c r="A52" s="177"/>
      <c r="B52" s="178"/>
      <c r="C52" s="65" t="s">
        <v>264</v>
      </c>
      <c r="D52" s="66"/>
      <c r="E52" s="66"/>
      <c r="F52" s="66"/>
      <c r="G52" s="66"/>
      <c r="H52" s="67"/>
    </row>
    <row r="53" spans="1:24" s="23" customFormat="1" x14ac:dyDescent="0.25">
      <c r="A53" s="175" t="s">
        <v>155</v>
      </c>
      <c r="B53" s="176"/>
      <c r="C53" s="65" t="s">
        <v>179</v>
      </c>
      <c r="D53" s="66"/>
      <c r="E53" s="67"/>
      <c r="F53" s="18" t="s">
        <v>42</v>
      </c>
      <c r="G53" s="68">
        <v>45826</v>
      </c>
      <c r="H53" s="67"/>
    </row>
    <row r="54" spans="1:24" s="23" customFormat="1" ht="32.25" customHeight="1" x14ac:dyDescent="0.25">
      <c r="A54" s="177"/>
      <c r="B54" s="178"/>
      <c r="C54" s="65" t="s">
        <v>265</v>
      </c>
      <c r="D54" s="66"/>
      <c r="E54" s="66"/>
      <c r="F54" s="66"/>
      <c r="G54" s="66"/>
      <c r="H54" s="67"/>
    </row>
    <row r="55" spans="1:24" s="23" customFormat="1" ht="31.5" customHeight="1" x14ac:dyDescent="0.25">
      <c r="A55" s="61" t="s">
        <v>244</v>
      </c>
      <c r="B55" s="62"/>
      <c r="C55" s="65" t="s">
        <v>258</v>
      </c>
      <c r="D55" s="66"/>
      <c r="E55" s="67"/>
      <c r="F55" s="18" t="s">
        <v>42</v>
      </c>
      <c r="G55" s="68">
        <v>45108</v>
      </c>
      <c r="H55" s="67"/>
      <c r="R55"/>
      <c r="S55" t="s">
        <v>245</v>
      </c>
      <c r="T55" t="s">
        <v>246</v>
      </c>
      <c r="U55" t="s">
        <v>247</v>
      </c>
      <c r="V55" t="s">
        <v>248</v>
      </c>
    </row>
    <row r="56" spans="1:24" s="23" customFormat="1" ht="47.25" customHeight="1" x14ac:dyDescent="0.25">
      <c r="A56" s="63"/>
      <c r="B56" s="64"/>
      <c r="C56" s="155" t="s">
        <v>259</v>
      </c>
      <c r="D56" s="156"/>
      <c r="E56" s="156"/>
      <c r="F56" s="156"/>
      <c r="G56" s="156"/>
      <c r="H56" s="157"/>
      <c r="R56"/>
      <c r="S56" t="s">
        <v>247</v>
      </c>
      <c r="T56" t="s">
        <v>249</v>
      </c>
      <c r="U56" t="s">
        <v>250</v>
      </c>
      <c r="V56" s="21"/>
      <c r="W56" s="21"/>
      <c r="X56" s="21"/>
    </row>
    <row r="57" spans="1:24" s="23" customFormat="1" ht="34.5" customHeight="1" x14ac:dyDescent="0.25">
      <c r="A57" s="61" t="s">
        <v>251</v>
      </c>
      <c r="B57" s="62"/>
      <c r="C57" s="65" t="s">
        <v>256</v>
      </c>
      <c r="D57" s="66"/>
      <c r="E57" s="67"/>
      <c r="F57" s="18" t="s">
        <v>42</v>
      </c>
      <c r="G57" s="68">
        <v>45329</v>
      </c>
      <c r="H57" s="67"/>
      <c r="R57"/>
      <c r="S57" s="21"/>
      <c r="T57" t="s">
        <v>252</v>
      </c>
      <c r="U57" t="s">
        <v>253</v>
      </c>
      <c r="V57" s="21"/>
      <c r="W57" s="21"/>
      <c r="X57" s="21"/>
    </row>
    <row r="58" spans="1:24" s="23" customFormat="1" ht="20.25" customHeight="1" x14ac:dyDescent="0.25">
      <c r="A58" s="63"/>
      <c r="B58" s="64"/>
      <c r="C58" s="65" t="s">
        <v>257</v>
      </c>
      <c r="D58" s="66"/>
      <c r="E58" s="66"/>
      <c r="F58" s="66"/>
      <c r="G58" s="66"/>
      <c r="H58" s="67"/>
      <c r="R58"/>
      <c r="S58" s="21"/>
      <c r="T58" t="s">
        <v>254</v>
      </c>
      <c r="U58" t="s">
        <v>255</v>
      </c>
      <c r="V58" s="21"/>
      <c r="W58" s="21"/>
      <c r="X58" s="21"/>
    </row>
    <row r="59" spans="1:24" ht="33" customHeight="1" x14ac:dyDescent="0.25">
      <c r="A59" s="182" t="s">
        <v>44</v>
      </c>
      <c r="B59" s="183"/>
      <c r="C59" s="182" t="s">
        <v>104</v>
      </c>
      <c r="D59" s="195"/>
      <c r="E59" s="183"/>
      <c r="F59" s="46" t="s">
        <v>42</v>
      </c>
      <c r="G59" s="184" t="s">
        <v>29</v>
      </c>
      <c r="H59" s="185"/>
    </row>
    <row r="60" spans="1:24" x14ac:dyDescent="0.25">
      <c r="A60" s="186" t="s">
        <v>46</v>
      </c>
      <c r="B60" s="186"/>
      <c r="C60" s="186"/>
      <c r="D60" s="186"/>
      <c r="E60" s="186"/>
      <c r="F60" s="186"/>
      <c r="G60" s="186"/>
      <c r="H60" s="186"/>
    </row>
    <row r="61" spans="1:24" ht="30.75" customHeight="1" x14ac:dyDescent="0.25">
      <c r="A61" s="168" t="s">
        <v>192</v>
      </c>
      <c r="B61" s="168"/>
      <c r="C61" s="168"/>
      <c r="D61" s="125">
        <v>65819.839999999997</v>
      </c>
      <c r="E61" s="125"/>
      <c r="F61" s="125"/>
      <c r="G61" s="125"/>
      <c r="H61" s="125"/>
    </row>
    <row r="62" spans="1:24" x14ac:dyDescent="0.25">
      <c r="A62" s="150" t="s">
        <v>47</v>
      </c>
      <c r="B62" s="144"/>
      <c r="C62" s="144"/>
      <c r="D62" s="144" t="s">
        <v>232</v>
      </c>
      <c r="E62" s="144"/>
      <c r="F62" s="144"/>
      <c r="G62" s="144"/>
      <c r="H62" s="144"/>
      <c r="I62" s="24"/>
    </row>
    <row r="63" spans="1:24" ht="61.5" customHeight="1" x14ac:dyDescent="0.25">
      <c r="A63" s="61" t="s">
        <v>48</v>
      </c>
      <c r="B63" s="148"/>
      <c r="C63" s="62"/>
      <c r="D63" s="146" t="s">
        <v>193</v>
      </c>
      <c r="E63" s="147"/>
      <c r="F63" s="147"/>
      <c r="G63" s="147"/>
      <c r="H63" s="147"/>
    </row>
    <row r="64" spans="1:24" ht="32.25" customHeight="1" x14ac:dyDescent="0.25">
      <c r="A64" s="61" t="s">
        <v>88</v>
      </c>
      <c r="B64" s="148"/>
      <c r="C64" s="62"/>
      <c r="D64" s="146" t="s">
        <v>194</v>
      </c>
      <c r="E64" s="147"/>
      <c r="F64" s="147"/>
      <c r="G64" s="147"/>
      <c r="H64" s="147"/>
    </row>
    <row r="65" spans="1:14" ht="33.75" customHeight="1" x14ac:dyDescent="0.25">
      <c r="A65" s="63"/>
      <c r="B65" s="166"/>
      <c r="C65" s="64"/>
      <c r="D65" s="146" t="s">
        <v>243</v>
      </c>
      <c r="E65" s="147"/>
      <c r="F65" s="147"/>
      <c r="G65" s="147"/>
      <c r="H65" s="147"/>
    </row>
    <row r="66" spans="1:14" ht="15.75" customHeight="1" x14ac:dyDescent="0.25">
      <c r="A66" s="125" t="s">
        <v>45</v>
      </c>
      <c r="B66" s="125"/>
      <c r="C66" s="125"/>
      <c r="D66" s="168" t="s">
        <v>170</v>
      </c>
      <c r="E66" s="168"/>
      <c r="F66" s="168"/>
      <c r="G66" s="168"/>
      <c r="H66" s="168"/>
      <c r="J66" s="25"/>
      <c r="K66" s="24"/>
      <c r="N66" s="24"/>
    </row>
    <row r="67" spans="1:14" ht="15.75" customHeight="1" x14ac:dyDescent="0.25">
      <c r="A67" s="125" t="s">
        <v>86</v>
      </c>
      <c r="B67" s="125"/>
      <c r="C67" s="125"/>
      <c r="D67" s="158" t="str">
        <f>(IF(G59="NA","60 Years After Completion",IF(G59&lt;&gt;"NA",""&amp;60-ROUNDDOWN((E3-G59)/360,0)&amp;" Years"," ")))</f>
        <v>60 Years After Completion</v>
      </c>
      <c r="E67" s="158"/>
      <c r="F67" s="158"/>
      <c r="G67" s="158"/>
      <c r="H67" s="158"/>
      <c r="N67" s="24"/>
    </row>
    <row r="68" spans="1:14" ht="15.75" customHeight="1" x14ac:dyDescent="0.25">
      <c r="A68" s="125" t="s">
        <v>87</v>
      </c>
      <c r="B68" s="125"/>
      <c r="C68" s="125"/>
      <c r="D68" s="168" t="s">
        <v>24</v>
      </c>
      <c r="E68" s="168"/>
      <c r="F68" s="168"/>
      <c r="G68" s="168"/>
      <c r="H68" s="168"/>
      <c r="J68" s="26"/>
      <c r="K68" s="26"/>
    </row>
    <row r="69" spans="1:14" ht="30" customHeight="1" x14ac:dyDescent="0.25">
      <c r="A69" s="179" t="s">
        <v>213</v>
      </c>
      <c r="B69" s="179"/>
      <c r="C69" s="179"/>
      <c r="D69" s="180" t="s">
        <v>218</v>
      </c>
      <c r="E69" s="180"/>
      <c r="F69" s="180"/>
      <c r="G69" s="180"/>
      <c r="H69" s="180"/>
      <c r="I69" s="55" t="s">
        <v>217</v>
      </c>
    </row>
    <row r="70" spans="1:14" x14ac:dyDescent="0.25">
      <c r="A70" s="168" t="s">
        <v>148</v>
      </c>
      <c r="B70" s="168"/>
      <c r="C70" s="168"/>
      <c r="D70" s="168" t="s">
        <v>29</v>
      </c>
      <c r="E70" s="168"/>
      <c r="F70" s="168"/>
      <c r="G70" s="168"/>
      <c r="H70" s="168"/>
      <c r="I70" s="27"/>
      <c r="J70" s="27"/>
      <c r="K70" s="27"/>
      <c r="L70" s="27"/>
      <c r="M70" s="27"/>
      <c r="N70" s="27"/>
    </row>
    <row r="71" spans="1:14" ht="15.75" customHeight="1" x14ac:dyDescent="0.25">
      <c r="A71" s="196" t="s">
        <v>85</v>
      </c>
      <c r="B71" s="196"/>
      <c r="C71" s="196"/>
      <c r="D71" s="146" t="str">
        <f ca="1">(IF(G77&gt;95%,"Nothing",IF(G77&gt;0%,"Cement, Aggregate, Steel, etc",IF(G77=0%,"Work not yet Started"))))</f>
        <v>Cement, Aggregate, Steel, etc</v>
      </c>
      <c r="E71" s="146"/>
      <c r="F71" s="146"/>
      <c r="G71" s="146"/>
      <c r="H71" s="146"/>
      <c r="J71" s="26"/>
    </row>
    <row r="72" spans="1:14" ht="33.75" customHeight="1" thickBot="1" x14ac:dyDescent="0.3">
      <c r="A72" s="181" t="s">
        <v>117</v>
      </c>
      <c r="B72" s="181"/>
      <c r="C72" s="181"/>
      <c r="D72" s="146" t="str">
        <f ca="1">(IF(D71="Nothing","Yes",IF(D71="Cement, Aggregate, Steel, etc","Under Construction",IF(D71="Work not yet Started","Work not yet Started"))))</f>
        <v>Under Construction</v>
      </c>
      <c r="E72" s="146"/>
      <c r="F72" s="146" t="str">
        <f ca="1">(IF(D71="Nothing","Yes",IF(D71="Cement, Aggregate, Steel, etc","Under Construction",IF(D71="Work not yet Started","Work not yet Started"))))</f>
        <v>Under Construction</v>
      </c>
      <c r="G72" s="146"/>
      <c r="H72" s="146"/>
    </row>
    <row r="73" spans="1:14" ht="30" customHeight="1" x14ac:dyDescent="0.25">
      <c r="A73" s="114" t="s">
        <v>140</v>
      </c>
      <c r="B73" s="115"/>
      <c r="C73" s="116" t="str">
        <f>D64</f>
        <v>Sale Building No.1 (Wing A) = Gr + P1 to P4 + 5th ('E' Deck) + 6th to 40th Floor</v>
      </c>
      <c r="D73" s="117"/>
      <c r="E73" s="117"/>
      <c r="F73" s="117"/>
      <c r="G73" s="117"/>
      <c r="H73" s="118"/>
      <c r="I73" s="49" t="str">
        <f ca="1">IF(D86=100%,"All work Completed. Possession granted to the Building.",IF(D85=100%,"All work Completed, Waiting for OC",I74&amp;""&amp;I75&amp;""&amp;J74&amp;""&amp;J73&amp;" "&amp;J75))</f>
        <v>Excavation, Plinth Completed, RCC upto 37 Slab, Brickwork upto 22 Floor, Internal Plaster upto 16 Floor, External Plaster upto 16 Floor, Flooring upto 5 Floor Completed</v>
      </c>
      <c r="J73" s="50" t="str">
        <f ca="1">(IF(C79=(D74+F74+H74),"",IF(C79&gt;0,", RCC upto "&amp;C79&amp;" Slab","")))&amp;(IF(C80=H74,"",IF(C80&gt;0,", Brickwork upto "&amp;C80&amp;" Floor","")))&amp;(IF(C81=H74,"",IF(C81&gt;0,", Internal Plaster upto "&amp;C81&amp;" Floor","")))&amp;(IF(C82=H74,"",IF(C82&gt;0,", External Plaster upto "&amp;C82&amp;" Floor","")))&amp;(IF(C83=H74,"",IF(C83&gt;0,", Flooring upto "&amp;C83&amp;" Floor","")))&amp;(IF(C84=H74,"",IF(C84&gt;0,", Painting upto "&amp;C84&amp;" Floor","")))&amp;(IF(C85=H74,"",IF(C85&gt;0,", Finishing upto "&amp;C85&amp;" Floor","")))&amp;(IF(C86=H74,"",IF(C86&gt;0,", Possession upto "&amp;C86&amp;" Floor","")))</f>
        <v>, RCC upto 37 Slab, Brickwork upto 22 Floor, Internal Plaster upto 16 Floor, External Plaster upto 16 Floor, Flooring upto 5 Floor</v>
      </c>
    </row>
    <row r="74" spans="1:14" x14ac:dyDescent="0.25">
      <c r="A74" s="16" t="s">
        <v>142</v>
      </c>
      <c r="B74" s="54">
        <v>0</v>
      </c>
      <c r="C74" s="54" t="s">
        <v>71</v>
      </c>
      <c r="D74" s="54">
        <v>1</v>
      </c>
      <c r="E74" s="54" t="s">
        <v>70</v>
      </c>
      <c r="F74" s="54">
        <v>0</v>
      </c>
      <c r="G74" s="48" t="s">
        <v>79</v>
      </c>
      <c r="H74" s="17">
        <f ca="1">--TRIM(RIGHT(SUBSTITUTE(LEFT(C73,_xlfn.AGGREGATE(16,6,FIND({0,1,2,3,4,5,6,7,8,9},C73,ROW(INDIRECT("1:"&amp;LEN(C73)))),1))," ",REPT(" ",LEN(C73))),LEN(C73)))</f>
        <v>40</v>
      </c>
      <c r="I74" s="51" t="str">
        <f ca="1">IF(D77=100%,"Excavation","")&amp;IF(D78=100%,", Plinth","")&amp;IF(D79=100%,", RCC Slab","")&amp;IF(D80=100%,", Brickwork","")&amp;IF(D81=100%,", Internal Plaster","")&amp;IF(D82=100%,", External Plaster","")&amp;IF(D83=100%,", Flooring","")&amp;IF(D84=100%,", Painting","")&amp;IF(D85=100%,", Building common Amenities","")</f>
        <v>Excavation, Plinth</v>
      </c>
      <c r="J74" s="52" t="str">
        <f ca="1">(IF(C77=0,"Work not yet Started.",IF(D77=25%,"Piling work in process",IF(D77=50%,"Excavation work in process",IF(D77=100%,"","0")))))&amp;(IF(C78=0%,"",IF(C78=J79,", Footing work is process",IF(C78=J80,", Footing work Completed",IF(C78=J81,", 1st Basement Completed",IF(C78=J82,", 1st &amp; 2nd Basement Completed",IF(C78=J83,", 1st to 3rd Basement Completed",IF(C78=J84,", 1st to 4th Basement Completed",IF(C78=J85,", Plinth work is process",IF(C78=J86,"","0"))))))))))</f>
        <v/>
      </c>
    </row>
    <row r="75" spans="1:14" ht="48.75" customHeight="1" x14ac:dyDescent="0.25">
      <c r="A75" s="119" t="s">
        <v>89</v>
      </c>
      <c r="B75" s="120"/>
      <c r="C75" s="121" t="str">
        <f ca="1">I73</f>
        <v>Excavation, Plinth Completed, RCC upto 37 Slab, Brickwork upto 22 Floor, Internal Plaster upto 16 Floor, External Plaster upto 16 Floor, Flooring upto 5 Floor Completed</v>
      </c>
      <c r="D75" s="121"/>
      <c r="E75" s="121"/>
      <c r="F75" s="121"/>
      <c r="G75" s="121"/>
      <c r="H75" s="122"/>
      <c r="I75" s="51" t="str">
        <f ca="1">IF(I74&lt;&gt;""," Completed","")</f>
        <v xml:space="preserve"> Completed</v>
      </c>
      <c r="J75" s="52" t="str">
        <f ca="1">IF(J73&lt;&gt;"","Completed","")</f>
        <v>Completed</v>
      </c>
    </row>
    <row r="76" spans="1:14" ht="15.75" customHeight="1" x14ac:dyDescent="0.25">
      <c r="A76" s="102" t="s">
        <v>49</v>
      </c>
      <c r="B76" s="100"/>
      <c r="C76" s="44" t="s">
        <v>139</v>
      </c>
      <c r="D76" s="44" t="s">
        <v>82</v>
      </c>
      <c r="E76" s="100" t="s">
        <v>84</v>
      </c>
      <c r="F76" s="100"/>
      <c r="G76" s="100" t="s">
        <v>83</v>
      </c>
      <c r="H76" s="101"/>
      <c r="I76" s="14" t="s">
        <v>141</v>
      </c>
      <c r="J76" s="28">
        <f ca="1">H74*25%</f>
        <v>10</v>
      </c>
    </row>
    <row r="77" spans="1:14" x14ac:dyDescent="0.25">
      <c r="A77" s="102" t="s">
        <v>128</v>
      </c>
      <c r="B77" s="100"/>
      <c r="C77" s="44">
        <f ca="1">J78</f>
        <v>40</v>
      </c>
      <c r="D77" s="19">
        <f ca="1">((100/H74)*C77)/100</f>
        <v>1</v>
      </c>
      <c r="E77" s="103">
        <f ca="1">(((C78/H74*10)+(40/(D74+F74+H74)*C79)+(7.5/(H74)*C80)+(7.5/(H74)*C81)+(10/H74*C82)+(10/H74*C83)+(5/H74*C84)+(5/H74*C85)+(5/H74*C86))/100)</f>
        <v>0.58472560975609755</v>
      </c>
      <c r="F77" s="104"/>
      <c r="G77" s="103">
        <f ca="1">((((C77/H74)*20)+((C78/H74)*25)+(30/(H74+F74+D74)*C79)+(5/H74*C80)+(5/H74*C81)+(5/H74*C82)+(5/H74*C83)+(0/H74*C84)+(0/H74*C85)+(5/H74*C86))/100)</f>
        <v>0.79448170731707324</v>
      </c>
      <c r="H77" s="109"/>
      <c r="I77" s="14" t="s">
        <v>99</v>
      </c>
      <c r="J77" s="29">
        <f ca="1">H74*50%</f>
        <v>20</v>
      </c>
    </row>
    <row r="78" spans="1:14" x14ac:dyDescent="0.25">
      <c r="A78" s="102" t="s">
        <v>50</v>
      </c>
      <c r="B78" s="100"/>
      <c r="C78" s="60">
        <f ca="1">J86</f>
        <v>40</v>
      </c>
      <c r="D78" s="19">
        <f ca="1">((100/H74)*C78)/100</f>
        <v>1</v>
      </c>
      <c r="E78" s="105"/>
      <c r="F78" s="106"/>
      <c r="G78" s="105"/>
      <c r="H78" s="110"/>
      <c r="I78" s="14" t="s">
        <v>100</v>
      </c>
      <c r="J78" s="29">
        <f ca="1">H74</f>
        <v>40</v>
      </c>
    </row>
    <row r="79" spans="1:14" ht="15.75" customHeight="1" x14ac:dyDescent="0.25">
      <c r="A79" s="102" t="s">
        <v>129</v>
      </c>
      <c r="B79" s="100"/>
      <c r="C79" s="44">
        <v>37</v>
      </c>
      <c r="D79" s="19">
        <f ca="1">((100/(D74+F74+H74))*C79)/100</f>
        <v>0.90243902439024382</v>
      </c>
      <c r="E79" s="105"/>
      <c r="F79" s="106"/>
      <c r="G79" s="105"/>
      <c r="H79" s="110"/>
      <c r="I79" s="14" t="s">
        <v>101</v>
      </c>
      <c r="J79" s="30">
        <f ca="1">(IF(B74&gt;1,(H74/(B74+2)),H74/4))</f>
        <v>10</v>
      </c>
    </row>
    <row r="80" spans="1:14" ht="15.75" customHeight="1" x14ac:dyDescent="0.25">
      <c r="A80" s="102" t="s">
        <v>136</v>
      </c>
      <c r="B80" s="100" t="s">
        <v>130</v>
      </c>
      <c r="C80" s="44">
        <v>22</v>
      </c>
      <c r="D80" s="19">
        <f ca="1">((100/H74)*C80)/100</f>
        <v>0.55000000000000004</v>
      </c>
      <c r="E80" s="105"/>
      <c r="F80" s="106"/>
      <c r="G80" s="105"/>
      <c r="H80" s="110"/>
      <c r="I80" s="14" t="s">
        <v>102</v>
      </c>
      <c r="J80" s="30">
        <f ca="1">(IF(B74&gt;1,(H74/(B74+2)+J79),H74/4+J79))</f>
        <v>20</v>
      </c>
    </row>
    <row r="81" spans="1:11" ht="15.75" customHeight="1" x14ac:dyDescent="0.25">
      <c r="A81" s="102" t="s">
        <v>137</v>
      </c>
      <c r="B81" s="100" t="s">
        <v>130</v>
      </c>
      <c r="C81" s="60">
        <v>16</v>
      </c>
      <c r="D81" s="19">
        <f ca="1">((100/H74)*C81)/100</f>
        <v>0.4</v>
      </c>
      <c r="E81" s="105"/>
      <c r="F81" s="106"/>
      <c r="G81" s="105"/>
      <c r="H81" s="110"/>
      <c r="I81" s="14" t="s">
        <v>146</v>
      </c>
      <c r="J81" s="30">
        <f>(IF(B74&gt;1,(H74/(B74+2)+J80),0))</f>
        <v>0</v>
      </c>
    </row>
    <row r="82" spans="1:11" ht="15" customHeight="1" x14ac:dyDescent="0.25">
      <c r="A82" s="102" t="s">
        <v>135</v>
      </c>
      <c r="B82" s="100" t="s">
        <v>132</v>
      </c>
      <c r="C82" s="60">
        <v>16</v>
      </c>
      <c r="D82" s="19">
        <f ca="1">((100/(H74))*C82)/100</f>
        <v>0.4</v>
      </c>
      <c r="E82" s="105"/>
      <c r="F82" s="106"/>
      <c r="G82" s="105"/>
      <c r="H82" s="110"/>
      <c r="I82" s="14" t="s">
        <v>143</v>
      </c>
      <c r="J82" s="30">
        <f>(IF(B74&gt;2,(H74/(B74+2)+J81),0))</f>
        <v>0</v>
      </c>
    </row>
    <row r="83" spans="1:11" ht="15.75" customHeight="1" x14ac:dyDescent="0.25">
      <c r="A83" s="102" t="s">
        <v>131</v>
      </c>
      <c r="B83" s="100" t="s">
        <v>131</v>
      </c>
      <c r="C83" s="44">
        <v>5</v>
      </c>
      <c r="D83" s="19">
        <f ca="1">((100/H74)*C83)/100</f>
        <v>0.125</v>
      </c>
      <c r="E83" s="105"/>
      <c r="F83" s="106"/>
      <c r="G83" s="105"/>
      <c r="H83" s="110"/>
      <c r="I83" s="14" t="s">
        <v>144</v>
      </c>
      <c r="J83" s="31">
        <f>(IF(B74&gt;3,(H74/(B74+2)+J82),0))</f>
        <v>0</v>
      </c>
    </row>
    <row r="84" spans="1:11" ht="15.75" customHeight="1" x14ac:dyDescent="0.25">
      <c r="A84" s="102" t="s">
        <v>138</v>
      </c>
      <c r="B84" s="100"/>
      <c r="C84" s="44">
        <v>0</v>
      </c>
      <c r="D84" s="19">
        <f ca="1">((100/H74)*C84)/100</f>
        <v>0</v>
      </c>
      <c r="E84" s="105"/>
      <c r="F84" s="106"/>
      <c r="G84" s="105"/>
      <c r="H84" s="110"/>
      <c r="I84" s="14" t="s">
        <v>145</v>
      </c>
      <c r="J84" s="30">
        <f>(IF(B74&gt;4,(H74/(B74+2)+J83),0))</f>
        <v>0</v>
      </c>
    </row>
    <row r="85" spans="1:11" ht="15.75" customHeight="1" x14ac:dyDescent="0.25">
      <c r="A85" s="102" t="s">
        <v>133</v>
      </c>
      <c r="B85" s="100" t="s">
        <v>133</v>
      </c>
      <c r="C85" s="44">
        <v>0</v>
      </c>
      <c r="D85" s="19">
        <f ca="1">((100/(H74))*C85)/100</f>
        <v>0</v>
      </c>
      <c r="E85" s="105"/>
      <c r="F85" s="106"/>
      <c r="G85" s="105"/>
      <c r="H85" s="110"/>
      <c r="I85" s="14" t="s">
        <v>147</v>
      </c>
      <c r="J85" s="30">
        <f ca="1">(IF(B74=1,(H74/(B74+3)+J80),IF(B74=0,(H74/4+J80),IF(B74&gt;1,0))))</f>
        <v>30</v>
      </c>
    </row>
    <row r="86" spans="1:11" ht="16.5" thickBot="1" x14ac:dyDescent="0.3">
      <c r="A86" s="112" t="s">
        <v>134</v>
      </c>
      <c r="B86" s="113"/>
      <c r="C86" s="45">
        <v>0</v>
      </c>
      <c r="D86" s="20">
        <f ca="1">((100/(H74))*C86)/100</f>
        <v>0</v>
      </c>
      <c r="E86" s="107"/>
      <c r="F86" s="108"/>
      <c r="G86" s="107"/>
      <c r="H86" s="111"/>
      <c r="I86" s="15" t="s">
        <v>103</v>
      </c>
      <c r="J86" s="32">
        <f ca="1">(IF(B74&gt;1.5,(H74/(B74+2)+J80+MAX(0,J81-J80)+MAX(0,J82-J81)+MAX(0,J83-J82)+MAX(0,J84-J83)+MAX(0,J85-J84)),IF(B74=1,(H74/(B74+3)+J85),IF(B74=0,H74/4+J85))))</f>
        <v>40</v>
      </c>
    </row>
    <row r="87" spans="1:11" x14ac:dyDescent="0.25">
      <c r="A87" s="114" t="s">
        <v>140</v>
      </c>
      <c r="B87" s="115"/>
      <c r="C87" s="116" t="s">
        <v>261</v>
      </c>
      <c r="D87" s="117"/>
      <c r="E87" s="117"/>
      <c r="F87" s="117"/>
      <c r="G87" s="117"/>
      <c r="H87" s="118"/>
      <c r="I87" s="49" t="str">
        <f ca="1">IF(D100=100%,"All work Completed. Possession granted to the Building.",IF(D99=100%,"All work Completed, Waiting for OC",I88&amp;""&amp;I89&amp;""&amp;J88&amp;""&amp;J87&amp;" "&amp;J89))</f>
        <v>Excavation, Plinth Completed, RCC upto 4 Slab Completed</v>
      </c>
      <c r="J87" s="50" t="str">
        <f ca="1">(IF(C93=(D88+F88+H88),"",IF(C93&gt;0,", RCC upto "&amp;C93&amp;" Slab","")))&amp;(IF(C94=H88,"",IF(C94&gt;0,", Brickwork upto "&amp;C94&amp;" Floor","")))&amp;(IF(C95=H88,"",IF(C95&gt;0,", Internal Plaster upto "&amp;C95&amp;" Floor","")))&amp;(IF(C96=H88,"",IF(C96&gt;0,", External Plaster upto "&amp;C96&amp;" Floor","")))&amp;(IF(C97=H88,"",IF(C97&gt;0,", Flooring upto "&amp;C97&amp;" Floor","")))&amp;(IF(C98=H88,"",IF(C98&gt;0,", Painting upto "&amp;C98&amp;" Floor","")))&amp;(IF(C99=H88,"",IF(C99&gt;0,", Finishing upto "&amp;C99&amp;" Floor","")))&amp;(IF(C100=H88,"",IF(C100&gt;0,", Possession upto "&amp;C100&amp;" Floor","")))</f>
        <v>, RCC upto 4 Slab</v>
      </c>
    </row>
    <row r="88" spans="1:11" x14ac:dyDescent="0.25">
      <c r="A88" s="16" t="s">
        <v>142</v>
      </c>
      <c r="B88" s="54">
        <v>1</v>
      </c>
      <c r="C88" s="54" t="s">
        <v>71</v>
      </c>
      <c r="D88" s="54">
        <v>1</v>
      </c>
      <c r="E88" s="54" t="s">
        <v>70</v>
      </c>
      <c r="F88" s="54">
        <v>0</v>
      </c>
      <c r="G88" s="48" t="s">
        <v>79</v>
      </c>
      <c r="H88" s="17">
        <f ca="1">--TRIM(RIGHT(SUBSTITUTE(LEFT(C87,_xlfn.AGGREGATE(16,6,FIND({0,1,2,3,4,5,6,7,8,9},C87,ROW(INDIRECT("1:"&amp;LEN(C87)))),1))," ",REPT(" ",LEN(C87))),LEN(C87)))</f>
        <v>38</v>
      </c>
      <c r="I88" s="51" t="str">
        <f ca="1">IF(D91=100%,"Excavation","")&amp;IF(D92=100%,", Plinth","")&amp;IF(D93=100%,", RCC Slab","")&amp;IF(D94=100%,", Brickwork","")&amp;IF(D95=100%,", Internal Plaster","")&amp;IF(D96=100%,", External Plaster","")&amp;IF(D97=100%,", Flooring","")&amp;IF(D98=100%,", Painting","")&amp;IF(D99=100%,", Building common Amenities","")</f>
        <v>Excavation, Plinth</v>
      </c>
      <c r="J88" s="52" t="str">
        <f ca="1">(IF(C91=0,"Work not yet Started.",IF(D91=25%,"Piling work in process",IF(D91=50%,"Excavation work in process",IF(D91=100%,"","0")))))&amp;(IF(C92=0%,"",IF(C92=J93,", Footing work is process",IF(C92=J94,", Footing work Completed",IF(C92=J95,", 1st Basement Completed",IF(C92=J96,", 1st &amp; 2nd Basement Completed",IF(C92=J97,", 1st to 3rd Basement Completed",IF(C92=J98,", 1st to 4th Basement Completed",IF(C92=J99,", Plinth work is process",IF(C92=J100,"","0"))))))))))</f>
        <v/>
      </c>
    </row>
    <row r="89" spans="1:11" x14ac:dyDescent="0.25">
      <c r="A89" s="119" t="s">
        <v>89</v>
      </c>
      <c r="B89" s="120"/>
      <c r="C89" s="121" t="str">
        <f ca="1">I87</f>
        <v>Excavation, Plinth Completed, RCC upto 4 Slab Completed</v>
      </c>
      <c r="D89" s="121"/>
      <c r="E89" s="121"/>
      <c r="F89" s="121"/>
      <c r="G89" s="121"/>
      <c r="H89" s="122"/>
      <c r="I89" s="51" t="str">
        <f ca="1">IF(I88&lt;&gt;""," Completed","")</f>
        <v xml:space="preserve"> Completed</v>
      </c>
      <c r="J89" s="52" t="str">
        <f ca="1">IF(J87&lt;&gt;"","Completed","")</f>
        <v>Completed</v>
      </c>
    </row>
    <row r="90" spans="1:11" x14ac:dyDescent="0.25">
      <c r="A90" s="102" t="s">
        <v>49</v>
      </c>
      <c r="B90" s="100"/>
      <c r="C90" s="44" t="s">
        <v>139</v>
      </c>
      <c r="D90" s="44" t="s">
        <v>82</v>
      </c>
      <c r="E90" s="100" t="s">
        <v>84</v>
      </c>
      <c r="F90" s="100"/>
      <c r="G90" s="100" t="s">
        <v>83</v>
      </c>
      <c r="H90" s="101"/>
      <c r="I90" s="14" t="s">
        <v>141</v>
      </c>
      <c r="J90" s="28">
        <f ca="1">H88*25%</f>
        <v>9.5</v>
      </c>
    </row>
    <row r="91" spans="1:11" s="33" customFormat="1" x14ac:dyDescent="0.25">
      <c r="A91" s="102" t="s">
        <v>128</v>
      </c>
      <c r="B91" s="100"/>
      <c r="C91" s="60">
        <f ca="1">J92</f>
        <v>38</v>
      </c>
      <c r="D91" s="19">
        <f ca="1">((100/H88)*C91)/100</f>
        <v>1</v>
      </c>
      <c r="E91" s="103">
        <f ca="1">(((C92/H88*10)+(40/(D88+F88+H88)*C93)+(7.5/(H88)*C94)+(7.5/(H88)*C95)+(10/H88*C96)+(10/H88*C97)+(5/H88*C98)+(5/H88*C99)+(5/H88*C100))/100)</f>
        <v>0.14102564102564102</v>
      </c>
      <c r="F91" s="104"/>
      <c r="G91" s="103">
        <f ca="1">((((C91/H88)*20)+((C92/H88)*25)+(30/(H88+F88+D88)*C93)+(5/H88*C94)+(5/H88*C95)+(5/H88*C96)+(5/H88*C97)+(0/H88*C98)+(0/H88*C99)+(5/H88*C100))/100)</f>
        <v>0.48076923076923078</v>
      </c>
      <c r="H91" s="109"/>
      <c r="I91" s="14" t="s">
        <v>99</v>
      </c>
      <c r="J91" s="29">
        <f ca="1">H88*50%</f>
        <v>19</v>
      </c>
      <c r="K91" s="21"/>
    </row>
    <row r="92" spans="1:11" s="33" customFormat="1" x14ac:dyDescent="0.25">
      <c r="A92" s="102" t="s">
        <v>50</v>
      </c>
      <c r="B92" s="100"/>
      <c r="C92" s="60">
        <f ca="1">J100</f>
        <v>38</v>
      </c>
      <c r="D92" s="19">
        <f ca="1">((100/H88)*C92)/100</f>
        <v>1</v>
      </c>
      <c r="E92" s="105"/>
      <c r="F92" s="106"/>
      <c r="G92" s="105"/>
      <c r="H92" s="110"/>
      <c r="I92" s="14" t="s">
        <v>100</v>
      </c>
      <c r="J92" s="29">
        <f ca="1">H88</f>
        <v>38</v>
      </c>
      <c r="K92" s="21"/>
    </row>
    <row r="93" spans="1:11" s="33" customFormat="1" x14ac:dyDescent="0.25">
      <c r="A93" s="102" t="s">
        <v>129</v>
      </c>
      <c r="B93" s="100"/>
      <c r="C93" s="44">
        <v>4</v>
      </c>
      <c r="D93" s="19">
        <f ca="1">((100/(D88+F88+H88))*C93)/100</f>
        <v>0.10256410256410257</v>
      </c>
      <c r="E93" s="105"/>
      <c r="F93" s="106"/>
      <c r="G93" s="105"/>
      <c r="H93" s="110"/>
      <c r="I93" s="14" t="s">
        <v>101</v>
      </c>
      <c r="J93" s="30">
        <f ca="1">(IF(B88&gt;1,(H88/(B88+2)),H88/4))</f>
        <v>9.5</v>
      </c>
      <c r="K93" s="21"/>
    </row>
    <row r="94" spans="1:11" s="33" customFormat="1" x14ac:dyDescent="0.25">
      <c r="A94" s="102" t="s">
        <v>136</v>
      </c>
      <c r="B94" s="100" t="s">
        <v>130</v>
      </c>
      <c r="C94" s="44">
        <v>0</v>
      </c>
      <c r="D94" s="19">
        <f ca="1">((100/H88)*C94)/100</f>
        <v>0</v>
      </c>
      <c r="E94" s="105"/>
      <c r="F94" s="106"/>
      <c r="G94" s="105"/>
      <c r="H94" s="110"/>
      <c r="I94" s="14" t="s">
        <v>102</v>
      </c>
      <c r="J94" s="30">
        <f ca="1">(IF(B88&gt;1,(H88/(B88+2)+J93),H88/4+J93))</f>
        <v>19</v>
      </c>
      <c r="K94" s="21"/>
    </row>
    <row r="95" spans="1:11" s="33" customFormat="1" x14ac:dyDescent="0.25">
      <c r="A95" s="102" t="s">
        <v>137</v>
      </c>
      <c r="B95" s="100" t="s">
        <v>130</v>
      </c>
      <c r="C95" s="44">
        <v>0</v>
      </c>
      <c r="D95" s="19">
        <f ca="1">((100/H88)*C95)/100</f>
        <v>0</v>
      </c>
      <c r="E95" s="105"/>
      <c r="F95" s="106"/>
      <c r="G95" s="105"/>
      <c r="H95" s="110"/>
      <c r="I95" s="14" t="s">
        <v>146</v>
      </c>
      <c r="J95" s="30">
        <f>(IF(B88&gt;1,(H88/(B88+2)+J94),0))</f>
        <v>0</v>
      </c>
      <c r="K95" s="21"/>
    </row>
    <row r="96" spans="1:11" s="33" customFormat="1" x14ac:dyDescent="0.25">
      <c r="A96" s="102" t="s">
        <v>135</v>
      </c>
      <c r="B96" s="100" t="s">
        <v>132</v>
      </c>
      <c r="C96" s="44">
        <v>0</v>
      </c>
      <c r="D96" s="19">
        <f ca="1">((100/(H88))*C96)/100</f>
        <v>0</v>
      </c>
      <c r="E96" s="105"/>
      <c r="F96" s="106"/>
      <c r="G96" s="105"/>
      <c r="H96" s="110"/>
      <c r="I96" s="14" t="s">
        <v>143</v>
      </c>
      <c r="J96" s="30">
        <f>(IF(B88&gt;2,(H88/(B88+2)+J95),0))</f>
        <v>0</v>
      </c>
      <c r="K96" s="21"/>
    </row>
    <row r="97" spans="1:11" s="33" customFormat="1" x14ac:dyDescent="0.25">
      <c r="A97" s="102" t="s">
        <v>131</v>
      </c>
      <c r="B97" s="100" t="s">
        <v>131</v>
      </c>
      <c r="C97" s="44">
        <v>0</v>
      </c>
      <c r="D97" s="19">
        <f ca="1">((100/H88)*C97)/100</f>
        <v>0</v>
      </c>
      <c r="E97" s="105"/>
      <c r="F97" s="106"/>
      <c r="G97" s="105"/>
      <c r="H97" s="110"/>
      <c r="I97" s="14" t="s">
        <v>144</v>
      </c>
      <c r="J97" s="31">
        <f>(IF(B88&gt;3,(H88/(B88+2)+J96),0))</f>
        <v>0</v>
      </c>
      <c r="K97" s="21"/>
    </row>
    <row r="98" spans="1:11" s="33" customFormat="1" x14ac:dyDescent="0.25">
      <c r="A98" s="102" t="s">
        <v>138</v>
      </c>
      <c r="B98" s="100"/>
      <c r="C98" s="44">
        <v>0</v>
      </c>
      <c r="D98" s="19">
        <f ca="1">((100/H88)*C98)/100</f>
        <v>0</v>
      </c>
      <c r="E98" s="105"/>
      <c r="F98" s="106"/>
      <c r="G98" s="105"/>
      <c r="H98" s="110"/>
      <c r="I98" s="14" t="s">
        <v>145</v>
      </c>
      <c r="J98" s="30">
        <f>(IF(B88&gt;4,(H88/(B88+2)+J97),0))</f>
        <v>0</v>
      </c>
      <c r="K98" s="21"/>
    </row>
    <row r="99" spans="1:11" x14ac:dyDescent="0.25">
      <c r="A99" s="102" t="s">
        <v>133</v>
      </c>
      <c r="B99" s="100" t="s">
        <v>133</v>
      </c>
      <c r="C99" s="44">
        <v>0</v>
      </c>
      <c r="D99" s="19">
        <f ca="1">((100/(H88))*C99)/100</f>
        <v>0</v>
      </c>
      <c r="E99" s="105"/>
      <c r="F99" s="106"/>
      <c r="G99" s="105"/>
      <c r="H99" s="110"/>
      <c r="I99" s="14" t="s">
        <v>147</v>
      </c>
      <c r="J99" s="30">
        <f ca="1">(IF(B88=1,(H88/(B88+3)+J94),IF(B88=0,(H88/4+J94),IF(B88&gt;1,0))))</f>
        <v>28.5</v>
      </c>
    </row>
    <row r="100" spans="1:11" s="34" customFormat="1" ht="16.5" thickBot="1" x14ac:dyDescent="0.3">
      <c r="A100" s="112" t="s">
        <v>134</v>
      </c>
      <c r="B100" s="113"/>
      <c r="C100" s="45">
        <v>0</v>
      </c>
      <c r="D100" s="20">
        <f ca="1">((100/(H88))*C100)/100</f>
        <v>0</v>
      </c>
      <c r="E100" s="107"/>
      <c r="F100" s="108"/>
      <c r="G100" s="107"/>
      <c r="H100" s="111"/>
      <c r="I100" s="15" t="s">
        <v>103</v>
      </c>
      <c r="J100" s="32">
        <f ca="1">(IF(B88&gt;1.5,(H88/(B88+2)+J94+MAX(0,J95-J94)+MAX(0,J96-J95)+MAX(0,J97-J96)+MAX(0,J98-J97)+MAX(0,J99-J98)),IF(B88=1,(H88/(B88+3)+J99),IF(B88=0,H88/4+J99))))</f>
        <v>38</v>
      </c>
      <c r="K100" s="21"/>
    </row>
    <row r="101" spans="1:11" s="35" customFormat="1" ht="15.75" customHeight="1" x14ac:dyDescent="0.25">
      <c r="A101" s="114" t="s">
        <v>140</v>
      </c>
      <c r="B101" s="115"/>
      <c r="C101" s="116" t="s">
        <v>262</v>
      </c>
      <c r="D101" s="117"/>
      <c r="E101" s="117"/>
      <c r="F101" s="117"/>
      <c r="G101" s="117"/>
      <c r="H101" s="118"/>
      <c r="I101" s="49" t="str">
        <f ca="1">IF(D114=100%,"All work Completed. Possession granted to the Building.",IF(D113=100%,"All work Completed, Waiting for OC",I102&amp;""&amp;I103&amp;""&amp;J102&amp;""&amp;J101&amp;" "&amp;J103))</f>
        <v>Excavation, Plinth Completed, RCC upto 6 Slab Completed</v>
      </c>
      <c r="J101" s="50" t="str">
        <f ca="1">(IF(C107=(D102+F102+H102),"",IF(C107&gt;0,", RCC upto "&amp;C107&amp;" Slab","")))&amp;(IF(C108=H102,"",IF(C108&gt;0,", Brickwork upto "&amp;C108&amp;" Floor","")))&amp;(IF(C109=H102,"",IF(C109&gt;0,", Internal Plaster upto "&amp;C109&amp;" Floor","")))&amp;(IF(C110=H102,"",IF(C110&gt;0,", External Plaster upto "&amp;C110&amp;" Floor","")))&amp;(IF(C111=H102,"",IF(C111&gt;0,", Flooring upto "&amp;C111&amp;" Floor","")))&amp;(IF(C112=H102,"",IF(C112&gt;0,", Painting upto "&amp;C112&amp;" Floor","")))&amp;(IF(C113=H102,"",IF(C113&gt;0,", Finishing upto "&amp;C113&amp;" Floor","")))&amp;(IF(C114=H102,"",IF(C114&gt;0,", Possession upto "&amp;C114&amp;" Floor","")))</f>
        <v>, RCC upto 6 Slab</v>
      </c>
      <c r="K101" s="21"/>
    </row>
    <row r="102" spans="1:11" s="35" customFormat="1" ht="15.75" customHeight="1" x14ac:dyDescent="0.25">
      <c r="A102" s="16" t="s">
        <v>142</v>
      </c>
      <c r="B102" s="54">
        <v>1</v>
      </c>
      <c r="C102" s="54" t="s">
        <v>71</v>
      </c>
      <c r="D102" s="54">
        <v>1</v>
      </c>
      <c r="E102" s="54" t="s">
        <v>70</v>
      </c>
      <c r="F102" s="54">
        <v>0</v>
      </c>
      <c r="G102" s="48" t="s">
        <v>79</v>
      </c>
      <c r="H102" s="17">
        <f ca="1">--TRIM(RIGHT(SUBSTITUTE(LEFT(C101,_xlfn.AGGREGATE(16,6,FIND({0,1,2,3,4,5,6,7,8,9},C101,ROW(INDIRECT("1:"&amp;LEN(C101)))),1))," ",REPT(" ",LEN(C101))),LEN(C101)))</f>
        <v>38</v>
      </c>
      <c r="I102" s="51" t="str">
        <f ca="1">IF(D105=100%,"Excavation","")&amp;IF(D106=100%,", Plinth","")&amp;IF(D107=100%,", RCC Slab","")&amp;IF(D108=100%,", Brickwork","")&amp;IF(D109=100%,", Internal Plaster","")&amp;IF(D110=100%,", External Plaster","")&amp;IF(D111=100%,", Flooring","")&amp;IF(D112=100%,", Painting","")&amp;IF(D113=100%,", Building common Amenities","")</f>
        <v>Excavation, Plinth</v>
      </c>
      <c r="J102" s="52" t="str">
        <f ca="1">(IF(C105=0,"Work not yet Started.",IF(D105=25%,"Piling work in process",IF(D105=50%,"Excavation work in process",IF(D105=100%,"","0")))))&amp;(IF(C106=0%,"",IF(C106=J107,", Footing work is process",IF(C106=J108,", Footing work Completed",IF(C106=J109,", 1st Basement Completed",IF(C106=J110,", 1st &amp; 2nd Basement Completed",IF(C106=J111,", 1st to 3rd Basement Completed",IF(C106=J112,", 1st to 4th Basement Completed",IF(C106=J113,", Plinth work is process",IF(C106=J114,"","0"))))))))))</f>
        <v/>
      </c>
      <c r="K102" s="21"/>
    </row>
    <row r="103" spans="1:11" s="35" customFormat="1" x14ac:dyDescent="0.25">
      <c r="A103" s="119" t="s">
        <v>89</v>
      </c>
      <c r="B103" s="120"/>
      <c r="C103" s="121" t="str">
        <f ca="1">I101</f>
        <v>Excavation, Plinth Completed, RCC upto 6 Slab Completed</v>
      </c>
      <c r="D103" s="121"/>
      <c r="E103" s="121"/>
      <c r="F103" s="121"/>
      <c r="G103" s="121"/>
      <c r="H103" s="122"/>
      <c r="I103" s="51" t="str">
        <f ca="1">IF(I102&lt;&gt;""," Completed","")</f>
        <v xml:space="preserve"> Completed</v>
      </c>
      <c r="J103" s="52" t="str">
        <f ca="1">IF(J101&lt;&gt;"","Completed","")</f>
        <v>Completed</v>
      </c>
      <c r="K103" s="21"/>
    </row>
    <row r="104" spans="1:11" s="35" customFormat="1" x14ac:dyDescent="0.25">
      <c r="A104" s="102" t="s">
        <v>49</v>
      </c>
      <c r="B104" s="100"/>
      <c r="C104" s="44" t="s">
        <v>139</v>
      </c>
      <c r="D104" s="44" t="s">
        <v>82</v>
      </c>
      <c r="E104" s="100" t="s">
        <v>84</v>
      </c>
      <c r="F104" s="100"/>
      <c r="G104" s="100" t="s">
        <v>83</v>
      </c>
      <c r="H104" s="101"/>
      <c r="I104" s="14" t="s">
        <v>141</v>
      </c>
      <c r="J104" s="28">
        <f ca="1">H102*25%</f>
        <v>9.5</v>
      </c>
      <c r="K104" s="21"/>
    </row>
    <row r="105" spans="1:11" s="35" customFormat="1" x14ac:dyDescent="0.25">
      <c r="A105" s="102" t="s">
        <v>128</v>
      </c>
      <c r="B105" s="100"/>
      <c r="C105" s="44">
        <f ca="1">J106</f>
        <v>38</v>
      </c>
      <c r="D105" s="19">
        <f ca="1">((100/H102)*C105)/100</f>
        <v>1</v>
      </c>
      <c r="E105" s="103">
        <f ca="1">(((C106/H102*10)+(40/(D102+F102+H102)*C107)+(7.5/(H102)*C108)+(7.5/(H102)*C109)+(10/H102*C110)+(10/H102*C111)+(5/H102*C112)+(5/H102*C113)+(5/H102*C114))/100)</f>
        <v>0.16153846153846152</v>
      </c>
      <c r="F105" s="104"/>
      <c r="G105" s="103">
        <f ca="1">((((C105/H102)*20)+((C106/H102)*25)+(30/(H102+F102+D102)*C107)+(5/H102*C108)+(5/H102*C109)+(5/H102*C110)+(5/H102*C111)+(0/H102*C112)+(0/H102*C113)+(5/H102*C114))/100)</f>
        <v>0.49615384615384611</v>
      </c>
      <c r="H105" s="109"/>
      <c r="I105" s="14" t="s">
        <v>99</v>
      </c>
      <c r="J105" s="29">
        <f ca="1">H102*50%</f>
        <v>19</v>
      </c>
      <c r="K105" s="21"/>
    </row>
    <row r="106" spans="1:11" s="35" customFormat="1" x14ac:dyDescent="0.25">
      <c r="A106" s="102" t="s">
        <v>50</v>
      </c>
      <c r="B106" s="100"/>
      <c r="C106" s="60">
        <f ca="1">J114</f>
        <v>38</v>
      </c>
      <c r="D106" s="19">
        <f ca="1">((100/H102)*C106)/100</f>
        <v>1</v>
      </c>
      <c r="E106" s="105"/>
      <c r="F106" s="106"/>
      <c r="G106" s="105"/>
      <c r="H106" s="110"/>
      <c r="I106" s="14" t="s">
        <v>100</v>
      </c>
      <c r="J106" s="29">
        <f ca="1">H102</f>
        <v>38</v>
      </c>
      <c r="K106" s="21"/>
    </row>
    <row r="107" spans="1:11" s="35" customFormat="1" ht="15.75" customHeight="1" x14ac:dyDescent="0.25">
      <c r="A107" s="102" t="s">
        <v>129</v>
      </c>
      <c r="B107" s="100"/>
      <c r="C107" s="44">
        <v>6</v>
      </c>
      <c r="D107" s="19">
        <f ca="1">((100/(D102+F102+H102))*C107)/100</f>
        <v>0.15384615384615385</v>
      </c>
      <c r="E107" s="105"/>
      <c r="F107" s="106"/>
      <c r="G107" s="105"/>
      <c r="H107" s="110"/>
      <c r="I107" s="14" t="s">
        <v>101</v>
      </c>
      <c r="J107" s="30">
        <f ca="1">(IF(B102&gt;1,(H102/(B102+2)),H102/4))</f>
        <v>9.5</v>
      </c>
      <c r="K107" s="21"/>
    </row>
    <row r="108" spans="1:11" s="35" customFormat="1" x14ac:dyDescent="0.25">
      <c r="A108" s="102" t="s">
        <v>136</v>
      </c>
      <c r="B108" s="100" t="s">
        <v>130</v>
      </c>
      <c r="C108" s="44">
        <v>0</v>
      </c>
      <c r="D108" s="19">
        <f ca="1">((100/H102)*C108)/100</f>
        <v>0</v>
      </c>
      <c r="E108" s="105"/>
      <c r="F108" s="106"/>
      <c r="G108" s="105"/>
      <c r="H108" s="110"/>
      <c r="I108" s="14" t="s">
        <v>102</v>
      </c>
      <c r="J108" s="30">
        <f ca="1">(IF(B102&gt;1,(H102/(B102+2)+J107),H102/4+J107))</f>
        <v>19</v>
      </c>
      <c r="K108" s="21"/>
    </row>
    <row r="109" spans="1:11" s="35" customFormat="1" x14ac:dyDescent="0.25">
      <c r="A109" s="102" t="s">
        <v>137</v>
      </c>
      <c r="B109" s="100" t="s">
        <v>130</v>
      </c>
      <c r="C109" s="44">
        <v>0</v>
      </c>
      <c r="D109" s="19">
        <f ca="1">((100/H102)*C109)/100</f>
        <v>0</v>
      </c>
      <c r="E109" s="105"/>
      <c r="F109" s="106"/>
      <c r="G109" s="105"/>
      <c r="H109" s="110"/>
      <c r="I109" s="14" t="s">
        <v>146</v>
      </c>
      <c r="J109" s="30">
        <f>(IF(B102&gt;1,(H102/(B102+2)+J108),0))</f>
        <v>0</v>
      </c>
      <c r="K109" s="21"/>
    </row>
    <row r="110" spans="1:11" s="35" customFormat="1" x14ac:dyDescent="0.25">
      <c r="A110" s="102" t="s">
        <v>135</v>
      </c>
      <c r="B110" s="100" t="s">
        <v>132</v>
      </c>
      <c r="C110" s="44">
        <v>0</v>
      </c>
      <c r="D110" s="19">
        <f ca="1">((100/(H102))*C110)/100</f>
        <v>0</v>
      </c>
      <c r="E110" s="105"/>
      <c r="F110" s="106"/>
      <c r="G110" s="105"/>
      <c r="H110" s="110"/>
      <c r="I110" s="14" t="s">
        <v>143</v>
      </c>
      <c r="J110" s="30">
        <f>(IF(B102&gt;2,(H102/(B102+2)+J109),0))</f>
        <v>0</v>
      </c>
      <c r="K110" s="21"/>
    </row>
    <row r="111" spans="1:11" s="34" customFormat="1" x14ac:dyDescent="0.25">
      <c r="A111" s="102" t="s">
        <v>131</v>
      </c>
      <c r="B111" s="100" t="s">
        <v>131</v>
      </c>
      <c r="C111" s="44">
        <v>0</v>
      </c>
      <c r="D111" s="19">
        <f ca="1">((100/H102)*C111)/100</f>
        <v>0</v>
      </c>
      <c r="E111" s="105"/>
      <c r="F111" s="106"/>
      <c r="G111" s="105"/>
      <c r="H111" s="110"/>
      <c r="I111" s="14" t="s">
        <v>144</v>
      </c>
      <c r="J111" s="31">
        <f>(IF(B102&gt;3,(H102/(B102+2)+J110),0))</f>
        <v>0</v>
      </c>
      <c r="K111" s="21"/>
    </row>
    <row r="112" spans="1:11" x14ac:dyDescent="0.25">
      <c r="A112" s="102" t="s">
        <v>138</v>
      </c>
      <c r="B112" s="100"/>
      <c r="C112" s="44">
        <v>0</v>
      </c>
      <c r="D112" s="19">
        <f ca="1">((100/H102)*C112)/100</f>
        <v>0</v>
      </c>
      <c r="E112" s="105"/>
      <c r="F112" s="106"/>
      <c r="G112" s="105"/>
      <c r="H112" s="110"/>
      <c r="I112" s="14" t="s">
        <v>145</v>
      </c>
      <c r="J112" s="30">
        <f>(IF(B102&gt;4,(H102/(B102+2)+J111),0))</f>
        <v>0</v>
      </c>
    </row>
    <row r="113" spans="1:14" x14ac:dyDescent="0.25">
      <c r="A113" s="102" t="s">
        <v>133</v>
      </c>
      <c r="B113" s="100" t="s">
        <v>133</v>
      </c>
      <c r="C113" s="44">
        <v>0</v>
      </c>
      <c r="D113" s="19">
        <f ca="1">((100/(H102))*C113)/100</f>
        <v>0</v>
      </c>
      <c r="E113" s="105"/>
      <c r="F113" s="106"/>
      <c r="G113" s="105"/>
      <c r="H113" s="110"/>
      <c r="I113" s="14" t="s">
        <v>147</v>
      </c>
      <c r="J113" s="30">
        <f ca="1">(IF(B102=1,(H102/(B102+3)+J108),IF(B102=0,(H102/4+J108),IF(B102&gt;1,0))))</f>
        <v>28.5</v>
      </c>
    </row>
    <row r="114" spans="1:14" s="37" customFormat="1" ht="16.5" thickBot="1" x14ac:dyDescent="0.3">
      <c r="A114" s="112" t="s">
        <v>134</v>
      </c>
      <c r="B114" s="113"/>
      <c r="C114" s="45">
        <v>0</v>
      </c>
      <c r="D114" s="20">
        <f ca="1">((100/(H102))*C114)/100</f>
        <v>0</v>
      </c>
      <c r="E114" s="107"/>
      <c r="F114" s="108"/>
      <c r="G114" s="107"/>
      <c r="H114" s="111"/>
      <c r="I114" s="15" t="s">
        <v>103</v>
      </c>
      <c r="J114" s="32">
        <f ca="1">(IF(B102&gt;1.5,(H102/(B102+2)+J108+MAX(0,J109-J108)+MAX(0,J110-J109)+MAX(0,J111-J110)+MAX(0,J112-J111)+MAX(0,J113-J112)),IF(B102=1,(H102/(B102+3)+J113),IF(B102=0,H102/4+J113))))</f>
        <v>38</v>
      </c>
      <c r="K114" s="21"/>
    </row>
    <row r="115" spans="1:14" s="37" customFormat="1" x14ac:dyDescent="0.25">
      <c r="A115" s="141" t="s">
        <v>157</v>
      </c>
      <c r="B115" s="141"/>
      <c r="C115" s="141"/>
      <c r="D115" s="141"/>
      <c r="E115" s="141"/>
      <c r="F115" s="140" t="s">
        <v>162</v>
      </c>
      <c r="G115" s="140"/>
      <c r="H115" s="140"/>
      <c r="I115" s="21"/>
      <c r="J115" s="21"/>
      <c r="K115" s="21"/>
    </row>
    <row r="116" spans="1:14" s="37" customFormat="1" x14ac:dyDescent="0.25">
      <c r="A116" s="125" t="s">
        <v>160</v>
      </c>
      <c r="B116" s="125"/>
      <c r="C116" s="125"/>
      <c r="D116" s="125"/>
      <c r="E116" s="125"/>
      <c r="F116" s="132">
        <v>16500</v>
      </c>
      <c r="G116" s="132"/>
      <c r="H116" s="132"/>
      <c r="I116" s="21"/>
      <c r="J116" s="21"/>
      <c r="K116" s="21"/>
      <c r="L116" s="133"/>
      <c r="M116" s="133"/>
      <c r="N116" s="36"/>
    </row>
    <row r="117" spans="1:14" s="37" customFormat="1" x14ac:dyDescent="0.25">
      <c r="A117" s="125" t="s">
        <v>159</v>
      </c>
      <c r="B117" s="125"/>
      <c r="C117" s="125"/>
      <c r="D117" s="125"/>
      <c r="E117" s="125"/>
      <c r="F117" s="132">
        <v>28000</v>
      </c>
      <c r="G117" s="132"/>
      <c r="H117" s="132"/>
      <c r="I117" s="21"/>
      <c r="J117" s="21"/>
      <c r="K117" s="21"/>
      <c r="L117" s="133"/>
      <c r="M117" s="133"/>
      <c r="N117" s="36"/>
    </row>
    <row r="118" spans="1:14" s="37" customFormat="1" x14ac:dyDescent="0.25">
      <c r="A118" s="125" t="s">
        <v>161</v>
      </c>
      <c r="B118" s="125"/>
      <c r="C118" s="125"/>
      <c r="D118" s="125"/>
      <c r="E118" s="125"/>
      <c r="F118" s="132">
        <v>25000</v>
      </c>
      <c r="G118" s="132"/>
      <c r="H118" s="132"/>
      <c r="I118" s="21"/>
      <c r="J118" s="21"/>
      <c r="K118" s="21"/>
      <c r="L118" s="133"/>
      <c r="M118" s="133"/>
      <c r="N118" s="36"/>
    </row>
    <row r="119" spans="1:14" s="37" customFormat="1" hidden="1" x14ac:dyDescent="0.25">
      <c r="A119" s="125" t="s">
        <v>158</v>
      </c>
      <c r="B119" s="125"/>
      <c r="C119" s="125"/>
      <c r="D119" s="125"/>
      <c r="E119" s="125"/>
      <c r="F119" s="132"/>
      <c r="G119" s="132"/>
      <c r="H119" s="132"/>
      <c r="I119" s="33"/>
      <c r="J119" s="33"/>
      <c r="K119" s="33"/>
      <c r="L119" s="133"/>
      <c r="M119" s="133"/>
      <c r="N119" s="36"/>
    </row>
    <row r="120" spans="1:14" s="37" customFormat="1" hidden="1" x14ac:dyDescent="0.25">
      <c r="A120" s="125" t="s">
        <v>93</v>
      </c>
      <c r="B120" s="125"/>
      <c r="C120" s="125"/>
      <c r="D120" s="125"/>
      <c r="E120" s="125"/>
      <c r="F120" s="132"/>
      <c r="G120" s="132"/>
      <c r="H120" s="132"/>
      <c r="I120" s="33"/>
      <c r="J120" s="33"/>
      <c r="K120" s="33"/>
      <c r="N120" s="36"/>
    </row>
    <row r="121" spans="1:14" hidden="1" x14ac:dyDescent="0.25">
      <c r="A121" s="125" t="s">
        <v>94</v>
      </c>
      <c r="B121" s="125"/>
      <c r="C121" s="125"/>
      <c r="D121" s="125"/>
      <c r="E121" s="125"/>
      <c r="F121" s="132"/>
      <c r="G121" s="132"/>
      <c r="H121" s="132"/>
      <c r="I121" s="33"/>
      <c r="J121" s="33"/>
      <c r="K121" s="33"/>
    </row>
    <row r="122" spans="1:14" s="37" customFormat="1" hidden="1" x14ac:dyDescent="0.25">
      <c r="A122" s="125" t="s">
        <v>163</v>
      </c>
      <c r="B122" s="125"/>
      <c r="C122" s="125"/>
      <c r="D122" s="125"/>
      <c r="E122" s="125"/>
      <c r="F122" s="132"/>
      <c r="G122" s="132"/>
      <c r="H122" s="132"/>
      <c r="I122" s="33"/>
      <c r="J122" s="33"/>
      <c r="K122" s="33"/>
    </row>
    <row r="123" spans="1:14" s="37" customFormat="1" hidden="1" x14ac:dyDescent="0.25">
      <c r="A123" s="125" t="s">
        <v>95</v>
      </c>
      <c r="B123" s="125"/>
      <c r="C123" s="125"/>
      <c r="D123" s="125"/>
      <c r="E123" s="125"/>
      <c r="F123" s="132"/>
      <c r="G123" s="132"/>
      <c r="H123" s="132"/>
      <c r="I123" s="33"/>
      <c r="J123" s="33"/>
      <c r="K123" s="33"/>
    </row>
    <row r="124" spans="1:14" s="37" customFormat="1" hidden="1" x14ac:dyDescent="0.25">
      <c r="A124" s="125" t="s">
        <v>96</v>
      </c>
      <c r="B124" s="125"/>
      <c r="C124" s="125"/>
      <c r="D124" s="125"/>
      <c r="E124" s="125"/>
      <c r="F124" s="132"/>
      <c r="G124" s="132"/>
      <c r="H124" s="132"/>
      <c r="I124" s="33"/>
      <c r="J124" s="33"/>
      <c r="K124" s="33"/>
      <c r="L124" s="133"/>
      <c r="M124" s="133"/>
      <c r="N124" s="36"/>
    </row>
    <row r="125" spans="1:14" s="37" customFormat="1" hidden="1" x14ac:dyDescent="0.25">
      <c r="A125" s="125" t="s">
        <v>97</v>
      </c>
      <c r="B125" s="125"/>
      <c r="C125" s="125"/>
      <c r="D125" s="125"/>
      <c r="E125" s="125"/>
      <c r="F125" s="132"/>
      <c r="G125" s="132"/>
      <c r="H125" s="132"/>
      <c r="I125" s="33"/>
      <c r="J125" s="33"/>
      <c r="K125" s="33"/>
      <c r="L125" s="133"/>
      <c r="M125" s="133"/>
      <c r="N125" s="36"/>
    </row>
    <row r="126" spans="1:14" s="37" customFormat="1" hidden="1" x14ac:dyDescent="0.25">
      <c r="A126" s="125" t="s">
        <v>98</v>
      </c>
      <c r="B126" s="125"/>
      <c r="C126" s="125"/>
      <c r="D126" s="125"/>
      <c r="E126" s="125"/>
      <c r="F126" s="132"/>
      <c r="G126" s="132"/>
      <c r="H126" s="132"/>
      <c r="I126" s="33"/>
      <c r="J126" s="33"/>
      <c r="K126" s="33"/>
      <c r="L126" s="133"/>
      <c r="M126" s="133"/>
      <c r="N126" s="36"/>
    </row>
    <row r="127" spans="1:14" s="37" customFormat="1" x14ac:dyDescent="0.25">
      <c r="A127" s="125" t="s">
        <v>51</v>
      </c>
      <c r="B127" s="125"/>
      <c r="C127" s="125"/>
      <c r="D127" s="125"/>
      <c r="E127" s="125"/>
      <c r="F127" s="132">
        <v>600000</v>
      </c>
      <c r="G127" s="132"/>
      <c r="H127" s="132"/>
      <c r="I127" s="21"/>
      <c r="J127" s="21"/>
      <c r="K127" s="21"/>
      <c r="L127" s="133"/>
      <c r="M127" s="133"/>
      <c r="N127" s="36"/>
    </row>
    <row r="128" spans="1:14" s="37" customFormat="1" x14ac:dyDescent="0.25">
      <c r="A128" s="145" t="s">
        <v>52</v>
      </c>
      <c r="B128" s="145"/>
      <c r="C128" s="145"/>
      <c r="D128" s="145"/>
      <c r="E128" s="145"/>
      <c r="F128" s="132">
        <f>F116*0.8</f>
        <v>13200</v>
      </c>
      <c r="G128" s="132"/>
      <c r="H128" s="132"/>
      <c r="I128" s="34"/>
      <c r="J128" s="34"/>
      <c r="K128" s="34"/>
      <c r="L128" s="133"/>
      <c r="M128" s="133"/>
    </row>
    <row r="129" spans="1:14" s="37" customFormat="1" x14ac:dyDescent="0.25">
      <c r="A129" s="76" t="s">
        <v>198</v>
      </c>
      <c r="B129" s="77"/>
      <c r="C129" s="77"/>
      <c r="D129" s="77"/>
      <c r="E129" s="77"/>
      <c r="F129" s="77"/>
      <c r="G129" s="77"/>
      <c r="H129" s="78"/>
      <c r="I129" s="34"/>
      <c r="J129" s="34"/>
      <c r="K129" s="34"/>
    </row>
    <row r="130" spans="1:14" s="37" customFormat="1" x14ac:dyDescent="0.25">
      <c r="A130" s="127" t="s">
        <v>74</v>
      </c>
      <c r="B130" s="127"/>
      <c r="C130" s="127"/>
      <c r="D130" s="127"/>
      <c r="E130" s="127"/>
      <c r="F130" s="127"/>
      <c r="G130" s="127"/>
      <c r="H130" s="127"/>
      <c r="I130" s="35"/>
      <c r="J130" s="35"/>
      <c r="K130" s="35"/>
      <c r="N130" s="36"/>
    </row>
    <row r="131" spans="1:14" s="37" customFormat="1" x14ac:dyDescent="0.25">
      <c r="A131" s="126" t="s">
        <v>53</v>
      </c>
      <c r="B131" s="126"/>
      <c r="C131" s="129" t="s">
        <v>77</v>
      </c>
      <c r="D131" s="129"/>
      <c r="E131" s="131" t="s">
        <v>54</v>
      </c>
      <c r="F131" s="131"/>
      <c r="G131" s="126" t="s">
        <v>55</v>
      </c>
      <c r="H131" s="126"/>
      <c r="I131" s="35"/>
      <c r="J131" s="35"/>
      <c r="K131" s="35"/>
      <c r="N131" s="36"/>
    </row>
    <row r="132" spans="1:14" s="37" customFormat="1" ht="15.75" customHeight="1" x14ac:dyDescent="0.25">
      <c r="A132" s="79" t="s">
        <v>199</v>
      </c>
      <c r="B132" s="47" t="s">
        <v>203</v>
      </c>
      <c r="C132" s="72">
        <f>COUNT(D151:D163)</f>
        <v>13</v>
      </c>
      <c r="D132" s="73"/>
      <c r="E132" s="74">
        <f>SUM(D151:D163)</f>
        <v>6165.619200000001</v>
      </c>
      <c r="F132" s="75"/>
      <c r="G132" s="74">
        <f>SUM(F151:F163)</f>
        <v>9556.7097599999997</v>
      </c>
      <c r="H132" s="75"/>
      <c r="I132" s="35">
        <f>13+12+12</f>
        <v>37</v>
      </c>
      <c r="J132" s="35">
        <f>21+20</f>
        <v>41</v>
      </c>
      <c r="K132" s="35"/>
      <c r="N132" s="36"/>
    </row>
    <row r="133" spans="1:14" s="37" customFormat="1" x14ac:dyDescent="0.25">
      <c r="A133" s="80"/>
      <c r="B133" s="47" t="s">
        <v>208</v>
      </c>
      <c r="C133" s="72">
        <f>COUNT(D166:D172)*2+COUNT(D174:D180)</f>
        <v>21</v>
      </c>
      <c r="D133" s="72"/>
      <c r="E133" s="74">
        <f>SUM(D166:D172)*2+SUM(D174:D180)</f>
        <v>6794.8826399999998</v>
      </c>
      <c r="F133" s="74"/>
      <c r="G133" s="74">
        <f>SUM(F166:F172)*2+SUM(F174:F180)</f>
        <v>10532.068092</v>
      </c>
      <c r="H133" s="74"/>
      <c r="I133" s="35"/>
      <c r="J133" s="35"/>
      <c r="K133" s="35"/>
      <c r="N133" s="36"/>
    </row>
    <row r="134" spans="1:14" s="37" customFormat="1" x14ac:dyDescent="0.25">
      <c r="A134" s="47" t="s">
        <v>201</v>
      </c>
      <c r="B134" s="47" t="s">
        <v>203</v>
      </c>
      <c r="C134" s="72">
        <f>COUNT(D183:D194)</f>
        <v>12</v>
      </c>
      <c r="D134" s="73"/>
      <c r="E134" s="74">
        <f>SUM(D183:D194)</f>
        <v>5443.7853599999999</v>
      </c>
      <c r="F134" s="75"/>
      <c r="G134" s="74">
        <f>SUM(F183:F194)</f>
        <v>8437.8673080000008</v>
      </c>
      <c r="H134" s="75"/>
      <c r="I134" s="35"/>
      <c r="J134" s="35"/>
      <c r="K134" s="35"/>
      <c r="N134" s="36"/>
    </row>
    <row r="135" spans="1:14" s="37" customFormat="1" x14ac:dyDescent="0.25">
      <c r="A135" s="79" t="s">
        <v>200</v>
      </c>
      <c r="B135" s="47" t="s">
        <v>203</v>
      </c>
      <c r="C135" s="72">
        <f>COUNT(D200:D211)</f>
        <v>12</v>
      </c>
      <c r="D135" s="73"/>
      <c r="E135" s="74">
        <f>SUM(D200:D211)</f>
        <v>5293.1970000000001</v>
      </c>
      <c r="F135" s="75"/>
      <c r="G135" s="74">
        <f>SUM(F200:F211)</f>
        <v>8204.4553500000002</v>
      </c>
      <c r="H135" s="75"/>
      <c r="I135" s="35"/>
      <c r="J135" s="35"/>
      <c r="K135" s="35"/>
      <c r="N135" s="36"/>
    </row>
    <row r="136" spans="1:14" s="37" customFormat="1" x14ac:dyDescent="0.25">
      <c r="A136" s="80"/>
      <c r="B136" s="47" t="s">
        <v>208</v>
      </c>
      <c r="C136" s="72">
        <f>COUNT(D213:D217)+COUNT(D219:D223)*2+COUNT(D225:D229)</f>
        <v>20</v>
      </c>
      <c r="D136" s="72"/>
      <c r="E136" s="74">
        <f>SUM(D213:D217)+SUM(D219:D223)*2+SUM(D225:D229)</f>
        <v>6057.1180799999984</v>
      </c>
      <c r="F136" s="74"/>
      <c r="G136" s="74">
        <f>SUM(F213:F217)+SUM(F219:F223)*2+SUM(F225:F229)</f>
        <v>9388.5330239999985</v>
      </c>
      <c r="H136" s="74"/>
      <c r="I136" s="35"/>
      <c r="J136" s="35"/>
      <c r="K136" s="35"/>
      <c r="N136" s="36"/>
    </row>
    <row r="137" spans="1:14" s="37" customFormat="1" x14ac:dyDescent="0.25">
      <c r="A137" s="127" t="s">
        <v>150</v>
      </c>
      <c r="B137" s="127"/>
      <c r="C137" s="128">
        <f t="shared" ref="C137:G137" si="0">SUM(C132:D136)</f>
        <v>78</v>
      </c>
      <c r="D137" s="129"/>
      <c r="E137" s="130">
        <f t="shared" si="0"/>
        <v>29754.602279999999</v>
      </c>
      <c r="F137" s="131"/>
      <c r="G137" s="126">
        <f t="shared" si="0"/>
        <v>46119.633534000001</v>
      </c>
      <c r="H137" s="126"/>
      <c r="I137" s="35"/>
      <c r="J137" s="35"/>
      <c r="K137" s="35"/>
      <c r="N137" s="36"/>
    </row>
    <row r="138" spans="1:14" s="37" customFormat="1" ht="15.75" customHeight="1" x14ac:dyDescent="0.25">
      <c r="A138" s="127" t="s">
        <v>69</v>
      </c>
      <c r="B138" s="127"/>
      <c r="C138" s="127"/>
      <c r="D138" s="127"/>
      <c r="E138" s="127"/>
      <c r="F138" s="127"/>
      <c r="G138" s="127"/>
      <c r="H138" s="127"/>
      <c r="I138" s="35"/>
      <c r="J138" s="35"/>
      <c r="K138" s="35"/>
    </row>
    <row r="139" spans="1:14" s="37" customFormat="1" x14ac:dyDescent="0.25">
      <c r="A139" s="126" t="s">
        <v>53</v>
      </c>
      <c r="B139" s="126"/>
      <c r="C139" s="129" t="s">
        <v>77</v>
      </c>
      <c r="D139" s="129"/>
      <c r="E139" s="131" t="s">
        <v>54</v>
      </c>
      <c r="F139" s="131"/>
      <c r="G139" s="126" t="s">
        <v>55</v>
      </c>
      <c r="H139" s="126"/>
      <c r="I139" s="35"/>
      <c r="J139" s="35"/>
      <c r="K139" s="35"/>
    </row>
    <row r="140" spans="1:14" s="37" customFormat="1" x14ac:dyDescent="0.25">
      <c r="A140" s="81" t="s">
        <v>199</v>
      </c>
      <c r="B140" s="81"/>
      <c r="C140" s="72">
        <f>COUNT(D239:D249)+COUNT(D253:D267)*24+COUNT(D271:D281)*3+COUNT(D287:D297)+COUNT(D301:D315)+COUNT(D317:D331)*3+COUNT(D333:D344)*2</f>
        <v>499</v>
      </c>
      <c r="D140" s="72"/>
      <c r="E140" s="74">
        <f>SUM(D239:D249)+SUM(D253:D267)*24+SUM(D271:D281)*3+SUM(D287:D297)+SUM(D301:D315)+SUM(D317:D331)*3+SUM(D333:D344)*2</f>
        <v>257210.84392380001</v>
      </c>
      <c r="F140" s="74"/>
      <c r="G140" s="74">
        <f>SUM(F239:F249)+SUM(F253:F267)*24+SUM(F271:F281)*3+SUM(F287:F297)+SUM(F301:F315)+SUM(F317:F331)*3+SUM(F333:F344)*2</f>
        <v>385816.26588570001</v>
      </c>
      <c r="H140" s="74"/>
      <c r="I140" s="35"/>
      <c r="J140" s="35"/>
      <c r="K140" s="35"/>
    </row>
    <row r="141" spans="1:14" s="37" customFormat="1" x14ac:dyDescent="0.25">
      <c r="A141" s="81" t="s">
        <v>201</v>
      </c>
      <c r="B141" s="81"/>
      <c r="C141" s="72">
        <f>COUNT(D348,D352:D355)+COUNT(D357:D364)*24+COUNT(D366,D370:D373)*3+COUNT(D375,D379:D382)</f>
        <v>217</v>
      </c>
      <c r="D141" s="72"/>
      <c r="E141" s="74">
        <f>SUM(D348,D352:D355)+SUM(D357:D364)*24+SUM(D366,D370:D373)*3+SUM(D375,D379:D382)</f>
        <v>179632.78047</v>
      </c>
      <c r="F141" s="74"/>
      <c r="G141" s="74">
        <f>SUM(F348,F352:F355)+SUM(F357:F364)*24+SUM(F366,F370:F373)*3+SUM(F375,F379:F382)</f>
        <v>269449.170705</v>
      </c>
      <c r="H141" s="74"/>
      <c r="I141" s="35"/>
      <c r="J141" s="35"/>
      <c r="K141" s="35"/>
    </row>
    <row r="142" spans="1:14" s="37" customFormat="1" x14ac:dyDescent="0.25">
      <c r="A142" s="81" t="s">
        <v>200</v>
      </c>
      <c r="B142" s="81"/>
      <c r="C142" s="72">
        <f>COUNT(D386,D391:D400)+COUNT(D402:D416)*24+COUNT(D418,D423:D432)*3+COUNT(D434,D439:D448)</f>
        <v>415</v>
      </c>
      <c r="D142" s="72"/>
      <c r="E142" s="74">
        <f>SUM(D386,D391:D400)+SUM(D402:D416)*24+SUM(D418,D423:D432)*3+SUM(D434,D439:D448)</f>
        <v>207695.51203050005</v>
      </c>
      <c r="F142" s="74"/>
      <c r="G142" s="74">
        <f>SUM(F386,F391:F400)+SUM(F402:F416)*24+SUM(F418,F423:F432)*3+SUM(F434,F439:F448)</f>
        <v>311543.26804574992</v>
      </c>
      <c r="H142" s="74"/>
      <c r="I142" s="35"/>
      <c r="J142" s="35"/>
      <c r="K142" s="35"/>
    </row>
    <row r="143" spans="1:14" s="37" customFormat="1" ht="15.75" customHeight="1" x14ac:dyDescent="0.25">
      <c r="A143" s="127" t="s">
        <v>150</v>
      </c>
      <c r="B143" s="127"/>
      <c r="C143" s="128">
        <f>SUM(C140:D142)</f>
        <v>1131</v>
      </c>
      <c r="D143" s="129"/>
      <c r="E143" s="130">
        <f t="shared" ref="E143:G143" si="1">SUM(E140:F142)</f>
        <v>644539.13642430003</v>
      </c>
      <c r="F143" s="131"/>
      <c r="G143" s="126">
        <f t="shared" si="1"/>
        <v>966808.70463644993</v>
      </c>
      <c r="H143" s="126"/>
      <c r="I143" s="35"/>
      <c r="J143" s="35"/>
      <c r="K143" s="35"/>
    </row>
    <row r="144" spans="1:14" s="37" customFormat="1" ht="15.75" customHeight="1" x14ac:dyDescent="0.25">
      <c r="A144" s="162" t="s">
        <v>195</v>
      </c>
      <c r="B144" s="162"/>
      <c r="C144" s="162"/>
      <c r="D144" s="162"/>
      <c r="E144" s="162"/>
      <c r="F144" s="162"/>
      <c r="G144" s="162"/>
      <c r="H144" s="162"/>
      <c r="I144" s="34"/>
      <c r="J144" s="34"/>
      <c r="K144" s="34"/>
    </row>
    <row r="145" spans="1:11" s="37" customFormat="1" x14ac:dyDescent="0.25">
      <c r="A145" s="162" t="s">
        <v>197</v>
      </c>
      <c r="B145" s="162"/>
      <c r="C145" s="162"/>
      <c r="D145" s="162"/>
      <c r="E145" s="162"/>
      <c r="F145" s="162"/>
      <c r="G145" s="162"/>
      <c r="H145" s="162"/>
      <c r="I145" s="21"/>
      <c r="J145" s="21"/>
      <c r="K145" s="21"/>
    </row>
    <row r="146" spans="1:11" s="37" customFormat="1" ht="47.25" x14ac:dyDescent="0.25">
      <c r="A146" s="123" t="s">
        <v>119</v>
      </c>
      <c r="B146" s="123" t="s">
        <v>118</v>
      </c>
      <c r="C146" s="123" t="s">
        <v>56</v>
      </c>
      <c r="D146" s="123" t="s">
        <v>57</v>
      </c>
      <c r="E146" s="136" t="s">
        <v>156</v>
      </c>
      <c r="F146" s="43" t="s">
        <v>149</v>
      </c>
      <c r="G146" s="134" t="s">
        <v>59</v>
      </c>
      <c r="H146" s="138"/>
      <c r="I146" s="21"/>
      <c r="J146" s="21"/>
      <c r="K146" s="21"/>
    </row>
    <row r="147" spans="1:11" s="37" customFormat="1" x14ac:dyDescent="0.25">
      <c r="A147" s="124"/>
      <c r="B147" s="124"/>
      <c r="C147" s="124"/>
      <c r="D147" s="124"/>
      <c r="E147" s="137"/>
      <c r="F147" s="13">
        <v>0.55000000000000004</v>
      </c>
      <c r="G147" s="135"/>
      <c r="H147" s="139"/>
    </row>
    <row r="148" spans="1:11" s="37" customFormat="1" x14ac:dyDescent="0.25">
      <c r="A148" s="93" t="s">
        <v>198</v>
      </c>
      <c r="B148" s="94"/>
      <c r="C148" s="94"/>
      <c r="D148" s="94"/>
      <c r="E148" s="94"/>
      <c r="F148" s="94"/>
      <c r="G148" s="94"/>
      <c r="H148" s="95"/>
      <c r="I148" s="57">
        <v>10.763999999999999</v>
      </c>
      <c r="J148" s="36"/>
    </row>
    <row r="149" spans="1:11" s="37" customFormat="1" x14ac:dyDescent="0.25">
      <c r="A149" s="93" t="s">
        <v>199</v>
      </c>
      <c r="B149" s="94"/>
      <c r="C149" s="94"/>
      <c r="D149" s="94"/>
      <c r="E149" s="94"/>
      <c r="F149" s="94"/>
      <c r="G149" s="94"/>
      <c r="H149" s="95"/>
      <c r="I149" s="36"/>
    </row>
    <row r="150" spans="1:11" s="37" customFormat="1" ht="15.75" customHeight="1" x14ac:dyDescent="0.25">
      <c r="A150" s="93" t="s">
        <v>205</v>
      </c>
      <c r="B150" s="94"/>
      <c r="C150" s="94"/>
      <c r="D150" s="94"/>
      <c r="E150" s="94"/>
      <c r="F150" s="94"/>
      <c r="G150" s="94"/>
      <c r="H150" s="95"/>
      <c r="I150" s="36"/>
    </row>
    <row r="151" spans="1:11" s="37" customFormat="1" ht="15.75" customHeight="1" x14ac:dyDescent="0.25">
      <c r="A151" s="86">
        <v>25</v>
      </c>
      <c r="B151" s="87"/>
      <c r="C151" s="42" t="s">
        <v>203</v>
      </c>
      <c r="D151" s="57">
        <f>(166.08)*10.764</f>
        <v>1787.6851200000001</v>
      </c>
      <c r="E151" s="42">
        <v>0</v>
      </c>
      <c r="F151" s="42">
        <f>(D151+E151)*(($F$147)+1)</f>
        <v>2770.9119360000004</v>
      </c>
      <c r="G151" s="82" t="str">
        <f>A150</f>
        <v>Ground Floor For Commercial, Security Cabin, MT Room &amp; Parking</v>
      </c>
      <c r="H151" s="83"/>
      <c r="I151" s="36"/>
    </row>
    <row r="152" spans="1:11" s="37" customFormat="1" ht="15.75" customHeight="1" x14ac:dyDescent="0.25">
      <c r="A152" s="86">
        <f t="shared" ref="A152:A211" si="2">A151+1</f>
        <v>26</v>
      </c>
      <c r="B152" s="87"/>
      <c r="C152" s="42" t="s">
        <v>203</v>
      </c>
      <c r="D152" s="57">
        <f>(21.34)*10.764</f>
        <v>229.70375999999999</v>
      </c>
      <c r="E152" s="42">
        <v>0</v>
      </c>
      <c r="F152" s="42">
        <f t="shared" ref="F152:F154" si="3">(D152+E152)*(($F$147)+1)</f>
        <v>356.04082799999998</v>
      </c>
      <c r="G152" s="84"/>
      <c r="H152" s="85"/>
      <c r="I152" s="36"/>
    </row>
    <row r="153" spans="1:11" s="37" customFormat="1" ht="15.75" customHeight="1" x14ac:dyDescent="0.25">
      <c r="A153" s="86">
        <f t="shared" si="2"/>
        <v>27</v>
      </c>
      <c r="B153" s="87"/>
      <c r="C153" s="42" t="s">
        <v>203</v>
      </c>
      <c r="D153" s="57">
        <f>(22.73)*10.764</f>
        <v>244.66571999999999</v>
      </c>
      <c r="E153" s="42">
        <v>0</v>
      </c>
      <c r="F153" s="42">
        <f t="shared" si="3"/>
        <v>379.23186600000002</v>
      </c>
      <c r="G153" s="84"/>
      <c r="H153" s="85"/>
      <c r="I153" s="36"/>
    </row>
    <row r="154" spans="1:11" s="37" customFormat="1" ht="15.75" customHeight="1" x14ac:dyDescent="0.25">
      <c r="A154" s="86">
        <f t="shared" si="2"/>
        <v>28</v>
      </c>
      <c r="B154" s="87"/>
      <c r="C154" s="42" t="s">
        <v>203</v>
      </c>
      <c r="D154" s="57">
        <f>(35.35)*10.764</f>
        <v>380.50740000000002</v>
      </c>
      <c r="E154" s="42">
        <v>0</v>
      </c>
      <c r="F154" s="42">
        <f t="shared" si="3"/>
        <v>589.78647000000001</v>
      </c>
      <c r="G154" s="84"/>
      <c r="H154" s="85"/>
      <c r="I154" s="36"/>
      <c r="J154" s="21"/>
      <c r="K154" s="21"/>
    </row>
    <row r="155" spans="1:11" s="37" customFormat="1" x14ac:dyDescent="0.25">
      <c r="A155" s="86">
        <v>29</v>
      </c>
      <c r="B155" s="87"/>
      <c r="C155" s="42" t="s">
        <v>203</v>
      </c>
      <c r="D155" s="57">
        <f>(42.66)*10.764</f>
        <v>459.19223999999991</v>
      </c>
      <c r="E155" s="42">
        <v>0</v>
      </c>
      <c r="F155" s="42">
        <f>(D155+E155)*(($F$147)+1)</f>
        <v>711.74797199999989</v>
      </c>
      <c r="G155" s="84"/>
      <c r="H155" s="85"/>
      <c r="I155" s="36"/>
    </row>
    <row r="156" spans="1:11" s="37" customFormat="1" x14ac:dyDescent="0.25">
      <c r="A156" s="86">
        <f t="shared" si="2"/>
        <v>30</v>
      </c>
      <c r="B156" s="87"/>
      <c r="C156" s="42" t="s">
        <v>203</v>
      </c>
      <c r="D156" s="57">
        <f>(24.75)*10.764</f>
        <v>266.40899999999999</v>
      </c>
      <c r="E156" s="42">
        <v>0</v>
      </c>
      <c r="F156" s="42">
        <f t="shared" ref="F156:F158" si="4">(D156+E156)*(($F$147)+1)</f>
        <v>412.93394999999998</v>
      </c>
      <c r="G156" s="84"/>
      <c r="H156" s="85"/>
      <c r="J156" s="36"/>
    </row>
    <row r="157" spans="1:11" s="35" customFormat="1" x14ac:dyDescent="0.25">
      <c r="A157" s="86">
        <f t="shared" si="2"/>
        <v>31</v>
      </c>
      <c r="B157" s="87"/>
      <c r="C157" s="42" t="s">
        <v>203</v>
      </c>
      <c r="D157" s="57">
        <f>(39.82)*10.764</f>
        <v>428.62248</v>
      </c>
      <c r="E157" s="42">
        <v>0</v>
      </c>
      <c r="F157" s="42">
        <f t="shared" si="4"/>
        <v>664.36484400000006</v>
      </c>
      <c r="G157" s="84"/>
      <c r="H157" s="85"/>
      <c r="I157" s="36"/>
      <c r="J157" s="37"/>
      <c r="K157" s="37"/>
    </row>
    <row r="158" spans="1:11" s="35" customFormat="1" x14ac:dyDescent="0.25">
      <c r="A158" s="86">
        <f t="shared" si="2"/>
        <v>32</v>
      </c>
      <c r="B158" s="87"/>
      <c r="C158" s="42" t="s">
        <v>203</v>
      </c>
      <c r="D158" s="57">
        <f>(42.82)*10.764</f>
        <v>460.91447999999997</v>
      </c>
      <c r="E158" s="42">
        <v>0</v>
      </c>
      <c r="F158" s="42">
        <f t="shared" si="4"/>
        <v>714.41744399999993</v>
      </c>
      <c r="G158" s="84"/>
      <c r="H158" s="85"/>
      <c r="I158" s="36"/>
      <c r="J158" s="37"/>
      <c r="K158" s="37"/>
    </row>
    <row r="159" spans="1:11" s="35" customFormat="1" x14ac:dyDescent="0.25">
      <c r="A159" s="86">
        <v>33</v>
      </c>
      <c r="B159" s="87"/>
      <c r="C159" s="42" t="s">
        <v>203</v>
      </c>
      <c r="D159" s="57">
        <f>(34.67)*10.764</f>
        <v>373.18788000000001</v>
      </c>
      <c r="E159" s="42">
        <v>0</v>
      </c>
      <c r="F159" s="42">
        <f>(D159+E159)*(($F$147)+1)</f>
        <v>578.44121400000006</v>
      </c>
      <c r="G159" s="84"/>
      <c r="H159" s="85"/>
      <c r="I159" s="36"/>
      <c r="J159" s="37"/>
      <c r="K159" s="37"/>
    </row>
    <row r="160" spans="1:11" s="35" customFormat="1" x14ac:dyDescent="0.25">
      <c r="A160" s="86">
        <f t="shared" si="2"/>
        <v>34</v>
      </c>
      <c r="B160" s="87"/>
      <c r="C160" s="42" t="s">
        <v>203</v>
      </c>
      <c r="D160" s="57">
        <f>(24.18)*10.764</f>
        <v>260.27351999999996</v>
      </c>
      <c r="E160" s="42">
        <v>0</v>
      </c>
      <c r="F160" s="42">
        <f t="shared" ref="F160:F162" si="5">(D160+E160)*(($F$147)+1)</f>
        <v>403.42395599999998</v>
      </c>
      <c r="G160" s="84"/>
      <c r="H160" s="85"/>
      <c r="I160" s="36"/>
      <c r="J160" s="37"/>
      <c r="K160" s="37"/>
    </row>
    <row r="161" spans="1:11" s="35" customFormat="1" x14ac:dyDescent="0.25">
      <c r="A161" s="86">
        <f t="shared" si="2"/>
        <v>35</v>
      </c>
      <c r="B161" s="87"/>
      <c r="C161" s="42" t="s">
        <v>203</v>
      </c>
      <c r="D161" s="57">
        <f>(42.8)*10.764</f>
        <v>460.69919999999996</v>
      </c>
      <c r="E161" s="42">
        <v>0</v>
      </c>
      <c r="F161" s="42">
        <f t="shared" si="5"/>
        <v>714.08375999999998</v>
      </c>
      <c r="G161" s="84"/>
      <c r="H161" s="85"/>
      <c r="I161" s="36"/>
      <c r="J161" s="37"/>
      <c r="K161" s="37"/>
    </row>
    <row r="162" spans="1:11" s="35" customFormat="1" x14ac:dyDescent="0.25">
      <c r="A162" s="86">
        <f t="shared" si="2"/>
        <v>36</v>
      </c>
      <c r="B162" s="87"/>
      <c r="C162" s="42" t="s">
        <v>203</v>
      </c>
      <c r="D162" s="57">
        <f>(34.67)*10.764</f>
        <v>373.18788000000001</v>
      </c>
      <c r="E162" s="42">
        <v>0</v>
      </c>
      <c r="F162" s="42">
        <f t="shared" si="5"/>
        <v>578.44121400000006</v>
      </c>
      <c r="G162" s="84"/>
      <c r="H162" s="85"/>
      <c r="I162" s="36"/>
      <c r="J162" s="37"/>
      <c r="K162" s="37"/>
    </row>
    <row r="163" spans="1:11" s="35" customFormat="1" x14ac:dyDescent="0.25">
      <c r="A163" s="86">
        <f t="shared" si="2"/>
        <v>37</v>
      </c>
      <c r="B163" s="87"/>
      <c r="C163" s="42" t="s">
        <v>203</v>
      </c>
      <c r="D163" s="57">
        <f>(40.93)*10.764</f>
        <v>440.57051999999999</v>
      </c>
      <c r="E163" s="42">
        <v>0</v>
      </c>
      <c r="F163" s="42">
        <f t="shared" ref="F163" si="6">(D163+E163)*(($F$147)+1)</f>
        <v>682.88430600000004</v>
      </c>
      <c r="G163" s="91"/>
      <c r="H163" s="92"/>
      <c r="I163" s="36"/>
      <c r="J163" s="37"/>
      <c r="K163" s="37"/>
    </row>
    <row r="164" spans="1:11" s="35" customFormat="1" x14ac:dyDescent="0.25">
      <c r="A164" s="93" t="s">
        <v>206</v>
      </c>
      <c r="B164" s="94"/>
      <c r="C164" s="94"/>
      <c r="D164" s="94"/>
      <c r="E164" s="94"/>
      <c r="F164" s="94"/>
      <c r="G164" s="94"/>
      <c r="H164" s="95"/>
      <c r="I164" s="36"/>
      <c r="J164" s="37"/>
      <c r="K164" s="37"/>
    </row>
    <row r="165" spans="1:11" s="35" customFormat="1" x14ac:dyDescent="0.25">
      <c r="A165" s="93" t="s">
        <v>209</v>
      </c>
      <c r="B165" s="94"/>
      <c r="C165" s="94"/>
      <c r="D165" s="94"/>
      <c r="E165" s="94"/>
      <c r="F165" s="94"/>
      <c r="G165" s="94"/>
      <c r="H165" s="95"/>
      <c r="I165" s="36"/>
      <c r="J165" s="37"/>
      <c r="K165" s="37"/>
    </row>
    <row r="166" spans="1:11" s="35" customFormat="1" ht="15.75" customHeight="1" x14ac:dyDescent="0.25">
      <c r="A166" s="86">
        <v>1</v>
      </c>
      <c r="B166" s="87"/>
      <c r="C166" s="42" t="s">
        <v>208</v>
      </c>
      <c r="D166" s="57">
        <f>(27.97)*10.764</f>
        <v>301.06907999999999</v>
      </c>
      <c r="E166" s="42">
        <v>0</v>
      </c>
      <c r="F166" s="42">
        <f>(D166+E166)*(($F$147)+1)</f>
        <v>466.65707399999997</v>
      </c>
      <c r="G166" s="82" t="str">
        <f>A165</f>
        <v>2nd &amp; 3rd Podium Floor For Commercial &amp; Parking</v>
      </c>
      <c r="H166" s="83"/>
      <c r="I166" s="36"/>
      <c r="J166" s="37"/>
      <c r="K166" s="37"/>
    </row>
    <row r="167" spans="1:11" s="35" customFormat="1" x14ac:dyDescent="0.25">
      <c r="A167" s="86">
        <f t="shared" ref="A167:A171" si="7">A166+1</f>
        <v>2</v>
      </c>
      <c r="B167" s="87"/>
      <c r="C167" s="42" t="s">
        <v>208</v>
      </c>
      <c r="D167" s="57">
        <f>(22.9)*10.764</f>
        <v>246.49559999999997</v>
      </c>
      <c r="E167" s="42">
        <v>0</v>
      </c>
      <c r="F167" s="42">
        <f t="shared" ref="F167:F169" si="8">(D167+E167)*(($F$147)+1)</f>
        <v>382.06817999999998</v>
      </c>
      <c r="G167" s="84"/>
      <c r="H167" s="85"/>
      <c r="I167" s="36"/>
      <c r="J167" s="37"/>
      <c r="K167" s="37"/>
    </row>
    <row r="168" spans="1:11" s="35" customFormat="1" x14ac:dyDescent="0.25">
      <c r="A168" s="86">
        <f t="shared" si="7"/>
        <v>3</v>
      </c>
      <c r="B168" s="87"/>
      <c r="C168" s="42" t="s">
        <v>208</v>
      </c>
      <c r="D168" s="57">
        <f>(27.66)*10.764</f>
        <v>297.73223999999999</v>
      </c>
      <c r="E168" s="42">
        <v>0</v>
      </c>
      <c r="F168" s="42">
        <f t="shared" si="8"/>
        <v>461.48497199999997</v>
      </c>
      <c r="G168" s="84"/>
      <c r="H168" s="85"/>
      <c r="I168" s="36"/>
      <c r="J168" s="37"/>
      <c r="K168" s="37"/>
    </row>
    <row r="169" spans="1:11" s="35" customFormat="1" x14ac:dyDescent="0.25">
      <c r="A169" s="86">
        <f t="shared" si="7"/>
        <v>4</v>
      </c>
      <c r="B169" s="87"/>
      <c r="C169" s="42" t="s">
        <v>208</v>
      </c>
      <c r="D169" s="57">
        <f>(19.36)*10.764</f>
        <v>208.39103999999998</v>
      </c>
      <c r="E169" s="42">
        <v>0</v>
      </c>
      <c r="F169" s="42">
        <f t="shared" si="8"/>
        <v>323.00611199999997</v>
      </c>
      <c r="G169" s="84"/>
      <c r="H169" s="85"/>
      <c r="I169" s="36"/>
      <c r="J169" s="37"/>
      <c r="K169" s="37"/>
    </row>
    <row r="170" spans="1:11" x14ac:dyDescent="0.25">
      <c r="A170" s="86">
        <v>5</v>
      </c>
      <c r="B170" s="87"/>
      <c r="C170" s="42" t="s">
        <v>208</v>
      </c>
      <c r="D170" s="57">
        <f>(22.92)*10.764</f>
        <v>246.71088</v>
      </c>
      <c r="E170" s="42">
        <v>0</v>
      </c>
      <c r="F170" s="42">
        <f>(D170+E170)*(($F$147)+1)</f>
        <v>382.40186399999999</v>
      </c>
      <c r="G170" s="84"/>
      <c r="H170" s="85"/>
      <c r="I170" s="36"/>
      <c r="J170" s="37"/>
      <c r="K170" s="37"/>
    </row>
    <row r="171" spans="1:11" x14ac:dyDescent="0.25">
      <c r="A171" s="86">
        <f t="shared" si="7"/>
        <v>6</v>
      </c>
      <c r="B171" s="87"/>
      <c r="C171" s="42" t="s">
        <v>208</v>
      </c>
      <c r="D171" s="57">
        <f>(43.75)*10.764</f>
        <v>470.92499999999995</v>
      </c>
      <c r="E171" s="42">
        <v>0</v>
      </c>
      <c r="F171" s="42">
        <f t="shared" ref="F171" si="9">(D171+E171)*(($F$147)+1)</f>
        <v>729.93374999999992</v>
      </c>
      <c r="G171" s="84"/>
      <c r="H171" s="85"/>
      <c r="I171" s="36"/>
      <c r="J171" s="37"/>
      <c r="K171" s="37"/>
    </row>
    <row r="172" spans="1:11" ht="15.75" customHeight="1" x14ac:dyDescent="0.25">
      <c r="A172" s="86">
        <v>7</v>
      </c>
      <c r="B172" s="87"/>
      <c r="C172" s="42" t="s">
        <v>208</v>
      </c>
      <c r="D172" s="57">
        <f>(45.86)*10.764</f>
        <v>493.63703999999996</v>
      </c>
      <c r="E172" s="42">
        <v>0</v>
      </c>
      <c r="F172" s="42">
        <f>(D172+E172)*(($F$147)+1)</f>
        <v>765.13741199999993</v>
      </c>
      <c r="G172" s="91"/>
      <c r="H172" s="92"/>
      <c r="I172" s="36"/>
      <c r="J172" s="37"/>
      <c r="K172" s="37"/>
    </row>
    <row r="173" spans="1:11" x14ac:dyDescent="0.25">
      <c r="A173" s="93" t="s">
        <v>211</v>
      </c>
      <c r="B173" s="94"/>
      <c r="C173" s="94"/>
      <c r="D173" s="94"/>
      <c r="E173" s="94"/>
      <c r="F173" s="94"/>
      <c r="G173" s="94"/>
      <c r="H173" s="95"/>
      <c r="I173" s="36"/>
      <c r="J173" s="37"/>
      <c r="K173" s="37"/>
    </row>
    <row r="174" spans="1:11" x14ac:dyDescent="0.25">
      <c r="A174" s="86">
        <v>1</v>
      </c>
      <c r="B174" s="87"/>
      <c r="C174" s="42" t="s">
        <v>208</v>
      </c>
      <c r="D174" s="57">
        <f>(27.97)*10.764</f>
        <v>301.06907999999999</v>
      </c>
      <c r="E174" s="42">
        <v>0</v>
      </c>
      <c r="F174" s="42">
        <f>(D174+E174)*(($F$147)+1)</f>
        <v>466.65707399999997</v>
      </c>
      <c r="G174" s="82" t="str">
        <f>A173</f>
        <v>4th Podium Floor For Commercial &amp; Parking</v>
      </c>
      <c r="H174" s="83"/>
      <c r="I174" s="36"/>
      <c r="J174" s="37"/>
      <c r="K174" s="37"/>
    </row>
    <row r="175" spans="1:11" x14ac:dyDescent="0.25">
      <c r="A175" s="86">
        <f t="shared" ref="A175:A179" si="10">A174+1</f>
        <v>2</v>
      </c>
      <c r="B175" s="87"/>
      <c r="C175" s="42" t="s">
        <v>208</v>
      </c>
      <c r="D175" s="57">
        <f>(22.9)*10.764</f>
        <v>246.49559999999997</v>
      </c>
      <c r="E175" s="42">
        <v>0</v>
      </c>
      <c r="F175" s="42">
        <f t="shared" ref="F175:F177" si="11">(D175+E175)*(($F$147)+1)</f>
        <v>382.06817999999998</v>
      </c>
      <c r="G175" s="84"/>
      <c r="H175" s="85"/>
      <c r="I175" s="36"/>
      <c r="J175" s="37"/>
      <c r="K175" s="37"/>
    </row>
    <row r="176" spans="1:11" x14ac:dyDescent="0.25">
      <c r="A176" s="86">
        <f t="shared" si="10"/>
        <v>3</v>
      </c>
      <c r="B176" s="87"/>
      <c r="C176" s="42" t="s">
        <v>208</v>
      </c>
      <c r="D176" s="57">
        <f>(27.66)*10.764</f>
        <v>297.73223999999999</v>
      </c>
      <c r="E176" s="42">
        <v>0</v>
      </c>
      <c r="F176" s="42">
        <f t="shared" si="11"/>
        <v>461.48497199999997</v>
      </c>
      <c r="G176" s="84"/>
      <c r="H176" s="85"/>
      <c r="I176" s="36"/>
      <c r="J176" s="37"/>
      <c r="K176" s="37"/>
    </row>
    <row r="177" spans="1:11" x14ac:dyDescent="0.25">
      <c r="A177" s="86">
        <f t="shared" si="10"/>
        <v>4</v>
      </c>
      <c r="B177" s="87"/>
      <c r="C177" s="42" t="s">
        <v>208</v>
      </c>
      <c r="D177" s="57">
        <f>(19.36)*10.764</f>
        <v>208.39103999999998</v>
      </c>
      <c r="E177" s="42">
        <v>0</v>
      </c>
      <c r="F177" s="42">
        <f t="shared" si="11"/>
        <v>323.00611199999997</v>
      </c>
      <c r="G177" s="84"/>
      <c r="H177" s="85"/>
      <c r="I177" s="36"/>
      <c r="J177" s="37"/>
      <c r="K177" s="37"/>
    </row>
    <row r="178" spans="1:11" x14ac:dyDescent="0.25">
      <c r="A178" s="86">
        <v>5</v>
      </c>
      <c r="B178" s="87"/>
      <c r="C178" s="42" t="s">
        <v>208</v>
      </c>
      <c r="D178" s="57">
        <f>(22.92)*10.764</f>
        <v>246.71088</v>
      </c>
      <c r="E178" s="42">
        <v>0</v>
      </c>
      <c r="F178" s="42">
        <f>(D178+E178)*(($F$147)+1)</f>
        <v>382.40186399999999</v>
      </c>
      <c r="G178" s="84"/>
      <c r="H178" s="85"/>
      <c r="I178" s="36"/>
      <c r="J178" s="37"/>
      <c r="K178" s="37"/>
    </row>
    <row r="179" spans="1:11" x14ac:dyDescent="0.25">
      <c r="A179" s="86">
        <f t="shared" si="10"/>
        <v>6</v>
      </c>
      <c r="B179" s="87"/>
      <c r="C179" s="42" t="s">
        <v>208</v>
      </c>
      <c r="D179" s="57">
        <f>(43.75)*10.764</f>
        <v>470.92499999999995</v>
      </c>
      <c r="E179" s="42">
        <v>0</v>
      </c>
      <c r="F179" s="42">
        <f t="shared" ref="F179" si="12">(D179+E179)*(($F$147)+1)</f>
        <v>729.93374999999992</v>
      </c>
      <c r="G179" s="84"/>
      <c r="H179" s="85"/>
      <c r="I179" s="36"/>
      <c r="J179" s="37"/>
      <c r="K179" s="37"/>
    </row>
    <row r="180" spans="1:11" x14ac:dyDescent="0.25">
      <c r="A180" s="86">
        <v>7</v>
      </c>
      <c r="B180" s="87"/>
      <c r="C180" s="42" t="s">
        <v>208</v>
      </c>
      <c r="D180" s="57">
        <f>(45.86)*10.764</f>
        <v>493.63703999999996</v>
      </c>
      <c r="E180" s="42">
        <v>0</v>
      </c>
      <c r="F180" s="42">
        <f>(D180+E180)*(($F$147)+1)</f>
        <v>765.13741199999993</v>
      </c>
      <c r="G180" s="91"/>
      <c r="H180" s="92"/>
      <c r="I180" s="36">
        <f>5.55*6.455+7.55*1.6+4.85*3.85+4.55*1.125+3.05*1.6+1.19*1.6+1.325*0.75*2+0.9*0.75*2</f>
        <v>81.817999999999984</v>
      </c>
      <c r="J180" s="37"/>
      <c r="K180" s="37"/>
    </row>
    <row r="181" spans="1:11" x14ac:dyDescent="0.25">
      <c r="A181" s="93" t="s">
        <v>201</v>
      </c>
      <c r="B181" s="94"/>
      <c r="C181" s="94"/>
      <c r="D181" s="94"/>
      <c r="E181" s="94"/>
      <c r="F181" s="94"/>
      <c r="G181" s="94"/>
      <c r="H181" s="95"/>
      <c r="I181" s="36"/>
      <c r="J181" s="37"/>
      <c r="K181" s="37"/>
    </row>
    <row r="182" spans="1:11" x14ac:dyDescent="0.25">
      <c r="A182" s="93" t="s">
        <v>204</v>
      </c>
      <c r="B182" s="94"/>
      <c r="C182" s="94"/>
      <c r="D182" s="94"/>
      <c r="E182" s="94"/>
      <c r="F182" s="94"/>
      <c r="G182" s="94"/>
      <c r="H182" s="95"/>
      <c r="I182" s="36"/>
      <c r="J182" s="37"/>
      <c r="K182" s="37"/>
    </row>
    <row r="183" spans="1:11" x14ac:dyDescent="0.25">
      <c r="A183" s="86">
        <v>13</v>
      </c>
      <c r="B183" s="87"/>
      <c r="C183" s="42" t="s">
        <v>203</v>
      </c>
      <c r="D183" s="57">
        <f>(146.01)*10.764</f>
        <v>1571.6516399999998</v>
      </c>
      <c r="E183" s="42">
        <v>0</v>
      </c>
      <c r="F183" s="42">
        <f>(D183+E183)*(($F$147)+1)</f>
        <v>2436.0600419999996</v>
      </c>
      <c r="G183" s="82" t="str">
        <f>A182</f>
        <v>Ground Floor For Commercial &amp; Parking</v>
      </c>
      <c r="H183" s="83"/>
      <c r="I183" s="36"/>
      <c r="J183" s="37"/>
      <c r="K183" s="37"/>
    </row>
    <row r="184" spans="1:11" x14ac:dyDescent="0.25">
      <c r="A184" s="86">
        <f t="shared" si="2"/>
        <v>14</v>
      </c>
      <c r="B184" s="87"/>
      <c r="C184" s="42" t="s">
        <v>203</v>
      </c>
      <c r="D184" s="57">
        <f>(22.5)*10.764</f>
        <v>242.19</v>
      </c>
      <c r="E184" s="42">
        <v>0</v>
      </c>
      <c r="F184" s="42">
        <f t="shared" ref="F184:F186" si="13">(D184+E184)*(($F$147)+1)</f>
        <v>375.39449999999999</v>
      </c>
      <c r="G184" s="84"/>
      <c r="H184" s="85"/>
      <c r="I184" s="36"/>
      <c r="J184" s="37"/>
      <c r="K184" s="37"/>
    </row>
    <row r="185" spans="1:11" ht="15" customHeight="1" x14ac:dyDescent="0.25">
      <c r="A185" s="86">
        <f t="shared" si="2"/>
        <v>15</v>
      </c>
      <c r="B185" s="87"/>
      <c r="C185" s="42" t="s">
        <v>203</v>
      </c>
      <c r="D185" s="57">
        <f>(23.87)*10.764</f>
        <v>256.93667999999997</v>
      </c>
      <c r="E185" s="42">
        <v>0</v>
      </c>
      <c r="F185" s="42">
        <f t="shared" si="13"/>
        <v>398.25185399999998</v>
      </c>
      <c r="G185" s="84"/>
      <c r="H185" s="85"/>
      <c r="I185" s="36"/>
      <c r="J185" s="37"/>
      <c r="K185" s="37"/>
    </row>
    <row r="186" spans="1:11" x14ac:dyDescent="0.25">
      <c r="A186" s="86">
        <f t="shared" si="2"/>
        <v>16</v>
      </c>
      <c r="B186" s="87"/>
      <c r="C186" s="42" t="s">
        <v>203</v>
      </c>
      <c r="D186" s="57">
        <f>(23.87)*10.764</f>
        <v>256.93667999999997</v>
      </c>
      <c r="E186" s="42">
        <v>0</v>
      </c>
      <c r="F186" s="42">
        <f t="shared" si="13"/>
        <v>398.25185399999998</v>
      </c>
      <c r="G186" s="84"/>
      <c r="H186" s="85"/>
      <c r="I186" s="35">
        <f>5.55*3.175+2.075*2.7+1.175*1.25+0.75*0.6</f>
        <v>25.142500000000002</v>
      </c>
      <c r="J186" s="35"/>
      <c r="K186" s="35"/>
    </row>
    <row r="187" spans="1:11" x14ac:dyDescent="0.25">
      <c r="A187" s="86">
        <v>17</v>
      </c>
      <c r="B187" s="87"/>
      <c r="C187" s="42" t="s">
        <v>203</v>
      </c>
      <c r="D187" s="57">
        <f>(22.61)*10.764</f>
        <v>243.37403999999998</v>
      </c>
      <c r="E187" s="42">
        <v>0</v>
      </c>
      <c r="F187" s="42">
        <f>(D187+E187)*(($F$147)+1)</f>
        <v>377.22976199999999</v>
      </c>
      <c r="G187" s="84"/>
      <c r="H187" s="85"/>
      <c r="I187" s="35"/>
      <c r="J187" s="35"/>
      <c r="K187" s="35"/>
    </row>
    <row r="188" spans="1:11" x14ac:dyDescent="0.25">
      <c r="A188" s="86">
        <f t="shared" si="2"/>
        <v>18</v>
      </c>
      <c r="B188" s="87"/>
      <c r="C188" s="42" t="s">
        <v>203</v>
      </c>
      <c r="D188" s="57">
        <f>(23.62)*10.764</f>
        <v>254.24567999999999</v>
      </c>
      <c r="E188" s="42">
        <v>0</v>
      </c>
      <c r="F188" s="42">
        <f t="shared" ref="F188:F190" si="14">(D188+E188)*(($F$147)+1)</f>
        <v>394.080804</v>
      </c>
      <c r="G188" s="84"/>
      <c r="H188" s="85"/>
      <c r="I188" s="35"/>
      <c r="J188" s="35"/>
      <c r="K188" s="35"/>
    </row>
    <row r="189" spans="1:11" x14ac:dyDescent="0.25">
      <c r="A189" s="86">
        <f t="shared" si="2"/>
        <v>19</v>
      </c>
      <c r="B189" s="87"/>
      <c r="C189" s="42" t="s">
        <v>203</v>
      </c>
      <c r="D189" s="57">
        <f>(23.62)*10.764</f>
        <v>254.24567999999999</v>
      </c>
      <c r="E189" s="42">
        <v>0</v>
      </c>
      <c r="F189" s="42">
        <f t="shared" si="14"/>
        <v>394.080804</v>
      </c>
      <c r="G189" s="84"/>
      <c r="H189" s="85"/>
      <c r="I189" s="35"/>
      <c r="J189" s="35"/>
      <c r="K189" s="35"/>
    </row>
    <row r="190" spans="1:11" x14ac:dyDescent="0.25">
      <c r="A190" s="86">
        <f t="shared" si="2"/>
        <v>20</v>
      </c>
      <c r="B190" s="87"/>
      <c r="C190" s="42" t="s">
        <v>203</v>
      </c>
      <c r="D190" s="57">
        <f>(22.61)*10.764</f>
        <v>243.37403999999998</v>
      </c>
      <c r="E190" s="42">
        <v>0</v>
      </c>
      <c r="F190" s="42">
        <f t="shared" si="14"/>
        <v>377.22976199999999</v>
      </c>
      <c r="G190" s="84"/>
      <c r="H190" s="85"/>
      <c r="I190" s="35"/>
      <c r="J190" s="35"/>
      <c r="K190" s="35"/>
    </row>
    <row r="191" spans="1:11" x14ac:dyDescent="0.25">
      <c r="A191" s="86">
        <v>21</v>
      </c>
      <c r="B191" s="87"/>
      <c r="C191" s="42" t="s">
        <v>203</v>
      </c>
      <c r="D191" s="57">
        <f>(23.87)*10.764</f>
        <v>256.93667999999997</v>
      </c>
      <c r="E191" s="42">
        <v>0</v>
      </c>
      <c r="F191" s="42">
        <f>(D191+E191)*(($F$147)+1)</f>
        <v>398.25185399999998</v>
      </c>
      <c r="G191" s="84"/>
      <c r="H191" s="85"/>
      <c r="I191" s="35"/>
      <c r="J191" s="35"/>
      <c r="K191" s="35"/>
    </row>
    <row r="192" spans="1:11" x14ac:dyDescent="0.25">
      <c r="A192" s="86">
        <f t="shared" si="2"/>
        <v>22</v>
      </c>
      <c r="B192" s="87"/>
      <c r="C192" s="42" t="s">
        <v>203</v>
      </c>
      <c r="D192" s="57">
        <f>(23.87)*10.764</f>
        <v>256.93667999999997</v>
      </c>
      <c r="E192" s="42">
        <v>0</v>
      </c>
      <c r="F192" s="42">
        <f t="shared" ref="F192:F194" si="15">(D192+E192)*(($F$147)+1)</f>
        <v>398.25185399999998</v>
      </c>
      <c r="G192" s="84"/>
      <c r="H192" s="85"/>
      <c r="I192" s="35"/>
      <c r="J192" s="35"/>
      <c r="K192" s="35"/>
    </row>
    <row r="193" spans="1:11" x14ac:dyDescent="0.25">
      <c r="A193" s="86">
        <f t="shared" si="2"/>
        <v>23</v>
      </c>
      <c r="B193" s="87"/>
      <c r="C193" s="42" t="s">
        <v>203</v>
      </c>
      <c r="D193" s="57">
        <f>(22.5)*10.764</f>
        <v>242.19</v>
      </c>
      <c r="E193" s="42">
        <v>0</v>
      </c>
      <c r="F193" s="42">
        <f t="shared" si="15"/>
        <v>375.39449999999999</v>
      </c>
      <c r="G193" s="84"/>
      <c r="H193" s="85"/>
      <c r="I193" s="35"/>
      <c r="J193" s="35"/>
      <c r="K193" s="35"/>
    </row>
    <row r="194" spans="1:11" x14ac:dyDescent="0.25">
      <c r="A194" s="86">
        <f t="shared" si="2"/>
        <v>24</v>
      </c>
      <c r="B194" s="87"/>
      <c r="C194" s="42" t="s">
        <v>203</v>
      </c>
      <c r="D194" s="57">
        <f>(126.79)*10.764</f>
        <v>1364.76756</v>
      </c>
      <c r="E194" s="42">
        <v>0</v>
      </c>
      <c r="F194" s="42">
        <f t="shared" si="15"/>
        <v>2115.3897179999999</v>
      </c>
      <c r="G194" s="91"/>
      <c r="H194" s="92"/>
    </row>
    <row r="195" spans="1:11" x14ac:dyDescent="0.25">
      <c r="A195" s="93" t="s">
        <v>206</v>
      </c>
      <c r="B195" s="94"/>
      <c r="C195" s="94"/>
      <c r="D195" s="94"/>
      <c r="E195" s="94"/>
      <c r="F195" s="94"/>
      <c r="G195" s="94"/>
      <c r="H195" s="95"/>
    </row>
    <row r="196" spans="1:11" x14ac:dyDescent="0.25">
      <c r="A196" s="93" t="s">
        <v>210</v>
      </c>
      <c r="B196" s="94"/>
      <c r="C196" s="94"/>
      <c r="D196" s="94"/>
      <c r="E196" s="94"/>
      <c r="F196" s="94"/>
      <c r="G196" s="94"/>
      <c r="H196" s="95"/>
    </row>
    <row r="197" spans="1:11" x14ac:dyDescent="0.25">
      <c r="A197" s="93" t="s">
        <v>212</v>
      </c>
      <c r="B197" s="94"/>
      <c r="C197" s="94"/>
      <c r="D197" s="94"/>
      <c r="E197" s="94"/>
      <c r="F197" s="94"/>
      <c r="G197" s="94"/>
      <c r="H197" s="95"/>
    </row>
    <row r="198" spans="1:11" x14ac:dyDescent="0.25">
      <c r="A198" s="93" t="s">
        <v>200</v>
      </c>
      <c r="B198" s="94"/>
      <c r="C198" s="94"/>
      <c r="D198" s="94"/>
      <c r="E198" s="94"/>
      <c r="F198" s="94"/>
      <c r="G198" s="94"/>
      <c r="H198" s="95"/>
    </row>
    <row r="199" spans="1:11" x14ac:dyDescent="0.25">
      <c r="A199" s="93" t="s">
        <v>202</v>
      </c>
      <c r="B199" s="94"/>
      <c r="C199" s="94"/>
      <c r="D199" s="94"/>
      <c r="E199" s="94"/>
      <c r="F199" s="94"/>
      <c r="G199" s="94"/>
      <c r="H199" s="95"/>
    </row>
    <row r="200" spans="1:11" x14ac:dyDescent="0.25">
      <c r="A200" s="86">
        <v>1</v>
      </c>
      <c r="B200" s="87"/>
      <c r="C200" s="42" t="s">
        <v>203</v>
      </c>
      <c r="D200" s="57">
        <f>(82.42)*10.764</f>
        <v>887.16887999999994</v>
      </c>
      <c r="E200" s="42">
        <v>0</v>
      </c>
      <c r="F200" s="42">
        <f>(D200+E200)*(($F$147)+1)</f>
        <v>1375.111764</v>
      </c>
      <c r="G200" s="82" t="str">
        <f>A199</f>
        <v>Ground Floor For Commercial, Space For Substation, MT. Room &amp; Parking</v>
      </c>
      <c r="H200" s="83"/>
    </row>
    <row r="201" spans="1:11" x14ac:dyDescent="0.25">
      <c r="A201" s="86">
        <f t="shared" si="2"/>
        <v>2</v>
      </c>
      <c r="B201" s="87"/>
      <c r="C201" s="42" t="s">
        <v>203</v>
      </c>
      <c r="D201" s="57">
        <f>(25.46)*10.764</f>
        <v>274.05144000000001</v>
      </c>
      <c r="E201" s="42">
        <v>0</v>
      </c>
      <c r="F201" s="42">
        <f t="shared" ref="F201:F203" si="16">(D201+E201)*(($F$147)+1)</f>
        <v>424.77973200000002</v>
      </c>
      <c r="G201" s="84"/>
      <c r="H201" s="85"/>
    </row>
    <row r="202" spans="1:11" x14ac:dyDescent="0.25">
      <c r="A202" s="86">
        <f t="shared" si="2"/>
        <v>3</v>
      </c>
      <c r="B202" s="87"/>
      <c r="C202" s="42" t="s">
        <v>203</v>
      </c>
      <c r="D202" s="57">
        <f>(36.33)*10.764</f>
        <v>391.05611999999996</v>
      </c>
      <c r="E202" s="42">
        <v>0</v>
      </c>
      <c r="F202" s="42">
        <f t="shared" si="16"/>
        <v>606.13698599999998</v>
      </c>
      <c r="G202" s="84"/>
      <c r="H202" s="85"/>
    </row>
    <row r="203" spans="1:11" x14ac:dyDescent="0.25">
      <c r="A203" s="86">
        <f t="shared" si="2"/>
        <v>4</v>
      </c>
      <c r="B203" s="87"/>
      <c r="C203" s="42" t="s">
        <v>203</v>
      </c>
      <c r="D203" s="57">
        <f>(45.59)*10.764</f>
        <v>490.73076000000003</v>
      </c>
      <c r="E203" s="42">
        <v>0</v>
      </c>
      <c r="F203" s="42">
        <f t="shared" si="16"/>
        <v>760.63267800000006</v>
      </c>
      <c r="G203" s="84"/>
      <c r="H203" s="85"/>
    </row>
    <row r="204" spans="1:11" x14ac:dyDescent="0.25">
      <c r="A204" s="86">
        <v>5</v>
      </c>
      <c r="B204" s="87"/>
      <c r="C204" s="42" t="s">
        <v>203</v>
      </c>
      <c r="D204" s="57">
        <f>(37.88)*10.764</f>
        <v>407.74032</v>
      </c>
      <c r="E204" s="42">
        <v>0</v>
      </c>
      <c r="F204" s="42">
        <f>(D204+E204)*(($F$147)+1)</f>
        <v>631.99749600000007</v>
      </c>
      <c r="G204" s="84"/>
      <c r="H204" s="85"/>
    </row>
    <row r="205" spans="1:11" x14ac:dyDescent="0.25">
      <c r="A205" s="86">
        <f t="shared" si="2"/>
        <v>6</v>
      </c>
      <c r="B205" s="87"/>
      <c r="C205" s="42" t="s">
        <v>203</v>
      </c>
      <c r="D205" s="57">
        <f>(25.74)*10.764</f>
        <v>277.06535999999994</v>
      </c>
      <c r="E205" s="42">
        <v>0</v>
      </c>
      <c r="F205" s="42">
        <f t="shared" ref="F205:F207" si="17">(D205+E205)*(($F$147)+1)</f>
        <v>429.45130799999993</v>
      </c>
      <c r="G205" s="84"/>
      <c r="H205" s="85"/>
    </row>
    <row r="206" spans="1:11" x14ac:dyDescent="0.25">
      <c r="A206" s="86">
        <f t="shared" si="2"/>
        <v>7</v>
      </c>
      <c r="B206" s="87"/>
      <c r="C206" s="42" t="s">
        <v>203</v>
      </c>
      <c r="D206" s="57">
        <f>(34.1)*10.764</f>
        <v>367.05239999999998</v>
      </c>
      <c r="E206" s="42">
        <v>0</v>
      </c>
      <c r="F206" s="42">
        <f t="shared" si="17"/>
        <v>568.93121999999994</v>
      </c>
      <c r="G206" s="84"/>
      <c r="H206" s="85"/>
    </row>
    <row r="207" spans="1:11" ht="15.75" customHeight="1" x14ac:dyDescent="0.25">
      <c r="A207" s="86">
        <f t="shared" si="2"/>
        <v>8</v>
      </c>
      <c r="B207" s="87"/>
      <c r="C207" s="42" t="s">
        <v>203</v>
      </c>
      <c r="D207" s="57">
        <f>(20.6)*10.764</f>
        <v>221.73840000000001</v>
      </c>
      <c r="E207" s="42">
        <v>0</v>
      </c>
      <c r="F207" s="42">
        <f t="shared" si="17"/>
        <v>343.69452000000001</v>
      </c>
      <c r="G207" s="84"/>
      <c r="H207" s="85"/>
    </row>
    <row r="208" spans="1:11" ht="15.75" customHeight="1" x14ac:dyDescent="0.25">
      <c r="A208" s="86">
        <v>9</v>
      </c>
      <c r="B208" s="87"/>
      <c r="C208" s="42" t="s">
        <v>203</v>
      </c>
      <c r="D208" s="57">
        <f>(24.41)*10.764</f>
        <v>262.74923999999999</v>
      </c>
      <c r="E208" s="42">
        <v>0</v>
      </c>
      <c r="F208" s="42">
        <f>(D208+E208)*(($F$147)+1)</f>
        <v>407.26132200000001</v>
      </c>
      <c r="G208" s="84"/>
      <c r="H208" s="85"/>
    </row>
    <row r="209" spans="1:8" x14ac:dyDescent="0.25">
      <c r="A209" s="86">
        <f t="shared" si="2"/>
        <v>10</v>
      </c>
      <c r="B209" s="87"/>
      <c r="C209" s="42" t="s">
        <v>203</v>
      </c>
      <c r="D209" s="57">
        <f>(34.32)*10.764</f>
        <v>369.42048</v>
      </c>
      <c r="E209" s="42">
        <v>0</v>
      </c>
      <c r="F209" s="42">
        <f t="shared" ref="F209:F211" si="18">(D209+E209)*(($F$147)+1)</f>
        <v>572.60174400000005</v>
      </c>
      <c r="G209" s="84"/>
      <c r="H209" s="85"/>
    </row>
    <row r="210" spans="1:8" x14ac:dyDescent="0.25">
      <c r="A210" s="86">
        <f t="shared" si="2"/>
        <v>11</v>
      </c>
      <c r="B210" s="87"/>
      <c r="C210" s="42" t="s">
        <v>203</v>
      </c>
      <c r="D210" s="57">
        <f>(22.85)*10.764</f>
        <v>245.95740000000001</v>
      </c>
      <c r="E210" s="42">
        <v>0</v>
      </c>
      <c r="F210" s="42">
        <f t="shared" si="18"/>
        <v>381.23397</v>
      </c>
      <c r="G210" s="84"/>
      <c r="H210" s="85"/>
    </row>
    <row r="211" spans="1:8" x14ac:dyDescent="0.25">
      <c r="A211" s="86">
        <f t="shared" si="2"/>
        <v>12</v>
      </c>
      <c r="B211" s="87"/>
      <c r="C211" s="42" t="s">
        <v>203</v>
      </c>
      <c r="D211" s="57">
        <f>(102.05)*10.764</f>
        <v>1098.4661999999998</v>
      </c>
      <c r="E211" s="42">
        <v>0</v>
      </c>
      <c r="F211" s="42">
        <f t="shared" si="18"/>
        <v>1702.6226099999999</v>
      </c>
      <c r="G211" s="91"/>
      <c r="H211" s="92"/>
    </row>
    <row r="212" spans="1:8" x14ac:dyDescent="0.25">
      <c r="A212" s="93" t="s">
        <v>207</v>
      </c>
      <c r="B212" s="94"/>
      <c r="C212" s="94"/>
      <c r="D212" s="94"/>
      <c r="E212" s="94"/>
      <c r="F212" s="94"/>
      <c r="G212" s="94"/>
      <c r="H212" s="95"/>
    </row>
    <row r="213" spans="1:8" x14ac:dyDescent="0.25">
      <c r="A213" s="86">
        <v>1</v>
      </c>
      <c r="B213" s="87"/>
      <c r="C213" s="42" t="s">
        <v>208</v>
      </c>
      <c r="D213" s="57">
        <f>(23)*10.764</f>
        <v>247.57199999999997</v>
      </c>
      <c r="E213" s="42">
        <v>0</v>
      </c>
      <c r="F213" s="42">
        <f>(D213+E213)*(($F$147)+1)</f>
        <v>383.73659999999995</v>
      </c>
      <c r="G213" s="82" t="str">
        <f>A212</f>
        <v>1st Podium Floor For Commercial &amp; Parking</v>
      </c>
      <c r="H213" s="83"/>
    </row>
    <row r="214" spans="1:8" x14ac:dyDescent="0.25">
      <c r="A214" s="86">
        <f t="shared" ref="A214:A216" si="19">A213+1</f>
        <v>2</v>
      </c>
      <c r="B214" s="87"/>
      <c r="C214" s="42" t="s">
        <v>208</v>
      </c>
      <c r="D214" s="57">
        <f>(23.95)*10.764</f>
        <v>257.7978</v>
      </c>
      <c r="E214" s="42">
        <v>0</v>
      </c>
      <c r="F214" s="42">
        <f t="shared" ref="F214:F216" si="20">(D214+E214)*(($F$147)+1)</f>
        <v>399.58659</v>
      </c>
      <c r="G214" s="84"/>
      <c r="H214" s="85"/>
    </row>
    <row r="215" spans="1:8" x14ac:dyDescent="0.25">
      <c r="A215" s="86">
        <f t="shared" si="19"/>
        <v>3</v>
      </c>
      <c r="B215" s="87"/>
      <c r="C215" s="42" t="s">
        <v>208</v>
      </c>
      <c r="D215" s="57">
        <f>(31.45)*10.764</f>
        <v>338.52779999999996</v>
      </c>
      <c r="E215" s="42">
        <v>0</v>
      </c>
      <c r="F215" s="42">
        <f t="shared" si="20"/>
        <v>524.71808999999996</v>
      </c>
      <c r="G215" s="84"/>
      <c r="H215" s="85"/>
    </row>
    <row r="216" spans="1:8" x14ac:dyDescent="0.25">
      <c r="A216" s="86">
        <f t="shared" si="19"/>
        <v>4</v>
      </c>
      <c r="B216" s="87"/>
      <c r="C216" s="42" t="s">
        <v>208</v>
      </c>
      <c r="D216" s="57">
        <f>(30.83)*10.764</f>
        <v>331.85411999999997</v>
      </c>
      <c r="E216" s="42">
        <v>0</v>
      </c>
      <c r="F216" s="42">
        <f t="shared" si="20"/>
        <v>514.37388599999997</v>
      </c>
      <c r="G216" s="84"/>
      <c r="H216" s="85"/>
    </row>
    <row r="217" spans="1:8" x14ac:dyDescent="0.25">
      <c r="A217" s="86">
        <v>5</v>
      </c>
      <c r="B217" s="87"/>
      <c r="C217" s="42" t="s">
        <v>208</v>
      </c>
      <c r="D217" s="57">
        <f>(31.45)*10.764</f>
        <v>338.52779999999996</v>
      </c>
      <c r="E217" s="42">
        <v>0</v>
      </c>
      <c r="F217" s="42">
        <f>(D217+E217)*(($F$147)+1)</f>
        <v>524.71808999999996</v>
      </c>
      <c r="G217" s="84"/>
      <c r="H217" s="85"/>
    </row>
    <row r="218" spans="1:8" x14ac:dyDescent="0.25">
      <c r="A218" s="93" t="s">
        <v>209</v>
      </c>
      <c r="B218" s="94"/>
      <c r="C218" s="94"/>
      <c r="D218" s="94"/>
      <c r="E218" s="94"/>
      <c r="F218" s="94"/>
      <c r="G218" s="94"/>
      <c r="H218" s="95"/>
    </row>
    <row r="219" spans="1:8" x14ac:dyDescent="0.25">
      <c r="A219" s="86">
        <v>1</v>
      </c>
      <c r="B219" s="87"/>
      <c r="C219" s="42" t="s">
        <v>208</v>
      </c>
      <c r="D219" s="57">
        <f>(23)*10.764</f>
        <v>247.57199999999997</v>
      </c>
      <c r="E219" s="42">
        <v>0</v>
      </c>
      <c r="F219" s="42">
        <f>(D219+E219)*(($F$147)+1)</f>
        <v>383.73659999999995</v>
      </c>
      <c r="G219" s="82" t="str">
        <f>A218</f>
        <v>2nd &amp; 3rd Podium Floor For Commercial &amp; Parking</v>
      </c>
      <c r="H219" s="83"/>
    </row>
    <row r="220" spans="1:8" x14ac:dyDescent="0.25">
      <c r="A220" s="86">
        <f t="shared" ref="A220:A222" si="21">A219+1</f>
        <v>2</v>
      </c>
      <c r="B220" s="87"/>
      <c r="C220" s="42" t="s">
        <v>208</v>
      </c>
      <c r="D220" s="57">
        <f>(23.95)*10.764</f>
        <v>257.7978</v>
      </c>
      <c r="E220" s="42">
        <v>0</v>
      </c>
      <c r="F220" s="42">
        <f t="shared" ref="F220:F222" si="22">(D220+E220)*(($F$147)+1)</f>
        <v>399.58659</v>
      </c>
      <c r="G220" s="84"/>
      <c r="H220" s="85"/>
    </row>
    <row r="221" spans="1:8" x14ac:dyDescent="0.25">
      <c r="A221" s="86">
        <f t="shared" si="21"/>
        <v>3</v>
      </c>
      <c r="B221" s="87"/>
      <c r="C221" s="42" t="s">
        <v>208</v>
      </c>
      <c r="D221" s="57">
        <f>(31.45)*10.764</f>
        <v>338.52779999999996</v>
      </c>
      <c r="E221" s="42">
        <v>0</v>
      </c>
      <c r="F221" s="42">
        <f t="shared" si="22"/>
        <v>524.71808999999996</v>
      </c>
      <c r="G221" s="84"/>
      <c r="H221" s="85"/>
    </row>
    <row r="222" spans="1:8" x14ac:dyDescent="0.25">
      <c r="A222" s="86">
        <f t="shared" si="21"/>
        <v>4</v>
      </c>
      <c r="B222" s="87"/>
      <c r="C222" s="42" t="s">
        <v>208</v>
      </c>
      <c r="D222" s="57">
        <f>(30.83)*10.764</f>
        <v>331.85411999999997</v>
      </c>
      <c r="E222" s="42">
        <v>0</v>
      </c>
      <c r="F222" s="42">
        <f t="shared" si="22"/>
        <v>514.37388599999997</v>
      </c>
      <c r="G222" s="84"/>
      <c r="H222" s="85"/>
    </row>
    <row r="223" spans="1:8" x14ac:dyDescent="0.25">
      <c r="A223" s="86">
        <v>5</v>
      </c>
      <c r="B223" s="87"/>
      <c r="C223" s="42" t="s">
        <v>208</v>
      </c>
      <c r="D223" s="57">
        <f>(31.45)*10.764</f>
        <v>338.52779999999996</v>
      </c>
      <c r="E223" s="42">
        <v>0</v>
      </c>
      <c r="F223" s="42">
        <f>(D223+E223)*(($F$147)+1)</f>
        <v>524.71808999999996</v>
      </c>
      <c r="G223" s="84"/>
      <c r="H223" s="85"/>
    </row>
    <row r="224" spans="1:8" x14ac:dyDescent="0.25">
      <c r="A224" s="93" t="s">
        <v>211</v>
      </c>
      <c r="B224" s="94"/>
      <c r="C224" s="94"/>
      <c r="D224" s="94"/>
      <c r="E224" s="94"/>
      <c r="F224" s="94"/>
      <c r="G224" s="94"/>
      <c r="H224" s="95"/>
    </row>
    <row r="225" spans="1:11" x14ac:dyDescent="0.25">
      <c r="A225" s="86">
        <v>1</v>
      </c>
      <c r="B225" s="87"/>
      <c r="C225" s="42" t="s">
        <v>208</v>
      </c>
      <c r="D225" s="57">
        <f>(23)*10.764</f>
        <v>247.57199999999997</v>
      </c>
      <c r="E225" s="42">
        <v>0</v>
      </c>
      <c r="F225" s="42">
        <f>(D225+E225)*(($F$147)+1)</f>
        <v>383.73659999999995</v>
      </c>
      <c r="G225" s="82" t="str">
        <f>A224</f>
        <v>4th Podium Floor For Commercial &amp; Parking</v>
      </c>
      <c r="H225" s="83"/>
    </row>
    <row r="226" spans="1:11" x14ac:dyDescent="0.25">
      <c r="A226" s="86">
        <f t="shared" ref="A226:A228" si="23">A225+1</f>
        <v>2</v>
      </c>
      <c r="B226" s="87"/>
      <c r="C226" s="42" t="s">
        <v>208</v>
      </c>
      <c r="D226" s="57">
        <f>(23.95)*10.764</f>
        <v>257.7978</v>
      </c>
      <c r="E226" s="42">
        <v>0</v>
      </c>
      <c r="F226" s="42">
        <f t="shared" ref="F226:F228" si="24">(D226+E226)*(($F$147)+1)</f>
        <v>399.58659</v>
      </c>
      <c r="G226" s="84"/>
      <c r="H226" s="85"/>
    </row>
    <row r="227" spans="1:11" x14ac:dyDescent="0.25">
      <c r="A227" s="86">
        <f t="shared" si="23"/>
        <v>3</v>
      </c>
      <c r="B227" s="87"/>
      <c r="C227" s="42" t="s">
        <v>208</v>
      </c>
      <c r="D227" s="57">
        <f>(31.45)*10.764</f>
        <v>338.52779999999996</v>
      </c>
      <c r="E227" s="42">
        <v>0</v>
      </c>
      <c r="F227" s="42">
        <f t="shared" si="24"/>
        <v>524.71808999999996</v>
      </c>
      <c r="G227" s="84"/>
      <c r="H227" s="85"/>
    </row>
    <row r="228" spans="1:11" x14ac:dyDescent="0.25">
      <c r="A228" s="86">
        <f t="shared" si="23"/>
        <v>4</v>
      </c>
      <c r="B228" s="87"/>
      <c r="C228" s="42" t="s">
        <v>208</v>
      </c>
      <c r="D228" s="57">
        <f>(30.83)*10.764</f>
        <v>331.85411999999997</v>
      </c>
      <c r="E228" s="42">
        <v>0</v>
      </c>
      <c r="F228" s="42">
        <f t="shared" si="24"/>
        <v>514.37388599999997</v>
      </c>
      <c r="G228" s="84"/>
      <c r="H228" s="85"/>
    </row>
    <row r="229" spans="1:11" x14ac:dyDescent="0.25">
      <c r="A229" s="86">
        <v>5</v>
      </c>
      <c r="B229" s="87"/>
      <c r="C229" s="42" t="s">
        <v>208</v>
      </c>
      <c r="D229" s="57">
        <f>(31.45)*10.764</f>
        <v>338.52779999999996</v>
      </c>
      <c r="E229" s="42">
        <v>0</v>
      </c>
      <c r="F229" s="42">
        <f>(D229+E229)*(($F$147)+1)</f>
        <v>524.71808999999996</v>
      </c>
      <c r="G229" s="84"/>
      <c r="H229" s="85"/>
    </row>
    <row r="230" spans="1:11" x14ac:dyDescent="0.25">
      <c r="A230" s="86"/>
      <c r="B230" s="99"/>
      <c r="C230" s="99"/>
      <c r="D230" s="99"/>
      <c r="E230" s="99"/>
      <c r="F230" s="99"/>
      <c r="G230" s="99"/>
      <c r="H230" s="87"/>
    </row>
    <row r="231" spans="1:11" ht="47.25" x14ac:dyDescent="0.25">
      <c r="A231" s="134" t="s">
        <v>120</v>
      </c>
      <c r="B231" s="134" t="s">
        <v>121</v>
      </c>
      <c r="C231" s="123" t="s">
        <v>56</v>
      </c>
      <c r="D231" s="123" t="s">
        <v>57</v>
      </c>
      <c r="E231" s="136" t="s">
        <v>58</v>
      </c>
      <c r="F231" s="43" t="s">
        <v>149</v>
      </c>
      <c r="G231" s="134" t="s">
        <v>59</v>
      </c>
      <c r="H231" s="138"/>
    </row>
    <row r="232" spans="1:11" x14ac:dyDescent="0.25">
      <c r="A232" s="135"/>
      <c r="B232" s="135"/>
      <c r="C232" s="124"/>
      <c r="D232" s="124"/>
      <c r="E232" s="137"/>
      <c r="F232" s="13">
        <v>0.5</v>
      </c>
      <c r="G232" s="135"/>
      <c r="H232" s="139"/>
    </row>
    <row r="233" spans="1:11" x14ac:dyDescent="0.25">
      <c r="A233" s="93" t="s">
        <v>198</v>
      </c>
      <c r="B233" s="94"/>
      <c r="C233" s="94"/>
      <c r="D233" s="94"/>
      <c r="E233" s="94"/>
      <c r="F233" s="94"/>
      <c r="G233" s="94"/>
      <c r="H233" s="95"/>
    </row>
    <row r="234" spans="1:11" x14ac:dyDescent="0.25">
      <c r="A234" s="93" t="s">
        <v>199</v>
      </c>
      <c r="B234" s="94"/>
      <c r="C234" s="94"/>
      <c r="D234" s="94"/>
      <c r="E234" s="94"/>
      <c r="F234" s="94"/>
      <c r="G234" s="94"/>
      <c r="H234" s="95"/>
    </row>
    <row r="235" spans="1:11" x14ac:dyDescent="0.25">
      <c r="A235" s="93" t="s">
        <v>214</v>
      </c>
      <c r="B235" s="94"/>
      <c r="C235" s="94"/>
      <c r="D235" s="94"/>
      <c r="E235" s="94"/>
      <c r="F235" s="94"/>
      <c r="G235" s="94"/>
      <c r="H235" s="95"/>
    </row>
    <row r="236" spans="1:11" x14ac:dyDescent="0.25">
      <c r="A236" s="93" t="s">
        <v>215</v>
      </c>
      <c r="B236" s="94"/>
      <c r="C236" s="94"/>
      <c r="D236" s="94"/>
      <c r="E236" s="94"/>
      <c r="F236" s="94"/>
      <c r="G236" s="94"/>
      <c r="H236" s="95"/>
    </row>
    <row r="237" spans="1:11" ht="15.75" customHeight="1" x14ac:dyDescent="0.25">
      <c r="A237" s="86">
        <v>1</v>
      </c>
      <c r="B237" s="87"/>
      <c r="C237" s="82" t="s">
        <v>216</v>
      </c>
      <c r="D237" s="96"/>
      <c r="E237" s="96"/>
      <c r="F237" s="83"/>
      <c r="G237" s="96" t="str">
        <f>A236</f>
        <v>6th Floor For Residential &amp; (Part Refuge Area)</v>
      </c>
      <c r="H237" s="83"/>
    </row>
    <row r="238" spans="1:11" x14ac:dyDescent="0.25">
      <c r="A238" s="86">
        <f t="shared" ref="A238:A251" si="25">A237+1</f>
        <v>2</v>
      </c>
      <c r="B238" s="87"/>
      <c r="C238" s="91"/>
      <c r="D238" s="98"/>
      <c r="E238" s="98"/>
      <c r="F238" s="92"/>
      <c r="G238" s="97"/>
      <c r="H238" s="85"/>
    </row>
    <row r="239" spans="1:11" x14ac:dyDescent="0.25">
      <c r="A239" s="86">
        <f t="shared" si="25"/>
        <v>3</v>
      </c>
      <c r="B239" s="87"/>
      <c r="C239" s="42" t="s">
        <v>219</v>
      </c>
      <c r="D239" s="57">
        <f>(37.3+1.975*1.15)*10.764</f>
        <v>425.94493499999999</v>
      </c>
      <c r="E239" s="42">
        <v>0</v>
      </c>
      <c r="F239" s="42">
        <f t="shared" ref="F239:F249" si="26">D239*(($F$232)+1)+(IF(E239&lt;101,E239,IF(E239&lt;201,E239/2,IF(E239&lt;=301,E239/3,E239/4))))</f>
        <v>638.91740249999998</v>
      </c>
      <c r="G239" s="97"/>
      <c r="H239" s="85"/>
      <c r="I239" s="21">
        <f>3.05*4.925+2.4*2+2.9*3.65+2.625*0.15+1.25*1.825+1.55*0.5+1.55*1.325</f>
        <v>35.909999999999997</v>
      </c>
      <c r="K239" s="21">
        <f>68680000/F239</f>
        <v>107494.33296270248</v>
      </c>
    </row>
    <row r="240" spans="1:11" x14ac:dyDescent="0.25">
      <c r="A240" s="86">
        <f t="shared" si="25"/>
        <v>4</v>
      </c>
      <c r="B240" s="87"/>
      <c r="C240" s="42" t="s">
        <v>219</v>
      </c>
      <c r="D240" s="57">
        <f>(37.3+1.975*1.15)*10.764</f>
        <v>425.94493499999999</v>
      </c>
      <c r="E240" s="42">
        <v>0</v>
      </c>
      <c r="F240" s="42">
        <f t="shared" si="26"/>
        <v>638.91740249999998</v>
      </c>
      <c r="G240" s="97"/>
      <c r="H240" s="85"/>
    </row>
    <row r="241" spans="1:9" x14ac:dyDescent="0.25">
      <c r="A241" s="86">
        <v>5</v>
      </c>
      <c r="B241" s="87"/>
      <c r="C241" s="42" t="s">
        <v>219</v>
      </c>
      <c r="D241" s="57">
        <f>(37.3+1.975*1.15)*10.764</f>
        <v>425.94493499999999</v>
      </c>
      <c r="E241" s="42">
        <v>0</v>
      </c>
      <c r="F241" s="42">
        <f t="shared" si="26"/>
        <v>638.91740249999998</v>
      </c>
      <c r="G241" s="97"/>
      <c r="H241" s="85"/>
    </row>
    <row r="242" spans="1:9" x14ac:dyDescent="0.25">
      <c r="A242" s="86">
        <f t="shared" si="25"/>
        <v>6</v>
      </c>
      <c r="B242" s="87"/>
      <c r="C242" s="42" t="s">
        <v>219</v>
      </c>
      <c r="D242" s="57">
        <f>(37.3+1.975*1.15)*10.764</f>
        <v>425.94493499999999</v>
      </c>
      <c r="E242" s="42">
        <v>0</v>
      </c>
      <c r="F242" s="42">
        <f t="shared" si="26"/>
        <v>638.91740249999998</v>
      </c>
      <c r="G242" s="97"/>
      <c r="H242" s="85"/>
    </row>
    <row r="243" spans="1:9" x14ac:dyDescent="0.25">
      <c r="A243" s="86">
        <f t="shared" si="25"/>
        <v>7</v>
      </c>
      <c r="B243" s="87"/>
      <c r="C243" s="42" t="s">
        <v>219</v>
      </c>
      <c r="D243" s="57">
        <f>(37.3+1.975*1.15)*10.764</f>
        <v>425.94493499999999</v>
      </c>
      <c r="E243" s="42">
        <v>0</v>
      </c>
      <c r="F243" s="42">
        <f t="shared" si="26"/>
        <v>638.91740249999998</v>
      </c>
      <c r="G243" s="97"/>
      <c r="H243" s="85"/>
    </row>
    <row r="244" spans="1:9" x14ac:dyDescent="0.25">
      <c r="A244" s="86">
        <f t="shared" si="25"/>
        <v>8</v>
      </c>
      <c r="B244" s="87"/>
      <c r="C244" s="42" t="s">
        <v>219</v>
      </c>
      <c r="D244" s="57">
        <f>(37.3+1.72*1.15)*10.764</f>
        <v>422.78839199999999</v>
      </c>
      <c r="E244" s="42">
        <v>0</v>
      </c>
      <c r="F244" s="42">
        <f t="shared" si="26"/>
        <v>634.18258800000001</v>
      </c>
      <c r="G244" s="97"/>
      <c r="H244" s="85"/>
    </row>
    <row r="245" spans="1:9" x14ac:dyDescent="0.25">
      <c r="A245" s="86">
        <v>9</v>
      </c>
      <c r="B245" s="87"/>
      <c r="C245" s="42" t="s">
        <v>219</v>
      </c>
      <c r="D245" s="57">
        <f>(37.22+2*1.75)*10.764</f>
        <v>438.31007999999997</v>
      </c>
      <c r="E245" s="42">
        <v>0</v>
      </c>
      <c r="F245" s="42">
        <f t="shared" si="26"/>
        <v>657.46511999999996</v>
      </c>
      <c r="G245" s="97"/>
      <c r="H245" s="85"/>
    </row>
    <row r="246" spans="1:9" x14ac:dyDescent="0.25">
      <c r="A246" s="86">
        <f t="shared" si="25"/>
        <v>10</v>
      </c>
      <c r="B246" s="87"/>
      <c r="C246" s="42" t="s">
        <v>220</v>
      </c>
      <c r="D246" s="57">
        <f>(56.02+2.15*1.775+2.425*1.225)*10.764</f>
        <v>676.05320249999988</v>
      </c>
      <c r="E246" s="42">
        <v>0</v>
      </c>
      <c r="F246" s="42">
        <f t="shared" si="26"/>
        <v>1014.0798037499999</v>
      </c>
      <c r="G246" s="97"/>
      <c r="H246" s="85"/>
      <c r="I246" s="21">
        <f>1</f>
        <v>1</v>
      </c>
    </row>
    <row r="247" spans="1:9" x14ac:dyDescent="0.25">
      <c r="A247" s="86">
        <f t="shared" si="25"/>
        <v>11</v>
      </c>
      <c r="B247" s="87"/>
      <c r="C247" s="42" t="s">
        <v>220</v>
      </c>
      <c r="D247" s="57">
        <f>(56.3+2.475*0.95+1.245*1.6)*10.764</f>
        <v>652.76394299999993</v>
      </c>
      <c r="E247" s="42">
        <v>0</v>
      </c>
      <c r="F247" s="42">
        <f t="shared" si="26"/>
        <v>979.14591449999989</v>
      </c>
      <c r="G247" s="97"/>
      <c r="H247" s="85"/>
    </row>
    <row r="248" spans="1:9" x14ac:dyDescent="0.25">
      <c r="A248" s="86">
        <f t="shared" si="25"/>
        <v>12</v>
      </c>
      <c r="B248" s="87"/>
      <c r="C248" s="42" t="s">
        <v>220</v>
      </c>
      <c r="D248" s="57">
        <f>(62.62+2.075*1.35+0.9*1.375)*10.764</f>
        <v>717.51478499999996</v>
      </c>
      <c r="E248" s="42">
        <v>0</v>
      </c>
      <c r="F248" s="42">
        <f t="shared" si="26"/>
        <v>1076.2721775</v>
      </c>
      <c r="G248" s="97"/>
      <c r="H248" s="85"/>
    </row>
    <row r="249" spans="1:9" x14ac:dyDescent="0.25">
      <c r="A249" s="86">
        <f t="shared" si="25"/>
        <v>13</v>
      </c>
      <c r="B249" s="87"/>
      <c r="C249" s="42" t="s">
        <v>220</v>
      </c>
      <c r="D249" s="57">
        <f>(62.62+2.075*1.337+0.9*1.375)*10.764</f>
        <v>717.22442609999985</v>
      </c>
      <c r="E249" s="42">
        <v>0</v>
      </c>
      <c r="F249" s="42">
        <f t="shared" si="26"/>
        <v>1075.8366391499999</v>
      </c>
      <c r="G249" s="97"/>
      <c r="H249" s="85"/>
    </row>
    <row r="250" spans="1:9" x14ac:dyDescent="0.25">
      <c r="A250" s="86">
        <f t="shared" si="25"/>
        <v>14</v>
      </c>
      <c r="B250" s="87"/>
      <c r="C250" s="86" t="s">
        <v>216</v>
      </c>
      <c r="D250" s="99"/>
      <c r="E250" s="99"/>
      <c r="F250" s="87"/>
      <c r="G250" s="97"/>
      <c r="H250" s="85"/>
    </row>
    <row r="251" spans="1:9" x14ac:dyDescent="0.25">
      <c r="A251" s="86">
        <f t="shared" si="25"/>
        <v>15</v>
      </c>
      <c r="B251" s="87"/>
      <c r="C251" s="86" t="s">
        <v>216</v>
      </c>
      <c r="D251" s="99"/>
      <c r="E251" s="99"/>
      <c r="F251" s="87"/>
      <c r="G251" s="98"/>
      <c r="H251" s="92"/>
    </row>
    <row r="252" spans="1:9" ht="15.75" customHeight="1" x14ac:dyDescent="0.25">
      <c r="A252" s="93" t="s">
        <v>222</v>
      </c>
      <c r="B252" s="94"/>
      <c r="C252" s="94"/>
      <c r="D252" s="94"/>
      <c r="E252" s="94"/>
      <c r="F252" s="94"/>
      <c r="G252" s="94"/>
      <c r="H252" s="95"/>
    </row>
    <row r="253" spans="1:9" ht="15.75" customHeight="1" x14ac:dyDescent="0.25">
      <c r="A253" s="86">
        <v>1</v>
      </c>
      <c r="B253" s="87"/>
      <c r="C253" s="42" t="s">
        <v>219</v>
      </c>
      <c r="D253" s="57">
        <f>(37.38+2*1.1)*10.764</f>
        <v>426.03912000000003</v>
      </c>
      <c r="E253" s="42">
        <v>0</v>
      </c>
      <c r="F253" s="42">
        <f t="shared" ref="F253:F267" si="27">D253*(($F$232)+1)+(IF(E253&lt;101,E253,IF(E253&lt;201,E253/2,IF(E253&lt;=301,E253/3,E253/4))))</f>
        <v>639.05868000000009</v>
      </c>
      <c r="G253" s="82" t="str">
        <f>A252</f>
        <v>7th to 12th, 14th to 19th, 21st to 26th &amp; 28th to 33rd Floor</v>
      </c>
      <c r="H253" s="83"/>
    </row>
    <row r="254" spans="1:9" ht="15.75" customHeight="1" x14ac:dyDescent="0.25">
      <c r="A254" s="86">
        <f t="shared" ref="A254:A267" si="28">A253+1</f>
        <v>2</v>
      </c>
      <c r="B254" s="87"/>
      <c r="C254" s="42" t="s">
        <v>219</v>
      </c>
      <c r="D254" s="57">
        <f>(37.38+1.765*1.35)*10.764</f>
        <v>428.00624100000005</v>
      </c>
      <c r="E254" s="42">
        <v>0</v>
      </c>
      <c r="F254" s="42">
        <f t="shared" si="27"/>
        <v>642.00936150000007</v>
      </c>
      <c r="G254" s="84"/>
      <c r="H254" s="85"/>
    </row>
    <row r="255" spans="1:9" x14ac:dyDescent="0.25">
      <c r="A255" s="86">
        <f t="shared" si="28"/>
        <v>3</v>
      </c>
      <c r="B255" s="87"/>
      <c r="C255" s="42" t="s">
        <v>219</v>
      </c>
      <c r="D255" s="57">
        <f>(37.3+1.975*1.15)*10.764</f>
        <v>425.94493499999999</v>
      </c>
      <c r="E255" s="42">
        <v>0</v>
      </c>
      <c r="F255" s="42">
        <f t="shared" si="27"/>
        <v>638.91740249999998</v>
      </c>
      <c r="G255" s="84"/>
      <c r="H255" s="85"/>
    </row>
    <row r="256" spans="1:9" x14ac:dyDescent="0.25">
      <c r="A256" s="86">
        <f t="shared" si="28"/>
        <v>4</v>
      </c>
      <c r="B256" s="87"/>
      <c r="C256" s="42" t="s">
        <v>219</v>
      </c>
      <c r="D256" s="57">
        <f>(37.3+1.975*1.15)*10.764</f>
        <v>425.94493499999999</v>
      </c>
      <c r="E256" s="42">
        <v>0</v>
      </c>
      <c r="F256" s="42">
        <f t="shared" si="27"/>
        <v>638.91740249999998</v>
      </c>
      <c r="G256" s="84"/>
      <c r="H256" s="85"/>
    </row>
    <row r="257" spans="1:10" ht="15.75" customHeight="1" x14ac:dyDescent="0.25">
      <c r="A257" s="86">
        <v>5</v>
      </c>
      <c r="B257" s="87"/>
      <c r="C257" s="42" t="s">
        <v>219</v>
      </c>
      <c r="D257" s="57">
        <f>(37.3+1.975*1.15)*10.764</f>
        <v>425.94493499999999</v>
      </c>
      <c r="E257" s="42">
        <v>0</v>
      </c>
      <c r="F257" s="42">
        <f t="shared" si="27"/>
        <v>638.91740249999998</v>
      </c>
      <c r="G257" s="84"/>
      <c r="H257" s="85"/>
    </row>
    <row r="258" spans="1:10" ht="15.75" customHeight="1" x14ac:dyDescent="0.25">
      <c r="A258" s="86">
        <f t="shared" si="28"/>
        <v>6</v>
      </c>
      <c r="B258" s="87"/>
      <c r="C258" s="42" t="s">
        <v>219</v>
      </c>
      <c r="D258" s="57">
        <f>(37.3+1.975*1.15)*10.764</f>
        <v>425.94493499999999</v>
      </c>
      <c r="E258" s="42">
        <v>0</v>
      </c>
      <c r="F258" s="42">
        <f t="shared" si="27"/>
        <v>638.91740249999998</v>
      </c>
      <c r="G258" s="84"/>
      <c r="H258" s="85"/>
    </row>
    <row r="259" spans="1:10" ht="15.75" customHeight="1" x14ac:dyDescent="0.25">
      <c r="A259" s="86">
        <f t="shared" si="28"/>
        <v>7</v>
      </c>
      <c r="B259" s="87"/>
      <c r="C259" s="42" t="s">
        <v>219</v>
      </c>
      <c r="D259" s="57">
        <f>(37.3+1.975*1.15)*10.764</f>
        <v>425.94493499999999</v>
      </c>
      <c r="E259" s="42">
        <v>0</v>
      </c>
      <c r="F259" s="42">
        <f t="shared" si="27"/>
        <v>638.91740249999998</v>
      </c>
      <c r="G259" s="84"/>
      <c r="H259" s="85"/>
    </row>
    <row r="260" spans="1:10" ht="15.75" customHeight="1" x14ac:dyDescent="0.25">
      <c r="A260" s="86">
        <f t="shared" si="28"/>
        <v>8</v>
      </c>
      <c r="B260" s="87"/>
      <c r="C260" s="42" t="s">
        <v>219</v>
      </c>
      <c r="D260" s="57">
        <f>(37.3+1.72*1.15)*10.764</f>
        <v>422.78839199999999</v>
      </c>
      <c r="E260" s="42">
        <v>0</v>
      </c>
      <c r="F260" s="42">
        <f t="shared" si="27"/>
        <v>634.18258800000001</v>
      </c>
      <c r="G260" s="84"/>
      <c r="H260" s="85"/>
    </row>
    <row r="261" spans="1:10" ht="15.75" customHeight="1" x14ac:dyDescent="0.25">
      <c r="A261" s="86">
        <v>9</v>
      </c>
      <c r="B261" s="87"/>
      <c r="C261" s="42" t="s">
        <v>219</v>
      </c>
      <c r="D261" s="57">
        <f>(37.22+2*1.75)*10.764</f>
        <v>438.31007999999997</v>
      </c>
      <c r="E261" s="42">
        <v>0</v>
      </c>
      <c r="F261" s="42">
        <f t="shared" si="27"/>
        <v>657.46511999999996</v>
      </c>
      <c r="G261" s="84"/>
      <c r="H261" s="85"/>
    </row>
    <row r="262" spans="1:10" ht="15.75" customHeight="1" x14ac:dyDescent="0.25">
      <c r="A262" s="86">
        <f t="shared" si="28"/>
        <v>10</v>
      </c>
      <c r="B262" s="87"/>
      <c r="C262" s="42" t="s">
        <v>220</v>
      </c>
      <c r="D262" s="57">
        <f>(56.02+2.15*1.775+2.425*1.225)*10.764</f>
        <v>676.05320249999988</v>
      </c>
      <c r="E262" s="42">
        <v>0</v>
      </c>
      <c r="F262" s="42">
        <f t="shared" si="27"/>
        <v>1014.0798037499999</v>
      </c>
      <c r="G262" s="84"/>
      <c r="H262" s="85"/>
    </row>
    <row r="263" spans="1:10" x14ac:dyDescent="0.25">
      <c r="A263" s="86">
        <f t="shared" si="28"/>
        <v>11</v>
      </c>
      <c r="B263" s="87"/>
      <c r="C263" s="42" t="s">
        <v>220</v>
      </c>
      <c r="D263" s="57">
        <f>(56.3+2.475*0.95+1.245*1.6)*10.764</f>
        <v>652.76394299999993</v>
      </c>
      <c r="E263" s="42">
        <v>0</v>
      </c>
      <c r="F263" s="42">
        <f t="shared" si="27"/>
        <v>979.14591449999989</v>
      </c>
      <c r="G263" s="84"/>
      <c r="H263" s="85"/>
    </row>
    <row r="264" spans="1:10" ht="15.75" customHeight="1" x14ac:dyDescent="0.25">
      <c r="A264" s="86">
        <f t="shared" si="28"/>
        <v>12</v>
      </c>
      <c r="B264" s="87"/>
      <c r="C264" s="42" t="s">
        <v>220</v>
      </c>
      <c r="D264" s="57">
        <f>(62.62+2.075*1.35+0.9*1.375)*10.764</f>
        <v>717.51478499999996</v>
      </c>
      <c r="E264" s="42">
        <v>0</v>
      </c>
      <c r="F264" s="42">
        <f t="shared" si="27"/>
        <v>1076.2721775</v>
      </c>
      <c r="G264" s="84"/>
      <c r="H264" s="85"/>
    </row>
    <row r="265" spans="1:10" ht="15.75" customHeight="1" x14ac:dyDescent="0.25">
      <c r="A265" s="86">
        <f t="shared" si="28"/>
        <v>13</v>
      </c>
      <c r="B265" s="87"/>
      <c r="C265" s="42" t="s">
        <v>220</v>
      </c>
      <c r="D265" s="57">
        <f>(62.62+2.075*1.337+0.9*1.375)*10.764</f>
        <v>717.22442609999985</v>
      </c>
      <c r="E265" s="42">
        <v>0</v>
      </c>
      <c r="F265" s="42">
        <f t="shared" si="27"/>
        <v>1075.8366391499999</v>
      </c>
      <c r="G265" s="84"/>
      <c r="H265" s="85"/>
    </row>
    <row r="266" spans="1:10" x14ac:dyDescent="0.25">
      <c r="A266" s="86">
        <f t="shared" si="28"/>
        <v>14</v>
      </c>
      <c r="B266" s="87"/>
      <c r="C266" s="56" t="s">
        <v>219</v>
      </c>
      <c r="D266" s="57">
        <f>(37.38+2*1.1)*10.764</f>
        <v>426.03912000000003</v>
      </c>
      <c r="E266" s="42">
        <v>0</v>
      </c>
      <c r="F266" s="42">
        <f t="shared" si="27"/>
        <v>639.05868000000009</v>
      </c>
      <c r="G266" s="84"/>
      <c r="H266" s="85"/>
    </row>
    <row r="267" spans="1:10" x14ac:dyDescent="0.25">
      <c r="A267" s="86">
        <f t="shared" si="28"/>
        <v>15</v>
      </c>
      <c r="B267" s="87"/>
      <c r="C267" s="42" t="s">
        <v>220</v>
      </c>
      <c r="D267" s="57">
        <f>(56.51+2.45*1.075+1.375*0.975)*10.764</f>
        <v>651.05381249999994</v>
      </c>
      <c r="E267" s="42">
        <v>0</v>
      </c>
      <c r="F267" s="42">
        <f t="shared" si="27"/>
        <v>976.58071874999996</v>
      </c>
      <c r="G267" s="91"/>
      <c r="H267" s="92"/>
    </row>
    <row r="268" spans="1:10" x14ac:dyDescent="0.25">
      <c r="A268" s="93" t="s">
        <v>223</v>
      </c>
      <c r="B268" s="94"/>
      <c r="C268" s="94"/>
      <c r="D268" s="94"/>
      <c r="E268" s="94"/>
      <c r="F268" s="94"/>
      <c r="G268" s="94"/>
      <c r="H268" s="95"/>
    </row>
    <row r="269" spans="1:10" x14ac:dyDescent="0.25">
      <c r="A269" s="86">
        <v>1</v>
      </c>
      <c r="B269" s="87"/>
      <c r="C269" s="82" t="s">
        <v>216</v>
      </c>
      <c r="D269" s="96"/>
      <c r="E269" s="96"/>
      <c r="F269" s="83"/>
      <c r="G269" s="96" t="str">
        <f>A268</f>
        <v>13th, 20th &amp; 27th Floor (Part Refuge Area)</v>
      </c>
      <c r="H269" s="83"/>
    </row>
    <row r="270" spans="1:10" ht="15.75" customHeight="1" x14ac:dyDescent="0.25">
      <c r="A270" s="86">
        <f t="shared" ref="A270:A283" si="29">A269+1</f>
        <v>2</v>
      </c>
      <c r="B270" s="87"/>
      <c r="C270" s="91"/>
      <c r="D270" s="98"/>
      <c r="E270" s="98"/>
      <c r="F270" s="92"/>
      <c r="G270" s="97"/>
      <c r="H270" s="85"/>
    </row>
    <row r="271" spans="1:10" x14ac:dyDescent="0.25">
      <c r="A271" s="86">
        <f t="shared" si="29"/>
        <v>3</v>
      </c>
      <c r="B271" s="87"/>
      <c r="C271" s="42" t="s">
        <v>219</v>
      </c>
      <c r="D271" s="57">
        <f>(37.3+1.975*1.15)*10.764</f>
        <v>425.94493499999999</v>
      </c>
      <c r="E271" s="42">
        <v>0</v>
      </c>
      <c r="F271" s="42">
        <f t="shared" ref="F271:F281" si="30">D271*(($F$232)+1)+(IF(E271&lt;101,E271,IF(E271&lt;201,E271/2,IF(E271&lt;=301,E271/3,E271/4))))</f>
        <v>638.91740249999998</v>
      </c>
      <c r="G271" s="97"/>
      <c r="H271" s="85"/>
      <c r="J271" s="21">
        <f>10800000/F271</f>
        <v>16903.59341871268</v>
      </c>
    </row>
    <row r="272" spans="1:10" x14ac:dyDescent="0.25">
      <c r="A272" s="86">
        <f t="shared" si="29"/>
        <v>4</v>
      </c>
      <c r="B272" s="87"/>
      <c r="C272" s="42" t="s">
        <v>219</v>
      </c>
      <c r="D272" s="57">
        <f>(37.3+1.975*1.15)*10.764</f>
        <v>425.94493499999999</v>
      </c>
      <c r="E272" s="42">
        <v>0</v>
      </c>
      <c r="F272" s="42">
        <f t="shared" si="30"/>
        <v>638.91740249999998</v>
      </c>
      <c r="G272" s="97"/>
      <c r="H272" s="85"/>
    </row>
    <row r="273" spans="1:8" x14ac:dyDescent="0.25">
      <c r="A273" s="86">
        <v>5</v>
      </c>
      <c r="B273" s="87"/>
      <c r="C273" s="42" t="s">
        <v>219</v>
      </c>
      <c r="D273" s="57">
        <f>(37.3+1.975*1.15)*10.764</f>
        <v>425.94493499999999</v>
      </c>
      <c r="E273" s="42">
        <v>0</v>
      </c>
      <c r="F273" s="42">
        <f t="shared" si="30"/>
        <v>638.91740249999998</v>
      </c>
      <c r="G273" s="97"/>
      <c r="H273" s="85"/>
    </row>
    <row r="274" spans="1:8" x14ac:dyDescent="0.25">
      <c r="A274" s="86">
        <f t="shared" si="29"/>
        <v>6</v>
      </c>
      <c r="B274" s="87"/>
      <c r="C274" s="42" t="s">
        <v>219</v>
      </c>
      <c r="D274" s="57">
        <f>(37.3+1.975*1.15)*10.764</f>
        <v>425.94493499999999</v>
      </c>
      <c r="E274" s="42">
        <v>0</v>
      </c>
      <c r="F274" s="42">
        <f t="shared" si="30"/>
        <v>638.91740249999998</v>
      </c>
      <c r="G274" s="97"/>
      <c r="H274" s="85"/>
    </row>
    <row r="275" spans="1:8" x14ac:dyDescent="0.25">
      <c r="A275" s="86">
        <f t="shared" si="29"/>
        <v>7</v>
      </c>
      <c r="B275" s="87"/>
      <c r="C275" s="42" t="s">
        <v>219</v>
      </c>
      <c r="D275" s="57">
        <f>(37.3+1.975*1.15)*10.764</f>
        <v>425.94493499999999</v>
      </c>
      <c r="E275" s="42">
        <v>0</v>
      </c>
      <c r="F275" s="42">
        <f t="shared" si="30"/>
        <v>638.91740249999998</v>
      </c>
      <c r="G275" s="97"/>
      <c r="H275" s="85"/>
    </row>
    <row r="276" spans="1:8" x14ac:dyDescent="0.25">
      <c r="A276" s="86">
        <f t="shared" si="29"/>
        <v>8</v>
      </c>
      <c r="B276" s="87"/>
      <c r="C276" s="42" t="s">
        <v>219</v>
      </c>
      <c r="D276" s="57">
        <f>(37.3+1.72*1.15)*10.764</f>
        <v>422.78839199999999</v>
      </c>
      <c r="E276" s="42">
        <v>0</v>
      </c>
      <c r="F276" s="42">
        <f t="shared" si="30"/>
        <v>634.18258800000001</v>
      </c>
      <c r="G276" s="97"/>
      <c r="H276" s="85"/>
    </row>
    <row r="277" spans="1:8" x14ac:dyDescent="0.25">
      <c r="A277" s="86">
        <v>9</v>
      </c>
      <c r="B277" s="87"/>
      <c r="C277" s="42" t="s">
        <v>219</v>
      </c>
      <c r="D277" s="57">
        <f>(37.22+2*1.75)*10.764</f>
        <v>438.31007999999997</v>
      </c>
      <c r="E277" s="42">
        <v>0</v>
      </c>
      <c r="F277" s="42">
        <f t="shared" si="30"/>
        <v>657.46511999999996</v>
      </c>
      <c r="G277" s="97"/>
      <c r="H277" s="85"/>
    </row>
    <row r="278" spans="1:8" x14ac:dyDescent="0.25">
      <c r="A278" s="86">
        <f t="shared" si="29"/>
        <v>10</v>
      </c>
      <c r="B278" s="87"/>
      <c r="C278" s="42" t="s">
        <v>220</v>
      </c>
      <c r="D278" s="57">
        <f>(56.02+2.15*1.775+2.425*1.225)*10.764</f>
        <v>676.05320249999988</v>
      </c>
      <c r="E278" s="42">
        <v>0</v>
      </c>
      <c r="F278" s="42">
        <f t="shared" si="30"/>
        <v>1014.0798037499999</v>
      </c>
      <c r="G278" s="97"/>
      <c r="H278" s="85"/>
    </row>
    <row r="279" spans="1:8" x14ac:dyDescent="0.25">
      <c r="A279" s="86">
        <f t="shared" si="29"/>
        <v>11</v>
      </c>
      <c r="B279" s="87"/>
      <c r="C279" s="42" t="s">
        <v>220</v>
      </c>
      <c r="D279" s="57">
        <f>(56.3+2.475*0.95+1.245*1.6)*10.764</f>
        <v>652.76394299999993</v>
      </c>
      <c r="E279" s="42">
        <v>0</v>
      </c>
      <c r="F279" s="42">
        <f t="shared" si="30"/>
        <v>979.14591449999989</v>
      </c>
      <c r="G279" s="97"/>
      <c r="H279" s="85"/>
    </row>
    <row r="280" spans="1:8" x14ac:dyDescent="0.25">
      <c r="A280" s="86">
        <f t="shared" si="29"/>
        <v>12</v>
      </c>
      <c r="B280" s="87"/>
      <c r="C280" s="42" t="s">
        <v>220</v>
      </c>
      <c r="D280" s="57">
        <f>(62.62+2.075*1.35+0.9*1.375)*10.764</f>
        <v>717.51478499999996</v>
      </c>
      <c r="E280" s="42">
        <v>0</v>
      </c>
      <c r="F280" s="42">
        <f t="shared" si="30"/>
        <v>1076.2721775</v>
      </c>
      <c r="G280" s="97"/>
      <c r="H280" s="85"/>
    </row>
    <row r="281" spans="1:8" ht="15.75" customHeight="1" x14ac:dyDescent="0.25">
      <c r="A281" s="86">
        <f t="shared" si="29"/>
        <v>13</v>
      </c>
      <c r="B281" s="87"/>
      <c r="C281" s="42" t="s">
        <v>220</v>
      </c>
      <c r="D281" s="57">
        <f>(62.62+2.075*1.337+0.9*1.375)*10.764</f>
        <v>717.22442609999985</v>
      </c>
      <c r="E281" s="42">
        <v>0</v>
      </c>
      <c r="F281" s="42">
        <f t="shared" si="30"/>
        <v>1075.8366391499999</v>
      </c>
      <c r="G281" s="97"/>
      <c r="H281" s="85"/>
    </row>
    <row r="282" spans="1:8" ht="15.75" customHeight="1" x14ac:dyDescent="0.25">
      <c r="A282" s="86">
        <f t="shared" si="29"/>
        <v>14</v>
      </c>
      <c r="B282" s="87"/>
      <c r="C282" s="86" t="s">
        <v>216</v>
      </c>
      <c r="D282" s="99"/>
      <c r="E282" s="99"/>
      <c r="F282" s="87"/>
      <c r="G282" s="97"/>
      <c r="H282" s="85"/>
    </row>
    <row r="283" spans="1:8" x14ac:dyDescent="0.25">
      <c r="A283" s="86">
        <f t="shared" si="29"/>
        <v>15</v>
      </c>
      <c r="B283" s="87"/>
      <c r="C283" s="86" t="s">
        <v>216</v>
      </c>
      <c r="D283" s="99"/>
      <c r="E283" s="99"/>
      <c r="F283" s="87"/>
      <c r="G283" s="98"/>
      <c r="H283" s="92"/>
    </row>
    <row r="284" spans="1:8" x14ac:dyDescent="0.25">
      <c r="A284" s="93" t="s">
        <v>224</v>
      </c>
      <c r="B284" s="94"/>
      <c r="C284" s="94"/>
      <c r="D284" s="94"/>
      <c r="E284" s="94"/>
      <c r="F284" s="94"/>
      <c r="G284" s="94"/>
      <c r="H284" s="95"/>
    </row>
    <row r="285" spans="1:8" x14ac:dyDescent="0.25">
      <c r="A285" s="86">
        <v>1</v>
      </c>
      <c r="B285" s="87"/>
      <c r="C285" s="82" t="s">
        <v>216</v>
      </c>
      <c r="D285" s="96"/>
      <c r="E285" s="96"/>
      <c r="F285" s="83"/>
      <c r="G285" s="96" t="str">
        <f>A284</f>
        <v>34th Floor (Part Refuge Area)</v>
      </c>
      <c r="H285" s="83"/>
    </row>
    <row r="286" spans="1:8" x14ac:dyDescent="0.25">
      <c r="A286" s="86">
        <f t="shared" ref="A286:A299" si="31">A285+1</f>
        <v>2</v>
      </c>
      <c r="B286" s="87"/>
      <c r="C286" s="91"/>
      <c r="D286" s="98"/>
      <c r="E286" s="98"/>
      <c r="F286" s="92"/>
      <c r="G286" s="97"/>
      <c r="H286" s="85"/>
    </row>
    <row r="287" spans="1:8" x14ac:dyDescent="0.25">
      <c r="A287" s="86">
        <f t="shared" si="31"/>
        <v>3</v>
      </c>
      <c r="B287" s="87"/>
      <c r="C287" s="42" t="s">
        <v>219</v>
      </c>
      <c r="D287" s="57">
        <f>(37.3+1.975*1.15)*10.764</f>
        <v>425.94493499999999</v>
      </c>
      <c r="E287" s="42">
        <v>0</v>
      </c>
      <c r="F287" s="42">
        <f t="shared" ref="F287:F297" si="32">D287*(($F$232)+1)+(IF(E287&lt;101,E287,IF(E287&lt;201,E287/2,IF(E287&lt;=301,E287/3,E287/4))))</f>
        <v>638.91740249999998</v>
      </c>
      <c r="G287" s="97"/>
      <c r="H287" s="85"/>
    </row>
    <row r="288" spans="1:8" x14ac:dyDescent="0.25">
      <c r="A288" s="86">
        <f t="shared" si="31"/>
        <v>4</v>
      </c>
      <c r="B288" s="87"/>
      <c r="C288" s="42" t="s">
        <v>219</v>
      </c>
      <c r="D288" s="57">
        <f>(37.3+1.975*1.15)*10.764</f>
        <v>425.94493499999999</v>
      </c>
      <c r="E288" s="42">
        <v>0</v>
      </c>
      <c r="F288" s="42">
        <f t="shared" si="32"/>
        <v>638.91740249999998</v>
      </c>
      <c r="G288" s="97"/>
      <c r="H288" s="85"/>
    </row>
    <row r="289" spans="1:8" x14ac:dyDescent="0.25">
      <c r="A289" s="86">
        <v>5</v>
      </c>
      <c r="B289" s="87"/>
      <c r="C289" s="42" t="s">
        <v>219</v>
      </c>
      <c r="D289" s="57">
        <f>(37.3+1.975*1.15)*10.764</f>
        <v>425.94493499999999</v>
      </c>
      <c r="E289" s="42">
        <v>0</v>
      </c>
      <c r="F289" s="42">
        <f t="shared" si="32"/>
        <v>638.91740249999998</v>
      </c>
      <c r="G289" s="97"/>
      <c r="H289" s="85"/>
    </row>
    <row r="290" spans="1:8" ht="15.75" customHeight="1" x14ac:dyDescent="0.25">
      <c r="A290" s="86">
        <f t="shared" si="31"/>
        <v>6</v>
      </c>
      <c r="B290" s="87"/>
      <c r="C290" s="42" t="s">
        <v>219</v>
      </c>
      <c r="D290" s="57">
        <f>(37.3+1.975*1.15)*10.764</f>
        <v>425.94493499999999</v>
      </c>
      <c r="E290" s="42">
        <v>0</v>
      </c>
      <c r="F290" s="42">
        <f t="shared" si="32"/>
        <v>638.91740249999998</v>
      </c>
      <c r="G290" s="97"/>
      <c r="H290" s="85"/>
    </row>
    <row r="291" spans="1:8" x14ac:dyDescent="0.25">
      <c r="A291" s="86">
        <f t="shared" si="31"/>
        <v>7</v>
      </c>
      <c r="B291" s="87"/>
      <c r="C291" s="42" t="s">
        <v>219</v>
      </c>
      <c r="D291" s="57">
        <f>(37.3+1.975*1.15)*10.764</f>
        <v>425.94493499999999</v>
      </c>
      <c r="E291" s="42">
        <v>0</v>
      </c>
      <c r="F291" s="42">
        <f t="shared" si="32"/>
        <v>638.91740249999998</v>
      </c>
      <c r="G291" s="97"/>
      <c r="H291" s="85"/>
    </row>
    <row r="292" spans="1:8" x14ac:dyDescent="0.25">
      <c r="A292" s="86">
        <f t="shared" si="31"/>
        <v>8</v>
      </c>
      <c r="B292" s="87"/>
      <c r="C292" s="42" t="s">
        <v>219</v>
      </c>
      <c r="D292" s="57">
        <f>(37.3+1.72*1.15)*10.764</f>
        <v>422.78839199999999</v>
      </c>
      <c r="E292" s="42">
        <v>0</v>
      </c>
      <c r="F292" s="42">
        <f t="shared" si="32"/>
        <v>634.18258800000001</v>
      </c>
      <c r="G292" s="97"/>
      <c r="H292" s="85"/>
    </row>
    <row r="293" spans="1:8" x14ac:dyDescent="0.25">
      <c r="A293" s="86">
        <v>9</v>
      </c>
      <c r="B293" s="87"/>
      <c r="C293" s="42" t="s">
        <v>219</v>
      </c>
      <c r="D293" s="57">
        <f>(37.22+2*1.75)*10.764</f>
        <v>438.31007999999997</v>
      </c>
      <c r="E293" s="42">
        <v>0</v>
      </c>
      <c r="F293" s="42">
        <f t="shared" si="32"/>
        <v>657.46511999999996</v>
      </c>
      <c r="G293" s="97"/>
      <c r="H293" s="85"/>
    </row>
    <row r="294" spans="1:8" x14ac:dyDescent="0.25">
      <c r="A294" s="86">
        <f t="shared" si="31"/>
        <v>10</v>
      </c>
      <c r="B294" s="87"/>
      <c r="C294" s="42" t="s">
        <v>220</v>
      </c>
      <c r="D294" s="57">
        <f>(56.02+2.15*1.775+2.425*1.225)*10.764</f>
        <v>676.05320249999988</v>
      </c>
      <c r="E294" s="42">
        <v>0</v>
      </c>
      <c r="F294" s="42">
        <f t="shared" si="32"/>
        <v>1014.0798037499999</v>
      </c>
      <c r="G294" s="97"/>
      <c r="H294" s="85"/>
    </row>
    <row r="295" spans="1:8" x14ac:dyDescent="0.25">
      <c r="A295" s="86">
        <f t="shared" si="31"/>
        <v>11</v>
      </c>
      <c r="B295" s="87"/>
      <c r="C295" s="42" t="s">
        <v>220</v>
      </c>
      <c r="D295" s="57">
        <f>(56.3+2.475*0.95+1.245*1.6)*10.764</f>
        <v>652.76394299999993</v>
      </c>
      <c r="E295" s="42">
        <v>0</v>
      </c>
      <c r="F295" s="42">
        <f t="shared" si="32"/>
        <v>979.14591449999989</v>
      </c>
      <c r="G295" s="97"/>
      <c r="H295" s="85"/>
    </row>
    <row r="296" spans="1:8" x14ac:dyDescent="0.25">
      <c r="A296" s="86">
        <f t="shared" si="31"/>
        <v>12</v>
      </c>
      <c r="B296" s="87"/>
      <c r="C296" s="42" t="s">
        <v>220</v>
      </c>
      <c r="D296" s="57">
        <f>(62.62+2.075*1.35+0.9*1.375)*10.764</f>
        <v>717.51478499999996</v>
      </c>
      <c r="E296" s="42">
        <v>0</v>
      </c>
      <c r="F296" s="42">
        <f t="shared" si="32"/>
        <v>1076.2721775</v>
      </c>
      <c r="G296" s="97"/>
      <c r="H296" s="85"/>
    </row>
    <row r="297" spans="1:8" x14ac:dyDescent="0.25">
      <c r="A297" s="86">
        <f t="shared" si="31"/>
        <v>13</v>
      </c>
      <c r="B297" s="87"/>
      <c r="C297" s="42" t="s">
        <v>220</v>
      </c>
      <c r="D297" s="57">
        <f>(62.62+2.075*1.337+0.9*1.375)*10.764</f>
        <v>717.22442609999985</v>
      </c>
      <c r="E297" s="42">
        <v>0</v>
      </c>
      <c r="F297" s="42">
        <f t="shared" si="32"/>
        <v>1075.8366391499999</v>
      </c>
      <c r="G297" s="97"/>
      <c r="H297" s="85"/>
    </row>
    <row r="298" spans="1:8" x14ac:dyDescent="0.25">
      <c r="A298" s="86">
        <f t="shared" si="31"/>
        <v>14</v>
      </c>
      <c r="B298" s="87"/>
      <c r="C298" s="86" t="s">
        <v>216</v>
      </c>
      <c r="D298" s="99"/>
      <c r="E298" s="99"/>
      <c r="F298" s="87"/>
      <c r="G298" s="97"/>
      <c r="H298" s="85"/>
    </row>
    <row r="299" spans="1:8" x14ac:dyDescent="0.25">
      <c r="A299" s="86">
        <f t="shared" si="31"/>
        <v>15</v>
      </c>
      <c r="B299" s="87"/>
      <c r="C299" s="86" t="s">
        <v>216</v>
      </c>
      <c r="D299" s="99"/>
      <c r="E299" s="99"/>
      <c r="F299" s="87"/>
      <c r="G299" s="98"/>
      <c r="H299" s="92"/>
    </row>
    <row r="300" spans="1:8" x14ac:dyDescent="0.25">
      <c r="A300" s="93" t="s">
        <v>225</v>
      </c>
      <c r="B300" s="94"/>
      <c r="C300" s="94"/>
      <c r="D300" s="94"/>
      <c r="E300" s="94"/>
      <c r="F300" s="94"/>
      <c r="G300" s="94"/>
      <c r="H300" s="95"/>
    </row>
    <row r="301" spans="1:8" x14ac:dyDescent="0.25">
      <c r="A301" s="86">
        <v>1</v>
      </c>
      <c r="B301" s="87"/>
      <c r="C301" s="42" t="s">
        <v>219</v>
      </c>
      <c r="D301" s="57">
        <f>(37.38+2*1.1)*10.764</f>
        <v>426.03912000000003</v>
      </c>
      <c r="E301" s="42">
        <v>0</v>
      </c>
      <c r="F301" s="42">
        <f t="shared" ref="F301:F315" si="33">D301*(($F$232)+1)+(IF(E301&lt;101,E301,IF(E301&lt;201,E301/2,IF(E301&lt;=301,E301/3,E301/4))))</f>
        <v>639.05868000000009</v>
      </c>
      <c r="G301" s="82" t="str">
        <f>A300</f>
        <v>35th Floor</v>
      </c>
      <c r="H301" s="83"/>
    </row>
    <row r="302" spans="1:8" x14ac:dyDescent="0.25">
      <c r="A302" s="86">
        <f t="shared" ref="A302:A315" si="34">A301+1</f>
        <v>2</v>
      </c>
      <c r="B302" s="87"/>
      <c r="C302" s="42" t="s">
        <v>219</v>
      </c>
      <c r="D302" s="57">
        <f>(37.38+1.765*1.35)*10.764</f>
        <v>428.00624100000005</v>
      </c>
      <c r="E302" s="42">
        <v>0</v>
      </c>
      <c r="F302" s="42">
        <f t="shared" si="33"/>
        <v>642.00936150000007</v>
      </c>
      <c r="G302" s="84"/>
      <c r="H302" s="85"/>
    </row>
    <row r="303" spans="1:8" x14ac:dyDescent="0.25">
      <c r="A303" s="86">
        <f t="shared" si="34"/>
        <v>3</v>
      </c>
      <c r="B303" s="87"/>
      <c r="C303" s="42" t="s">
        <v>219</v>
      </c>
      <c r="D303" s="57">
        <f>(37.3+1.975*1.15)*10.764</f>
        <v>425.94493499999999</v>
      </c>
      <c r="E303" s="42">
        <v>0</v>
      </c>
      <c r="F303" s="42">
        <f t="shared" si="33"/>
        <v>638.91740249999998</v>
      </c>
      <c r="G303" s="84"/>
      <c r="H303" s="85"/>
    </row>
    <row r="304" spans="1:8" x14ac:dyDescent="0.25">
      <c r="A304" s="86">
        <f t="shared" si="34"/>
        <v>4</v>
      </c>
      <c r="B304" s="87"/>
      <c r="C304" s="42" t="s">
        <v>219</v>
      </c>
      <c r="D304" s="57">
        <f>(37.3+1.975*1.15)*10.764</f>
        <v>425.94493499999999</v>
      </c>
      <c r="E304" s="42">
        <v>0</v>
      </c>
      <c r="F304" s="42">
        <f t="shared" si="33"/>
        <v>638.91740249999998</v>
      </c>
      <c r="G304" s="84"/>
      <c r="H304" s="85"/>
    </row>
    <row r="305" spans="1:8" x14ac:dyDescent="0.25">
      <c r="A305" s="86">
        <v>5</v>
      </c>
      <c r="B305" s="87"/>
      <c r="C305" s="42" t="s">
        <v>219</v>
      </c>
      <c r="D305" s="57">
        <f>(37.3+1.975*1.15)*10.764</f>
        <v>425.94493499999999</v>
      </c>
      <c r="E305" s="42">
        <v>0</v>
      </c>
      <c r="F305" s="42">
        <f t="shared" si="33"/>
        <v>638.91740249999998</v>
      </c>
      <c r="G305" s="84"/>
      <c r="H305" s="85"/>
    </row>
    <row r="306" spans="1:8" x14ac:dyDescent="0.25">
      <c r="A306" s="86">
        <f t="shared" si="34"/>
        <v>6</v>
      </c>
      <c r="B306" s="87"/>
      <c r="C306" s="42" t="s">
        <v>219</v>
      </c>
      <c r="D306" s="57">
        <f>(37.3+1.975*1.15)*10.764</f>
        <v>425.94493499999999</v>
      </c>
      <c r="E306" s="42">
        <v>0</v>
      </c>
      <c r="F306" s="42">
        <f t="shared" si="33"/>
        <v>638.91740249999998</v>
      </c>
      <c r="G306" s="84"/>
      <c r="H306" s="85"/>
    </row>
    <row r="307" spans="1:8" x14ac:dyDescent="0.25">
      <c r="A307" s="86">
        <f t="shared" si="34"/>
        <v>7</v>
      </c>
      <c r="B307" s="87"/>
      <c r="C307" s="42" t="s">
        <v>219</v>
      </c>
      <c r="D307" s="57">
        <f>(37.3+1.975*1.15)*10.764</f>
        <v>425.94493499999999</v>
      </c>
      <c r="E307" s="42">
        <v>0</v>
      </c>
      <c r="F307" s="42">
        <f t="shared" si="33"/>
        <v>638.91740249999998</v>
      </c>
      <c r="G307" s="84"/>
      <c r="H307" s="85"/>
    </row>
    <row r="308" spans="1:8" x14ac:dyDescent="0.25">
      <c r="A308" s="86">
        <f t="shared" si="34"/>
        <v>8</v>
      </c>
      <c r="B308" s="87"/>
      <c r="C308" s="42" t="s">
        <v>219</v>
      </c>
      <c r="D308" s="57">
        <f>(37.3+1.72*1.15)*10.764</f>
        <v>422.78839199999999</v>
      </c>
      <c r="E308" s="42">
        <v>0</v>
      </c>
      <c r="F308" s="42">
        <f t="shared" si="33"/>
        <v>634.18258800000001</v>
      </c>
      <c r="G308" s="84"/>
      <c r="H308" s="85"/>
    </row>
    <row r="309" spans="1:8" x14ac:dyDescent="0.25">
      <c r="A309" s="86">
        <v>9</v>
      </c>
      <c r="B309" s="87"/>
      <c r="C309" s="42" t="s">
        <v>219</v>
      </c>
      <c r="D309" s="57">
        <f>(37.22+2*1.75)*10.764</f>
        <v>438.31007999999997</v>
      </c>
      <c r="E309" s="42">
        <v>0</v>
      </c>
      <c r="F309" s="42">
        <f t="shared" si="33"/>
        <v>657.46511999999996</v>
      </c>
      <c r="G309" s="84"/>
      <c r="H309" s="85"/>
    </row>
    <row r="310" spans="1:8" x14ac:dyDescent="0.25">
      <c r="A310" s="86">
        <f t="shared" si="34"/>
        <v>10</v>
      </c>
      <c r="B310" s="87"/>
      <c r="C310" s="42" t="s">
        <v>220</v>
      </c>
      <c r="D310" s="57">
        <f>(56.02+2.15*1.775+2.425*1.225)*10.764</f>
        <v>676.05320249999988</v>
      </c>
      <c r="E310" s="42">
        <v>0</v>
      </c>
      <c r="F310" s="42">
        <f t="shared" si="33"/>
        <v>1014.0798037499999</v>
      </c>
      <c r="G310" s="84"/>
      <c r="H310" s="85"/>
    </row>
    <row r="311" spans="1:8" x14ac:dyDescent="0.25">
      <c r="A311" s="86">
        <f t="shared" si="34"/>
        <v>11</v>
      </c>
      <c r="B311" s="87"/>
      <c r="C311" s="42" t="s">
        <v>220</v>
      </c>
      <c r="D311" s="57">
        <f>(56.3+2.475*0.95+1.245*1.6)*10.764</f>
        <v>652.76394299999993</v>
      </c>
      <c r="E311" s="42">
        <v>0</v>
      </c>
      <c r="F311" s="42">
        <f t="shared" si="33"/>
        <v>979.14591449999989</v>
      </c>
      <c r="G311" s="84"/>
      <c r="H311" s="85"/>
    </row>
    <row r="312" spans="1:8" x14ac:dyDescent="0.25">
      <c r="A312" s="86">
        <f t="shared" si="34"/>
        <v>12</v>
      </c>
      <c r="B312" s="87"/>
      <c r="C312" s="42" t="s">
        <v>220</v>
      </c>
      <c r="D312" s="57">
        <f>(62.62+2.075*1.35+0.9*1.375)*10.764</f>
        <v>717.51478499999996</v>
      </c>
      <c r="E312" s="42">
        <v>0</v>
      </c>
      <c r="F312" s="42">
        <f t="shared" si="33"/>
        <v>1076.2721775</v>
      </c>
      <c r="G312" s="84"/>
      <c r="H312" s="85"/>
    </row>
    <row r="313" spans="1:8" x14ac:dyDescent="0.25">
      <c r="A313" s="86">
        <f t="shared" si="34"/>
        <v>13</v>
      </c>
      <c r="B313" s="87"/>
      <c r="C313" s="42" t="s">
        <v>220</v>
      </c>
      <c r="D313" s="57">
        <f>(62.62+2.075*1.337+0.9*1.375)*10.764</f>
        <v>717.22442609999985</v>
      </c>
      <c r="E313" s="42">
        <v>0</v>
      </c>
      <c r="F313" s="42">
        <f t="shared" si="33"/>
        <v>1075.8366391499999</v>
      </c>
      <c r="G313" s="84"/>
      <c r="H313" s="85"/>
    </row>
    <row r="314" spans="1:8" x14ac:dyDescent="0.25">
      <c r="A314" s="86">
        <f t="shared" si="34"/>
        <v>14</v>
      </c>
      <c r="B314" s="87"/>
      <c r="C314" s="56" t="s">
        <v>219</v>
      </c>
      <c r="D314" s="57">
        <f>(37.38+2*1.1)*10.764</f>
        <v>426.03912000000003</v>
      </c>
      <c r="E314" s="42">
        <v>0</v>
      </c>
      <c r="F314" s="42">
        <f t="shared" si="33"/>
        <v>639.05868000000009</v>
      </c>
      <c r="G314" s="84"/>
      <c r="H314" s="85"/>
    </row>
    <row r="315" spans="1:8" ht="15.75" customHeight="1" x14ac:dyDescent="0.25">
      <c r="A315" s="86">
        <f t="shared" si="34"/>
        <v>15</v>
      </c>
      <c r="B315" s="87"/>
      <c r="C315" s="42" t="s">
        <v>220</v>
      </c>
      <c r="D315" s="57">
        <f>(56.51+2.45*1.075+1.375*0.975)*10.764</f>
        <v>651.05381249999994</v>
      </c>
      <c r="E315" s="42">
        <v>0</v>
      </c>
      <c r="F315" s="42">
        <f t="shared" si="33"/>
        <v>976.58071874999996</v>
      </c>
      <c r="G315" s="91"/>
      <c r="H315" s="92"/>
    </row>
    <row r="316" spans="1:8" x14ac:dyDescent="0.25">
      <c r="A316" s="88" t="s">
        <v>226</v>
      </c>
      <c r="B316" s="89"/>
      <c r="C316" s="89"/>
      <c r="D316" s="89"/>
      <c r="E316" s="89"/>
      <c r="F316" s="89"/>
      <c r="G316" s="89"/>
      <c r="H316" s="90"/>
    </row>
    <row r="317" spans="1:8" ht="15.75" customHeight="1" x14ac:dyDescent="0.25">
      <c r="A317" s="86">
        <v>1</v>
      </c>
      <c r="B317" s="87"/>
      <c r="C317" s="42" t="s">
        <v>219</v>
      </c>
      <c r="D317" s="57">
        <f>(37.38+2*1.1)*10.764</f>
        <v>426.03912000000003</v>
      </c>
      <c r="E317" s="42">
        <v>0</v>
      </c>
      <c r="F317" s="42">
        <f t="shared" ref="F317:F331" si="35">D317*(($F$232)+1)+(IF(E317&lt;101,E317,IF(E317&lt;201,E317/2,IF(E317&lt;=301,E317/3,E317/4))))</f>
        <v>639.05868000000009</v>
      </c>
      <c r="G317" s="82" t="str">
        <f>A316</f>
        <v>36th to 38th Floor</v>
      </c>
      <c r="H317" s="83"/>
    </row>
    <row r="318" spans="1:8" x14ac:dyDescent="0.25">
      <c r="A318" s="86">
        <f t="shared" ref="A318:A331" si="36">A317+1</f>
        <v>2</v>
      </c>
      <c r="B318" s="87"/>
      <c r="C318" s="42" t="s">
        <v>219</v>
      </c>
      <c r="D318" s="57">
        <f>(37.38+1.765*1.35)*10.764</f>
        <v>428.00624100000005</v>
      </c>
      <c r="E318" s="42">
        <v>0</v>
      </c>
      <c r="F318" s="42">
        <f t="shared" si="35"/>
        <v>642.00936150000007</v>
      </c>
      <c r="G318" s="84"/>
      <c r="H318" s="85"/>
    </row>
    <row r="319" spans="1:8" x14ac:dyDescent="0.25">
      <c r="A319" s="86">
        <f t="shared" si="36"/>
        <v>3</v>
      </c>
      <c r="B319" s="87"/>
      <c r="C319" s="42" t="s">
        <v>219</v>
      </c>
      <c r="D319" s="57">
        <f>(37.3+1.975*1.15)*10.764</f>
        <v>425.94493499999999</v>
      </c>
      <c r="E319" s="42">
        <v>0</v>
      </c>
      <c r="F319" s="42">
        <f t="shared" si="35"/>
        <v>638.91740249999998</v>
      </c>
      <c r="G319" s="84"/>
      <c r="H319" s="85"/>
    </row>
    <row r="320" spans="1:8" x14ac:dyDescent="0.25">
      <c r="A320" s="86">
        <f t="shared" si="36"/>
        <v>4</v>
      </c>
      <c r="B320" s="87"/>
      <c r="C320" s="42" t="s">
        <v>219</v>
      </c>
      <c r="D320" s="57">
        <f>(37.3+1.975*1.15)*10.764</f>
        <v>425.94493499999999</v>
      </c>
      <c r="E320" s="42">
        <v>0</v>
      </c>
      <c r="F320" s="42">
        <f t="shared" si="35"/>
        <v>638.91740249999998</v>
      </c>
      <c r="G320" s="84"/>
      <c r="H320" s="85"/>
    </row>
    <row r="321" spans="1:8" x14ac:dyDescent="0.25">
      <c r="A321" s="86">
        <v>5</v>
      </c>
      <c r="B321" s="87"/>
      <c r="C321" s="42" t="s">
        <v>219</v>
      </c>
      <c r="D321" s="57">
        <f>(37.3+1.975*1.15)*10.764</f>
        <v>425.94493499999999</v>
      </c>
      <c r="E321" s="42">
        <v>0</v>
      </c>
      <c r="F321" s="42">
        <f t="shared" si="35"/>
        <v>638.91740249999998</v>
      </c>
      <c r="G321" s="84"/>
      <c r="H321" s="85"/>
    </row>
    <row r="322" spans="1:8" x14ac:dyDescent="0.25">
      <c r="A322" s="86">
        <f t="shared" si="36"/>
        <v>6</v>
      </c>
      <c r="B322" s="87"/>
      <c r="C322" s="42" t="s">
        <v>219</v>
      </c>
      <c r="D322" s="57">
        <f>(37.3+1.975*1.15)*10.764</f>
        <v>425.94493499999999</v>
      </c>
      <c r="E322" s="42">
        <v>0</v>
      </c>
      <c r="F322" s="42">
        <f t="shared" si="35"/>
        <v>638.91740249999998</v>
      </c>
      <c r="G322" s="84"/>
      <c r="H322" s="85"/>
    </row>
    <row r="323" spans="1:8" x14ac:dyDescent="0.25">
      <c r="A323" s="86">
        <f t="shared" si="36"/>
        <v>7</v>
      </c>
      <c r="B323" s="87"/>
      <c r="C323" s="42" t="s">
        <v>219</v>
      </c>
      <c r="D323" s="57">
        <f>(37.3+1.975*1.15)*10.764</f>
        <v>425.94493499999999</v>
      </c>
      <c r="E323" s="42">
        <v>0</v>
      </c>
      <c r="F323" s="42">
        <f t="shared" si="35"/>
        <v>638.91740249999998</v>
      </c>
      <c r="G323" s="84"/>
      <c r="H323" s="85"/>
    </row>
    <row r="324" spans="1:8" x14ac:dyDescent="0.25">
      <c r="A324" s="86">
        <f t="shared" si="36"/>
        <v>8</v>
      </c>
      <c r="B324" s="87"/>
      <c r="C324" s="42" t="s">
        <v>219</v>
      </c>
      <c r="D324" s="57">
        <f>(37.3+1.72*1.15)*10.764</f>
        <v>422.78839199999999</v>
      </c>
      <c r="E324" s="42">
        <v>0</v>
      </c>
      <c r="F324" s="42">
        <f t="shared" si="35"/>
        <v>634.18258800000001</v>
      </c>
      <c r="G324" s="84"/>
      <c r="H324" s="85"/>
    </row>
    <row r="325" spans="1:8" x14ac:dyDescent="0.25">
      <c r="A325" s="86">
        <v>9</v>
      </c>
      <c r="B325" s="87"/>
      <c r="C325" s="42" t="s">
        <v>219</v>
      </c>
      <c r="D325" s="57">
        <f>(37.22+2*1.75)*10.764</f>
        <v>438.31007999999997</v>
      </c>
      <c r="E325" s="42">
        <v>0</v>
      </c>
      <c r="F325" s="42">
        <f t="shared" si="35"/>
        <v>657.46511999999996</v>
      </c>
      <c r="G325" s="84"/>
      <c r="H325" s="85"/>
    </row>
    <row r="326" spans="1:8" x14ac:dyDescent="0.25">
      <c r="A326" s="86">
        <f t="shared" si="36"/>
        <v>10</v>
      </c>
      <c r="B326" s="87"/>
      <c r="C326" s="42" t="s">
        <v>220</v>
      </c>
      <c r="D326" s="57">
        <f>(56.02+2.15*1.775+2.425*1.225)*10.764</f>
        <v>676.05320249999988</v>
      </c>
      <c r="E326" s="42">
        <v>0</v>
      </c>
      <c r="F326" s="42">
        <f t="shared" si="35"/>
        <v>1014.0798037499999</v>
      </c>
      <c r="G326" s="84"/>
      <c r="H326" s="85"/>
    </row>
    <row r="327" spans="1:8" x14ac:dyDescent="0.25">
      <c r="A327" s="86">
        <f t="shared" si="36"/>
        <v>11</v>
      </c>
      <c r="B327" s="87"/>
      <c r="C327" s="42" t="s">
        <v>220</v>
      </c>
      <c r="D327" s="57">
        <f>(56.3+2.475*0.95+1.245*1.6)*10.764</f>
        <v>652.76394299999993</v>
      </c>
      <c r="E327" s="42">
        <v>0</v>
      </c>
      <c r="F327" s="42">
        <f t="shared" si="35"/>
        <v>979.14591449999989</v>
      </c>
      <c r="G327" s="84"/>
      <c r="H327" s="85"/>
    </row>
    <row r="328" spans="1:8" x14ac:dyDescent="0.25">
      <c r="A328" s="86">
        <f t="shared" si="36"/>
        <v>12</v>
      </c>
      <c r="B328" s="87"/>
      <c r="C328" s="42" t="s">
        <v>220</v>
      </c>
      <c r="D328" s="57">
        <f>(62.62+2.075*1.35+0.9*1.375)*10.764</f>
        <v>717.51478499999996</v>
      </c>
      <c r="E328" s="42">
        <v>0</v>
      </c>
      <c r="F328" s="42">
        <f t="shared" si="35"/>
        <v>1076.2721775</v>
      </c>
      <c r="G328" s="84"/>
      <c r="H328" s="85"/>
    </row>
    <row r="329" spans="1:8" x14ac:dyDescent="0.25">
      <c r="A329" s="86">
        <f t="shared" si="36"/>
        <v>13</v>
      </c>
      <c r="B329" s="87"/>
      <c r="C329" s="42" t="s">
        <v>220</v>
      </c>
      <c r="D329" s="57">
        <f>(62.62+2.075*1.337+0.9*1.375)*10.764</f>
        <v>717.22442609999985</v>
      </c>
      <c r="E329" s="42">
        <v>0</v>
      </c>
      <c r="F329" s="42">
        <f t="shared" si="35"/>
        <v>1075.8366391499999</v>
      </c>
      <c r="G329" s="84"/>
      <c r="H329" s="85"/>
    </row>
    <row r="330" spans="1:8" x14ac:dyDescent="0.25">
      <c r="A330" s="86">
        <f t="shared" si="36"/>
        <v>14</v>
      </c>
      <c r="B330" s="87"/>
      <c r="C330" s="56" t="s">
        <v>219</v>
      </c>
      <c r="D330" s="57">
        <f>(37.38+2*1.1)*10.764</f>
        <v>426.03912000000003</v>
      </c>
      <c r="E330" s="42">
        <v>0</v>
      </c>
      <c r="F330" s="42">
        <f t="shared" si="35"/>
        <v>639.05868000000009</v>
      </c>
      <c r="G330" s="84"/>
      <c r="H330" s="85"/>
    </row>
    <row r="331" spans="1:8" x14ac:dyDescent="0.25">
      <c r="A331" s="86">
        <f t="shared" si="36"/>
        <v>15</v>
      </c>
      <c r="B331" s="87"/>
      <c r="C331" s="42" t="s">
        <v>220</v>
      </c>
      <c r="D331" s="57">
        <f>(56.51+2.45*1.075+1.375*0.975)*10.764</f>
        <v>651.05381249999994</v>
      </c>
      <c r="E331" s="42">
        <v>0</v>
      </c>
      <c r="F331" s="42">
        <f t="shared" si="35"/>
        <v>976.58071874999996</v>
      </c>
      <c r="G331" s="91"/>
      <c r="H331" s="92"/>
    </row>
    <row r="332" spans="1:8" x14ac:dyDescent="0.25">
      <c r="A332" s="88" t="s">
        <v>227</v>
      </c>
      <c r="B332" s="89"/>
      <c r="C332" s="89"/>
      <c r="D332" s="89"/>
      <c r="E332" s="89"/>
      <c r="F332" s="89"/>
      <c r="G332" s="89"/>
      <c r="H332" s="90"/>
    </row>
    <row r="333" spans="1:8" x14ac:dyDescent="0.25">
      <c r="A333" s="86">
        <v>1</v>
      </c>
      <c r="B333" s="87"/>
      <c r="C333" s="42" t="s">
        <v>220</v>
      </c>
      <c r="D333" s="57">
        <f>(58.46+1.765*1.275+2*1.1)*10.764</f>
        <v>677.16727649999996</v>
      </c>
      <c r="E333" s="42">
        <v>0</v>
      </c>
      <c r="F333" s="42">
        <f t="shared" ref="F333:F344" si="37">D333*(($F$232)+1)+(IF(E333&lt;101,E333,IF(E333&lt;201,E333/2,IF(E333&lt;=301,E333/3,E333/4))))</f>
        <v>1015.75091475</v>
      </c>
      <c r="G333" s="82" t="str">
        <f>A332</f>
        <v>39th &amp; 40th Floor</v>
      </c>
      <c r="H333" s="83"/>
    </row>
    <row r="334" spans="1:8" x14ac:dyDescent="0.25">
      <c r="A334" s="86">
        <f t="shared" ref="A334:A344" si="38">A333+1</f>
        <v>2</v>
      </c>
      <c r="B334" s="87"/>
      <c r="C334" s="42" t="s">
        <v>219</v>
      </c>
      <c r="D334" s="57">
        <f>(37.3+1.975*1.15)*10.764</f>
        <v>425.94493499999999</v>
      </c>
      <c r="E334" s="42">
        <v>0</v>
      </c>
      <c r="F334" s="42">
        <f t="shared" si="37"/>
        <v>638.91740249999998</v>
      </c>
      <c r="G334" s="84"/>
      <c r="H334" s="85"/>
    </row>
    <row r="335" spans="1:8" x14ac:dyDescent="0.25">
      <c r="A335" s="86">
        <f t="shared" si="38"/>
        <v>3</v>
      </c>
      <c r="B335" s="87"/>
      <c r="C335" s="42" t="s">
        <v>219</v>
      </c>
      <c r="D335" s="57">
        <f>(37.3+1.975*1.15)*10.764</f>
        <v>425.94493499999999</v>
      </c>
      <c r="E335" s="42">
        <v>0</v>
      </c>
      <c r="F335" s="42">
        <f t="shared" si="37"/>
        <v>638.91740249999998</v>
      </c>
      <c r="G335" s="84"/>
      <c r="H335" s="85"/>
    </row>
    <row r="336" spans="1:8" x14ac:dyDescent="0.25">
      <c r="A336" s="86">
        <f t="shared" si="38"/>
        <v>4</v>
      </c>
      <c r="B336" s="87"/>
      <c r="C336" s="42" t="s">
        <v>219</v>
      </c>
      <c r="D336" s="57">
        <f>(37.3+1.975*1.15)*10.764</f>
        <v>425.94493499999999</v>
      </c>
      <c r="E336" s="42">
        <v>0</v>
      </c>
      <c r="F336" s="42">
        <f t="shared" si="37"/>
        <v>638.91740249999998</v>
      </c>
      <c r="G336" s="84"/>
      <c r="H336" s="85"/>
    </row>
    <row r="337" spans="1:8" x14ac:dyDescent="0.25">
      <c r="A337" s="86">
        <v>5</v>
      </c>
      <c r="B337" s="87"/>
      <c r="C337" s="42" t="s">
        <v>219</v>
      </c>
      <c r="D337" s="57">
        <f>(37.3+1.975*1.15)*10.764</f>
        <v>425.94493499999999</v>
      </c>
      <c r="E337" s="42">
        <v>0</v>
      </c>
      <c r="F337" s="42">
        <f t="shared" si="37"/>
        <v>638.91740249999998</v>
      </c>
      <c r="G337" s="84"/>
      <c r="H337" s="85"/>
    </row>
    <row r="338" spans="1:8" x14ac:dyDescent="0.25">
      <c r="A338" s="86">
        <f t="shared" si="38"/>
        <v>6</v>
      </c>
      <c r="B338" s="87"/>
      <c r="C338" s="42" t="s">
        <v>219</v>
      </c>
      <c r="D338" s="57">
        <f>(37.3+1.975*1.15)*10.764</f>
        <v>425.94493499999999</v>
      </c>
      <c r="E338" s="42">
        <v>0</v>
      </c>
      <c r="F338" s="42">
        <f t="shared" si="37"/>
        <v>638.91740249999998</v>
      </c>
      <c r="G338" s="84"/>
      <c r="H338" s="85"/>
    </row>
    <row r="339" spans="1:8" x14ac:dyDescent="0.25">
      <c r="A339" s="86">
        <f t="shared" si="38"/>
        <v>7</v>
      </c>
      <c r="B339" s="87"/>
      <c r="C339" s="42" t="s">
        <v>219</v>
      </c>
      <c r="D339" s="57">
        <f>(37.3+1.72*1.15)*10.764</f>
        <v>422.78839199999999</v>
      </c>
      <c r="E339" s="42">
        <v>0</v>
      </c>
      <c r="F339" s="42">
        <f t="shared" si="37"/>
        <v>634.18258800000001</v>
      </c>
      <c r="G339" s="84"/>
      <c r="H339" s="85"/>
    </row>
    <row r="340" spans="1:8" ht="15.75" customHeight="1" x14ac:dyDescent="0.25">
      <c r="A340" s="86">
        <f t="shared" si="38"/>
        <v>8</v>
      </c>
      <c r="B340" s="87"/>
      <c r="C340" s="42" t="s">
        <v>219</v>
      </c>
      <c r="D340" s="57">
        <f>(37.22+2*1.175)*10.764</f>
        <v>425.93147999999997</v>
      </c>
      <c r="E340" s="42">
        <v>0</v>
      </c>
      <c r="F340" s="42">
        <f t="shared" si="37"/>
        <v>638.89721999999995</v>
      </c>
      <c r="G340" s="84"/>
      <c r="H340" s="85"/>
    </row>
    <row r="341" spans="1:8" x14ac:dyDescent="0.25">
      <c r="A341" s="86">
        <v>9</v>
      </c>
      <c r="B341" s="87"/>
      <c r="C341" s="42" t="s">
        <v>221</v>
      </c>
      <c r="D341" s="57">
        <f>(71.36+2.15*1.775+2.475*0.95)*10.764</f>
        <v>834.50600999999983</v>
      </c>
      <c r="E341" s="42">
        <v>0</v>
      </c>
      <c r="F341" s="42">
        <f t="shared" si="37"/>
        <v>1251.7590149999996</v>
      </c>
      <c r="G341" s="84"/>
      <c r="H341" s="85"/>
    </row>
    <row r="342" spans="1:8" x14ac:dyDescent="0.25">
      <c r="A342" s="86">
        <f t="shared" si="38"/>
        <v>10</v>
      </c>
      <c r="B342" s="87"/>
      <c r="C342" s="42" t="s">
        <v>220</v>
      </c>
      <c r="D342" s="57">
        <f>(62.62+2.075*1.35+0.9*1.375)*10.764</f>
        <v>717.51478499999996</v>
      </c>
      <c r="E342" s="42">
        <v>0</v>
      </c>
      <c r="F342" s="42">
        <f t="shared" si="37"/>
        <v>1076.2721775</v>
      </c>
      <c r="G342" s="84"/>
      <c r="H342" s="85"/>
    </row>
    <row r="343" spans="1:8" x14ac:dyDescent="0.25">
      <c r="A343" s="86">
        <f t="shared" si="38"/>
        <v>11</v>
      </c>
      <c r="B343" s="87"/>
      <c r="C343" s="42" t="s">
        <v>220</v>
      </c>
      <c r="D343" s="57">
        <f>(62.62+2.075*1.35+0.9*1.375)*10.764</f>
        <v>717.51478499999996</v>
      </c>
      <c r="E343" s="42">
        <v>0</v>
      </c>
      <c r="F343" s="42">
        <f t="shared" si="37"/>
        <v>1076.2721775</v>
      </c>
      <c r="G343" s="84"/>
      <c r="H343" s="85"/>
    </row>
    <row r="344" spans="1:8" x14ac:dyDescent="0.25">
      <c r="A344" s="86">
        <f t="shared" si="38"/>
        <v>12</v>
      </c>
      <c r="B344" s="87"/>
      <c r="C344" s="42" t="s">
        <v>220</v>
      </c>
      <c r="D344" s="57">
        <f>(62.56+2*1.1)*10.764</f>
        <v>697.07664</v>
      </c>
      <c r="E344" s="42">
        <v>0</v>
      </c>
      <c r="F344" s="42">
        <f t="shared" si="37"/>
        <v>1045.6149599999999</v>
      </c>
      <c r="G344" s="84"/>
      <c r="H344" s="85"/>
    </row>
    <row r="345" spans="1:8" x14ac:dyDescent="0.25">
      <c r="A345" s="93" t="s">
        <v>201</v>
      </c>
      <c r="B345" s="94"/>
      <c r="C345" s="94"/>
      <c r="D345" s="94"/>
      <c r="E345" s="94"/>
      <c r="F345" s="94"/>
      <c r="G345" s="94"/>
      <c r="H345" s="95"/>
    </row>
    <row r="346" spans="1:8" x14ac:dyDescent="0.25">
      <c r="A346" s="93" t="s">
        <v>214</v>
      </c>
      <c r="B346" s="94"/>
      <c r="C346" s="94"/>
      <c r="D346" s="94"/>
      <c r="E346" s="94"/>
      <c r="F346" s="94"/>
      <c r="G346" s="94"/>
      <c r="H346" s="95"/>
    </row>
    <row r="347" spans="1:8" x14ac:dyDescent="0.25">
      <c r="A347" s="93" t="s">
        <v>215</v>
      </c>
      <c r="B347" s="94"/>
      <c r="C347" s="94"/>
      <c r="D347" s="94"/>
      <c r="E347" s="94"/>
      <c r="F347" s="94"/>
      <c r="G347" s="94"/>
      <c r="H347" s="95"/>
    </row>
    <row r="348" spans="1:8" x14ac:dyDescent="0.25">
      <c r="A348" s="86">
        <v>1</v>
      </c>
      <c r="B348" s="87"/>
      <c r="C348" s="42" t="s">
        <v>220</v>
      </c>
      <c r="D348" s="57">
        <f>(57.7+2.45*0.95+1.5*1.4)*10.764</f>
        <v>668.74041</v>
      </c>
      <c r="E348" s="42">
        <v>0</v>
      </c>
      <c r="F348" s="42">
        <f>D348*(($F$232)+1)+(IF(E348&lt;101,E348,IF(E348&lt;201,E348/2,IF(E348&lt;=301,E348/3,E348/4))))</f>
        <v>1003.1106150000001</v>
      </c>
      <c r="G348" s="82" t="str">
        <f>A347</f>
        <v>6th Floor For Residential &amp; (Part Refuge Area)</v>
      </c>
      <c r="H348" s="83"/>
    </row>
    <row r="349" spans="1:8" x14ac:dyDescent="0.25">
      <c r="A349" s="86">
        <f t="shared" ref="A349:A355" si="39">A348+1</f>
        <v>2</v>
      </c>
      <c r="B349" s="87"/>
      <c r="C349" s="86" t="s">
        <v>216</v>
      </c>
      <c r="D349" s="99"/>
      <c r="E349" s="99"/>
      <c r="F349" s="87"/>
      <c r="G349" s="84"/>
      <c r="H349" s="85"/>
    </row>
    <row r="350" spans="1:8" x14ac:dyDescent="0.25">
      <c r="A350" s="86">
        <f t="shared" si="39"/>
        <v>3</v>
      </c>
      <c r="B350" s="87"/>
      <c r="C350" s="82" t="s">
        <v>216</v>
      </c>
      <c r="D350" s="96"/>
      <c r="E350" s="96"/>
      <c r="F350" s="83"/>
      <c r="G350" s="84"/>
      <c r="H350" s="85"/>
    </row>
    <row r="351" spans="1:8" x14ac:dyDescent="0.25">
      <c r="A351" s="86">
        <f t="shared" si="39"/>
        <v>4</v>
      </c>
      <c r="B351" s="87"/>
      <c r="C351" s="91"/>
      <c r="D351" s="98"/>
      <c r="E351" s="98"/>
      <c r="F351" s="92"/>
      <c r="G351" s="84"/>
      <c r="H351" s="85"/>
    </row>
    <row r="352" spans="1:8" x14ac:dyDescent="0.25">
      <c r="A352" s="86">
        <v>5</v>
      </c>
      <c r="B352" s="87"/>
      <c r="C352" s="42" t="s">
        <v>221</v>
      </c>
      <c r="D352" s="57">
        <f>(89.15+1.8*2.725+2.5*1.4)*10.764</f>
        <v>1050.0820200000001</v>
      </c>
      <c r="E352" s="42">
        <v>0</v>
      </c>
      <c r="F352" s="42">
        <f>D352*(($F$232)+1)+(IF(E352&lt;101,E352,IF(E352&lt;201,E352/2,IF(E352&lt;=301,E352/3,E352/4))))</f>
        <v>1575.1230300000002</v>
      </c>
      <c r="G352" s="84"/>
      <c r="H352" s="85"/>
    </row>
    <row r="353" spans="1:8" x14ac:dyDescent="0.25">
      <c r="A353" s="86">
        <f t="shared" si="39"/>
        <v>6</v>
      </c>
      <c r="B353" s="87"/>
      <c r="C353" s="42" t="s">
        <v>221</v>
      </c>
      <c r="D353" s="57">
        <f>(81.24+2.15*0.725+2.5*1.4)*10.764</f>
        <v>928.91974499999992</v>
      </c>
      <c r="E353" s="42">
        <v>0</v>
      </c>
      <c r="F353" s="42">
        <f>D353*(($F$232)+1)+(IF(E353&lt;101,E353,IF(E353&lt;201,E353/2,IF(E353&lt;=301,E353/3,E353/4))))</f>
        <v>1393.3796174999998</v>
      </c>
      <c r="G353" s="84"/>
      <c r="H353" s="85"/>
    </row>
    <row r="354" spans="1:8" x14ac:dyDescent="0.25">
      <c r="A354" s="86">
        <f t="shared" si="39"/>
        <v>7</v>
      </c>
      <c r="B354" s="87"/>
      <c r="C354" s="42" t="s">
        <v>221</v>
      </c>
      <c r="D354" s="57">
        <f>(81.24+2.15*0.725+2.5*1.4)*10.764</f>
        <v>928.91974499999992</v>
      </c>
      <c r="E354" s="42">
        <v>0</v>
      </c>
      <c r="F354" s="42">
        <f>D354*(($F$232)+1)+(IF(E354&lt;101,E354,IF(E354&lt;201,E354/2,IF(E354&lt;=301,E354/3,E354/4))))</f>
        <v>1393.3796174999998</v>
      </c>
      <c r="G354" s="84"/>
      <c r="H354" s="85"/>
    </row>
    <row r="355" spans="1:8" x14ac:dyDescent="0.25">
      <c r="A355" s="86">
        <f t="shared" si="39"/>
        <v>8</v>
      </c>
      <c r="B355" s="87"/>
      <c r="C355" s="42" t="s">
        <v>221</v>
      </c>
      <c r="D355" s="57">
        <f>(89.15+1.8*2.725+1.375*1.4)*10.764</f>
        <v>1033.1287199999999</v>
      </c>
      <c r="E355" s="42">
        <v>0</v>
      </c>
      <c r="F355" s="42">
        <f>D355*(($F$232)+1)+(IF(E355&lt;101,E355,IF(E355&lt;201,E355/2,IF(E355&lt;=301,E355/3,E355/4))))</f>
        <v>1549.69308</v>
      </c>
      <c r="G355" s="91"/>
      <c r="H355" s="92"/>
    </row>
    <row r="356" spans="1:8" x14ac:dyDescent="0.25">
      <c r="A356" s="93" t="s">
        <v>222</v>
      </c>
      <c r="B356" s="94"/>
      <c r="C356" s="94"/>
      <c r="D356" s="94"/>
      <c r="E356" s="94"/>
      <c r="F356" s="94"/>
      <c r="G356" s="94"/>
      <c r="H356" s="95"/>
    </row>
    <row r="357" spans="1:8" x14ac:dyDescent="0.25">
      <c r="A357" s="86">
        <v>1</v>
      </c>
      <c r="B357" s="87"/>
      <c r="C357" s="42" t="s">
        <v>220</v>
      </c>
      <c r="D357" s="57">
        <f>(56.18+2.45*0.95+1.375*1.1)*10.764</f>
        <v>646.05528000000004</v>
      </c>
      <c r="E357" s="42">
        <v>0</v>
      </c>
      <c r="F357" s="42">
        <f t="shared" ref="F357:F364" si="40">D357*(($F$232)+1)+(IF(E357&lt;101,E357,IF(E357&lt;201,E357/2,IF(E357&lt;=301,E357/3,E357/4))))</f>
        <v>969.08292000000006</v>
      </c>
      <c r="G357" s="82" t="str">
        <f>A356</f>
        <v>7th to 12th, 14th to 19th, 21st to 26th &amp; 28th to 33rd Floor</v>
      </c>
      <c r="H357" s="83"/>
    </row>
    <row r="358" spans="1:8" x14ac:dyDescent="0.25">
      <c r="A358" s="86">
        <f t="shared" ref="A358:A364" si="41">A357+1</f>
        <v>2</v>
      </c>
      <c r="B358" s="87"/>
      <c r="C358" s="42" t="s">
        <v>220</v>
      </c>
      <c r="D358" s="57">
        <f>(56.18+2.45*0.95+1.375*1.1)*10.764</f>
        <v>646.05528000000004</v>
      </c>
      <c r="E358" s="42">
        <v>0</v>
      </c>
      <c r="F358" s="42">
        <f t="shared" si="40"/>
        <v>969.08292000000006</v>
      </c>
      <c r="G358" s="84"/>
      <c r="H358" s="85"/>
    </row>
    <row r="359" spans="1:8" x14ac:dyDescent="0.25">
      <c r="A359" s="86">
        <f t="shared" si="41"/>
        <v>3</v>
      </c>
      <c r="B359" s="87"/>
      <c r="C359" s="42" t="s">
        <v>220</v>
      </c>
      <c r="D359" s="57">
        <f>(56.18+2.45*0.95+1.375*1.1)*10.764</f>
        <v>646.05528000000004</v>
      </c>
      <c r="E359" s="42">
        <v>0</v>
      </c>
      <c r="F359" s="42">
        <f t="shared" si="40"/>
        <v>969.08292000000006</v>
      </c>
      <c r="G359" s="84"/>
      <c r="H359" s="85"/>
    </row>
    <row r="360" spans="1:8" x14ac:dyDescent="0.25">
      <c r="A360" s="86">
        <f t="shared" si="41"/>
        <v>4</v>
      </c>
      <c r="B360" s="87"/>
      <c r="C360" s="42" t="s">
        <v>220</v>
      </c>
      <c r="D360" s="57">
        <f>(56.18+2.45*0.95+1.375*1.1)*10.764</f>
        <v>646.05528000000004</v>
      </c>
      <c r="E360" s="42">
        <v>0</v>
      </c>
      <c r="F360" s="42">
        <f t="shared" si="40"/>
        <v>969.08292000000006</v>
      </c>
      <c r="G360" s="84"/>
      <c r="H360" s="85"/>
    </row>
    <row r="361" spans="1:8" x14ac:dyDescent="0.25">
      <c r="A361" s="86">
        <v>5</v>
      </c>
      <c r="B361" s="87"/>
      <c r="C361" s="42" t="s">
        <v>221</v>
      </c>
      <c r="D361" s="57">
        <f>(89.15+1.8*2.725+2.5*1.4)*10.764</f>
        <v>1050.0820200000001</v>
      </c>
      <c r="E361" s="42">
        <v>0</v>
      </c>
      <c r="F361" s="42">
        <f t="shared" si="40"/>
        <v>1575.1230300000002</v>
      </c>
      <c r="G361" s="84"/>
      <c r="H361" s="85"/>
    </row>
    <row r="362" spans="1:8" x14ac:dyDescent="0.25">
      <c r="A362" s="86">
        <f t="shared" si="41"/>
        <v>6</v>
      </c>
      <c r="B362" s="87"/>
      <c r="C362" s="42" t="s">
        <v>221</v>
      </c>
      <c r="D362" s="57">
        <f>(81.24+2.15*0.725+2.5*1.4)*10.764</f>
        <v>928.91974499999992</v>
      </c>
      <c r="E362" s="42">
        <v>0</v>
      </c>
      <c r="F362" s="42">
        <f t="shared" si="40"/>
        <v>1393.3796174999998</v>
      </c>
      <c r="G362" s="84"/>
      <c r="H362" s="85"/>
    </row>
    <row r="363" spans="1:8" x14ac:dyDescent="0.25">
      <c r="A363" s="86">
        <f t="shared" si="41"/>
        <v>7</v>
      </c>
      <c r="B363" s="87"/>
      <c r="C363" s="42" t="s">
        <v>221</v>
      </c>
      <c r="D363" s="57">
        <f>(81.24+2.15*0.725+2.5*1.4)*10.764</f>
        <v>928.91974499999992</v>
      </c>
      <c r="E363" s="42">
        <v>0</v>
      </c>
      <c r="F363" s="42">
        <f t="shared" si="40"/>
        <v>1393.3796174999998</v>
      </c>
      <c r="G363" s="84"/>
      <c r="H363" s="85"/>
    </row>
    <row r="364" spans="1:8" x14ac:dyDescent="0.25">
      <c r="A364" s="86">
        <f t="shared" si="41"/>
        <v>8</v>
      </c>
      <c r="B364" s="87"/>
      <c r="C364" s="42" t="s">
        <v>221</v>
      </c>
      <c r="D364" s="57">
        <f>(89.15+1.8*2.725+1.375*1.4)*10.764</f>
        <v>1033.1287199999999</v>
      </c>
      <c r="E364" s="42">
        <v>0</v>
      </c>
      <c r="F364" s="42">
        <f t="shared" si="40"/>
        <v>1549.69308</v>
      </c>
      <c r="G364" s="91"/>
      <c r="H364" s="92"/>
    </row>
    <row r="365" spans="1:8" x14ac:dyDescent="0.25">
      <c r="A365" s="93" t="s">
        <v>223</v>
      </c>
      <c r="B365" s="94"/>
      <c r="C365" s="94"/>
      <c r="D365" s="94"/>
      <c r="E365" s="94"/>
      <c r="F365" s="94"/>
      <c r="G365" s="94"/>
      <c r="H365" s="95"/>
    </row>
    <row r="366" spans="1:8" x14ac:dyDescent="0.25">
      <c r="A366" s="86">
        <v>1</v>
      </c>
      <c r="B366" s="87"/>
      <c r="C366" s="42" t="s">
        <v>220</v>
      </c>
      <c r="D366" s="57">
        <f>(57.7+2.45*0.95+1.5*1.4)*10.764</f>
        <v>668.74041</v>
      </c>
      <c r="E366" s="42">
        <v>0</v>
      </c>
      <c r="F366" s="42">
        <f>D366*(($F$232)+1)+(IF(E366&lt;101,E366,IF(E366&lt;201,E366/2,IF(E366&lt;=301,E366/3,E366/4))))</f>
        <v>1003.1106150000001</v>
      </c>
      <c r="G366" s="82" t="str">
        <f>A365</f>
        <v>13th, 20th &amp; 27th Floor (Part Refuge Area)</v>
      </c>
      <c r="H366" s="83"/>
    </row>
    <row r="367" spans="1:8" x14ac:dyDescent="0.25">
      <c r="A367" s="86">
        <f t="shared" ref="A367:A373" si="42">A366+1</f>
        <v>2</v>
      </c>
      <c r="B367" s="87"/>
      <c r="C367" s="86" t="s">
        <v>216</v>
      </c>
      <c r="D367" s="99"/>
      <c r="E367" s="99"/>
      <c r="F367" s="87"/>
      <c r="G367" s="84"/>
      <c r="H367" s="85"/>
    </row>
    <row r="368" spans="1:8" x14ac:dyDescent="0.25">
      <c r="A368" s="86">
        <f t="shared" si="42"/>
        <v>3</v>
      </c>
      <c r="B368" s="87"/>
      <c r="C368" s="82" t="s">
        <v>216</v>
      </c>
      <c r="D368" s="96"/>
      <c r="E368" s="96"/>
      <c r="F368" s="83"/>
      <c r="G368" s="84"/>
      <c r="H368" s="85"/>
    </row>
    <row r="369" spans="1:8" x14ac:dyDescent="0.25">
      <c r="A369" s="86">
        <f t="shared" si="42"/>
        <v>4</v>
      </c>
      <c r="B369" s="87"/>
      <c r="C369" s="91"/>
      <c r="D369" s="98"/>
      <c r="E369" s="98"/>
      <c r="F369" s="92"/>
      <c r="G369" s="84"/>
      <c r="H369" s="85"/>
    </row>
    <row r="370" spans="1:8" x14ac:dyDescent="0.25">
      <c r="A370" s="86">
        <v>5</v>
      </c>
      <c r="B370" s="87"/>
      <c r="C370" s="42" t="s">
        <v>221</v>
      </c>
      <c r="D370" s="57">
        <f>(89.15+1.8*2.725+2.5*1.4)*10.764</f>
        <v>1050.0820200000001</v>
      </c>
      <c r="E370" s="42">
        <v>0</v>
      </c>
      <c r="F370" s="42">
        <f>D370*(($F$232)+1)+(IF(E370&lt;101,E370,IF(E370&lt;201,E370/2,IF(E370&lt;=301,E370/3,E370/4))))</f>
        <v>1575.1230300000002</v>
      </c>
      <c r="G370" s="84"/>
      <c r="H370" s="85"/>
    </row>
    <row r="371" spans="1:8" x14ac:dyDescent="0.25">
      <c r="A371" s="86">
        <f t="shared" si="42"/>
        <v>6</v>
      </c>
      <c r="B371" s="87"/>
      <c r="C371" s="42" t="s">
        <v>221</v>
      </c>
      <c r="D371" s="57">
        <f>(81.24+2.15*0.725+2.5*1.4)*10.764</f>
        <v>928.91974499999992</v>
      </c>
      <c r="E371" s="42">
        <v>0</v>
      </c>
      <c r="F371" s="42">
        <f>D371*(($F$232)+1)+(IF(E371&lt;101,E371,IF(E371&lt;201,E371/2,IF(E371&lt;=301,E371/3,E371/4))))</f>
        <v>1393.3796174999998</v>
      </c>
      <c r="G371" s="84"/>
      <c r="H371" s="85"/>
    </row>
    <row r="372" spans="1:8" x14ac:dyDescent="0.25">
      <c r="A372" s="86">
        <f t="shared" si="42"/>
        <v>7</v>
      </c>
      <c r="B372" s="87"/>
      <c r="C372" s="42" t="s">
        <v>221</v>
      </c>
      <c r="D372" s="57">
        <f>(81.24+2.15*0.725+2.5*1.4)*10.764</f>
        <v>928.91974499999992</v>
      </c>
      <c r="E372" s="42">
        <v>0</v>
      </c>
      <c r="F372" s="42">
        <f>D372*(($F$232)+1)+(IF(E372&lt;101,E372,IF(E372&lt;201,E372/2,IF(E372&lt;=301,E372/3,E372/4))))</f>
        <v>1393.3796174999998</v>
      </c>
      <c r="G372" s="84"/>
      <c r="H372" s="85"/>
    </row>
    <row r="373" spans="1:8" x14ac:dyDescent="0.25">
      <c r="A373" s="86">
        <f t="shared" si="42"/>
        <v>8</v>
      </c>
      <c r="B373" s="87"/>
      <c r="C373" s="42" t="s">
        <v>221</v>
      </c>
      <c r="D373" s="57">
        <f>(89.15+1.8*2.725+1.375*1.4)*10.764</f>
        <v>1033.1287199999999</v>
      </c>
      <c r="E373" s="42">
        <v>0</v>
      </c>
      <c r="F373" s="42">
        <f>D373*(($F$232)+1)+(IF(E373&lt;101,E373,IF(E373&lt;201,E373/2,IF(E373&lt;=301,E373/3,E373/4))))</f>
        <v>1549.69308</v>
      </c>
      <c r="G373" s="91"/>
      <c r="H373" s="92"/>
    </row>
    <row r="374" spans="1:8" x14ac:dyDescent="0.25">
      <c r="A374" s="93" t="s">
        <v>224</v>
      </c>
      <c r="B374" s="94"/>
      <c r="C374" s="94"/>
      <c r="D374" s="94"/>
      <c r="E374" s="94"/>
      <c r="F374" s="94"/>
      <c r="G374" s="94"/>
      <c r="H374" s="95"/>
    </row>
    <row r="375" spans="1:8" x14ac:dyDescent="0.25">
      <c r="A375" s="86">
        <v>1</v>
      </c>
      <c r="B375" s="87"/>
      <c r="C375" s="42" t="s">
        <v>220</v>
      </c>
      <c r="D375" s="57">
        <f>(56.18+2.45*0.95+1.375*1.1)*10.764</f>
        <v>646.05528000000004</v>
      </c>
      <c r="E375" s="42">
        <v>0</v>
      </c>
      <c r="F375" s="42">
        <f>D375*(($F$232)+1)+(IF(E375&lt;101,E375,IF(E375&lt;201,E375/2,IF(E375&lt;=301,E375/3,E375/4))))</f>
        <v>969.08292000000006</v>
      </c>
      <c r="G375" s="82" t="str">
        <f>A374</f>
        <v>34th Floor (Part Refuge Area)</v>
      </c>
      <c r="H375" s="83"/>
    </row>
    <row r="376" spans="1:8" x14ac:dyDescent="0.25">
      <c r="A376" s="86">
        <f t="shared" ref="A376:A382" si="43">A375+1</f>
        <v>2</v>
      </c>
      <c r="B376" s="87"/>
      <c r="C376" s="86" t="s">
        <v>216</v>
      </c>
      <c r="D376" s="99"/>
      <c r="E376" s="99"/>
      <c r="F376" s="87"/>
      <c r="G376" s="84"/>
      <c r="H376" s="85"/>
    </row>
    <row r="377" spans="1:8" x14ac:dyDescent="0.25">
      <c r="A377" s="86">
        <f t="shared" si="43"/>
        <v>3</v>
      </c>
      <c r="B377" s="87"/>
      <c r="C377" s="82" t="s">
        <v>216</v>
      </c>
      <c r="D377" s="96"/>
      <c r="E377" s="96"/>
      <c r="F377" s="83"/>
      <c r="G377" s="84"/>
      <c r="H377" s="85"/>
    </row>
    <row r="378" spans="1:8" x14ac:dyDescent="0.25">
      <c r="A378" s="86">
        <f t="shared" si="43"/>
        <v>4</v>
      </c>
      <c r="B378" s="87"/>
      <c r="C378" s="91"/>
      <c r="D378" s="98"/>
      <c r="E378" s="98"/>
      <c r="F378" s="92"/>
      <c r="G378" s="84"/>
      <c r="H378" s="85"/>
    </row>
    <row r="379" spans="1:8" x14ac:dyDescent="0.25">
      <c r="A379" s="86">
        <v>5</v>
      </c>
      <c r="B379" s="87"/>
      <c r="C379" s="42" t="s">
        <v>221</v>
      </c>
      <c r="D379" s="57">
        <f>(89.15+1.8*2.725+2.5*1.4)*10.764</f>
        <v>1050.0820200000001</v>
      </c>
      <c r="E379" s="42">
        <v>0</v>
      </c>
      <c r="F379" s="42">
        <f>D379*(($F$232)+1)+(IF(E379&lt;101,E379,IF(E379&lt;201,E379/2,IF(E379&lt;=301,E379/3,E379/4))))</f>
        <v>1575.1230300000002</v>
      </c>
      <c r="G379" s="84"/>
      <c r="H379" s="85"/>
    </row>
    <row r="380" spans="1:8" x14ac:dyDescent="0.25">
      <c r="A380" s="86">
        <f t="shared" si="43"/>
        <v>6</v>
      </c>
      <c r="B380" s="87"/>
      <c r="C380" s="42" t="s">
        <v>221</v>
      </c>
      <c r="D380" s="57">
        <f>(81.24+2.15*0.725+2.5*1.4)*10.764</f>
        <v>928.91974499999992</v>
      </c>
      <c r="E380" s="42">
        <v>0</v>
      </c>
      <c r="F380" s="42">
        <f>D380*(($F$232)+1)+(IF(E380&lt;101,E380,IF(E380&lt;201,E380/2,IF(E380&lt;=301,E380/3,E380/4))))</f>
        <v>1393.3796174999998</v>
      </c>
      <c r="G380" s="84"/>
      <c r="H380" s="85"/>
    </row>
    <row r="381" spans="1:8" x14ac:dyDescent="0.25">
      <c r="A381" s="86">
        <f t="shared" si="43"/>
        <v>7</v>
      </c>
      <c r="B381" s="87"/>
      <c r="C381" s="42" t="s">
        <v>221</v>
      </c>
      <c r="D381" s="57">
        <f>(81.24+2.15*0.725+2.5*1.4)*10.764</f>
        <v>928.91974499999992</v>
      </c>
      <c r="E381" s="42">
        <v>0</v>
      </c>
      <c r="F381" s="42">
        <f>D381*(($F$232)+1)+(IF(E381&lt;101,E381,IF(E381&lt;201,E381/2,IF(E381&lt;=301,E381/3,E381/4))))</f>
        <v>1393.3796174999998</v>
      </c>
      <c r="G381" s="84"/>
      <c r="H381" s="85"/>
    </row>
    <row r="382" spans="1:8" x14ac:dyDescent="0.25">
      <c r="A382" s="86">
        <f t="shared" si="43"/>
        <v>8</v>
      </c>
      <c r="B382" s="87"/>
      <c r="C382" s="42" t="s">
        <v>221</v>
      </c>
      <c r="D382" s="57">
        <f>(89.15+1.8*2.725+1.375*1.4)*10.764</f>
        <v>1033.1287199999999</v>
      </c>
      <c r="E382" s="42">
        <v>0</v>
      </c>
      <c r="F382" s="42">
        <f>D382*(($F$232)+1)+(IF(E382&lt;101,E382,IF(E382&lt;201,E382/2,IF(E382&lt;=301,E382/3,E382/4))))</f>
        <v>1549.69308</v>
      </c>
      <c r="G382" s="91"/>
      <c r="H382" s="92"/>
    </row>
    <row r="383" spans="1:8" x14ac:dyDescent="0.25">
      <c r="A383" s="93" t="s">
        <v>200</v>
      </c>
      <c r="B383" s="94"/>
      <c r="C383" s="94"/>
      <c r="D383" s="94"/>
      <c r="E383" s="94"/>
      <c r="F383" s="94"/>
      <c r="G383" s="94"/>
      <c r="H383" s="95"/>
    </row>
    <row r="384" spans="1:8" x14ac:dyDescent="0.25">
      <c r="A384" s="93" t="s">
        <v>214</v>
      </c>
      <c r="B384" s="94"/>
      <c r="C384" s="94"/>
      <c r="D384" s="94"/>
      <c r="E384" s="94"/>
      <c r="F384" s="94"/>
      <c r="G384" s="94"/>
      <c r="H384" s="95"/>
    </row>
    <row r="385" spans="1:8" ht="15.75" customHeight="1" x14ac:dyDescent="0.25">
      <c r="A385" s="93" t="s">
        <v>215</v>
      </c>
      <c r="B385" s="94"/>
      <c r="C385" s="94"/>
      <c r="D385" s="94"/>
      <c r="E385" s="94"/>
      <c r="F385" s="94"/>
      <c r="G385" s="94"/>
      <c r="H385" s="95"/>
    </row>
    <row r="386" spans="1:8" x14ac:dyDescent="0.25">
      <c r="A386" s="86">
        <v>1</v>
      </c>
      <c r="B386" s="87"/>
      <c r="C386" s="42" t="s">
        <v>219</v>
      </c>
      <c r="D386" s="57">
        <f>(37.29+1.975*1.265)*10.764</f>
        <v>428.28206849999998</v>
      </c>
      <c r="E386" s="42">
        <v>0</v>
      </c>
      <c r="F386" s="42">
        <f>D386*(($F$232)+1)+(IF(E386&lt;101,E386,IF(E386&lt;201,E386/2,IF(E386&lt;=301,E386/3,E386/4))))</f>
        <v>642.42310275</v>
      </c>
      <c r="G386" s="82" t="str">
        <f>A385</f>
        <v>6th Floor For Residential &amp; (Part Refuge Area)</v>
      </c>
      <c r="H386" s="83"/>
    </row>
    <row r="387" spans="1:8" x14ac:dyDescent="0.25">
      <c r="A387" s="86">
        <f t="shared" ref="A387:A400" si="44">A386+1</f>
        <v>2</v>
      </c>
      <c r="B387" s="87"/>
      <c r="C387" s="82" t="s">
        <v>216</v>
      </c>
      <c r="D387" s="96"/>
      <c r="E387" s="96"/>
      <c r="F387" s="83"/>
      <c r="G387" s="84"/>
      <c r="H387" s="85"/>
    </row>
    <row r="388" spans="1:8" x14ac:dyDescent="0.25">
      <c r="A388" s="86">
        <f t="shared" si="44"/>
        <v>3</v>
      </c>
      <c r="B388" s="87"/>
      <c r="C388" s="84"/>
      <c r="D388" s="97"/>
      <c r="E388" s="97"/>
      <c r="F388" s="85"/>
      <c r="G388" s="84"/>
      <c r="H388" s="85"/>
    </row>
    <row r="389" spans="1:8" x14ac:dyDescent="0.25">
      <c r="A389" s="86">
        <f t="shared" si="44"/>
        <v>4</v>
      </c>
      <c r="B389" s="87"/>
      <c r="C389" s="84"/>
      <c r="D389" s="97"/>
      <c r="E389" s="97"/>
      <c r="F389" s="85"/>
      <c r="G389" s="84"/>
      <c r="H389" s="85"/>
    </row>
    <row r="390" spans="1:8" x14ac:dyDescent="0.25">
      <c r="A390" s="86">
        <v>5</v>
      </c>
      <c r="B390" s="87"/>
      <c r="C390" s="91"/>
      <c r="D390" s="98"/>
      <c r="E390" s="98"/>
      <c r="F390" s="92"/>
      <c r="G390" s="84"/>
      <c r="H390" s="85"/>
    </row>
    <row r="391" spans="1:8" x14ac:dyDescent="0.25">
      <c r="A391" s="86">
        <f t="shared" si="44"/>
        <v>6</v>
      </c>
      <c r="B391" s="87"/>
      <c r="C391" s="42" t="s">
        <v>219</v>
      </c>
      <c r="D391" s="57">
        <f>(37.29+1.725*1.975)*10.764</f>
        <v>438.06116249999997</v>
      </c>
      <c r="E391" s="42">
        <v>0</v>
      </c>
      <c r="F391" s="42">
        <f t="shared" ref="F391:F400" si="45">D391*(($F$232)+1)+(IF(E391&lt;101,E391,IF(E391&lt;201,E391/2,IF(E391&lt;=301,E391/3,E391/4))))</f>
        <v>657.09174374999998</v>
      </c>
      <c r="G391" s="84"/>
      <c r="H391" s="85"/>
    </row>
    <row r="392" spans="1:8" x14ac:dyDescent="0.25">
      <c r="A392" s="86">
        <f t="shared" si="44"/>
        <v>7</v>
      </c>
      <c r="B392" s="87"/>
      <c r="C392" s="42" t="s">
        <v>219</v>
      </c>
      <c r="D392" s="57">
        <f>(37.29+1.975*1.175)*10.764</f>
        <v>426.36876749999999</v>
      </c>
      <c r="E392" s="42">
        <v>0</v>
      </c>
      <c r="F392" s="42">
        <f t="shared" si="45"/>
        <v>639.55315124999993</v>
      </c>
      <c r="G392" s="84"/>
      <c r="H392" s="85"/>
    </row>
    <row r="393" spans="1:8" x14ac:dyDescent="0.25">
      <c r="A393" s="86">
        <f t="shared" si="44"/>
        <v>8</v>
      </c>
      <c r="B393" s="87"/>
      <c r="C393" s="42" t="s">
        <v>219</v>
      </c>
      <c r="D393" s="57">
        <f>(37.29+1.975*1.175)*10.764</f>
        <v>426.36876749999999</v>
      </c>
      <c r="E393" s="42">
        <v>0</v>
      </c>
      <c r="F393" s="42">
        <f t="shared" si="45"/>
        <v>639.55315124999993</v>
      </c>
      <c r="G393" s="84"/>
      <c r="H393" s="85"/>
    </row>
    <row r="394" spans="1:8" x14ac:dyDescent="0.25">
      <c r="A394" s="86">
        <f t="shared" si="44"/>
        <v>9</v>
      </c>
      <c r="B394" s="87"/>
      <c r="C394" s="42" t="s">
        <v>219</v>
      </c>
      <c r="D394" s="57">
        <f>(37.29+1.975*1.175)*10.764</f>
        <v>426.36876749999999</v>
      </c>
      <c r="E394" s="42">
        <v>0</v>
      </c>
      <c r="F394" s="42">
        <f t="shared" si="45"/>
        <v>639.55315124999993</v>
      </c>
      <c r="G394" s="84"/>
      <c r="H394" s="85"/>
    </row>
    <row r="395" spans="1:8" x14ac:dyDescent="0.25">
      <c r="A395" s="86">
        <f t="shared" si="44"/>
        <v>10</v>
      </c>
      <c r="B395" s="87"/>
      <c r="C395" s="42" t="s">
        <v>219</v>
      </c>
      <c r="D395" s="57">
        <f>(37.29+1.975*1.175)*10.764</f>
        <v>426.36876749999999</v>
      </c>
      <c r="E395" s="42">
        <v>0</v>
      </c>
      <c r="F395" s="42">
        <f t="shared" si="45"/>
        <v>639.55315124999993</v>
      </c>
      <c r="G395" s="84"/>
      <c r="H395" s="85"/>
    </row>
    <row r="396" spans="1:8" x14ac:dyDescent="0.25">
      <c r="A396" s="86">
        <f t="shared" si="44"/>
        <v>11</v>
      </c>
      <c r="B396" s="87"/>
      <c r="C396" s="42" t="s">
        <v>220</v>
      </c>
      <c r="D396" s="57">
        <f>(59.5+2.085*0.875)*10.764</f>
        <v>660.0955725</v>
      </c>
      <c r="E396" s="42">
        <v>0</v>
      </c>
      <c r="F396" s="42">
        <f t="shared" si="45"/>
        <v>990.14335875000006</v>
      </c>
      <c r="G396" s="84"/>
      <c r="H396" s="85"/>
    </row>
    <row r="397" spans="1:8" x14ac:dyDescent="0.25">
      <c r="A397" s="86">
        <v>12</v>
      </c>
      <c r="B397" s="87"/>
      <c r="C397" s="42" t="s">
        <v>219</v>
      </c>
      <c r="D397" s="57">
        <f>(37.26+1.95*1.675)*10.764</f>
        <v>436.22455499999995</v>
      </c>
      <c r="E397" s="42">
        <v>0</v>
      </c>
      <c r="F397" s="42">
        <f t="shared" si="45"/>
        <v>654.3368324999999</v>
      </c>
      <c r="G397" s="84"/>
      <c r="H397" s="85"/>
    </row>
    <row r="398" spans="1:8" x14ac:dyDescent="0.25">
      <c r="A398" s="86">
        <f t="shared" si="44"/>
        <v>13</v>
      </c>
      <c r="B398" s="87"/>
      <c r="C398" s="42" t="s">
        <v>219</v>
      </c>
      <c r="D398" s="57">
        <f>(37.26+1.95*1.1)*10.764</f>
        <v>424.15541999999999</v>
      </c>
      <c r="E398" s="42">
        <v>0</v>
      </c>
      <c r="F398" s="42">
        <f t="shared" si="45"/>
        <v>636.23312999999996</v>
      </c>
      <c r="G398" s="84"/>
      <c r="H398" s="85"/>
    </row>
    <row r="399" spans="1:8" x14ac:dyDescent="0.25">
      <c r="A399" s="86">
        <f t="shared" si="44"/>
        <v>14</v>
      </c>
      <c r="B399" s="87"/>
      <c r="C399" s="42" t="s">
        <v>220</v>
      </c>
      <c r="D399" s="57">
        <f>(62.84+1.725*2.1+0.9*1.375)*10.764</f>
        <v>728.72280000000001</v>
      </c>
      <c r="E399" s="42">
        <v>0</v>
      </c>
      <c r="F399" s="42">
        <f t="shared" si="45"/>
        <v>1093.0842</v>
      </c>
      <c r="G399" s="84"/>
      <c r="H399" s="85"/>
    </row>
    <row r="400" spans="1:8" x14ac:dyDescent="0.25">
      <c r="A400" s="86">
        <f t="shared" si="44"/>
        <v>15</v>
      </c>
      <c r="B400" s="87"/>
      <c r="C400" s="42" t="s">
        <v>220</v>
      </c>
      <c r="D400" s="57">
        <f>(62.84+1.725*2.1+0.9*1.375)*10.764</f>
        <v>728.72280000000001</v>
      </c>
      <c r="E400" s="42">
        <v>0</v>
      </c>
      <c r="F400" s="42">
        <f t="shared" si="45"/>
        <v>1093.0842</v>
      </c>
      <c r="G400" s="91"/>
      <c r="H400" s="92"/>
    </row>
    <row r="401" spans="1:8" x14ac:dyDescent="0.25">
      <c r="A401" s="93" t="s">
        <v>222</v>
      </c>
      <c r="B401" s="94"/>
      <c r="C401" s="94"/>
      <c r="D401" s="94"/>
      <c r="E401" s="94"/>
      <c r="F401" s="94"/>
      <c r="G401" s="94"/>
      <c r="H401" s="95"/>
    </row>
    <row r="402" spans="1:8" x14ac:dyDescent="0.25">
      <c r="A402" s="86">
        <v>1</v>
      </c>
      <c r="B402" s="87"/>
      <c r="C402" s="42" t="s">
        <v>219</v>
      </c>
      <c r="D402" s="57">
        <f>(37.29+1.975*1.265)*10.764</f>
        <v>428.28206849999998</v>
      </c>
      <c r="E402" s="42">
        <v>0</v>
      </c>
      <c r="F402" s="42">
        <f t="shared" ref="F402:F416" si="46">D402*(($F$232)+1)+(IF(E402&lt;101,E402,IF(E402&lt;201,E402/2,IF(E402&lt;=301,E402/3,E402/4))))</f>
        <v>642.42310275</v>
      </c>
      <c r="G402" s="82" t="str">
        <f>A401</f>
        <v>7th to 12th, 14th to 19th, 21st to 26th &amp; 28th to 33rd Floor</v>
      </c>
      <c r="H402" s="83"/>
    </row>
    <row r="403" spans="1:8" x14ac:dyDescent="0.25">
      <c r="A403" s="86">
        <f t="shared" ref="A403:A416" si="47">A402+1</f>
        <v>2</v>
      </c>
      <c r="B403" s="87"/>
      <c r="C403" s="42" t="s">
        <v>219</v>
      </c>
      <c r="D403" s="57">
        <f>(37.29+1.975*1.265)*10.764</f>
        <v>428.28206849999998</v>
      </c>
      <c r="E403" s="42">
        <v>0</v>
      </c>
      <c r="F403" s="42">
        <f t="shared" si="46"/>
        <v>642.42310275</v>
      </c>
      <c r="G403" s="84"/>
      <c r="H403" s="85"/>
    </row>
    <row r="404" spans="1:8" x14ac:dyDescent="0.25">
      <c r="A404" s="86">
        <f t="shared" si="47"/>
        <v>3</v>
      </c>
      <c r="B404" s="87"/>
      <c r="C404" s="42" t="s">
        <v>219</v>
      </c>
      <c r="D404" s="57">
        <f>(38.36+1.975*1.1)*10.764</f>
        <v>436.29182999999995</v>
      </c>
      <c r="E404" s="42">
        <v>0</v>
      </c>
      <c r="F404" s="42">
        <f t="shared" si="46"/>
        <v>654.43774499999995</v>
      </c>
      <c r="G404" s="84"/>
      <c r="H404" s="85"/>
    </row>
    <row r="405" spans="1:8" x14ac:dyDescent="0.25">
      <c r="A405" s="86">
        <f t="shared" si="47"/>
        <v>4</v>
      </c>
      <c r="B405" s="87"/>
      <c r="C405" s="42" t="s">
        <v>219</v>
      </c>
      <c r="D405" s="57">
        <f>(37.26+1.975*1.1)*10.764</f>
        <v>424.45142999999996</v>
      </c>
      <c r="E405" s="42">
        <v>0</v>
      </c>
      <c r="F405" s="42">
        <f t="shared" si="46"/>
        <v>636.67714499999988</v>
      </c>
      <c r="G405" s="84"/>
      <c r="H405" s="85"/>
    </row>
    <row r="406" spans="1:8" x14ac:dyDescent="0.25">
      <c r="A406" s="86">
        <v>5</v>
      </c>
      <c r="B406" s="87"/>
      <c r="C406" s="42" t="s">
        <v>220</v>
      </c>
      <c r="D406" s="57">
        <f>(59.4+2.085*0.875)*10.764</f>
        <v>659.01917249999985</v>
      </c>
      <c r="E406" s="42">
        <v>0</v>
      </c>
      <c r="F406" s="42">
        <f t="shared" si="46"/>
        <v>988.52875874999972</v>
      </c>
      <c r="G406" s="84"/>
      <c r="H406" s="85"/>
    </row>
    <row r="407" spans="1:8" x14ac:dyDescent="0.25">
      <c r="A407" s="86">
        <f t="shared" si="47"/>
        <v>6</v>
      </c>
      <c r="B407" s="87"/>
      <c r="C407" s="42" t="s">
        <v>219</v>
      </c>
      <c r="D407" s="57">
        <f>(37.29+1.725*1.975)*10.764</f>
        <v>438.06116249999997</v>
      </c>
      <c r="E407" s="42">
        <v>0</v>
      </c>
      <c r="F407" s="42">
        <f t="shared" si="46"/>
        <v>657.09174374999998</v>
      </c>
      <c r="G407" s="84"/>
      <c r="H407" s="85"/>
    </row>
    <row r="408" spans="1:8" x14ac:dyDescent="0.25">
      <c r="A408" s="86">
        <f t="shared" si="47"/>
        <v>7</v>
      </c>
      <c r="B408" s="87"/>
      <c r="C408" s="42" t="s">
        <v>219</v>
      </c>
      <c r="D408" s="57">
        <f>(37.29+1.975*1.175)*10.764</f>
        <v>426.36876749999999</v>
      </c>
      <c r="E408" s="42">
        <v>0</v>
      </c>
      <c r="F408" s="42">
        <f t="shared" si="46"/>
        <v>639.55315124999993</v>
      </c>
      <c r="G408" s="84"/>
      <c r="H408" s="85"/>
    </row>
    <row r="409" spans="1:8" x14ac:dyDescent="0.25">
      <c r="A409" s="86">
        <f t="shared" si="47"/>
        <v>8</v>
      </c>
      <c r="B409" s="87"/>
      <c r="C409" s="42" t="s">
        <v>219</v>
      </c>
      <c r="D409" s="57">
        <f>(37.29+1.975*1.175)*10.764</f>
        <v>426.36876749999999</v>
      </c>
      <c r="E409" s="42">
        <v>0</v>
      </c>
      <c r="F409" s="42">
        <f t="shared" si="46"/>
        <v>639.55315124999993</v>
      </c>
      <c r="G409" s="84"/>
      <c r="H409" s="85"/>
    </row>
    <row r="410" spans="1:8" x14ac:dyDescent="0.25">
      <c r="A410" s="86">
        <f t="shared" si="47"/>
        <v>9</v>
      </c>
      <c r="B410" s="87"/>
      <c r="C410" s="42" t="s">
        <v>219</v>
      </c>
      <c r="D410" s="57">
        <f>(37.29+1.975*1.175)*10.764</f>
        <v>426.36876749999999</v>
      </c>
      <c r="E410" s="42">
        <v>0</v>
      </c>
      <c r="F410" s="42">
        <f t="shared" si="46"/>
        <v>639.55315124999993</v>
      </c>
      <c r="G410" s="84"/>
      <c r="H410" s="85"/>
    </row>
    <row r="411" spans="1:8" x14ac:dyDescent="0.25">
      <c r="A411" s="86">
        <f t="shared" si="47"/>
        <v>10</v>
      </c>
      <c r="B411" s="87"/>
      <c r="C411" s="42" t="s">
        <v>219</v>
      </c>
      <c r="D411" s="57">
        <f>(37.29+1.975*1.175)*10.764</f>
        <v>426.36876749999999</v>
      </c>
      <c r="E411" s="42">
        <v>0</v>
      </c>
      <c r="F411" s="42">
        <f t="shared" si="46"/>
        <v>639.55315124999993</v>
      </c>
      <c r="G411" s="84"/>
      <c r="H411" s="85"/>
    </row>
    <row r="412" spans="1:8" x14ac:dyDescent="0.25">
      <c r="A412" s="86">
        <f t="shared" si="47"/>
        <v>11</v>
      </c>
      <c r="B412" s="87"/>
      <c r="C412" s="42" t="s">
        <v>220</v>
      </c>
      <c r="D412" s="57">
        <f>(59.5+2.085*0.875)*10.764</f>
        <v>660.0955725</v>
      </c>
      <c r="E412" s="42">
        <v>0</v>
      </c>
      <c r="F412" s="42">
        <f t="shared" si="46"/>
        <v>990.14335875000006</v>
      </c>
      <c r="G412" s="84"/>
      <c r="H412" s="85"/>
    </row>
    <row r="413" spans="1:8" x14ac:dyDescent="0.25">
      <c r="A413" s="86">
        <v>12</v>
      </c>
      <c r="B413" s="87"/>
      <c r="C413" s="42" t="s">
        <v>219</v>
      </c>
      <c r="D413" s="57">
        <f>(37.26+1.95*1.675)*10.764</f>
        <v>436.22455499999995</v>
      </c>
      <c r="E413" s="42">
        <v>0</v>
      </c>
      <c r="F413" s="42">
        <f t="shared" si="46"/>
        <v>654.3368324999999</v>
      </c>
      <c r="G413" s="84"/>
      <c r="H413" s="85"/>
    </row>
    <row r="414" spans="1:8" x14ac:dyDescent="0.25">
      <c r="A414" s="86">
        <f t="shared" si="47"/>
        <v>13</v>
      </c>
      <c r="B414" s="87"/>
      <c r="C414" s="42" t="s">
        <v>219</v>
      </c>
      <c r="D414" s="57">
        <f>(37.26+1.95*1.1)*10.764</f>
        <v>424.15541999999999</v>
      </c>
      <c r="E414" s="42">
        <v>0</v>
      </c>
      <c r="F414" s="42">
        <f t="shared" si="46"/>
        <v>636.23312999999996</v>
      </c>
      <c r="G414" s="84"/>
      <c r="H414" s="85"/>
    </row>
    <row r="415" spans="1:8" x14ac:dyDescent="0.25">
      <c r="A415" s="86">
        <f t="shared" si="47"/>
        <v>14</v>
      </c>
      <c r="B415" s="87"/>
      <c r="C415" s="42" t="s">
        <v>220</v>
      </c>
      <c r="D415" s="57">
        <f>(62.84+1.725*2.1+0.9*1.375)*10.764</f>
        <v>728.72280000000001</v>
      </c>
      <c r="E415" s="42">
        <v>0</v>
      </c>
      <c r="F415" s="42">
        <f t="shared" si="46"/>
        <v>1093.0842</v>
      </c>
      <c r="G415" s="84"/>
      <c r="H415" s="85"/>
    </row>
    <row r="416" spans="1:8" x14ac:dyDescent="0.25">
      <c r="A416" s="86">
        <f t="shared" si="47"/>
        <v>15</v>
      </c>
      <c r="B416" s="87"/>
      <c r="C416" s="42" t="s">
        <v>220</v>
      </c>
      <c r="D416" s="57">
        <f>(62.84+1.725*2.1+0.9*1.375)*10.764</f>
        <v>728.72280000000001</v>
      </c>
      <c r="E416" s="42">
        <v>0</v>
      </c>
      <c r="F416" s="42">
        <f t="shared" si="46"/>
        <v>1093.0842</v>
      </c>
      <c r="G416" s="91"/>
      <c r="H416" s="92"/>
    </row>
    <row r="417" spans="1:8" x14ac:dyDescent="0.25">
      <c r="A417" s="93" t="s">
        <v>223</v>
      </c>
      <c r="B417" s="94"/>
      <c r="C417" s="94"/>
      <c r="D417" s="94"/>
      <c r="E417" s="94"/>
      <c r="F417" s="94"/>
      <c r="G417" s="94"/>
      <c r="H417" s="95"/>
    </row>
    <row r="418" spans="1:8" x14ac:dyDescent="0.25">
      <c r="A418" s="86">
        <v>1</v>
      </c>
      <c r="B418" s="87"/>
      <c r="C418" s="42" t="s">
        <v>219</v>
      </c>
      <c r="D418" s="57">
        <f>(37.29+1.975*1.265)*10.764</f>
        <v>428.28206849999998</v>
      </c>
      <c r="E418" s="42">
        <v>0</v>
      </c>
      <c r="F418" s="42">
        <f>D418*(($F$232)+1)+(IF(E418&lt;101,E418,IF(E418&lt;201,E418/2,IF(E418&lt;=301,E418/3,E418/4))))</f>
        <v>642.42310275</v>
      </c>
      <c r="G418" s="82" t="str">
        <f>A417</f>
        <v>13th, 20th &amp; 27th Floor (Part Refuge Area)</v>
      </c>
      <c r="H418" s="83"/>
    </row>
    <row r="419" spans="1:8" x14ac:dyDescent="0.25">
      <c r="A419" s="86">
        <f t="shared" ref="A419:A432" si="48">A418+1</f>
        <v>2</v>
      </c>
      <c r="B419" s="87"/>
      <c r="C419" s="82" t="s">
        <v>216</v>
      </c>
      <c r="D419" s="96"/>
      <c r="E419" s="96"/>
      <c r="F419" s="83"/>
      <c r="G419" s="84"/>
      <c r="H419" s="85"/>
    </row>
    <row r="420" spans="1:8" x14ac:dyDescent="0.25">
      <c r="A420" s="86">
        <f t="shared" si="48"/>
        <v>3</v>
      </c>
      <c r="B420" s="87"/>
      <c r="C420" s="84"/>
      <c r="D420" s="97"/>
      <c r="E420" s="97"/>
      <c r="F420" s="85"/>
      <c r="G420" s="84"/>
      <c r="H420" s="85"/>
    </row>
    <row r="421" spans="1:8" x14ac:dyDescent="0.25">
      <c r="A421" s="86">
        <f t="shared" si="48"/>
        <v>4</v>
      </c>
      <c r="B421" s="87"/>
      <c r="C421" s="84"/>
      <c r="D421" s="97"/>
      <c r="E421" s="97"/>
      <c r="F421" s="85"/>
      <c r="G421" s="84"/>
      <c r="H421" s="85"/>
    </row>
    <row r="422" spans="1:8" x14ac:dyDescent="0.25">
      <c r="A422" s="86">
        <v>5</v>
      </c>
      <c r="B422" s="87"/>
      <c r="C422" s="91"/>
      <c r="D422" s="98"/>
      <c r="E422" s="98"/>
      <c r="F422" s="92"/>
      <c r="G422" s="84"/>
      <c r="H422" s="85"/>
    </row>
    <row r="423" spans="1:8" x14ac:dyDescent="0.25">
      <c r="A423" s="86">
        <f t="shared" si="48"/>
        <v>6</v>
      </c>
      <c r="B423" s="87"/>
      <c r="C423" s="42" t="s">
        <v>219</v>
      </c>
      <c r="D423" s="57">
        <f>(37.29+1.725*1.975)*10.764</f>
        <v>438.06116249999997</v>
      </c>
      <c r="E423" s="42">
        <v>0</v>
      </c>
      <c r="F423" s="42">
        <f t="shared" ref="F423:F432" si="49">D423*(($F$232)+1)+(IF(E423&lt;101,E423,IF(E423&lt;201,E423/2,IF(E423&lt;=301,E423/3,E423/4))))</f>
        <v>657.09174374999998</v>
      </c>
      <c r="G423" s="84"/>
      <c r="H423" s="85"/>
    </row>
    <row r="424" spans="1:8" x14ac:dyDescent="0.25">
      <c r="A424" s="86">
        <f t="shared" si="48"/>
        <v>7</v>
      </c>
      <c r="B424" s="87"/>
      <c r="C424" s="42" t="s">
        <v>219</v>
      </c>
      <c r="D424" s="57">
        <f>(37.29+1.975*1.175)*10.764</f>
        <v>426.36876749999999</v>
      </c>
      <c r="E424" s="42">
        <v>0</v>
      </c>
      <c r="F424" s="42">
        <f t="shared" si="49"/>
        <v>639.55315124999993</v>
      </c>
      <c r="G424" s="84"/>
      <c r="H424" s="85"/>
    </row>
    <row r="425" spans="1:8" x14ac:dyDescent="0.25">
      <c r="A425" s="86">
        <f t="shared" si="48"/>
        <v>8</v>
      </c>
      <c r="B425" s="87"/>
      <c r="C425" s="42" t="s">
        <v>219</v>
      </c>
      <c r="D425" s="57">
        <f>(37.29+1.975*1.175)*10.764</f>
        <v>426.36876749999999</v>
      </c>
      <c r="E425" s="42">
        <v>0</v>
      </c>
      <c r="F425" s="42">
        <f t="shared" si="49"/>
        <v>639.55315124999993</v>
      </c>
      <c r="G425" s="84"/>
      <c r="H425" s="85"/>
    </row>
    <row r="426" spans="1:8" x14ac:dyDescent="0.25">
      <c r="A426" s="86">
        <f t="shared" si="48"/>
        <v>9</v>
      </c>
      <c r="B426" s="87"/>
      <c r="C426" s="42" t="s">
        <v>219</v>
      </c>
      <c r="D426" s="57">
        <f>(37.29+1.975*1.175)*10.764</f>
        <v>426.36876749999999</v>
      </c>
      <c r="E426" s="42">
        <v>0</v>
      </c>
      <c r="F426" s="42">
        <f t="shared" si="49"/>
        <v>639.55315124999993</v>
      </c>
      <c r="G426" s="84"/>
      <c r="H426" s="85"/>
    </row>
    <row r="427" spans="1:8" x14ac:dyDescent="0.25">
      <c r="A427" s="86">
        <f t="shared" si="48"/>
        <v>10</v>
      </c>
      <c r="B427" s="87"/>
      <c r="C427" s="42" t="s">
        <v>219</v>
      </c>
      <c r="D427" s="57">
        <f>(37.29+1.975*1.175)*10.764</f>
        <v>426.36876749999999</v>
      </c>
      <c r="E427" s="42">
        <v>0</v>
      </c>
      <c r="F427" s="42">
        <f t="shared" si="49"/>
        <v>639.55315124999993</v>
      </c>
      <c r="G427" s="84"/>
      <c r="H427" s="85"/>
    </row>
    <row r="428" spans="1:8" x14ac:dyDescent="0.25">
      <c r="A428" s="86">
        <f t="shared" si="48"/>
        <v>11</v>
      </c>
      <c r="B428" s="87"/>
      <c r="C428" s="42" t="s">
        <v>220</v>
      </c>
      <c r="D428" s="57">
        <f>(59.5+2.085*0.875)*10.764</f>
        <v>660.0955725</v>
      </c>
      <c r="E428" s="42">
        <v>0</v>
      </c>
      <c r="F428" s="42">
        <f t="shared" si="49"/>
        <v>990.14335875000006</v>
      </c>
      <c r="G428" s="84"/>
      <c r="H428" s="85"/>
    </row>
    <row r="429" spans="1:8" x14ac:dyDescent="0.25">
      <c r="A429" s="86">
        <v>12</v>
      </c>
      <c r="B429" s="87"/>
      <c r="C429" s="42" t="s">
        <v>219</v>
      </c>
      <c r="D429" s="57">
        <f>(37.26+1.95*1.675)*10.764</f>
        <v>436.22455499999995</v>
      </c>
      <c r="E429" s="42">
        <v>0</v>
      </c>
      <c r="F429" s="42">
        <f t="shared" si="49"/>
        <v>654.3368324999999</v>
      </c>
      <c r="G429" s="84"/>
      <c r="H429" s="85"/>
    </row>
    <row r="430" spans="1:8" x14ac:dyDescent="0.25">
      <c r="A430" s="86">
        <f t="shared" si="48"/>
        <v>13</v>
      </c>
      <c r="B430" s="87"/>
      <c r="C430" s="42" t="s">
        <v>219</v>
      </c>
      <c r="D430" s="57">
        <f>(37.26+1.95*1.1)*10.764</f>
        <v>424.15541999999999</v>
      </c>
      <c r="E430" s="42">
        <v>0</v>
      </c>
      <c r="F430" s="42">
        <f t="shared" si="49"/>
        <v>636.23312999999996</v>
      </c>
      <c r="G430" s="84"/>
      <c r="H430" s="85"/>
    </row>
    <row r="431" spans="1:8" x14ac:dyDescent="0.25">
      <c r="A431" s="86">
        <f t="shared" si="48"/>
        <v>14</v>
      </c>
      <c r="B431" s="87"/>
      <c r="C431" s="42" t="s">
        <v>220</v>
      </c>
      <c r="D431" s="57">
        <f>(62.84+1.725*2.1+0.9*1.375)*10.764</f>
        <v>728.72280000000001</v>
      </c>
      <c r="E431" s="42">
        <v>0</v>
      </c>
      <c r="F431" s="42">
        <f t="shared" si="49"/>
        <v>1093.0842</v>
      </c>
      <c r="G431" s="84"/>
      <c r="H431" s="85"/>
    </row>
    <row r="432" spans="1:8" x14ac:dyDescent="0.25">
      <c r="A432" s="86">
        <f t="shared" si="48"/>
        <v>15</v>
      </c>
      <c r="B432" s="87"/>
      <c r="C432" s="42" t="s">
        <v>220</v>
      </c>
      <c r="D432" s="57">
        <f>(62.84+1.725*2.1+0.9*1.375)*10.764</f>
        <v>728.72280000000001</v>
      </c>
      <c r="E432" s="42">
        <v>0</v>
      </c>
      <c r="F432" s="42">
        <f t="shared" si="49"/>
        <v>1093.0842</v>
      </c>
      <c r="G432" s="91"/>
      <c r="H432" s="92"/>
    </row>
    <row r="433" spans="1:8" x14ac:dyDescent="0.25">
      <c r="A433" s="93" t="s">
        <v>224</v>
      </c>
      <c r="B433" s="94"/>
      <c r="C433" s="94"/>
      <c r="D433" s="94"/>
      <c r="E433" s="94"/>
      <c r="F433" s="94"/>
      <c r="G433" s="94"/>
      <c r="H433" s="95"/>
    </row>
    <row r="434" spans="1:8" x14ac:dyDescent="0.25">
      <c r="A434" s="86">
        <v>1</v>
      </c>
      <c r="B434" s="87"/>
      <c r="C434" s="42" t="s">
        <v>219</v>
      </c>
      <c r="D434" s="57">
        <f>(37.29+1.975*1.265)*10.764</f>
        <v>428.28206849999998</v>
      </c>
      <c r="E434" s="42">
        <v>0</v>
      </c>
      <c r="F434" s="42">
        <f>D434*(($F$232)+1)+(IF(E434&lt;101,E434,IF(E434&lt;201,E434/2,IF(E434&lt;=301,E434/3,E434/4))))</f>
        <v>642.42310275</v>
      </c>
      <c r="G434" s="82" t="str">
        <f>A433</f>
        <v>34th Floor (Part Refuge Area)</v>
      </c>
      <c r="H434" s="83"/>
    </row>
    <row r="435" spans="1:8" x14ac:dyDescent="0.25">
      <c r="A435" s="86">
        <f t="shared" ref="A435:A448" si="50">A434+1</f>
        <v>2</v>
      </c>
      <c r="B435" s="87"/>
      <c r="C435" s="82" t="s">
        <v>216</v>
      </c>
      <c r="D435" s="96"/>
      <c r="E435" s="96"/>
      <c r="F435" s="83"/>
      <c r="G435" s="84"/>
      <c r="H435" s="85"/>
    </row>
    <row r="436" spans="1:8" x14ac:dyDescent="0.25">
      <c r="A436" s="86">
        <f t="shared" si="50"/>
        <v>3</v>
      </c>
      <c r="B436" s="87"/>
      <c r="C436" s="84"/>
      <c r="D436" s="97"/>
      <c r="E436" s="97"/>
      <c r="F436" s="85"/>
      <c r="G436" s="84"/>
      <c r="H436" s="85"/>
    </row>
    <row r="437" spans="1:8" x14ac:dyDescent="0.25">
      <c r="A437" s="86">
        <f t="shared" si="50"/>
        <v>4</v>
      </c>
      <c r="B437" s="87"/>
      <c r="C437" s="84"/>
      <c r="D437" s="97"/>
      <c r="E437" s="97"/>
      <c r="F437" s="85"/>
      <c r="G437" s="84"/>
      <c r="H437" s="85"/>
    </row>
    <row r="438" spans="1:8" x14ac:dyDescent="0.25">
      <c r="A438" s="86">
        <v>5</v>
      </c>
      <c r="B438" s="87"/>
      <c r="C438" s="91"/>
      <c r="D438" s="98"/>
      <c r="E438" s="98"/>
      <c r="F438" s="92"/>
      <c r="G438" s="84"/>
      <c r="H438" s="85"/>
    </row>
    <row r="439" spans="1:8" x14ac:dyDescent="0.25">
      <c r="A439" s="86">
        <f t="shared" si="50"/>
        <v>6</v>
      </c>
      <c r="B439" s="87"/>
      <c r="C439" s="42" t="s">
        <v>219</v>
      </c>
      <c r="D439" s="57">
        <f>(37.29+1.725*1.975)*10.764</f>
        <v>438.06116249999997</v>
      </c>
      <c r="E439" s="42">
        <v>0</v>
      </c>
      <c r="F439" s="42">
        <f t="shared" ref="F439:F448" si="51">D439*(($F$232)+1)+(IF(E439&lt;101,E439,IF(E439&lt;201,E439/2,IF(E439&lt;=301,E439/3,E439/4))))</f>
        <v>657.09174374999998</v>
      </c>
      <c r="G439" s="84"/>
      <c r="H439" s="85"/>
    </row>
    <row r="440" spans="1:8" x14ac:dyDescent="0.25">
      <c r="A440" s="86">
        <f t="shared" si="50"/>
        <v>7</v>
      </c>
      <c r="B440" s="87"/>
      <c r="C440" s="42" t="s">
        <v>219</v>
      </c>
      <c r="D440" s="57">
        <f>(37.29+1.975*1.175)*10.764</f>
        <v>426.36876749999999</v>
      </c>
      <c r="E440" s="42">
        <v>0</v>
      </c>
      <c r="F440" s="42">
        <f t="shared" si="51"/>
        <v>639.55315124999993</v>
      </c>
      <c r="G440" s="84"/>
      <c r="H440" s="85"/>
    </row>
    <row r="441" spans="1:8" x14ac:dyDescent="0.25">
      <c r="A441" s="86">
        <f t="shared" si="50"/>
        <v>8</v>
      </c>
      <c r="B441" s="87"/>
      <c r="C441" s="42" t="s">
        <v>219</v>
      </c>
      <c r="D441" s="57">
        <f>(37.29+1.975*1.175)*10.764</f>
        <v>426.36876749999999</v>
      </c>
      <c r="E441" s="42">
        <v>0</v>
      </c>
      <c r="F441" s="42">
        <f t="shared" si="51"/>
        <v>639.55315124999993</v>
      </c>
      <c r="G441" s="84"/>
      <c r="H441" s="85"/>
    </row>
    <row r="442" spans="1:8" x14ac:dyDescent="0.25">
      <c r="A442" s="86">
        <f t="shared" si="50"/>
        <v>9</v>
      </c>
      <c r="B442" s="87"/>
      <c r="C442" s="42" t="s">
        <v>219</v>
      </c>
      <c r="D442" s="57">
        <f>(37.29+1.975*1.175)*10.764</f>
        <v>426.36876749999999</v>
      </c>
      <c r="E442" s="42">
        <v>0</v>
      </c>
      <c r="F442" s="42">
        <f t="shared" si="51"/>
        <v>639.55315124999993</v>
      </c>
      <c r="G442" s="84"/>
      <c r="H442" s="85"/>
    </row>
    <row r="443" spans="1:8" x14ac:dyDescent="0.25">
      <c r="A443" s="86">
        <f t="shared" si="50"/>
        <v>10</v>
      </c>
      <c r="B443" s="87"/>
      <c r="C443" s="42" t="s">
        <v>219</v>
      </c>
      <c r="D443" s="57">
        <f>(37.29+1.975*1.175)*10.764</f>
        <v>426.36876749999999</v>
      </c>
      <c r="E443" s="42">
        <v>0</v>
      </c>
      <c r="F443" s="42">
        <f t="shared" si="51"/>
        <v>639.55315124999993</v>
      </c>
      <c r="G443" s="84"/>
      <c r="H443" s="85"/>
    </row>
    <row r="444" spans="1:8" x14ac:dyDescent="0.25">
      <c r="A444" s="86">
        <f t="shared" si="50"/>
        <v>11</v>
      </c>
      <c r="B444" s="87"/>
      <c r="C444" s="42" t="s">
        <v>220</v>
      </c>
      <c r="D444" s="57">
        <f>(59.5+2.085*0.875)*10.764</f>
        <v>660.0955725</v>
      </c>
      <c r="E444" s="42">
        <v>0</v>
      </c>
      <c r="F444" s="42">
        <f t="shared" si="51"/>
        <v>990.14335875000006</v>
      </c>
      <c r="G444" s="84"/>
      <c r="H444" s="85"/>
    </row>
    <row r="445" spans="1:8" x14ac:dyDescent="0.25">
      <c r="A445" s="86">
        <v>12</v>
      </c>
      <c r="B445" s="87"/>
      <c r="C445" s="42" t="s">
        <v>219</v>
      </c>
      <c r="D445" s="57">
        <f>(37.26+1.95*1.675)*10.764</f>
        <v>436.22455499999995</v>
      </c>
      <c r="E445" s="42">
        <v>0</v>
      </c>
      <c r="F445" s="42">
        <f t="shared" si="51"/>
        <v>654.3368324999999</v>
      </c>
      <c r="G445" s="84"/>
      <c r="H445" s="85"/>
    </row>
    <row r="446" spans="1:8" x14ac:dyDescent="0.25">
      <c r="A446" s="86">
        <f t="shared" si="50"/>
        <v>13</v>
      </c>
      <c r="B446" s="87"/>
      <c r="C446" s="42" t="s">
        <v>219</v>
      </c>
      <c r="D446" s="57">
        <f>(37.26+1.95*1.1)*10.764</f>
        <v>424.15541999999999</v>
      </c>
      <c r="E446" s="42">
        <v>0</v>
      </c>
      <c r="F446" s="42">
        <f t="shared" si="51"/>
        <v>636.23312999999996</v>
      </c>
      <c r="G446" s="84"/>
      <c r="H446" s="85"/>
    </row>
    <row r="447" spans="1:8" x14ac:dyDescent="0.25">
      <c r="A447" s="86">
        <f t="shared" si="50"/>
        <v>14</v>
      </c>
      <c r="B447" s="87"/>
      <c r="C447" s="42" t="s">
        <v>220</v>
      </c>
      <c r="D447" s="57">
        <f>(62.84+1.725*2.1+0.9*1.375)*10.764</f>
        <v>728.72280000000001</v>
      </c>
      <c r="E447" s="42">
        <v>0</v>
      </c>
      <c r="F447" s="42">
        <f t="shared" si="51"/>
        <v>1093.0842</v>
      </c>
      <c r="G447" s="84"/>
      <c r="H447" s="85"/>
    </row>
    <row r="448" spans="1:8" x14ac:dyDescent="0.25">
      <c r="A448" s="86">
        <f t="shared" si="50"/>
        <v>15</v>
      </c>
      <c r="B448" s="87"/>
      <c r="C448" s="42" t="s">
        <v>220</v>
      </c>
      <c r="D448" s="57">
        <f>(62.84+1.725*2.1+0.9*1.375)*10.764</f>
        <v>728.72280000000001</v>
      </c>
      <c r="E448" s="42">
        <v>0</v>
      </c>
      <c r="F448" s="42">
        <f t="shared" si="51"/>
        <v>1093.0842</v>
      </c>
      <c r="G448" s="91"/>
      <c r="H448" s="92"/>
    </row>
    <row r="449" spans="1:8" x14ac:dyDescent="0.25">
      <c r="A449" s="189" t="s">
        <v>67</v>
      </c>
      <c r="B449" s="189"/>
      <c r="C449" s="189"/>
      <c r="D449" s="189"/>
      <c r="E449" s="189"/>
      <c r="F449" s="189"/>
      <c r="G449" s="189"/>
      <c r="H449" s="189"/>
    </row>
    <row r="450" spans="1:8" ht="32.25" customHeight="1" x14ac:dyDescent="0.25">
      <c r="A450" s="47" t="s">
        <v>153</v>
      </c>
      <c r="B450" s="191" t="s">
        <v>269</v>
      </c>
      <c r="C450" s="192"/>
      <c r="D450" s="192"/>
      <c r="E450" s="192"/>
      <c r="F450" s="192"/>
      <c r="G450" s="192"/>
      <c r="H450" s="193"/>
    </row>
    <row r="451" spans="1:8" x14ac:dyDescent="0.25">
      <c r="A451" s="47" t="s">
        <v>153</v>
      </c>
      <c r="B451" s="191" t="str">
        <f>(IF(F231="Saleable area Loading :","We have considered Saleable area of Flats as per our Calculation.","We considered Saleable area of Flat as per Builder area Sheet."))</f>
        <v>We have considered Saleable area of Flats as per our Calculation.</v>
      </c>
      <c r="C451" s="192"/>
      <c r="D451" s="192"/>
      <c r="E451" s="192"/>
      <c r="F451" s="192"/>
      <c r="G451" s="192"/>
      <c r="H451" s="193"/>
    </row>
    <row r="452" spans="1:8" x14ac:dyDescent="0.25">
      <c r="A452" s="47" t="s">
        <v>153</v>
      </c>
      <c r="B452" s="191" t="str">
        <f>(IF(F146="Saleable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52" s="192"/>
      <c r="D452" s="192"/>
      <c r="E452" s="192"/>
      <c r="F452" s="192"/>
      <c r="G452" s="192"/>
      <c r="H452" s="193"/>
    </row>
    <row r="453" spans="1:8" x14ac:dyDescent="0.25">
      <c r="A453" s="47" t="s">
        <v>153</v>
      </c>
      <c r="B453" s="69" t="s">
        <v>123</v>
      </c>
      <c r="C453" s="70"/>
      <c r="D453" s="70"/>
      <c r="E453" s="70"/>
      <c r="F453" s="70"/>
      <c r="G453" s="70"/>
      <c r="H453" s="71"/>
    </row>
    <row r="454" spans="1:8" x14ac:dyDescent="0.25">
      <c r="A454" s="47" t="s">
        <v>153</v>
      </c>
      <c r="B454" s="69" t="s">
        <v>228</v>
      </c>
      <c r="C454" s="70"/>
      <c r="D454" s="70"/>
      <c r="E454" s="70"/>
      <c r="F454" s="70"/>
      <c r="G454" s="70"/>
      <c r="H454" s="71"/>
    </row>
    <row r="455" spans="1:8" x14ac:dyDescent="0.25">
      <c r="A455" s="47" t="s">
        <v>153</v>
      </c>
      <c r="B455" s="69" t="s">
        <v>152</v>
      </c>
      <c r="C455" s="70"/>
      <c r="D455" s="70"/>
      <c r="E455" s="70"/>
      <c r="F455" s="70"/>
      <c r="G455" s="70"/>
      <c r="H455" s="71"/>
    </row>
    <row r="456" spans="1:8" x14ac:dyDescent="0.25">
      <c r="A456" s="47" t="s">
        <v>153</v>
      </c>
      <c r="B456" s="69" t="s">
        <v>124</v>
      </c>
      <c r="C456" s="70"/>
      <c r="D456" s="70"/>
      <c r="E456" s="70"/>
      <c r="F456" s="70"/>
      <c r="G456" s="70"/>
      <c r="H456" s="71"/>
    </row>
    <row r="457" spans="1:8" x14ac:dyDescent="0.25">
      <c r="A457" s="47" t="s">
        <v>153</v>
      </c>
      <c r="B457" s="69" t="s">
        <v>154</v>
      </c>
      <c r="C457" s="70"/>
      <c r="D457" s="70"/>
      <c r="E457" s="70"/>
      <c r="F457" s="70"/>
      <c r="G457" s="70"/>
      <c r="H457" s="71"/>
    </row>
    <row r="458" spans="1:8" x14ac:dyDescent="0.25">
      <c r="A458" s="47" t="s">
        <v>153</v>
      </c>
      <c r="B458" s="69" t="s">
        <v>125</v>
      </c>
      <c r="C458" s="70"/>
      <c r="D458" s="70"/>
      <c r="E458" s="70"/>
      <c r="F458" s="70"/>
      <c r="G458" s="70"/>
      <c r="H458" s="71"/>
    </row>
    <row r="459" spans="1:8" ht="31.5" customHeight="1" x14ac:dyDescent="0.25">
      <c r="A459" s="47" t="s">
        <v>153</v>
      </c>
      <c r="B459" s="69" t="s">
        <v>229</v>
      </c>
      <c r="C459" s="70"/>
      <c r="D459" s="70"/>
      <c r="E459" s="70"/>
      <c r="F459" s="70"/>
      <c r="G459" s="70"/>
      <c r="H459" s="71"/>
    </row>
    <row r="460" spans="1:8" ht="31.5" customHeight="1" x14ac:dyDescent="0.25">
      <c r="A460" s="47" t="s">
        <v>153</v>
      </c>
      <c r="B460" s="69" t="s">
        <v>230</v>
      </c>
      <c r="C460" s="70"/>
      <c r="D460" s="70"/>
      <c r="E460" s="70"/>
      <c r="F460" s="70"/>
      <c r="G460" s="70"/>
      <c r="H460" s="71"/>
    </row>
    <row r="461" spans="1:8" hidden="1" x14ac:dyDescent="0.25">
      <c r="A461" s="47" t="s">
        <v>153</v>
      </c>
      <c r="B461" s="69" t="s">
        <v>235</v>
      </c>
      <c r="C461" s="70"/>
      <c r="D461" s="70"/>
      <c r="E461" s="70"/>
      <c r="F461" s="70"/>
      <c r="G461" s="70"/>
      <c r="H461" s="71"/>
    </row>
    <row r="462" spans="1:8" x14ac:dyDescent="0.25">
      <c r="A462" s="47" t="s">
        <v>153</v>
      </c>
      <c r="B462" s="69" t="s">
        <v>266</v>
      </c>
      <c r="C462" s="70"/>
      <c r="D462" s="70"/>
      <c r="E462" s="70"/>
      <c r="F462" s="70"/>
      <c r="G462" s="70"/>
      <c r="H462" s="71"/>
    </row>
    <row r="463" spans="1:8" x14ac:dyDescent="0.25">
      <c r="A463" s="186" t="s">
        <v>60</v>
      </c>
      <c r="B463" s="186"/>
      <c r="C463" s="186"/>
      <c r="D463" s="186"/>
      <c r="E463" s="186"/>
      <c r="F463" s="186"/>
      <c r="G463" s="186"/>
      <c r="H463" s="186"/>
    </row>
    <row r="464" spans="1:8" x14ac:dyDescent="0.25">
      <c r="A464" s="125" t="s">
        <v>61</v>
      </c>
      <c r="B464" s="125"/>
      <c r="C464" s="125"/>
      <c r="D464" s="125"/>
      <c r="E464" s="125"/>
      <c r="F464" s="125"/>
      <c r="G464" s="125"/>
      <c r="H464" s="125"/>
    </row>
    <row r="465" spans="1:8" x14ac:dyDescent="0.25">
      <c r="A465" s="190" t="s">
        <v>62</v>
      </c>
      <c r="B465" s="190"/>
      <c r="C465" s="190"/>
      <c r="D465" s="190"/>
      <c r="E465" s="190"/>
      <c r="F465" s="190"/>
      <c r="G465" s="190"/>
      <c r="H465" s="190"/>
    </row>
    <row r="466" spans="1:8" x14ac:dyDescent="0.25">
      <c r="A466" s="125" t="s">
        <v>63</v>
      </c>
      <c r="B466" s="125"/>
      <c r="C466" s="125"/>
      <c r="D466" s="125"/>
      <c r="E466" s="125"/>
      <c r="F466" s="125"/>
      <c r="G466" s="125"/>
      <c r="H466" s="125"/>
    </row>
    <row r="467" spans="1:8" x14ac:dyDescent="0.25">
      <c r="A467" s="125" t="s">
        <v>64</v>
      </c>
      <c r="B467" s="125"/>
      <c r="C467" s="125"/>
      <c r="D467" s="125"/>
      <c r="E467" s="125"/>
      <c r="F467" s="125"/>
      <c r="G467" s="125"/>
      <c r="H467" s="125"/>
    </row>
    <row r="468" spans="1:8" x14ac:dyDescent="0.25">
      <c r="A468" s="125" t="s">
        <v>126</v>
      </c>
      <c r="B468" s="125"/>
      <c r="C468" s="125"/>
      <c r="D468" s="125"/>
      <c r="E468" s="125"/>
      <c r="F468" s="125"/>
      <c r="G468" s="125"/>
      <c r="H468" s="125"/>
    </row>
    <row r="469" spans="1:8" x14ac:dyDescent="0.25">
      <c r="A469" s="168" t="s">
        <v>127</v>
      </c>
      <c r="B469" s="168"/>
      <c r="C469" s="168"/>
      <c r="D469" s="168"/>
      <c r="E469" s="168"/>
      <c r="F469" s="168"/>
      <c r="G469" s="168"/>
      <c r="H469" s="168"/>
    </row>
    <row r="470" spans="1:8" x14ac:dyDescent="0.25">
      <c r="A470" s="188" t="s">
        <v>76</v>
      </c>
      <c r="B470" s="188"/>
      <c r="C470" s="188" t="s">
        <v>268</v>
      </c>
      <c r="D470" s="188"/>
      <c r="E470" s="188" t="s">
        <v>105</v>
      </c>
      <c r="F470" s="188"/>
      <c r="G470" s="188" t="s">
        <v>267</v>
      </c>
      <c r="H470" s="188"/>
    </row>
    <row r="471" spans="1:8" x14ac:dyDescent="0.25">
      <c r="A471" s="187" t="s">
        <v>78</v>
      </c>
      <c r="B471" s="187"/>
      <c r="C471" s="187"/>
      <c r="D471" s="187"/>
      <c r="E471" s="187"/>
      <c r="F471" s="187"/>
      <c r="G471" s="187"/>
      <c r="H471" s="187"/>
    </row>
    <row r="472" spans="1:8" x14ac:dyDescent="0.25">
      <c r="A472" s="187"/>
      <c r="B472" s="187"/>
      <c r="C472" s="187"/>
      <c r="D472" s="187"/>
      <c r="E472" s="187"/>
      <c r="F472" s="187"/>
      <c r="G472" s="187"/>
      <c r="H472" s="187"/>
    </row>
    <row r="473" spans="1:8" x14ac:dyDescent="0.25">
      <c r="A473" s="187"/>
      <c r="B473" s="187"/>
      <c r="C473" s="187"/>
      <c r="D473" s="187"/>
      <c r="E473" s="187"/>
      <c r="F473" s="187"/>
      <c r="G473" s="187"/>
      <c r="H473" s="187"/>
    </row>
    <row r="474" spans="1:8" x14ac:dyDescent="0.25">
      <c r="A474" s="187"/>
      <c r="B474" s="187"/>
      <c r="C474" s="187"/>
      <c r="D474" s="187"/>
      <c r="E474" s="187"/>
      <c r="F474" s="187"/>
      <c r="G474" s="187"/>
      <c r="H474" s="187"/>
    </row>
    <row r="475" spans="1:8" x14ac:dyDescent="0.25">
      <c r="A475" s="38" t="s">
        <v>65</v>
      </c>
      <c r="B475" s="39"/>
      <c r="C475" s="39"/>
      <c r="D475" s="38" t="str">
        <f>E9</f>
        <v>Roswalt Zaiden</v>
      </c>
      <c r="F475" s="39"/>
      <c r="G475" s="39"/>
      <c r="H475" s="39"/>
    </row>
    <row r="476" spans="1:8" x14ac:dyDescent="0.25">
      <c r="A476" s="39"/>
      <c r="B476" s="39"/>
      <c r="C476" s="39"/>
      <c r="D476" s="39"/>
      <c r="E476" s="39"/>
      <c r="F476" s="39"/>
      <c r="G476" s="39"/>
      <c r="H476" s="39"/>
    </row>
    <row r="477" spans="1:8" x14ac:dyDescent="0.25">
      <c r="A477" s="39"/>
      <c r="B477" s="39"/>
      <c r="C477" s="39"/>
      <c r="D477" s="39"/>
      <c r="E477" s="39"/>
      <c r="F477" s="39"/>
      <c r="G477" s="39"/>
      <c r="H477" s="39"/>
    </row>
    <row r="517" spans="1:1" x14ac:dyDescent="0.25">
      <c r="A517" s="41" t="s">
        <v>196</v>
      </c>
    </row>
    <row r="559" spans="1:1" x14ac:dyDescent="0.25">
      <c r="A559" s="41" t="s">
        <v>66</v>
      </c>
    </row>
  </sheetData>
  <mergeCells count="673">
    <mergeCell ref="C87:H87"/>
    <mergeCell ref="A89:B89"/>
    <mergeCell ref="C89:H89"/>
    <mergeCell ref="C50:E50"/>
    <mergeCell ref="C59:E59"/>
    <mergeCell ref="A50:B50"/>
    <mergeCell ref="A60:H60"/>
    <mergeCell ref="A67:C67"/>
    <mergeCell ref="E77:F86"/>
    <mergeCell ref="G77:H86"/>
    <mergeCell ref="A85:B85"/>
    <mergeCell ref="D64:H64"/>
    <mergeCell ref="A70:C70"/>
    <mergeCell ref="D70:H70"/>
    <mergeCell ref="A71:C71"/>
    <mergeCell ref="D71:H71"/>
    <mergeCell ref="A77:B77"/>
    <mergeCell ref="G76:H76"/>
    <mergeCell ref="A17:B17"/>
    <mergeCell ref="C17:H17"/>
    <mergeCell ref="E42:H42"/>
    <mergeCell ref="A42:D42"/>
    <mergeCell ref="A49:B49"/>
    <mergeCell ref="C49:E49"/>
    <mergeCell ref="G49:H49"/>
    <mergeCell ref="G53:H53"/>
    <mergeCell ref="D61:H61"/>
    <mergeCell ref="C53:E53"/>
    <mergeCell ref="A33:B33"/>
    <mergeCell ref="A32:B32"/>
    <mergeCell ref="C33:E33"/>
    <mergeCell ref="A34:B34"/>
    <mergeCell ref="C34:E34"/>
    <mergeCell ref="A22:D23"/>
    <mergeCell ref="E22:H23"/>
    <mergeCell ref="A24:D24"/>
    <mergeCell ref="E24:H24"/>
    <mergeCell ref="A18:B18"/>
    <mergeCell ref="A51:B52"/>
    <mergeCell ref="C51:E51"/>
    <mergeCell ref="G51:H51"/>
    <mergeCell ref="C52:H52"/>
    <mergeCell ref="C18:D18"/>
    <mergeCell ref="E18:F18"/>
    <mergeCell ref="G18:H18"/>
    <mergeCell ref="A19:B19"/>
    <mergeCell ref="A468:H468"/>
    <mergeCell ref="A465:H465"/>
    <mergeCell ref="A139:B139"/>
    <mergeCell ref="D231:D232"/>
    <mergeCell ref="E231:E232"/>
    <mergeCell ref="G231:H232"/>
    <mergeCell ref="A82:B82"/>
    <mergeCell ref="F116:H116"/>
    <mergeCell ref="G132:H132"/>
    <mergeCell ref="F123:H123"/>
    <mergeCell ref="B452:H452"/>
    <mergeCell ref="A355:B355"/>
    <mergeCell ref="A353:B353"/>
    <mergeCell ref="A354:B354"/>
    <mergeCell ref="A274:B274"/>
    <mergeCell ref="A273:B273"/>
    <mergeCell ref="A144:H144"/>
    <mergeCell ref="B450:H450"/>
    <mergeCell ref="B451:H451"/>
    <mergeCell ref="A145:H145"/>
    <mergeCell ref="A86:B86"/>
    <mergeCell ref="A192:B192"/>
    <mergeCell ref="A449:H449"/>
    <mergeCell ref="A350:B350"/>
    <mergeCell ref="A351:B351"/>
    <mergeCell ref="A345:H345"/>
    <mergeCell ref="A240:B240"/>
    <mergeCell ref="A237:B237"/>
    <mergeCell ref="A186:B186"/>
    <mergeCell ref="A187:B187"/>
    <mergeCell ref="A188:B188"/>
    <mergeCell ref="A189:B189"/>
    <mergeCell ref="A190:B190"/>
    <mergeCell ref="A191:B191"/>
    <mergeCell ref="A233:H233"/>
    <mergeCell ref="A198:H198"/>
    <mergeCell ref="A199:H199"/>
    <mergeCell ref="A200:B200"/>
    <mergeCell ref="G183:H194"/>
    <mergeCell ref="A90:B90"/>
    <mergeCell ref="E90:F90"/>
    <mergeCell ref="G90:H90"/>
    <mergeCell ref="A91:B91"/>
    <mergeCell ref="A87:B87"/>
    <mergeCell ref="C131:D131"/>
    <mergeCell ref="C146:C147"/>
    <mergeCell ref="A195:H195"/>
    <mergeCell ref="A196:H196"/>
    <mergeCell ref="G225:H229"/>
    <mergeCell ref="A226:B226"/>
    <mergeCell ref="A227:B227"/>
    <mergeCell ref="A228:B228"/>
    <mergeCell ref="A471:H474"/>
    <mergeCell ref="A470:B470"/>
    <mergeCell ref="E470:F470"/>
    <mergeCell ref="C470:D470"/>
    <mergeCell ref="G470:H470"/>
    <mergeCell ref="B231:B232"/>
    <mergeCell ref="B459:H459"/>
    <mergeCell ref="B457:H457"/>
    <mergeCell ref="B455:H455"/>
    <mergeCell ref="A391:B391"/>
    <mergeCell ref="A392:B392"/>
    <mergeCell ref="A358:B358"/>
    <mergeCell ref="A288:B288"/>
    <mergeCell ref="A383:H383"/>
    <mergeCell ref="A384:H384"/>
    <mergeCell ref="A386:B386"/>
    <mergeCell ref="A142:B142"/>
    <mergeCell ref="A466:H466"/>
    <mergeCell ref="A138:H138"/>
    <mergeCell ref="A469:H469"/>
    <mergeCell ref="A467:H467"/>
    <mergeCell ref="A143:B143"/>
    <mergeCell ref="E143:F143"/>
    <mergeCell ref="B453:H453"/>
    <mergeCell ref="B454:H454"/>
    <mergeCell ref="A463:H463"/>
    <mergeCell ref="A464:H464"/>
    <mergeCell ref="E139:F139"/>
    <mergeCell ref="B458:H458"/>
    <mergeCell ref="B456:H456"/>
    <mergeCell ref="C142:D142"/>
    <mergeCell ref="E142:F142"/>
    <mergeCell ref="G142:H142"/>
    <mergeCell ref="A387:B387"/>
    <mergeCell ref="A388:B388"/>
    <mergeCell ref="B146:B147"/>
    <mergeCell ref="A146:A147"/>
    <mergeCell ref="C231:C232"/>
    <mergeCell ref="A234:H234"/>
    <mergeCell ref="B462:H462"/>
    <mergeCell ref="G50:H50"/>
    <mergeCell ref="A53:B54"/>
    <mergeCell ref="A83:B83"/>
    <mergeCell ref="A76:B76"/>
    <mergeCell ref="A79:B79"/>
    <mergeCell ref="A75:B75"/>
    <mergeCell ref="A73:B73"/>
    <mergeCell ref="C73:H73"/>
    <mergeCell ref="A81:B81"/>
    <mergeCell ref="A68:C68"/>
    <mergeCell ref="D68:H68"/>
    <mergeCell ref="C75:H75"/>
    <mergeCell ref="A78:B78"/>
    <mergeCell ref="A80:B80"/>
    <mergeCell ref="E76:F76"/>
    <mergeCell ref="A69:C69"/>
    <mergeCell ref="D69:H69"/>
    <mergeCell ref="A72:C72"/>
    <mergeCell ref="D72:H72"/>
    <mergeCell ref="A59:B59"/>
    <mergeCell ref="A61:C61"/>
    <mergeCell ref="A62:C62"/>
    <mergeCell ref="D62:H62"/>
    <mergeCell ref="G59:H59"/>
    <mergeCell ref="A1:H1"/>
    <mergeCell ref="A2:H2"/>
    <mergeCell ref="A3:D3"/>
    <mergeCell ref="E3:H3"/>
    <mergeCell ref="A5:D5"/>
    <mergeCell ref="A9:D9"/>
    <mergeCell ref="E9:H9"/>
    <mergeCell ref="A10:D10"/>
    <mergeCell ref="E10:H10"/>
    <mergeCell ref="E5:H5"/>
    <mergeCell ref="A4:D4"/>
    <mergeCell ref="E4:H4"/>
    <mergeCell ref="G20:H20"/>
    <mergeCell ref="A21:B21"/>
    <mergeCell ref="C21:D21"/>
    <mergeCell ref="E21:F21"/>
    <mergeCell ref="G21:H21"/>
    <mergeCell ref="A12:D12"/>
    <mergeCell ref="E12:H12"/>
    <mergeCell ref="A6:D6"/>
    <mergeCell ref="E6:H6"/>
    <mergeCell ref="A7:D7"/>
    <mergeCell ref="E7:H7"/>
    <mergeCell ref="A8:D8"/>
    <mergeCell ref="E8:H8"/>
    <mergeCell ref="A16:B16"/>
    <mergeCell ref="A13:D13"/>
    <mergeCell ref="E13:H13"/>
    <mergeCell ref="A14:D14"/>
    <mergeCell ref="A11:D11"/>
    <mergeCell ref="E11:H11"/>
    <mergeCell ref="E14:H14"/>
    <mergeCell ref="A15:B15"/>
    <mergeCell ref="C15:H15"/>
    <mergeCell ref="C16:H16"/>
    <mergeCell ref="C19:D19"/>
    <mergeCell ref="E19:F19"/>
    <mergeCell ref="G19:H19"/>
    <mergeCell ref="A20:B20"/>
    <mergeCell ref="C20:D20"/>
    <mergeCell ref="E20:F20"/>
    <mergeCell ref="F33:H33"/>
    <mergeCell ref="F34:H34"/>
    <mergeCell ref="A40:H40"/>
    <mergeCell ref="A66:C66"/>
    <mergeCell ref="D66:H6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C55:E55"/>
    <mergeCell ref="G55:H55"/>
    <mergeCell ref="C56:H56"/>
    <mergeCell ref="D67:H67"/>
    <mergeCell ref="A43:D43"/>
    <mergeCell ref="E43:H43"/>
    <mergeCell ref="E44:H44"/>
    <mergeCell ref="E45:H45"/>
    <mergeCell ref="E46:H46"/>
    <mergeCell ref="A44:D44"/>
    <mergeCell ref="F36:H36"/>
    <mergeCell ref="A38:B38"/>
    <mergeCell ref="A39:B39"/>
    <mergeCell ref="C38:H38"/>
    <mergeCell ref="A45:D45"/>
    <mergeCell ref="A64:C65"/>
    <mergeCell ref="D65:H65"/>
    <mergeCell ref="A37:H37"/>
    <mergeCell ref="A36:B36"/>
    <mergeCell ref="C36:E36"/>
    <mergeCell ref="A41:D41"/>
    <mergeCell ref="E41:H41"/>
    <mergeCell ref="A46:D46"/>
    <mergeCell ref="A47:H47"/>
    <mergeCell ref="D63:H63"/>
    <mergeCell ref="A63:C63"/>
    <mergeCell ref="A55:B56"/>
    <mergeCell ref="L119:M119"/>
    <mergeCell ref="L118:M118"/>
    <mergeCell ref="L117:M117"/>
    <mergeCell ref="L116:M116"/>
    <mergeCell ref="A84:B84"/>
    <mergeCell ref="C54:H54"/>
    <mergeCell ref="C39:H39"/>
    <mergeCell ref="A48:B48"/>
    <mergeCell ref="C48:H48"/>
    <mergeCell ref="A107:B107"/>
    <mergeCell ref="A108:B108"/>
    <mergeCell ref="A109:B109"/>
    <mergeCell ref="A110:B110"/>
    <mergeCell ref="A111:B111"/>
    <mergeCell ref="A112:B112"/>
    <mergeCell ref="A113:B113"/>
    <mergeCell ref="A116:E116"/>
    <mergeCell ref="F115:H115"/>
    <mergeCell ref="F120:H120"/>
    <mergeCell ref="A121:E121"/>
    <mergeCell ref="F121:H121"/>
    <mergeCell ref="A122:E122"/>
    <mergeCell ref="A124:E124"/>
    <mergeCell ref="F118:H118"/>
    <mergeCell ref="A123:E123"/>
    <mergeCell ref="A118:E118"/>
    <mergeCell ref="A115:E115"/>
    <mergeCell ref="F119:H119"/>
    <mergeCell ref="F117:H117"/>
    <mergeCell ref="A117:E117"/>
    <mergeCell ref="L128:M128"/>
    <mergeCell ref="A230:H230"/>
    <mergeCell ref="A231:A232"/>
    <mergeCell ref="A348:B348"/>
    <mergeCell ref="A349:B349"/>
    <mergeCell ref="L127:M127"/>
    <mergeCell ref="L124:M124"/>
    <mergeCell ref="A238:B238"/>
    <mergeCell ref="L125:M125"/>
    <mergeCell ref="A239:B239"/>
    <mergeCell ref="L126:M126"/>
    <mergeCell ref="A148:H148"/>
    <mergeCell ref="E146:E147"/>
    <mergeCell ref="G146:H147"/>
    <mergeCell ref="G131:H131"/>
    <mergeCell ref="A125:E125"/>
    <mergeCell ref="C132:D132"/>
    <mergeCell ref="E132:F132"/>
    <mergeCell ref="C143:D143"/>
    <mergeCell ref="F125:H125"/>
    <mergeCell ref="E131:F131"/>
    <mergeCell ref="A131:B131"/>
    <mergeCell ref="A130:H130"/>
    <mergeCell ref="A127:E127"/>
    <mergeCell ref="A213:B213"/>
    <mergeCell ref="A214:B214"/>
    <mergeCell ref="A181:H181"/>
    <mergeCell ref="A182:H182"/>
    <mergeCell ref="A183:B183"/>
    <mergeCell ref="A184:B184"/>
    <mergeCell ref="A185:B185"/>
    <mergeCell ref="A149:H149"/>
    <mergeCell ref="A150:H150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80:B180"/>
    <mergeCell ref="A197:H197"/>
    <mergeCell ref="A193:B193"/>
    <mergeCell ref="A194:B194"/>
    <mergeCell ref="D146:D147"/>
    <mergeCell ref="A119:E119"/>
    <mergeCell ref="A151:B151"/>
    <mergeCell ref="A152:B152"/>
    <mergeCell ref="A153:B153"/>
    <mergeCell ref="A154:B154"/>
    <mergeCell ref="A120:E120"/>
    <mergeCell ref="A126:E126"/>
    <mergeCell ref="G143:H143"/>
    <mergeCell ref="C133:D133"/>
    <mergeCell ref="E133:F133"/>
    <mergeCell ref="G133:H133"/>
    <mergeCell ref="A137:B137"/>
    <mergeCell ref="C137:D137"/>
    <mergeCell ref="E137:F137"/>
    <mergeCell ref="G137:H137"/>
    <mergeCell ref="C139:D139"/>
    <mergeCell ref="G139:H139"/>
    <mergeCell ref="F126:H126"/>
    <mergeCell ref="F124:H124"/>
    <mergeCell ref="F122:H122"/>
    <mergeCell ref="F127:H127"/>
    <mergeCell ref="A128:E128"/>
    <mergeCell ref="F128:H128"/>
    <mergeCell ref="A114:B114"/>
    <mergeCell ref="G91:H100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C101:H101"/>
    <mergeCell ref="A103:B103"/>
    <mergeCell ref="C103:H103"/>
    <mergeCell ref="A104:B104"/>
    <mergeCell ref="E104:F104"/>
    <mergeCell ref="E91:F100"/>
    <mergeCell ref="A175:B175"/>
    <mergeCell ref="A229:B229"/>
    <mergeCell ref="A212:H212"/>
    <mergeCell ref="G213:H217"/>
    <mergeCell ref="G104:H104"/>
    <mergeCell ref="A105:B105"/>
    <mergeCell ref="E105:F114"/>
    <mergeCell ref="G105:H114"/>
    <mergeCell ref="A106:B106"/>
    <mergeCell ref="A176:B176"/>
    <mergeCell ref="A177:B177"/>
    <mergeCell ref="A178:B178"/>
    <mergeCell ref="A179:B179"/>
    <mergeCell ref="A163:B163"/>
    <mergeCell ref="G151:H163"/>
    <mergeCell ref="A164:H164"/>
    <mergeCell ref="A165:H165"/>
    <mergeCell ref="A166:B166"/>
    <mergeCell ref="A167:B167"/>
    <mergeCell ref="A168:B168"/>
    <mergeCell ref="A169:B169"/>
    <mergeCell ref="A170:B170"/>
    <mergeCell ref="A171:B171"/>
    <mergeCell ref="A172:B172"/>
    <mergeCell ref="G166:H172"/>
    <mergeCell ref="A173:H173"/>
    <mergeCell ref="A174:B174"/>
    <mergeCell ref="G174:H180"/>
    <mergeCell ref="A235:H235"/>
    <mergeCell ref="A346:H346"/>
    <mergeCell ref="A236:H236"/>
    <mergeCell ref="A241:B241"/>
    <mergeCell ref="A242:B242"/>
    <mergeCell ref="A243:B243"/>
    <mergeCell ref="A209:B209"/>
    <mergeCell ref="A210:B210"/>
    <mergeCell ref="A201:B201"/>
    <mergeCell ref="A202:B202"/>
    <mergeCell ref="A203:B203"/>
    <mergeCell ref="A204:B204"/>
    <mergeCell ref="A205:B205"/>
    <mergeCell ref="A211:B211"/>
    <mergeCell ref="G200:H211"/>
    <mergeCell ref="A206:B206"/>
    <mergeCell ref="A207:B207"/>
    <mergeCell ref="A208:B208"/>
    <mergeCell ref="A224:H224"/>
    <mergeCell ref="A225:B225"/>
    <mergeCell ref="A389:B389"/>
    <mergeCell ref="A390:B390"/>
    <mergeCell ref="G348:H355"/>
    <mergeCell ref="C387:F390"/>
    <mergeCell ref="G386:H400"/>
    <mergeCell ref="A359:B359"/>
    <mergeCell ref="A393:B393"/>
    <mergeCell ref="A394:B394"/>
    <mergeCell ref="A395:B395"/>
    <mergeCell ref="A396:B396"/>
    <mergeCell ref="A397:B397"/>
    <mergeCell ref="A398:B398"/>
    <mergeCell ref="A399:B399"/>
    <mergeCell ref="A400:B400"/>
    <mergeCell ref="A357:B357"/>
    <mergeCell ref="A385:H385"/>
    <mergeCell ref="A356:H356"/>
    <mergeCell ref="A364:B364"/>
    <mergeCell ref="A365:H365"/>
    <mergeCell ref="A366:B366"/>
    <mergeCell ref="G366:H373"/>
    <mergeCell ref="A367:B367"/>
    <mergeCell ref="C367:F367"/>
    <mergeCell ref="A368:B368"/>
    <mergeCell ref="A262:B262"/>
    <mergeCell ref="G253:H267"/>
    <mergeCell ref="A267:B267"/>
    <mergeCell ref="A257:B257"/>
    <mergeCell ref="A263:B263"/>
    <mergeCell ref="A215:B215"/>
    <mergeCell ref="A216:B216"/>
    <mergeCell ref="A217:B217"/>
    <mergeCell ref="A219:B219"/>
    <mergeCell ref="A220:B220"/>
    <mergeCell ref="A221:B221"/>
    <mergeCell ref="A222:B222"/>
    <mergeCell ref="A218:H218"/>
    <mergeCell ref="G219:H223"/>
    <mergeCell ref="A223:B223"/>
    <mergeCell ref="A252:H252"/>
    <mergeCell ref="A253:B253"/>
    <mergeCell ref="A254:B254"/>
    <mergeCell ref="A255:B255"/>
    <mergeCell ref="A256:B256"/>
    <mergeCell ref="A258:B258"/>
    <mergeCell ref="A259:B259"/>
    <mergeCell ref="A260:B260"/>
    <mergeCell ref="A261:B261"/>
    <mergeCell ref="A266:B266"/>
    <mergeCell ref="G357:H364"/>
    <mergeCell ref="A360:B360"/>
    <mergeCell ref="A361:B361"/>
    <mergeCell ref="A362:B362"/>
    <mergeCell ref="A363:B363"/>
    <mergeCell ref="G237:H251"/>
    <mergeCell ref="A251:B251"/>
    <mergeCell ref="C251:F251"/>
    <mergeCell ref="A352:B352"/>
    <mergeCell ref="A347:H347"/>
    <mergeCell ref="C349:F349"/>
    <mergeCell ref="C350:F351"/>
    <mergeCell ref="A250:B250"/>
    <mergeCell ref="A249:B249"/>
    <mergeCell ref="C250:F250"/>
    <mergeCell ref="C237:F238"/>
    <mergeCell ref="A244:B244"/>
    <mergeCell ref="A245:B245"/>
    <mergeCell ref="A246:B246"/>
    <mergeCell ref="A247:B247"/>
    <mergeCell ref="A248:B248"/>
    <mergeCell ref="A264:B264"/>
    <mergeCell ref="A265:B265"/>
    <mergeCell ref="A320:B320"/>
    <mergeCell ref="A321:B321"/>
    <mergeCell ref="A322:B322"/>
    <mergeCell ref="C282:F282"/>
    <mergeCell ref="A283:B283"/>
    <mergeCell ref="A287:B287"/>
    <mergeCell ref="A295:B295"/>
    <mergeCell ref="A296:B296"/>
    <mergeCell ref="A297:B297"/>
    <mergeCell ref="A298:B298"/>
    <mergeCell ref="C298:F298"/>
    <mergeCell ref="A284:H284"/>
    <mergeCell ref="A285:B285"/>
    <mergeCell ref="C285:F286"/>
    <mergeCell ref="G269:H283"/>
    <mergeCell ref="G285:H299"/>
    <mergeCell ref="A286:B286"/>
    <mergeCell ref="A270:B270"/>
    <mergeCell ref="A271:B271"/>
    <mergeCell ref="A272:B272"/>
    <mergeCell ref="A275:B275"/>
    <mergeCell ref="A276:B276"/>
    <mergeCell ref="A277:B277"/>
    <mergeCell ref="A278:B278"/>
    <mergeCell ref="A279:B279"/>
    <mergeCell ref="C283:F283"/>
    <mergeCell ref="A280:B280"/>
    <mergeCell ref="A281:B281"/>
    <mergeCell ref="A282:B282"/>
    <mergeCell ref="A417:H417"/>
    <mergeCell ref="A289:B289"/>
    <mergeCell ref="A290:B290"/>
    <mergeCell ref="A291:B291"/>
    <mergeCell ref="A292:B292"/>
    <mergeCell ref="A293:B293"/>
    <mergeCell ref="A401:H401"/>
    <mergeCell ref="A402:B402"/>
    <mergeCell ref="G402:H416"/>
    <mergeCell ref="A403:B403"/>
    <mergeCell ref="A404:B404"/>
    <mergeCell ref="A405:B405"/>
    <mergeCell ref="A406:B406"/>
    <mergeCell ref="A407:B407"/>
    <mergeCell ref="A408:B408"/>
    <mergeCell ref="A409:B409"/>
    <mergeCell ref="A410:B410"/>
    <mergeCell ref="A411:B411"/>
    <mergeCell ref="A412:B412"/>
    <mergeCell ref="A413:B413"/>
    <mergeCell ref="A414:B414"/>
    <mergeCell ref="A415:B415"/>
    <mergeCell ref="A416:B416"/>
    <mergeCell ref="A329:B329"/>
    <mergeCell ref="A418:B418"/>
    <mergeCell ref="G418:H432"/>
    <mergeCell ref="A419:B419"/>
    <mergeCell ref="C419:F422"/>
    <mergeCell ref="A420:B420"/>
    <mergeCell ref="A421:B421"/>
    <mergeCell ref="A422:B422"/>
    <mergeCell ref="A423:B423"/>
    <mergeCell ref="A424:B424"/>
    <mergeCell ref="A425:B425"/>
    <mergeCell ref="A426:B426"/>
    <mergeCell ref="A427:B427"/>
    <mergeCell ref="A428:B428"/>
    <mergeCell ref="A429:B429"/>
    <mergeCell ref="A430:B430"/>
    <mergeCell ref="A431:B431"/>
    <mergeCell ref="A432:B432"/>
    <mergeCell ref="C368:F369"/>
    <mergeCell ref="A369:B369"/>
    <mergeCell ref="A370:B370"/>
    <mergeCell ref="A371:B371"/>
    <mergeCell ref="A377:B377"/>
    <mergeCell ref="C377:F378"/>
    <mergeCell ref="A378:B378"/>
    <mergeCell ref="A379:B379"/>
    <mergeCell ref="A380:B380"/>
    <mergeCell ref="A381:B381"/>
    <mergeCell ref="A382:B382"/>
    <mergeCell ref="A294:B294"/>
    <mergeCell ref="A299:B299"/>
    <mergeCell ref="C299:F299"/>
    <mergeCell ref="A374:H374"/>
    <mergeCell ref="A300:H300"/>
    <mergeCell ref="A301:B301"/>
    <mergeCell ref="G301:H315"/>
    <mergeCell ref="A302:B302"/>
    <mergeCell ref="A303:B303"/>
    <mergeCell ref="A304:B304"/>
    <mergeCell ref="A305:B305"/>
    <mergeCell ref="A306:B306"/>
    <mergeCell ref="A327:B327"/>
    <mergeCell ref="A328:B328"/>
    <mergeCell ref="A372:B372"/>
    <mergeCell ref="A373:B373"/>
    <mergeCell ref="A375:B375"/>
    <mergeCell ref="G375:H382"/>
    <mergeCell ref="A376:B376"/>
    <mergeCell ref="C376:F376"/>
    <mergeCell ref="A318:B318"/>
    <mergeCell ref="A319:B319"/>
    <mergeCell ref="A433:H433"/>
    <mergeCell ref="A434:B434"/>
    <mergeCell ref="G434:H448"/>
    <mergeCell ref="A435:B435"/>
    <mergeCell ref="C435:F438"/>
    <mergeCell ref="A436:B436"/>
    <mergeCell ref="A437:B437"/>
    <mergeCell ref="A438:B438"/>
    <mergeCell ref="A439:B439"/>
    <mergeCell ref="A440:B440"/>
    <mergeCell ref="A441:B441"/>
    <mergeCell ref="A442:B442"/>
    <mergeCell ref="A443:B443"/>
    <mergeCell ref="A444:B444"/>
    <mergeCell ref="A445:B445"/>
    <mergeCell ref="A446:B446"/>
    <mergeCell ref="A447:B447"/>
    <mergeCell ref="A448:B448"/>
    <mergeCell ref="A323:B323"/>
    <mergeCell ref="A324:B324"/>
    <mergeCell ref="A325:B325"/>
    <mergeCell ref="A326:B326"/>
    <mergeCell ref="E141:F141"/>
    <mergeCell ref="G141:H141"/>
    <mergeCell ref="A316:H316"/>
    <mergeCell ref="A317:B317"/>
    <mergeCell ref="A332:H332"/>
    <mergeCell ref="A309:B309"/>
    <mergeCell ref="A310:B310"/>
    <mergeCell ref="A311:B311"/>
    <mergeCell ref="A312:B312"/>
    <mergeCell ref="A313:B313"/>
    <mergeCell ref="A314:B314"/>
    <mergeCell ref="A315:B315"/>
    <mergeCell ref="G317:H331"/>
    <mergeCell ref="A268:H268"/>
    <mergeCell ref="A330:B330"/>
    <mergeCell ref="A331:B331"/>
    <mergeCell ref="A307:B307"/>
    <mergeCell ref="A308:B308"/>
    <mergeCell ref="A269:B269"/>
    <mergeCell ref="C269:F270"/>
    <mergeCell ref="G333:H344"/>
    <mergeCell ref="A335:B335"/>
    <mergeCell ref="A336:B336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33:B333"/>
    <mergeCell ref="A334:B334"/>
    <mergeCell ref="A57:B58"/>
    <mergeCell ref="C57:E57"/>
    <mergeCell ref="G57:H57"/>
    <mergeCell ref="C58:H58"/>
    <mergeCell ref="B461:H461"/>
    <mergeCell ref="B460:H460"/>
    <mergeCell ref="C134:D134"/>
    <mergeCell ref="E134:F134"/>
    <mergeCell ref="G134:H134"/>
    <mergeCell ref="A129:H129"/>
    <mergeCell ref="A132:A133"/>
    <mergeCell ref="A135:A136"/>
    <mergeCell ref="C135:D135"/>
    <mergeCell ref="E135:F135"/>
    <mergeCell ref="G135:H135"/>
    <mergeCell ref="C136:D136"/>
    <mergeCell ref="E136:F136"/>
    <mergeCell ref="G136:H136"/>
    <mergeCell ref="A140:B140"/>
    <mergeCell ref="C140:D140"/>
    <mergeCell ref="E140:F140"/>
    <mergeCell ref="G140:H140"/>
    <mergeCell ref="A141:B141"/>
    <mergeCell ref="C141:D141"/>
  </mergeCells>
  <hyperlinks>
    <hyperlink ref="C39" r:id="rId1"/>
    <hyperlink ref="I69" r:id="rId2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3"/>
  <headerFooter>
    <oddHeader>&amp;C&amp;G</oddHeader>
    <oddFooter>&amp;L&amp;"Times New Roman,Bold"&amp;12Ref No: &amp;F&amp;C&amp;G&amp;R&amp;"Times New Roman,Bold"&amp;12&amp;P</oddFooter>
  </headerFooter>
  <rowBreaks count="5" manualBreakCount="5">
    <brk id="100" max="16383" man="1"/>
    <brk id="143" max="7" man="1"/>
    <brk id="474" max="7" man="1"/>
    <brk id="516" max="7" man="1"/>
    <brk id="558" max="7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5"/>
  <sheetViews>
    <sheetView zoomScale="85" zoomScaleNormal="85" workbookViewId="0">
      <selection activeCell="J9" sqref="J9"/>
    </sheetView>
  </sheetViews>
  <sheetFormatPr defaultColWidth="8.7109375" defaultRowHeight="15" x14ac:dyDescent="0.25"/>
  <cols>
    <col min="1" max="1" width="8.7109375" style="1"/>
    <col min="2" max="2" width="22.28515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9" width="10.28515625" style="1" bestFit="1" customWidth="1"/>
    <col min="10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7" t="s">
        <v>106</v>
      </c>
      <c r="C3" s="197"/>
      <c r="D3" s="197"/>
      <c r="E3" s="197"/>
      <c r="F3" s="197"/>
      <c r="G3" s="197"/>
      <c r="H3" s="197"/>
    </row>
    <row r="4" spans="1:9" x14ac:dyDescent="0.25">
      <c r="A4" s="2"/>
      <c r="B4" s="3" t="s">
        <v>107</v>
      </c>
      <c r="C4" s="3" t="s">
        <v>108</v>
      </c>
      <c r="D4" s="3" t="s">
        <v>68</v>
      </c>
      <c r="E4" s="3" t="s">
        <v>109</v>
      </c>
      <c r="F4" s="3" t="s">
        <v>115</v>
      </c>
      <c r="G4" s="3" t="s">
        <v>116</v>
      </c>
      <c r="H4" s="3" t="s">
        <v>110</v>
      </c>
      <c r="I4" s="1" t="s">
        <v>240</v>
      </c>
    </row>
    <row r="5" spans="1:9" ht="15" customHeight="1" x14ac:dyDescent="0.25">
      <c r="A5" s="2"/>
      <c r="B5" s="58" t="s">
        <v>238</v>
      </c>
      <c r="C5" s="6"/>
      <c r="D5" s="58" t="s">
        <v>219</v>
      </c>
      <c r="E5" s="5">
        <v>425</v>
      </c>
      <c r="F5" s="7">
        <f>E5*1.55</f>
        <v>658.75</v>
      </c>
      <c r="G5" s="7">
        <f>H5/F5</f>
        <v>15218.216318785579</v>
      </c>
      <c r="H5" s="8">
        <v>10025000</v>
      </c>
      <c r="I5" s="59">
        <f>H5/E5</f>
        <v>23588.235294117647</v>
      </c>
    </row>
    <row r="6" spans="1:9" ht="15" customHeight="1" x14ac:dyDescent="0.25">
      <c r="A6" s="2"/>
      <c r="B6" s="5" t="s">
        <v>111</v>
      </c>
      <c r="C6" s="6"/>
      <c r="D6" s="58" t="s">
        <v>221</v>
      </c>
      <c r="E6" s="5">
        <v>914</v>
      </c>
      <c r="F6" s="7">
        <f>E6*1.55</f>
        <v>1416.7</v>
      </c>
      <c r="G6" s="7">
        <f t="shared" ref="G6:G10" si="0">H6/F6</f>
        <v>14148.372979459305</v>
      </c>
      <c r="H6" s="8">
        <v>20044000</v>
      </c>
      <c r="I6" s="59">
        <f t="shared" ref="I6" si="1">H6/E6</f>
        <v>21929.978118161926</v>
      </c>
    </row>
    <row r="7" spans="1:9" x14ac:dyDescent="0.25">
      <c r="A7" s="2"/>
      <c r="B7" s="5" t="s">
        <v>112</v>
      </c>
      <c r="C7" s="9"/>
      <c r="D7" s="58"/>
      <c r="E7" s="5"/>
      <c r="F7" s="7"/>
      <c r="G7" s="7" t="e">
        <f t="shared" si="0"/>
        <v>#DIV/0!</v>
      </c>
      <c r="H7" s="8">
        <v>10075000</v>
      </c>
      <c r="I7" s="59"/>
    </row>
    <row r="8" spans="1:9" ht="15" customHeight="1" x14ac:dyDescent="0.25">
      <c r="A8" s="2"/>
      <c r="B8" s="5" t="s">
        <v>111</v>
      </c>
      <c r="C8" s="9"/>
      <c r="D8" s="5"/>
      <c r="E8" s="5"/>
      <c r="F8" s="7">
        <f t="shared" ref="F8:F10" si="2">E8*1.6</f>
        <v>0</v>
      </c>
      <c r="G8" s="7" t="e">
        <f t="shared" si="0"/>
        <v>#DIV/0!</v>
      </c>
      <c r="H8" s="8"/>
      <c r="I8" s="59"/>
    </row>
    <row r="9" spans="1:9" ht="15" customHeight="1" x14ac:dyDescent="0.25">
      <c r="A9" s="2"/>
      <c r="B9" s="5" t="s">
        <v>112</v>
      </c>
      <c r="C9" s="6"/>
      <c r="D9" s="5"/>
      <c r="E9" s="5"/>
      <c r="F9" s="7">
        <f t="shared" si="2"/>
        <v>0</v>
      </c>
      <c r="G9" s="7" t="e">
        <f t="shared" si="0"/>
        <v>#DIV/0!</v>
      </c>
      <c r="H9" s="8"/>
    </row>
    <row r="10" spans="1:9" ht="15" customHeight="1" x14ac:dyDescent="0.25">
      <c r="A10" s="2"/>
      <c r="B10" s="5" t="s">
        <v>112</v>
      </c>
      <c r="C10" s="6"/>
      <c r="D10" s="5"/>
      <c r="E10" s="5"/>
      <c r="F10" s="7">
        <f t="shared" si="2"/>
        <v>0</v>
      </c>
      <c r="G10" s="7" t="e">
        <f t="shared" si="0"/>
        <v>#DIV/0!</v>
      </c>
      <c r="H10" s="8"/>
    </row>
    <row r="11" spans="1:9" ht="15" customHeight="1" x14ac:dyDescent="0.25">
      <c r="A11" s="2"/>
      <c r="B11" s="10" t="s">
        <v>113</v>
      </c>
      <c r="C11" s="5"/>
      <c r="D11" s="5"/>
      <c r="E11" s="5"/>
      <c r="F11" s="5"/>
      <c r="G11" s="11" t="e">
        <f>AVERAGE(G5:G10)</f>
        <v>#DIV/0!</v>
      </c>
      <c r="H11" s="5"/>
    </row>
    <row r="12" spans="1:9" ht="15" customHeight="1" x14ac:dyDescent="0.25">
      <c r="B12" s="10" t="s">
        <v>114</v>
      </c>
      <c r="C12" s="5"/>
      <c r="D12" s="5"/>
      <c r="E12" s="5"/>
      <c r="F12" s="12"/>
      <c r="G12" s="10"/>
      <c r="H12" s="10"/>
      <c r="I12" s="4"/>
    </row>
    <row r="13" spans="1:9" ht="15" customHeight="1" x14ac:dyDescent="0.25"/>
    <row r="14" spans="1:9" ht="15" customHeight="1" x14ac:dyDescent="0.25"/>
    <row r="15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2025-09-17T12:33:48Z</cp:lastPrinted>
  <dcterms:created xsi:type="dcterms:W3CDTF">2019-07-16T09:29:46Z</dcterms:created>
  <dcterms:modified xsi:type="dcterms:W3CDTF">2025-09-17T12:34:56Z</dcterms:modified>
</cp:coreProperties>
</file>