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ne 2025\29-06-2025\"/>
    </mc:Choice>
  </mc:AlternateContent>
  <bookViews>
    <workbookView xWindow="0" yWindow="0" windowWidth="19200" windowHeight="6640"/>
  </bookViews>
  <sheets>
    <sheet name="Report (2)" sheetId="1" r:id="rId1"/>
    <sheet name="VALUATION" sheetId="6" r:id="rId2"/>
    <sheet name="Note" sheetId="5" r:id="rId3"/>
    <sheet name="A%" sheetId="2" r:id="rId4"/>
    <sheet name="B% (2)" sheetId="4" r:id="rId5"/>
    <sheet name="Flat detail" sheetId="3" r:id="rId6"/>
  </sheets>
  <definedNames>
    <definedName name="_xlnm.Print_Area" localSheetId="0">'Report (2)'!$A$1:$J$309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L80" i="1" l="1"/>
  <c r="L79" i="1"/>
  <c r="L78" i="1"/>
  <c r="L77" i="1"/>
  <c r="L66" i="1"/>
  <c r="L65" i="1"/>
  <c r="L64" i="1"/>
  <c r="L63" i="1"/>
  <c r="I56" i="1"/>
  <c r="I70" i="1"/>
  <c r="F59" i="1" l="1"/>
  <c r="L75" i="1"/>
  <c r="L76" i="1" s="1"/>
  <c r="L81" i="1" s="1"/>
  <c r="L82" i="1" s="1"/>
  <c r="L73" i="1"/>
  <c r="L72" i="1"/>
  <c r="D81" i="1"/>
  <c r="D79" i="1"/>
  <c r="D77" i="1"/>
  <c r="D75" i="1"/>
  <c r="H73" i="1"/>
  <c r="L74" i="1"/>
  <c r="F73" i="1"/>
  <c r="K69" i="1" s="1"/>
  <c r="D82" i="1"/>
  <c r="D80" i="1"/>
  <c r="D78" i="1"/>
  <c r="D76" i="1"/>
  <c r="D74" i="1"/>
  <c r="D73" i="1"/>
  <c r="D61" i="1"/>
  <c r="L59" i="1"/>
  <c r="D68" i="1"/>
  <c r="D66" i="1"/>
  <c r="D64" i="1"/>
  <c r="D62" i="1"/>
  <c r="L60" i="1"/>
  <c r="C59" i="1" s="1"/>
  <c r="D59" i="1" s="1"/>
  <c r="L58" i="1"/>
  <c r="L61" i="1"/>
  <c r="L62" i="1" s="1"/>
  <c r="L67" i="1" s="1"/>
  <c r="D67" i="1"/>
  <c r="D65" i="1"/>
  <c r="D63" i="1"/>
  <c r="L68" i="1" l="1"/>
  <c r="D60" i="1"/>
  <c r="C71" i="1"/>
  <c r="K55" i="1" l="1"/>
  <c r="C57" i="1" s="1"/>
  <c r="H59" i="1"/>
  <c r="G6" i="6"/>
  <c r="E5" i="6"/>
  <c r="F5" i="6" s="1"/>
  <c r="G5" i="6" s="1"/>
  <c r="L141" i="1"/>
  <c r="L215" i="1"/>
  <c r="L211" i="1"/>
  <c r="F11" i="6"/>
  <c r="G11" i="6" s="1"/>
  <c r="F10" i="6"/>
  <c r="G10" i="6" s="1"/>
  <c r="F9" i="6"/>
  <c r="G9" i="6" s="1"/>
  <c r="F8" i="6"/>
  <c r="G8" i="6" s="1"/>
  <c r="F7" i="6"/>
  <c r="G7" i="6" s="1"/>
  <c r="G12" i="6" l="1"/>
  <c r="K194" i="1"/>
  <c r="D173" i="1" l="1"/>
  <c r="F131" i="1"/>
  <c r="F130" i="1"/>
  <c r="F129" i="1"/>
  <c r="C14" i="1"/>
  <c r="I203" i="1"/>
  <c r="I188" i="1"/>
  <c r="I173" i="1"/>
  <c r="I151" i="1"/>
  <c r="I139" i="1"/>
  <c r="I128" i="1"/>
  <c r="I112" i="1"/>
  <c r="G15" i="4"/>
  <c r="B15" i="4" s="1"/>
  <c r="B7" i="4"/>
  <c r="H16" i="4" s="1"/>
  <c r="C16" i="4" s="1"/>
  <c r="C5" i="4"/>
  <c r="B12" i="4" s="1"/>
  <c r="G105" i="1"/>
  <c r="G104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76" i="1"/>
  <c r="D177" i="1"/>
  <c r="D214" i="1"/>
  <c r="D215" i="1"/>
  <c r="D216" i="1"/>
  <c r="D212" i="1"/>
  <c r="D213" i="1"/>
  <c r="D211" i="1"/>
  <c r="D209" i="1"/>
  <c r="D210" i="1"/>
  <c r="D208" i="1"/>
  <c r="D207" i="1"/>
  <c r="D206" i="1"/>
  <c r="D205" i="1"/>
  <c r="D204" i="1"/>
  <c r="D203" i="1"/>
  <c r="D184" i="1"/>
  <c r="D185" i="1"/>
  <c r="D186" i="1"/>
  <c r="D183" i="1"/>
  <c r="D182" i="1"/>
  <c r="D181" i="1"/>
  <c r="F179" i="1"/>
  <c r="F180" i="1"/>
  <c r="D179" i="1"/>
  <c r="D180" i="1"/>
  <c r="F178" i="1"/>
  <c r="D178" i="1"/>
  <c r="D174" i="1"/>
  <c r="F174" i="1"/>
  <c r="F175" i="1"/>
  <c r="D175" i="1"/>
  <c r="F173" i="1"/>
  <c r="D166" i="1"/>
  <c r="G166" i="1" s="1"/>
  <c r="D167" i="1"/>
  <c r="G167" i="1" s="1"/>
  <c r="D170" i="1"/>
  <c r="G170" i="1" s="1"/>
  <c r="D171" i="1"/>
  <c r="G171" i="1" s="1"/>
  <c r="D169" i="1"/>
  <c r="G169" i="1" s="1"/>
  <c r="D168" i="1"/>
  <c r="G168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8" i="1"/>
  <c r="D147" i="1"/>
  <c r="D146" i="1"/>
  <c r="D145" i="1"/>
  <c r="D144" i="1"/>
  <c r="D143" i="1"/>
  <c r="D142" i="1"/>
  <c r="D141" i="1"/>
  <c r="D140" i="1"/>
  <c r="D139" i="1"/>
  <c r="D134" i="1"/>
  <c r="D135" i="1"/>
  <c r="D136" i="1"/>
  <c r="D137" i="1"/>
  <c r="D133" i="1"/>
  <c r="L133" i="1" s="1"/>
  <c r="F132" i="1"/>
  <c r="D129" i="1"/>
  <c r="D130" i="1"/>
  <c r="D131" i="1"/>
  <c r="D132" i="1"/>
  <c r="F128" i="1"/>
  <c r="D128" i="1"/>
  <c r="E7" i="3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05" i="1" l="1"/>
  <c r="D7" i="4"/>
  <c r="D104" i="1"/>
  <c r="D100" i="1"/>
  <c r="D99" i="1"/>
  <c r="C104" i="1"/>
  <c r="C99" i="1"/>
  <c r="C100" i="1"/>
  <c r="G100" i="1"/>
  <c r="C105" i="1"/>
  <c r="G99" i="1"/>
  <c r="M16" i="4"/>
  <c r="C21" i="4" s="1"/>
  <c r="M15" i="4"/>
  <c r="B21" i="4" s="1"/>
  <c r="D12" i="4"/>
  <c r="B10" i="4"/>
  <c r="H15" i="4"/>
  <c r="B16" i="4" s="1"/>
  <c r="G16" i="4"/>
  <c r="C15" i="4" s="1"/>
  <c r="B9" i="4"/>
  <c r="B11" i="4"/>
  <c r="B8" i="4"/>
  <c r="B7" i="2"/>
  <c r="C106" i="1" l="1"/>
  <c r="K16" i="4"/>
  <c r="C19" i="4" s="1"/>
  <c r="D10" i="4"/>
  <c r="K15" i="4"/>
  <c r="B19" i="4" s="1"/>
  <c r="D11" i="4"/>
  <c r="L16" i="4"/>
  <c r="C20" i="4" s="1"/>
  <c r="L15" i="4"/>
  <c r="B20" i="4" s="1"/>
  <c r="J15" i="4"/>
  <c r="B18" i="4" s="1"/>
  <c r="D9" i="4"/>
  <c r="J16" i="4"/>
  <c r="C18" i="4" s="1"/>
  <c r="I16" i="4"/>
  <c r="C17" i="4" s="1"/>
  <c r="I15" i="4"/>
  <c r="B17" i="4" s="1"/>
  <c r="D8" i="4"/>
  <c r="G15" i="2"/>
  <c r="G16" i="2" s="1"/>
  <c r="C15" i="2" s="1"/>
  <c r="H15" i="2"/>
  <c r="B16" i="2" s="1"/>
  <c r="D6" i="2"/>
  <c r="C5" i="2"/>
  <c r="B12" i="2" s="1"/>
  <c r="D231" i="1"/>
  <c r="G106" i="1"/>
  <c r="D106" i="1"/>
  <c r="G101" i="1"/>
  <c r="D101" i="1"/>
  <c r="L101" i="1" s="1"/>
  <c r="C101" i="1"/>
  <c r="G96" i="1"/>
  <c r="D49" i="1"/>
  <c r="H46" i="1"/>
  <c r="C46" i="1"/>
  <c r="F41" i="1"/>
  <c r="F42" i="1" s="1"/>
  <c r="D51" i="1" s="1"/>
  <c r="F7" i="1"/>
  <c r="B15" i="2" l="1"/>
  <c r="B22" i="4"/>
  <c r="C22" i="4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<sst xmlns="http://schemas.openxmlformats.org/spreadsheetml/2006/main" count="648" uniqueCount="279">
  <si>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</si>
  <si>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</si>
  <si>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</si>
  <si>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</si>
  <si>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</si>
  <si>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</si>
  <si>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</si>
  <si>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</si>
  <si>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</si>
  <si>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</si>
  <si>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</si>
  <si>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</si>
  <si>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</si>
  <si>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</si>
  <si>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</si>
  <si>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</si>
  <si>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</si>
  <si>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</si>
  <si>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</si>
  <si>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</si>
  <si>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</si>
  <si>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</si>
  <si>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</si>
  <si>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</si>
  <si>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</si>
  <si>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</si>
  <si>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</si>
  <si>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</si>
  <si>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</si>
  <si>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</si>
  <si>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</si>
  <si>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</si>
  <si>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</si>
  <si>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</si>
  <si>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</si>
  <si>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</si>
  <si>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</si>
  <si>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</si>
  <si>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</si>
  <si>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</si>
  <si>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</si>
  <si>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</si>
  <si>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</si>
  <si>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</si>
  <si>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</si>
  <si>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</si>
  <si>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</si>
  <si>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</si>
  <si>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</si>
  <si>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</si>
  <si>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</si>
  <si>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</si>
  <si>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</si>
  <si>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</si>
  <si>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</si>
  <si>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</si>
  <si>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</si>
  <si>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</si>
  <si>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</si>
  <si>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</si>
  <si>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</si>
  <si>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</si>
  <si>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</si>
  <si>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</si>
  <si>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</si>
  <si>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</si>
  <si>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</si>
  <si>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</si>
  <si>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</si>
  <si>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</si>
  <si>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</si>
  <si>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</si>
  <si>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</si>
  <si>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</si>
  <si>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>Floor rise rate  Per Sq. Ft.</t>
  </si>
  <si>
    <t>PLC charges</t>
  </si>
  <si>
    <t>Society formation charges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</si>
  <si>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</si>
  <si>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</si>
  <si>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</si>
  <si>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</si>
  <si>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</si>
  <si>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</si>
  <si>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</si>
  <si>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</si>
  <si>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</si>
  <si>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</si>
  <si>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</si>
  <si>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</si>
  <si>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</si>
  <si>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</si>
  <si>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</si>
  <si>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</si>
  <si>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</si>
  <si>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</si>
  <si>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</si>
  <si>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</si>
  <si>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</si>
  <si>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</si>
  <si>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</si>
  <si>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</si>
  <si>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</si>
  <si>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</si>
  <si>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</si>
  <si>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</si>
  <si>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</si>
  <si>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</si>
  <si>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</si>
  <si>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</si>
  <si>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</si>
  <si>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</si>
  <si>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</si>
  <si>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</si>
  <si>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</si>
  <si>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</si>
  <si>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</si>
  <si>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</si>
  <si>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</si>
  <si>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</si>
  <si>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</si>
  <si>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</si>
  <si>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</si>
  <si>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</si>
  <si>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</si>
  <si>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</si>
  <si>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</si>
  <si>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</si>
  <si>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</si>
  <si>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</si>
  <si>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</si>
  <si>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</si>
  <si>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</si>
  <si>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</si>
  <si>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</si>
  <si>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</si>
  <si>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</si>
  <si>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</si>
  <si>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</si>
  <si>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</si>
  <si>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</si>
  <si>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</si>
  <si>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</si>
  <si>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</si>
  <si>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</si>
  <si>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</si>
  <si>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</si>
  <si>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</si>
  <si>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</si>
  <si>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</si>
  <si>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</si>
  <si>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</si>
  <si>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</si>
  <si>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</si>
  <si>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</si>
  <si>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</si>
  <si>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</si>
  <si>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</si>
  <si>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</si>
  <si>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</si>
  <si>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</si>
  <si>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</si>
  <si>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</si>
  <si>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</si>
  <si>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</si>
  <si>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</si>
  <si>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</si>
  <si>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</si>
  <si>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</si>
  <si>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</si>
  <si>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</si>
  <si>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</si>
  <si>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</si>
  <si>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</si>
  <si>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</si>
  <si>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</si>
  <si>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</si>
  <si>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</si>
  <si>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</si>
  <si>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</si>
  <si>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</si>
  <si>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Authorized Signatory
Name &amp; Seal of the agency</t>
  </si>
  <si>
    <t>Axis Sanpada</t>
  </si>
  <si>
    <t xml:space="preserve">M/s.Gruharaj Builders &amp; Developers
</t>
  </si>
  <si>
    <t>39/1(part), 39/2, 39/3 &amp; 40/1(part)</t>
  </si>
  <si>
    <t>Mamdapur</t>
  </si>
  <si>
    <t>Karjat</t>
  </si>
  <si>
    <t>Raigad</t>
  </si>
  <si>
    <t>Neral</t>
  </si>
  <si>
    <t>Neral - Badlapur Road</t>
  </si>
  <si>
    <t>Open Plot</t>
  </si>
  <si>
    <t>JA.KR.RJV/BD/NSVP/286-2019</t>
  </si>
  <si>
    <t>06/05/2019.</t>
  </si>
  <si>
    <t>09/05/2019.</t>
  </si>
  <si>
    <t>A Wing</t>
  </si>
  <si>
    <t>Ground Floor for Commercial &amp; Parking</t>
  </si>
  <si>
    <t>Shop</t>
  </si>
  <si>
    <t>1st Floor</t>
  </si>
  <si>
    <t>1BHK</t>
  </si>
  <si>
    <t>2nd to 7th Floor</t>
  </si>
  <si>
    <t>B Wing</t>
  </si>
  <si>
    <t>2BHK</t>
  </si>
  <si>
    <t>2nd, 4th, 6th Floor</t>
  </si>
  <si>
    <t xml:space="preserve"> 3rd, 5th, 7th Floor</t>
  </si>
  <si>
    <t>Flats = 168 &amp; shop = 36</t>
  </si>
  <si>
    <t>Residential + Commercial</t>
  </si>
  <si>
    <t xml:space="preserve">Material laying at Site: Bricks, Cement &amp; Steel etc. </t>
  </si>
  <si>
    <t xml:space="preserve">Wheather the construction is as per approved Building plan : Under Construction </t>
  </si>
  <si>
    <t>Royal Regalia</t>
  </si>
  <si>
    <t>Deccan Homes Neral</t>
  </si>
  <si>
    <t>Builder Saleable area</t>
  </si>
  <si>
    <t>08/09/2020.</t>
  </si>
  <si>
    <t>Pratiksha</t>
  </si>
  <si>
    <t>On Site, we meet Mr. Sailesh - Sale(7039919271).</t>
  </si>
  <si>
    <t>Club Membership</t>
  </si>
  <si>
    <t>15000/-</t>
  </si>
  <si>
    <t>Water, MSEB, Development charges</t>
  </si>
  <si>
    <t>28/09/2020.</t>
  </si>
  <si>
    <t>Send by Akash</t>
  </si>
  <si>
    <t>Changed by Asmita</t>
  </si>
  <si>
    <t>Survey No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</si>
  <si>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</si>
  <si>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</si>
  <si>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</si>
  <si>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</si>
  <si>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</si>
  <si>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</si>
  <si>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</si>
  <si>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</si>
  <si>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</si>
  <si>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</si>
  <si>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</si>
  <si>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Index II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</si>
  <si>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</si>
  <si>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</si>
  <si>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</si>
  <si>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</si>
  <si>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</si>
  <si>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</si>
  <si>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</si>
  <si>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</si>
  <si>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</si>
  <si>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</si>
  <si>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</si>
  <si>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</si>
  <si>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</si>
  <si>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</si>
  <si>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</si>
  <si>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</si>
  <si>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</si>
  <si>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</si>
  <si>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</si>
  <si>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</si>
  <si>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</si>
  <si>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</si>
  <si>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</si>
  <si>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 Wing - Gr. + 1st to 7th Floor</t>
  </si>
  <si>
    <t xml:space="preserve">RCC </t>
  </si>
  <si>
    <t>B Wing - Gr. + 1st to 7th Floor</t>
  </si>
  <si>
    <t>2 Wings</t>
  </si>
  <si>
    <t>A &amp; B Wing</t>
  </si>
  <si>
    <t>350000/-</t>
  </si>
  <si>
    <t>Grill Charges</t>
  </si>
  <si>
    <t>50000/-</t>
  </si>
  <si>
    <t>2.9Km from Neral Railway Station</t>
  </si>
  <si>
    <t>A &amp; B Wing - Gr. + 1st to 7th Floor
B Wing - Gr. + 1st to 7th Floor</t>
  </si>
  <si>
    <t>JA.KR.RJV/BDKM/NSVP/286-2019
Valid Up to: A &amp; B Wing - Gr. + 7th Floor
B Wing - Gr. + 7th Floor</t>
  </si>
  <si>
    <t xml:space="preserve">Site Person - Contact Details ( Name &amp; Contact No.)
</t>
  </si>
  <si>
    <t>Location Link</t>
  </si>
  <si>
    <t>Naynesh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</si>
  <si>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</si>
  <si>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Mr.Vinayak : 7387612017</t>
  </si>
  <si>
    <t xml:space="preserve">1. A wing -  Construction work was in process at the time of visit.
    B Wing - All work completed. Please provide OC.
3. We considered Flat Saleable area as per Builder area sheet &amp; Shop area as per our calculation.
4. We considered Carpet area as per Approved Plan.
5. We considered Gross carpet area = Net carpet + Enclose balcony + C.B Area + W.S.
6. We have considered rate by verifying it from market inquire.
7. Recommended rate should be considered as all inclusive rate if other charges are not mentioned. (Excluding GST &amp; other government Taxes)
8. We have considered Other charges from cost sheet.
9. Car parking is subjected to authentic documentation.
10. On RERA site, Wing A, B &amp; C are registered. But we have receive approved Layout &amp; Floor plans of A &amp; B Wing. So we have done APF of  A &amp; B Wing.
10. On Site, we meet Mr.Nitesh Dhule - 8640020304.
</t>
  </si>
  <si>
    <t>Pooja</t>
  </si>
  <si>
    <t>Projected life of the structure: 60 Years after completion</t>
  </si>
  <si>
    <t>P52000021207</t>
  </si>
  <si>
    <t>As per RERA - 31/12/2027</t>
  </si>
  <si>
    <t>https://maps.app.goo.gl/1Fe4gK57a1kscFgh8</t>
  </si>
  <si>
    <t>19.0388624,73.3167637</t>
  </si>
  <si>
    <t xml:space="preserve">pincode changes from 400101 to 410101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</si>
</sst>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indexed="8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2" fillId="0" borderId="0"/>
    <xf numFmtId="9" fontId="12" fillId="0" borderId="0" applyFon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2">
    <xf numFmtId="0" fontId="0" fillId="0" borderId="0" xfId="0"/>
    <xf numFmtId="1" fontId="9" fillId="0" borderId="4" xfId="1" applyNumberFormat="1" applyFont="1" applyBorder="1" applyAlignment="1">
      <alignment horizontal="center" vertical="top" wrapText="1"/>
    </xf>
    <xf numFmtId="0" fontId="0" fillId="2" borderId="4" xfId="0" applyFill="1" applyBorder="1"/>
    <xf numFmtId="0" fontId="0" fillId="0" borderId="9" xfId="0" applyBorder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0" fillId="0" borderId="4" xfId="0" applyBorder="1"/>
    <xf numFmtId="1" fontId="4" fillId="0" borderId="4" xfId="1" applyNumberFormat="1" applyFont="1" applyBorder="1" applyAlignment="1">
      <alignment horizontal="center" vertical="top" wrapText="1"/>
    </xf>
    <xf numFmtId="0" fontId="17" fillId="0" borderId="0" xfId="0" applyFont="1"/>
    <xf numFmtId="0" fontId="17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2" borderId="4" xfId="0" applyFont="1" applyFill="1" applyBorder="1"/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9" fontId="17" fillId="0" borderId="0" xfId="4" applyFont="1" applyBorder="1"/>
    <xf numFmtId="0" fontId="16" fillId="0" borderId="4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13" xfId="0" applyFont="1" applyBorder="1"/>
    <xf numFmtId="0" fontId="17" fillId="0" borderId="4" xfId="0" applyFont="1" applyBorder="1" applyAlignment="1">
      <alignment wrapText="1"/>
    </xf>
    <xf numFmtId="9" fontId="17" fillId="0" borderId="4" xfId="4" applyFont="1" applyBorder="1"/>
    <xf numFmtId="9" fontId="17" fillId="0" borderId="0" xfId="0" applyNumberFormat="1" applyFont="1"/>
    <xf numFmtId="0" fontId="17" fillId="0" borderId="0" xfId="0" applyFont="1" applyAlignment="1">
      <alignment horizontal="right"/>
    </xf>
    <xf numFmtId="14" fontId="0" fillId="0" borderId="0" xfId="0" applyNumberFormat="1"/>
    <xf numFmtId="0" fontId="6" fillId="0" borderId="0" xfId="5"/>
    <xf numFmtId="0" fontId="1" fillId="0" borderId="0" xfId="6"/>
    <xf numFmtId="0" fontId="10" fillId="0" borderId="4" xfId="6" applyFont="1" applyBorder="1" applyAlignment="1">
      <alignment horizontal="left"/>
    </xf>
    <xf numFmtId="0" fontId="10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10" fillId="0" borderId="4" xfId="6" applyFont="1" applyBorder="1" applyAlignment="1">
      <alignment horizontal="center" vertical="center"/>
    </xf>
    <xf numFmtId="1" fontId="20" fillId="0" borderId="4" xfId="6" applyNumberFormat="1" applyFont="1" applyBorder="1" applyAlignment="1">
      <alignment horizontal="center" vertical="center"/>
    </xf>
    <xf numFmtId="0" fontId="6" fillId="0" borderId="4" xfId="5" applyBorder="1" applyAlignment="1">
      <alignment horizontal="center" vertical="center"/>
    </xf>
    <xf numFmtId="0" fontId="21" fillId="0" borderId="0" xfId="5" applyFont="1"/>
    <xf numFmtId="0" fontId="8" fillId="0" borderId="19" xfId="1" applyFont="1" applyBorder="1" applyProtection="1">
      <protection hidden="1"/>
    </xf>
    <xf numFmtId="0" fontId="8" fillId="0" borderId="0" xfId="1" applyFont="1" applyProtection="1">
      <protection hidden="1"/>
    </xf>
    <xf numFmtId="0" fontId="17" fillId="0" borderId="0" xfId="0" applyFont="1" applyProtection="1">
      <protection hidden="1"/>
    </xf>
    <xf numFmtId="0" fontId="17" fillId="0" borderId="26" xfId="0" applyFont="1" applyBorder="1" applyProtection="1">
      <protection hidden="1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21" xfId="1" applyFont="1" applyBorder="1" applyAlignment="1" applyProtection="1">
      <alignment horizontal="center" vertical="top"/>
      <protection locked="0"/>
    </xf>
    <xf numFmtId="0" fontId="14" fillId="0" borderId="4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>
      <alignment horizontal="left" vertical="top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8" fillId="0" borderId="0" xfId="1" applyFont="1"/>
    <xf numFmtId="0" fontId="7" fillId="0" borderId="4" xfId="1" applyFont="1" applyBorder="1" applyAlignment="1">
      <alignment vertical="top"/>
    </xf>
    <xf numFmtId="0" fontId="8" fillId="0" borderId="20" xfId="1" applyFont="1" applyBorder="1" applyProtection="1">
      <protection hidden="1"/>
    </xf>
    <xf numFmtId="0" fontId="8" fillId="0" borderId="23" xfId="1" applyFont="1" applyBorder="1" applyProtection="1">
      <protection hidden="1"/>
    </xf>
    <xf numFmtId="0" fontId="8" fillId="0" borderId="23" xfId="1" applyFont="1" applyBorder="1"/>
    <xf numFmtId="0" fontId="14" fillId="0" borderId="4" xfId="1" applyFont="1" applyBorder="1" applyAlignment="1" applyProtection="1">
      <alignment horizontal="center" wrapText="1"/>
      <protection locked="0"/>
    </xf>
    <xf numFmtId="0" fontId="17" fillId="0" borderId="23" xfId="0" applyFont="1" applyBorder="1" applyProtection="1">
      <protection hidden="1"/>
    </xf>
    <xf numFmtId="1" fontId="14" fillId="0" borderId="4" xfId="1" applyNumberFormat="1" applyFont="1" applyBorder="1" applyAlignment="1" applyProtection="1">
      <alignment horizontal="center" wrapText="1"/>
      <protection locked="0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1" fontId="0" fillId="0" borderId="27" xfId="0" applyNumberFormat="1" applyBorder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0" applyFont="1"/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1" fillId="0" borderId="0" xfId="1" applyFont="1"/>
    <xf numFmtId="1" fontId="8" fillId="0" borderId="0" xfId="0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>
      <alignment horizontal="left" vertical="top"/>
    </xf>
    <xf numFmtId="1" fontId="7" fillId="0" borderId="4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1" fontId="7" fillId="0" borderId="0" xfId="1" applyNumberFormat="1" applyFont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 wrapText="1"/>
    </xf>
    <xf numFmtId="0" fontId="7" fillId="0" borderId="1" xfId="1" applyFont="1" applyBorder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7" fillId="0" borderId="4" xfId="1" applyFont="1" applyBorder="1" applyAlignment="1">
      <alignment horizontal="left" vertical="top"/>
    </xf>
    <xf numFmtId="165" fontId="7" fillId="0" borderId="4" xfId="1" applyNumberFormat="1" applyFont="1" applyBorder="1" applyAlignment="1">
      <alignment horizontal="left" vertical="top"/>
    </xf>
    <xf numFmtId="0" fontId="14" fillId="0" borderId="4" xfId="1" applyFont="1" applyBorder="1" applyAlignment="1">
      <alignment horizontal="left" vertical="top"/>
    </xf>
    <xf numFmtId="0" fontId="9" fillId="0" borderId="4" xfId="1" applyFont="1" applyBorder="1" applyAlignment="1">
      <alignment horizontal="left" vertical="top"/>
    </xf>
    <xf numFmtId="0" fontId="14" fillId="0" borderId="1" xfId="1" applyFont="1" applyBorder="1" applyAlignment="1">
      <alignment horizontal="left" vertical="top"/>
    </xf>
    <xf numFmtId="0" fontId="14" fillId="0" borderId="2" xfId="1" applyFont="1" applyBorder="1" applyAlignment="1">
      <alignment horizontal="left" vertical="top"/>
    </xf>
    <xf numFmtId="1" fontId="7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1" fontId="15" fillId="0" borderId="3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1" fontId="9" fillId="0" borderId="1" xfId="1" applyNumberFormat="1" applyFont="1" applyBorder="1" applyAlignment="1">
      <alignment horizontal="center" vertical="top" wrapText="1"/>
    </xf>
    <xf numFmtId="1" fontId="9" fillId="0" borderId="3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15" fillId="0" borderId="3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15" fillId="0" borderId="21" xfId="1" applyFont="1" applyBorder="1" applyAlignment="1" applyProtection="1">
      <alignment horizontal="left" vertical="top"/>
      <protection locked="0"/>
    </xf>
    <xf numFmtId="0" fontId="15" fillId="0" borderId="4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5" fillId="0" borderId="2" xfId="1" applyFont="1" applyBorder="1" applyAlignment="1" applyProtection="1">
      <alignment horizontal="left" vertical="top" wrapText="1"/>
      <protection locked="0"/>
    </xf>
    <xf numFmtId="0" fontId="15" fillId="0" borderId="22" xfId="1" applyFont="1" applyBorder="1" applyAlignment="1" applyProtection="1">
      <alignment horizontal="left" vertical="top" wrapText="1"/>
      <protection locked="0"/>
    </xf>
    <xf numFmtId="0" fontId="14" fillId="0" borderId="24" xfId="1" applyFont="1" applyBorder="1" applyAlignment="1" applyProtection="1">
      <alignment horizontal="center" vertical="top" wrapText="1"/>
      <protection locked="0"/>
    </xf>
    <xf numFmtId="0" fontId="14" fillId="0" borderId="3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horizontal="center" vertical="top" wrapText="1"/>
      <protection locked="0"/>
    </xf>
    <xf numFmtId="9" fontId="14" fillId="0" borderId="4" xfId="1" applyNumberFormat="1" applyFont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>
      <alignment vertical="top"/>
    </xf>
    <xf numFmtId="0" fontId="9" fillId="0" borderId="2" xfId="1" applyFont="1" applyBorder="1" applyAlignment="1">
      <alignment vertical="top"/>
    </xf>
    <xf numFmtId="0" fontId="9" fillId="0" borderId="3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5" fillId="0" borderId="14" xfId="1" applyFont="1" applyBorder="1" applyAlignment="1" applyProtection="1">
      <alignment horizontal="center" vertical="top" wrapText="1"/>
      <protection locked="0"/>
    </xf>
    <xf numFmtId="0" fontId="15" fillId="0" borderId="15" xfId="1" applyFont="1" applyBorder="1" applyAlignment="1" applyProtection="1">
      <alignment horizontal="center" vertical="top" wrapText="1"/>
      <protection locked="0"/>
    </xf>
    <xf numFmtId="0" fontId="15" fillId="0" borderId="16" xfId="1" applyFont="1" applyBorder="1" applyAlignment="1" applyProtection="1">
      <alignment horizontal="left" vertical="top" wrapText="1"/>
      <protection locked="0"/>
    </xf>
    <xf numFmtId="0" fontId="15" fillId="0" borderId="17" xfId="1" applyFont="1" applyBorder="1" applyAlignment="1" applyProtection="1">
      <alignment horizontal="left" vertical="top" wrapText="1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3" xfId="1" applyFont="1" applyBorder="1" applyAlignment="1" applyProtection="1">
      <alignment horizontal="center" vertical="top"/>
      <protection locked="0"/>
    </xf>
    <xf numFmtId="0" fontId="14" fillId="0" borderId="22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center" vertical="top"/>
    </xf>
    <xf numFmtId="0" fontId="8" fillId="0" borderId="3" xfId="1" applyFont="1" applyBorder="1" applyAlignment="1">
      <alignment horizontal="left"/>
    </xf>
    <xf numFmtId="165" fontId="7" fillId="0" borderId="4" xfId="1" applyNumberFormat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22" fillId="0" borderId="5" xfId="1" applyFont="1" applyBorder="1" applyAlignment="1">
      <alignment horizontal="left" vertical="top" wrapText="1"/>
    </xf>
    <xf numFmtId="0" fontId="22" fillId="0" borderId="6" xfId="1" applyFont="1" applyBorder="1" applyAlignment="1">
      <alignment horizontal="left" vertical="top" wrapText="1"/>
    </xf>
    <xf numFmtId="0" fontId="22" fillId="0" borderId="7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13" fillId="0" borderId="1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14" fillId="0" borderId="4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>
      <alignment horizontal="left" vertical="top"/>
    </xf>
    <xf numFmtId="0" fontId="8" fillId="0" borderId="9" xfId="1" applyFont="1" applyBorder="1" applyAlignment="1">
      <alignment horizontal="left" vertical="top"/>
    </xf>
    <xf numFmtId="0" fontId="8" fillId="0" borderId="10" xfId="1" applyFont="1" applyBorder="1" applyAlignment="1">
      <alignment horizontal="left" vertical="top"/>
    </xf>
    <xf numFmtId="0" fontId="15" fillId="0" borderId="4" xfId="1" applyFont="1" applyBorder="1" applyAlignment="1" applyProtection="1">
      <alignment horizontal="center" vertical="top" wrapText="1"/>
      <protection locked="0"/>
    </xf>
    <xf numFmtId="0" fontId="15" fillId="0" borderId="4" xfId="1" applyFont="1" applyBorder="1" applyAlignment="1" applyProtection="1">
      <alignment horizontal="left" vertical="top" wrapText="1"/>
      <protection locked="0"/>
    </xf>
    <xf numFmtId="0" fontId="23" fillId="0" borderId="1" xfId="8" applyFill="1" applyBorder="1" applyAlignment="1">
      <alignment horizontal="left" vertical="top"/>
    </xf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13111</xdr:colOff>
      <xdr:row>289</xdr:row>
      <xdr:rowOff>114387</xdr:rowOff>
    </xdr:from>
    <xdr:to>
      <xdr:col>7</xdr:col>
      <xdr:colOff>332980</xdr:colOff>
      <xdr:row>304</xdr:row>
      <xdr:rowOff>12648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4307" y="61339430"/>
          <a:ext cx="4535716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19298</xdr:colOff>
      <xdr:row>274</xdr:row>
      <xdr:rowOff>24848</xdr:rowOff>
    </xdr:from>
    <xdr:to>
      <xdr:col>7</xdr:col>
      <xdr:colOff>284948</xdr:colOff>
      <xdr:row>288</xdr:row>
      <xdr:rowOff>121892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0494" y="58268152"/>
          <a:ext cx="4481497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16</xdr:col>
      <xdr:colOff>141723</xdr:colOff>
      <xdr:row>230</xdr:row>
      <xdr:rowOff>0</xdr:rowOff>
    </xdr:from>
    <xdr:to>
      <xdr:col>16</xdr:col>
      <xdr:colOff>399533</xdr:colOff>
      <xdr:row>231</xdr:row>
      <xdr:rowOff>83820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FDF86EC-4F27-21B6-0E84-9625B98344EF}"/>
            </a:ext>
          </a:extLst>
        </xdr:cNvPr>
        <xdr:cNvSpPr txBox="1"/>
      </xdr:nvSpPr>
      <xdr:spPr>
        <a:xfrm>
          <a:off x="10733523" y="48399700"/>
          <a:ext cx="257810" cy="280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A</a:t>
          </a:r>
        </a:p>
      </xdr:txBody>
    </xdr:sp>
    <xdr:clientData/>
  </xdr:twoCellAnchor>
  <xdr:oneCellAnchor>
    <xdr:from>
      <xdr:col>11</xdr:col>
      <xdr:colOff>419100</xdr:colOff>
      <xdr:row>238</xdr:row>
      <xdr:rowOff>114300</xdr:rowOff>
    </xdr:from>
    <xdr:ext cx="634084" cy="280205"/>
    <xdr:sp macro="" textlink="">
      <xdr:nvSpPr>
        <xdr:cNvPr id="2" name="TextBox 1"/>
        <xdr:cNvSpPr txBox="1"/>
      </xdr:nvSpPr>
      <xdr:spPr>
        <a:xfrm>
          <a:off x="7766050" y="5008880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88900</xdr:colOff>
      <xdr:row>231</xdr:row>
      <xdr:rowOff>69850</xdr:rowOff>
    </xdr:from>
    <xdr:to>
      <xdr:col>9</xdr:col>
      <xdr:colOff>42919</xdr:colOff>
      <xdr:row>271</xdr:row>
      <xdr:rowOff>11520</xdr:rowOff>
    </xdr:to>
    <xdr:grpSp>
      <xdr:nvGrpSpPr>
        <xdr:cNvPr id="3" name="Group 2"/>
        <xdr:cNvGrpSpPr/>
      </xdr:nvGrpSpPr>
      <xdr:grpSpPr>
        <a:xfrm>
          <a:off x="88900" y="48666400"/>
          <a:ext cx="6532619" cy="7790270"/>
          <a:chOff x="88900" y="48666400"/>
          <a:chExt cx="6532619" cy="7790270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4122" y="5440467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3203" y="486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2061" y="486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3202" y="515355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3974" y="5440467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0919" y="515355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2061" y="515355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5440467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0919" y="48666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9048" y="5440467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TextBox 35"/>
          <xdr:cNvSpPr txBox="1"/>
        </xdr:nvSpPr>
        <xdr:spPr>
          <a:xfrm>
            <a:off x="441653" y="488632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2926261" y="490537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5595019" y="489140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1083002" y="51700635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 editAs="oneCell">
    <xdr:from>
      <xdr:col>11</xdr:col>
      <xdr:colOff>692150</xdr:colOff>
      <xdr:row>6</xdr:row>
      <xdr:rowOff>0</xdr:rowOff>
    </xdr:from>
    <xdr:to>
      <xdr:col>17</xdr:col>
      <xdr:colOff>412300</xdr:colOff>
      <xdr:row>15</xdr:row>
      <xdr:rowOff>43800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9100" y="1593850"/>
          <a:ext cx="3600000" cy="202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21375</xdr:colOff>
      <xdr:row>15</xdr:row>
      <xdr:rowOff>0</xdr:rowOff>
    </xdr:from>
    <xdr:to>
      <xdr:col>6</xdr:col>
      <xdr:colOff>23700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400" y="2857500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161431</xdr:rowOff>
    </xdr:from>
    <xdr:to>
      <xdr:col>6</xdr:col>
      <xdr:colOff>2325</xdr:colOff>
      <xdr:row>53</xdr:row>
      <xdr:rowOff>141931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663843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1</xdr:row>
      <xdr:rowOff>44824</xdr:rowOff>
    </xdr:from>
    <xdr:to>
      <xdr:col>6</xdr:col>
      <xdr:colOff>578819</xdr:colOff>
      <xdr:row>12</xdr:row>
      <xdr:rowOff>109324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441" y="235324"/>
          <a:ext cx="2741554" cy="21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493058</xdr:colOff>
      <xdr:row>14</xdr:row>
      <xdr:rowOff>89646</xdr:rowOff>
    </xdr:from>
    <xdr:to>
      <xdr:col>15</xdr:col>
      <xdr:colOff>118063</xdr:colOff>
      <xdr:row>44</xdr:row>
      <xdr:rowOff>2655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933" t="16509" r="36442" b="6603"/>
        <a:stretch/>
      </xdr:blipFill>
      <xdr:spPr>
        <a:xfrm>
          <a:off x="3653117" y="2756646"/>
          <a:ext cx="5676181" cy="562442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10</xdr:col>
      <xdr:colOff>526133</xdr:colOff>
      <xdr:row>66</xdr:row>
      <xdr:rowOff>14117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247529"/>
          <a:ext cx="4793333" cy="3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0</xdr:rowOff>
    </xdr:from>
    <xdr:to>
      <xdr:col>8</xdr:col>
      <xdr:colOff>856700</xdr:colOff>
      <xdr:row>36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25" y="3048000"/>
          <a:ext cx="2876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1Fe4gK57a1kscFgh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3"/>
  <sheetViews>
    <sheetView tabSelected="1" view="pageBreakPreview" zoomScaleNormal="100" zoomScaleSheetLayoutView="100" zoomScalePageLayoutView="85" workbookViewId="0">
      <selection activeCell="H18" sqref="H18:J18"/>
    </sheetView>
  </sheetViews>
  <sheetFormatPr defaultRowHeight="15.5" x14ac:dyDescent="0.35"/>
  <cols>
    <col min="1" max="1" width="9.36328125" style="46" customWidth="1"/>
    <col min="2" max="2" width="13.54296875" style="46" customWidth="1"/>
    <col min="3" max="3" width="14.6328125" style="46" customWidth="1"/>
    <col min="4" max="4" width="7.36328125" style="46" customWidth="1"/>
    <col min="5" max="5" width="7" style="46" customWidth="1"/>
    <col min="6" max="6" width="10.54296875" style="46" customWidth="1"/>
    <col min="7" max="7" width="10.08984375" style="46" customWidth="1"/>
    <col min="8" max="8" width="10.54296875" style="46" customWidth="1"/>
    <col min="9" max="9" width="11.08984375" style="46" customWidth="1"/>
    <col min="10" max="10" width="1.90625" style="46" customWidth="1"/>
    <col min="11" max="11" width="9.08984375" style="46"/>
    <col min="12" max="12" width="10.08984375" style="46" bestFit="1" customWidth="1"/>
    <col min="13" max="254" width="9.08984375" style="46"/>
    <col min="255" max="255" width="8.6328125" style="46" customWidth="1"/>
    <col min="256" max="256" width="9.90625" style="46" customWidth="1"/>
    <col min="257" max="257" width="14.453125" style="46" customWidth="1"/>
    <col min="258" max="258" width="7.36328125" style="46" customWidth="1"/>
    <col min="259" max="259" width="5.54296875" style="46" customWidth="1"/>
    <col min="260" max="260" width="9" style="46" customWidth="1"/>
    <col min="261" max="262" width="9.90625" style="46" customWidth="1"/>
    <col min="263" max="263" width="11.08984375" style="46" customWidth="1"/>
    <col min="264" max="264" width="2.90625" style="46" customWidth="1"/>
    <col min="265" max="265" width="3.54296875" style="46" customWidth="1"/>
    <col min="266" max="510" width="9.08984375" style="46"/>
    <col min="511" max="511" width="8.6328125" style="46" customWidth="1"/>
    <col min="512" max="512" width="9.90625" style="46" customWidth="1"/>
    <col min="513" max="513" width="14.453125" style="46" customWidth="1"/>
    <col min="514" max="514" width="7.36328125" style="46" customWidth="1"/>
    <col min="515" max="515" width="5.54296875" style="46" customWidth="1"/>
    <col min="516" max="516" width="9" style="46" customWidth="1"/>
    <col min="517" max="518" width="9.90625" style="46" customWidth="1"/>
    <col min="519" max="519" width="11.08984375" style="46" customWidth="1"/>
    <col min="520" max="520" width="2.90625" style="46" customWidth="1"/>
    <col min="521" max="521" width="3.54296875" style="46" customWidth="1"/>
    <col min="522" max="766" width="9.08984375" style="46"/>
    <col min="767" max="767" width="8.6328125" style="46" customWidth="1"/>
    <col min="768" max="768" width="9.90625" style="46" customWidth="1"/>
    <col min="769" max="769" width="14.453125" style="46" customWidth="1"/>
    <col min="770" max="770" width="7.36328125" style="46" customWidth="1"/>
    <col min="771" max="771" width="5.54296875" style="46" customWidth="1"/>
    <col min="772" max="772" width="9" style="46" customWidth="1"/>
    <col min="773" max="774" width="9.90625" style="46" customWidth="1"/>
    <col min="775" max="775" width="11.08984375" style="46" customWidth="1"/>
    <col min="776" max="776" width="2.90625" style="46" customWidth="1"/>
    <col min="777" max="777" width="3.54296875" style="46" customWidth="1"/>
    <col min="778" max="1022" width="9.08984375" style="46"/>
    <col min="1023" max="1023" width="8.6328125" style="46" customWidth="1"/>
    <col min="1024" max="1024" width="9.90625" style="46" customWidth="1"/>
    <col min="1025" max="1025" width="14.453125" style="46" customWidth="1"/>
    <col min="1026" max="1026" width="7.36328125" style="46" customWidth="1"/>
    <col min="1027" max="1027" width="5.54296875" style="46" customWidth="1"/>
    <col min="1028" max="1028" width="9" style="46" customWidth="1"/>
    <col min="1029" max="1030" width="9.90625" style="46" customWidth="1"/>
    <col min="1031" max="1031" width="11.08984375" style="46" customWidth="1"/>
    <col min="1032" max="1032" width="2.90625" style="46" customWidth="1"/>
    <col min="1033" max="1033" width="3.54296875" style="46" customWidth="1"/>
    <col min="1034" max="1278" width="9.08984375" style="46"/>
    <col min="1279" max="1279" width="8.6328125" style="46" customWidth="1"/>
    <col min="1280" max="1280" width="9.90625" style="46" customWidth="1"/>
    <col min="1281" max="1281" width="14.453125" style="46" customWidth="1"/>
    <col min="1282" max="1282" width="7.36328125" style="46" customWidth="1"/>
    <col min="1283" max="1283" width="5.54296875" style="46" customWidth="1"/>
    <col min="1284" max="1284" width="9" style="46" customWidth="1"/>
    <col min="1285" max="1286" width="9.90625" style="46" customWidth="1"/>
    <col min="1287" max="1287" width="11.08984375" style="46" customWidth="1"/>
    <col min="1288" max="1288" width="2.90625" style="46" customWidth="1"/>
    <col min="1289" max="1289" width="3.54296875" style="46" customWidth="1"/>
    <col min="1290" max="1534" width="9.08984375" style="46"/>
    <col min="1535" max="1535" width="8.6328125" style="46" customWidth="1"/>
    <col min="1536" max="1536" width="9.90625" style="46" customWidth="1"/>
    <col min="1537" max="1537" width="14.453125" style="46" customWidth="1"/>
    <col min="1538" max="1538" width="7.36328125" style="46" customWidth="1"/>
    <col min="1539" max="1539" width="5.54296875" style="46" customWidth="1"/>
    <col min="1540" max="1540" width="9" style="46" customWidth="1"/>
    <col min="1541" max="1542" width="9.90625" style="46" customWidth="1"/>
    <col min="1543" max="1543" width="11.08984375" style="46" customWidth="1"/>
    <col min="1544" max="1544" width="2.90625" style="46" customWidth="1"/>
    <col min="1545" max="1545" width="3.54296875" style="46" customWidth="1"/>
    <col min="1546" max="1790" width="9.08984375" style="46"/>
    <col min="1791" max="1791" width="8.6328125" style="46" customWidth="1"/>
    <col min="1792" max="1792" width="9.90625" style="46" customWidth="1"/>
    <col min="1793" max="1793" width="14.453125" style="46" customWidth="1"/>
    <col min="1794" max="1794" width="7.36328125" style="46" customWidth="1"/>
    <col min="1795" max="1795" width="5.54296875" style="46" customWidth="1"/>
    <col min="1796" max="1796" width="9" style="46" customWidth="1"/>
    <col min="1797" max="1798" width="9.90625" style="46" customWidth="1"/>
    <col min="1799" max="1799" width="11.08984375" style="46" customWidth="1"/>
    <col min="1800" max="1800" width="2.90625" style="46" customWidth="1"/>
    <col min="1801" max="1801" width="3.54296875" style="46" customWidth="1"/>
    <col min="1802" max="2046" width="9.08984375" style="46"/>
    <col min="2047" max="2047" width="8.6328125" style="46" customWidth="1"/>
    <col min="2048" max="2048" width="9.90625" style="46" customWidth="1"/>
    <col min="2049" max="2049" width="14.453125" style="46" customWidth="1"/>
    <col min="2050" max="2050" width="7.36328125" style="46" customWidth="1"/>
    <col min="2051" max="2051" width="5.54296875" style="46" customWidth="1"/>
    <col min="2052" max="2052" width="9" style="46" customWidth="1"/>
    <col min="2053" max="2054" width="9.90625" style="46" customWidth="1"/>
    <col min="2055" max="2055" width="11.08984375" style="46" customWidth="1"/>
    <col min="2056" max="2056" width="2.90625" style="46" customWidth="1"/>
    <col min="2057" max="2057" width="3.54296875" style="46" customWidth="1"/>
    <col min="2058" max="2302" width="9.08984375" style="46"/>
    <col min="2303" max="2303" width="8.6328125" style="46" customWidth="1"/>
    <col min="2304" max="2304" width="9.90625" style="46" customWidth="1"/>
    <col min="2305" max="2305" width="14.453125" style="46" customWidth="1"/>
    <col min="2306" max="2306" width="7.36328125" style="46" customWidth="1"/>
    <col min="2307" max="2307" width="5.54296875" style="46" customWidth="1"/>
    <col min="2308" max="2308" width="9" style="46" customWidth="1"/>
    <col min="2309" max="2310" width="9.90625" style="46" customWidth="1"/>
    <col min="2311" max="2311" width="11.08984375" style="46" customWidth="1"/>
    <col min="2312" max="2312" width="2.90625" style="46" customWidth="1"/>
    <col min="2313" max="2313" width="3.54296875" style="46" customWidth="1"/>
    <col min="2314" max="2558" width="9.08984375" style="46"/>
    <col min="2559" max="2559" width="8.6328125" style="46" customWidth="1"/>
    <col min="2560" max="2560" width="9.90625" style="46" customWidth="1"/>
    <col min="2561" max="2561" width="14.453125" style="46" customWidth="1"/>
    <col min="2562" max="2562" width="7.36328125" style="46" customWidth="1"/>
    <col min="2563" max="2563" width="5.54296875" style="46" customWidth="1"/>
    <col min="2564" max="2564" width="9" style="46" customWidth="1"/>
    <col min="2565" max="2566" width="9.90625" style="46" customWidth="1"/>
    <col min="2567" max="2567" width="11.08984375" style="46" customWidth="1"/>
    <col min="2568" max="2568" width="2.90625" style="46" customWidth="1"/>
    <col min="2569" max="2569" width="3.54296875" style="46" customWidth="1"/>
    <col min="2570" max="2814" width="9.08984375" style="46"/>
    <col min="2815" max="2815" width="8.6328125" style="46" customWidth="1"/>
    <col min="2816" max="2816" width="9.90625" style="46" customWidth="1"/>
    <col min="2817" max="2817" width="14.453125" style="46" customWidth="1"/>
    <col min="2818" max="2818" width="7.36328125" style="46" customWidth="1"/>
    <col min="2819" max="2819" width="5.54296875" style="46" customWidth="1"/>
    <col min="2820" max="2820" width="9" style="46" customWidth="1"/>
    <col min="2821" max="2822" width="9.90625" style="46" customWidth="1"/>
    <col min="2823" max="2823" width="11.08984375" style="46" customWidth="1"/>
    <col min="2824" max="2824" width="2.90625" style="46" customWidth="1"/>
    <col min="2825" max="2825" width="3.54296875" style="46" customWidth="1"/>
    <col min="2826" max="3070" width="9.08984375" style="46"/>
    <col min="3071" max="3071" width="8.6328125" style="46" customWidth="1"/>
    <col min="3072" max="3072" width="9.90625" style="46" customWidth="1"/>
    <col min="3073" max="3073" width="14.453125" style="46" customWidth="1"/>
    <col min="3074" max="3074" width="7.36328125" style="46" customWidth="1"/>
    <col min="3075" max="3075" width="5.54296875" style="46" customWidth="1"/>
    <col min="3076" max="3076" width="9" style="46" customWidth="1"/>
    <col min="3077" max="3078" width="9.90625" style="46" customWidth="1"/>
    <col min="3079" max="3079" width="11.08984375" style="46" customWidth="1"/>
    <col min="3080" max="3080" width="2.90625" style="46" customWidth="1"/>
    <col min="3081" max="3081" width="3.54296875" style="46" customWidth="1"/>
    <col min="3082" max="3326" width="9.08984375" style="46"/>
    <col min="3327" max="3327" width="8.6328125" style="46" customWidth="1"/>
    <col min="3328" max="3328" width="9.90625" style="46" customWidth="1"/>
    <col min="3329" max="3329" width="14.453125" style="46" customWidth="1"/>
    <col min="3330" max="3330" width="7.36328125" style="46" customWidth="1"/>
    <col min="3331" max="3331" width="5.54296875" style="46" customWidth="1"/>
    <col min="3332" max="3332" width="9" style="46" customWidth="1"/>
    <col min="3333" max="3334" width="9.90625" style="46" customWidth="1"/>
    <col min="3335" max="3335" width="11.08984375" style="46" customWidth="1"/>
    <col min="3336" max="3336" width="2.90625" style="46" customWidth="1"/>
    <col min="3337" max="3337" width="3.54296875" style="46" customWidth="1"/>
    <col min="3338" max="3582" width="9.08984375" style="46"/>
    <col min="3583" max="3583" width="8.6328125" style="46" customWidth="1"/>
    <col min="3584" max="3584" width="9.90625" style="46" customWidth="1"/>
    <col min="3585" max="3585" width="14.453125" style="46" customWidth="1"/>
    <col min="3586" max="3586" width="7.36328125" style="46" customWidth="1"/>
    <col min="3587" max="3587" width="5.54296875" style="46" customWidth="1"/>
    <col min="3588" max="3588" width="9" style="46" customWidth="1"/>
    <col min="3589" max="3590" width="9.90625" style="46" customWidth="1"/>
    <col min="3591" max="3591" width="11.08984375" style="46" customWidth="1"/>
    <col min="3592" max="3592" width="2.90625" style="46" customWidth="1"/>
    <col min="3593" max="3593" width="3.54296875" style="46" customWidth="1"/>
    <col min="3594" max="3838" width="9.08984375" style="46"/>
    <col min="3839" max="3839" width="8.6328125" style="46" customWidth="1"/>
    <col min="3840" max="3840" width="9.90625" style="46" customWidth="1"/>
    <col min="3841" max="3841" width="14.453125" style="46" customWidth="1"/>
    <col min="3842" max="3842" width="7.36328125" style="46" customWidth="1"/>
    <col min="3843" max="3843" width="5.54296875" style="46" customWidth="1"/>
    <col min="3844" max="3844" width="9" style="46" customWidth="1"/>
    <col min="3845" max="3846" width="9.90625" style="46" customWidth="1"/>
    <col min="3847" max="3847" width="11.08984375" style="46" customWidth="1"/>
    <col min="3848" max="3848" width="2.90625" style="46" customWidth="1"/>
    <col min="3849" max="3849" width="3.54296875" style="46" customWidth="1"/>
    <col min="3850" max="4094" width="9.08984375" style="46"/>
    <col min="4095" max="4095" width="8.6328125" style="46" customWidth="1"/>
    <col min="4096" max="4096" width="9.90625" style="46" customWidth="1"/>
    <col min="4097" max="4097" width="14.453125" style="46" customWidth="1"/>
    <col min="4098" max="4098" width="7.36328125" style="46" customWidth="1"/>
    <col min="4099" max="4099" width="5.54296875" style="46" customWidth="1"/>
    <col min="4100" max="4100" width="9" style="46" customWidth="1"/>
    <col min="4101" max="4102" width="9.90625" style="46" customWidth="1"/>
    <col min="4103" max="4103" width="11.08984375" style="46" customWidth="1"/>
    <col min="4104" max="4104" width="2.90625" style="46" customWidth="1"/>
    <col min="4105" max="4105" width="3.54296875" style="46" customWidth="1"/>
    <col min="4106" max="4350" width="9.08984375" style="46"/>
    <col min="4351" max="4351" width="8.6328125" style="46" customWidth="1"/>
    <col min="4352" max="4352" width="9.90625" style="46" customWidth="1"/>
    <col min="4353" max="4353" width="14.453125" style="46" customWidth="1"/>
    <col min="4354" max="4354" width="7.36328125" style="46" customWidth="1"/>
    <col min="4355" max="4355" width="5.54296875" style="46" customWidth="1"/>
    <col min="4356" max="4356" width="9" style="46" customWidth="1"/>
    <col min="4357" max="4358" width="9.90625" style="46" customWidth="1"/>
    <col min="4359" max="4359" width="11.08984375" style="46" customWidth="1"/>
    <col min="4360" max="4360" width="2.90625" style="46" customWidth="1"/>
    <col min="4361" max="4361" width="3.54296875" style="46" customWidth="1"/>
    <col min="4362" max="4606" width="9.08984375" style="46"/>
    <col min="4607" max="4607" width="8.6328125" style="46" customWidth="1"/>
    <col min="4608" max="4608" width="9.90625" style="46" customWidth="1"/>
    <col min="4609" max="4609" width="14.453125" style="46" customWidth="1"/>
    <col min="4610" max="4610" width="7.36328125" style="46" customWidth="1"/>
    <col min="4611" max="4611" width="5.54296875" style="46" customWidth="1"/>
    <col min="4612" max="4612" width="9" style="46" customWidth="1"/>
    <col min="4613" max="4614" width="9.90625" style="46" customWidth="1"/>
    <col min="4615" max="4615" width="11.08984375" style="46" customWidth="1"/>
    <col min="4616" max="4616" width="2.90625" style="46" customWidth="1"/>
    <col min="4617" max="4617" width="3.54296875" style="46" customWidth="1"/>
    <col min="4618" max="4862" width="9.08984375" style="46"/>
    <col min="4863" max="4863" width="8.6328125" style="46" customWidth="1"/>
    <col min="4864" max="4864" width="9.90625" style="46" customWidth="1"/>
    <col min="4865" max="4865" width="14.453125" style="46" customWidth="1"/>
    <col min="4866" max="4866" width="7.36328125" style="46" customWidth="1"/>
    <col min="4867" max="4867" width="5.54296875" style="46" customWidth="1"/>
    <col min="4868" max="4868" width="9" style="46" customWidth="1"/>
    <col min="4869" max="4870" width="9.90625" style="46" customWidth="1"/>
    <col min="4871" max="4871" width="11.08984375" style="46" customWidth="1"/>
    <col min="4872" max="4872" width="2.90625" style="46" customWidth="1"/>
    <col min="4873" max="4873" width="3.54296875" style="46" customWidth="1"/>
    <col min="4874" max="5118" width="9.08984375" style="46"/>
    <col min="5119" max="5119" width="8.6328125" style="46" customWidth="1"/>
    <col min="5120" max="5120" width="9.90625" style="46" customWidth="1"/>
    <col min="5121" max="5121" width="14.453125" style="46" customWidth="1"/>
    <col min="5122" max="5122" width="7.36328125" style="46" customWidth="1"/>
    <col min="5123" max="5123" width="5.54296875" style="46" customWidth="1"/>
    <col min="5124" max="5124" width="9" style="46" customWidth="1"/>
    <col min="5125" max="5126" width="9.90625" style="46" customWidth="1"/>
    <col min="5127" max="5127" width="11.08984375" style="46" customWidth="1"/>
    <col min="5128" max="5128" width="2.90625" style="46" customWidth="1"/>
    <col min="5129" max="5129" width="3.54296875" style="46" customWidth="1"/>
    <col min="5130" max="5374" width="9.08984375" style="46"/>
    <col min="5375" max="5375" width="8.6328125" style="46" customWidth="1"/>
    <col min="5376" max="5376" width="9.90625" style="46" customWidth="1"/>
    <col min="5377" max="5377" width="14.453125" style="46" customWidth="1"/>
    <col min="5378" max="5378" width="7.36328125" style="46" customWidth="1"/>
    <col min="5379" max="5379" width="5.54296875" style="46" customWidth="1"/>
    <col min="5380" max="5380" width="9" style="46" customWidth="1"/>
    <col min="5381" max="5382" width="9.90625" style="46" customWidth="1"/>
    <col min="5383" max="5383" width="11.08984375" style="46" customWidth="1"/>
    <col min="5384" max="5384" width="2.90625" style="46" customWidth="1"/>
    <col min="5385" max="5385" width="3.54296875" style="46" customWidth="1"/>
    <col min="5386" max="5630" width="9.08984375" style="46"/>
    <col min="5631" max="5631" width="8.6328125" style="46" customWidth="1"/>
    <col min="5632" max="5632" width="9.90625" style="46" customWidth="1"/>
    <col min="5633" max="5633" width="14.453125" style="46" customWidth="1"/>
    <col min="5634" max="5634" width="7.36328125" style="46" customWidth="1"/>
    <col min="5635" max="5635" width="5.54296875" style="46" customWidth="1"/>
    <col min="5636" max="5636" width="9" style="46" customWidth="1"/>
    <col min="5637" max="5638" width="9.90625" style="46" customWidth="1"/>
    <col min="5639" max="5639" width="11.08984375" style="46" customWidth="1"/>
    <col min="5640" max="5640" width="2.90625" style="46" customWidth="1"/>
    <col min="5641" max="5641" width="3.54296875" style="46" customWidth="1"/>
    <col min="5642" max="5886" width="9.08984375" style="46"/>
    <col min="5887" max="5887" width="8.6328125" style="46" customWidth="1"/>
    <col min="5888" max="5888" width="9.90625" style="46" customWidth="1"/>
    <col min="5889" max="5889" width="14.453125" style="46" customWidth="1"/>
    <col min="5890" max="5890" width="7.36328125" style="46" customWidth="1"/>
    <col min="5891" max="5891" width="5.54296875" style="46" customWidth="1"/>
    <col min="5892" max="5892" width="9" style="46" customWidth="1"/>
    <col min="5893" max="5894" width="9.90625" style="46" customWidth="1"/>
    <col min="5895" max="5895" width="11.08984375" style="46" customWidth="1"/>
    <col min="5896" max="5896" width="2.90625" style="46" customWidth="1"/>
    <col min="5897" max="5897" width="3.54296875" style="46" customWidth="1"/>
    <col min="5898" max="6142" width="9.08984375" style="46"/>
    <col min="6143" max="6143" width="8.6328125" style="46" customWidth="1"/>
    <col min="6144" max="6144" width="9.90625" style="46" customWidth="1"/>
    <col min="6145" max="6145" width="14.453125" style="46" customWidth="1"/>
    <col min="6146" max="6146" width="7.36328125" style="46" customWidth="1"/>
    <col min="6147" max="6147" width="5.54296875" style="46" customWidth="1"/>
    <col min="6148" max="6148" width="9" style="46" customWidth="1"/>
    <col min="6149" max="6150" width="9.90625" style="46" customWidth="1"/>
    <col min="6151" max="6151" width="11.08984375" style="46" customWidth="1"/>
    <col min="6152" max="6152" width="2.90625" style="46" customWidth="1"/>
    <col min="6153" max="6153" width="3.54296875" style="46" customWidth="1"/>
    <col min="6154" max="6398" width="9.08984375" style="46"/>
    <col min="6399" max="6399" width="8.6328125" style="46" customWidth="1"/>
    <col min="6400" max="6400" width="9.90625" style="46" customWidth="1"/>
    <col min="6401" max="6401" width="14.453125" style="46" customWidth="1"/>
    <col min="6402" max="6402" width="7.36328125" style="46" customWidth="1"/>
    <col min="6403" max="6403" width="5.54296875" style="46" customWidth="1"/>
    <col min="6404" max="6404" width="9" style="46" customWidth="1"/>
    <col min="6405" max="6406" width="9.90625" style="46" customWidth="1"/>
    <col min="6407" max="6407" width="11.08984375" style="46" customWidth="1"/>
    <col min="6408" max="6408" width="2.90625" style="46" customWidth="1"/>
    <col min="6409" max="6409" width="3.54296875" style="46" customWidth="1"/>
    <col min="6410" max="6654" width="9.08984375" style="46"/>
    <col min="6655" max="6655" width="8.6328125" style="46" customWidth="1"/>
    <col min="6656" max="6656" width="9.90625" style="46" customWidth="1"/>
    <col min="6657" max="6657" width="14.453125" style="46" customWidth="1"/>
    <col min="6658" max="6658" width="7.36328125" style="46" customWidth="1"/>
    <col min="6659" max="6659" width="5.54296875" style="46" customWidth="1"/>
    <col min="6660" max="6660" width="9" style="46" customWidth="1"/>
    <col min="6661" max="6662" width="9.90625" style="46" customWidth="1"/>
    <col min="6663" max="6663" width="11.08984375" style="46" customWidth="1"/>
    <col min="6664" max="6664" width="2.90625" style="46" customWidth="1"/>
    <col min="6665" max="6665" width="3.54296875" style="46" customWidth="1"/>
    <col min="6666" max="6910" width="9.08984375" style="46"/>
    <col min="6911" max="6911" width="8.6328125" style="46" customWidth="1"/>
    <col min="6912" max="6912" width="9.90625" style="46" customWidth="1"/>
    <col min="6913" max="6913" width="14.453125" style="46" customWidth="1"/>
    <col min="6914" max="6914" width="7.36328125" style="46" customWidth="1"/>
    <col min="6915" max="6915" width="5.54296875" style="46" customWidth="1"/>
    <col min="6916" max="6916" width="9" style="46" customWidth="1"/>
    <col min="6917" max="6918" width="9.90625" style="46" customWidth="1"/>
    <col min="6919" max="6919" width="11.08984375" style="46" customWidth="1"/>
    <col min="6920" max="6920" width="2.90625" style="46" customWidth="1"/>
    <col min="6921" max="6921" width="3.54296875" style="46" customWidth="1"/>
    <col min="6922" max="7166" width="9.08984375" style="46"/>
    <col min="7167" max="7167" width="8.6328125" style="46" customWidth="1"/>
    <col min="7168" max="7168" width="9.90625" style="46" customWidth="1"/>
    <col min="7169" max="7169" width="14.453125" style="46" customWidth="1"/>
    <col min="7170" max="7170" width="7.36328125" style="46" customWidth="1"/>
    <col min="7171" max="7171" width="5.54296875" style="46" customWidth="1"/>
    <col min="7172" max="7172" width="9" style="46" customWidth="1"/>
    <col min="7173" max="7174" width="9.90625" style="46" customWidth="1"/>
    <col min="7175" max="7175" width="11.08984375" style="46" customWidth="1"/>
    <col min="7176" max="7176" width="2.90625" style="46" customWidth="1"/>
    <col min="7177" max="7177" width="3.54296875" style="46" customWidth="1"/>
    <col min="7178" max="7422" width="9.08984375" style="46"/>
    <col min="7423" max="7423" width="8.6328125" style="46" customWidth="1"/>
    <col min="7424" max="7424" width="9.90625" style="46" customWidth="1"/>
    <col min="7425" max="7425" width="14.453125" style="46" customWidth="1"/>
    <col min="7426" max="7426" width="7.36328125" style="46" customWidth="1"/>
    <col min="7427" max="7427" width="5.54296875" style="46" customWidth="1"/>
    <col min="7428" max="7428" width="9" style="46" customWidth="1"/>
    <col min="7429" max="7430" width="9.90625" style="46" customWidth="1"/>
    <col min="7431" max="7431" width="11.08984375" style="46" customWidth="1"/>
    <col min="7432" max="7432" width="2.90625" style="46" customWidth="1"/>
    <col min="7433" max="7433" width="3.54296875" style="46" customWidth="1"/>
    <col min="7434" max="7678" width="9.08984375" style="46"/>
    <col min="7679" max="7679" width="8.6328125" style="46" customWidth="1"/>
    <col min="7680" max="7680" width="9.90625" style="46" customWidth="1"/>
    <col min="7681" max="7681" width="14.453125" style="46" customWidth="1"/>
    <col min="7682" max="7682" width="7.36328125" style="46" customWidth="1"/>
    <col min="7683" max="7683" width="5.54296875" style="46" customWidth="1"/>
    <col min="7684" max="7684" width="9" style="46" customWidth="1"/>
    <col min="7685" max="7686" width="9.90625" style="46" customWidth="1"/>
    <col min="7687" max="7687" width="11.08984375" style="46" customWidth="1"/>
    <col min="7688" max="7688" width="2.90625" style="46" customWidth="1"/>
    <col min="7689" max="7689" width="3.54296875" style="46" customWidth="1"/>
    <col min="7690" max="7934" width="9.08984375" style="46"/>
    <col min="7935" max="7935" width="8.6328125" style="46" customWidth="1"/>
    <col min="7936" max="7936" width="9.90625" style="46" customWidth="1"/>
    <col min="7937" max="7937" width="14.453125" style="46" customWidth="1"/>
    <col min="7938" max="7938" width="7.36328125" style="46" customWidth="1"/>
    <col min="7939" max="7939" width="5.54296875" style="46" customWidth="1"/>
    <col min="7940" max="7940" width="9" style="46" customWidth="1"/>
    <col min="7941" max="7942" width="9.90625" style="46" customWidth="1"/>
    <col min="7943" max="7943" width="11.08984375" style="46" customWidth="1"/>
    <col min="7944" max="7944" width="2.90625" style="46" customWidth="1"/>
    <col min="7945" max="7945" width="3.54296875" style="46" customWidth="1"/>
    <col min="7946" max="8190" width="9.08984375" style="46"/>
    <col min="8191" max="8191" width="8.6328125" style="46" customWidth="1"/>
    <col min="8192" max="8192" width="9.90625" style="46" customWidth="1"/>
    <col min="8193" max="8193" width="14.453125" style="46" customWidth="1"/>
    <col min="8194" max="8194" width="7.36328125" style="46" customWidth="1"/>
    <col min="8195" max="8195" width="5.54296875" style="46" customWidth="1"/>
    <col min="8196" max="8196" width="9" style="46" customWidth="1"/>
    <col min="8197" max="8198" width="9.90625" style="46" customWidth="1"/>
    <col min="8199" max="8199" width="11.08984375" style="46" customWidth="1"/>
    <col min="8200" max="8200" width="2.90625" style="46" customWidth="1"/>
    <col min="8201" max="8201" width="3.54296875" style="46" customWidth="1"/>
    <col min="8202" max="8446" width="9.08984375" style="46"/>
    <col min="8447" max="8447" width="8.6328125" style="46" customWidth="1"/>
    <col min="8448" max="8448" width="9.90625" style="46" customWidth="1"/>
    <col min="8449" max="8449" width="14.453125" style="46" customWidth="1"/>
    <col min="8450" max="8450" width="7.36328125" style="46" customWidth="1"/>
    <col min="8451" max="8451" width="5.54296875" style="46" customWidth="1"/>
    <col min="8452" max="8452" width="9" style="46" customWidth="1"/>
    <col min="8453" max="8454" width="9.90625" style="46" customWidth="1"/>
    <col min="8455" max="8455" width="11.08984375" style="46" customWidth="1"/>
    <col min="8456" max="8456" width="2.90625" style="46" customWidth="1"/>
    <col min="8457" max="8457" width="3.54296875" style="46" customWidth="1"/>
    <col min="8458" max="8702" width="9.08984375" style="46"/>
    <col min="8703" max="8703" width="8.6328125" style="46" customWidth="1"/>
    <col min="8704" max="8704" width="9.90625" style="46" customWidth="1"/>
    <col min="8705" max="8705" width="14.453125" style="46" customWidth="1"/>
    <col min="8706" max="8706" width="7.36328125" style="46" customWidth="1"/>
    <col min="8707" max="8707" width="5.54296875" style="46" customWidth="1"/>
    <col min="8708" max="8708" width="9" style="46" customWidth="1"/>
    <col min="8709" max="8710" width="9.90625" style="46" customWidth="1"/>
    <col min="8711" max="8711" width="11.08984375" style="46" customWidth="1"/>
    <col min="8712" max="8712" width="2.90625" style="46" customWidth="1"/>
    <col min="8713" max="8713" width="3.54296875" style="46" customWidth="1"/>
    <col min="8714" max="8958" width="9.08984375" style="46"/>
    <col min="8959" max="8959" width="8.6328125" style="46" customWidth="1"/>
    <col min="8960" max="8960" width="9.90625" style="46" customWidth="1"/>
    <col min="8961" max="8961" width="14.453125" style="46" customWidth="1"/>
    <col min="8962" max="8962" width="7.36328125" style="46" customWidth="1"/>
    <col min="8963" max="8963" width="5.54296875" style="46" customWidth="1"/>
    <col min="8964" max="8964" width="9" style="46" customWidth="1"/>
    <col min="8965" max="8966" width="9.90625" style="46" customWidth="1"/>
    <col min="8967" max="8967" width="11.08984375" style="46" customWidth="1"/>
    <col min="8968" max="8968" width="2.90625" style="46" customWidth="1"/>
    <col min="8969" max="8969" width="3.54296875" style="46" customWidth="1"/>
    <col min="8970" max="9214" width="9.08984375" style="46"/>
    <col min="9215" max="9215" width="8.6328125" style="46" customWidth="1"/>
    <col min="9216" max="9216" width="9.90625" style="46" customWidth="1"/>
    <col min="9217" max="9217" width="14.453125" style="46" customWidth="1"/>
    <col min="9218" max="9218" width="7.36328125" style="46" customWidth="1"/>
    <col min="9219" max="9219" width="5.54296875" style="46" customWidth="1"/>
    <col min="9220" max="9220" width="9" style="46" customWidth="1"/>
    <col min="9221" max="9222" width="9.90625" style="46" customWidth="1"/>
    <col min="9223" max="9223" width="11.08984375" style="46" customWidth="1"/>
    <col min="9224" max="9224" width="2.90625" style="46" customWidth="1"/>
    <col min="9225" max="9225" width="3.54296875" style="46" customWidth="1"/>
    <col min="9226" max="9470" width="9.08984375" style="46"/>
    <col min="9471" max="9471" width="8.6328125" style="46" customWidth="1"/>
    <col min="9472" max="9472" width="9.90625" style="46" customWidth="1"/>
    <col min="9473" max="9473" width="14.453125" style="46" customWidth="1"/>
    <col min="9474" max="9474" width="7.36328125" style="46" customWidth="1"/>
    <col min="9475" max="9475" width="5.54296875" style="46" customWidth="1"/>
    <col min="9476" max="9476" width="9" style="46" customWidth="1"/>
    <col min="9477" max="9478" width="9.90625" style="46" customWidth="1"/>
    <col min="9479" max="9479" width="11.08984375" style="46" customWidth="1"/>
    <col min="9480" max="9480" width="2.90625" style="46" customWidth="1"/>
    <col min="9481" max="9481" width="3.54296875" style="46" customWidth="1"/>
    <col min="9482" max="9726" width="9.08984375" style="46"/>
    <col min="9727" max="9727" width="8.6328125" style="46" customWidth="1"/>
    <col min="9728" max="9728" width="9.90625" style="46" customWidth="1"/>
    <col min="9729" max="9729" width="14.453125" style="46" customWidth="1"/>
    <col min="9730" max="9730" width="7.36328125" style="46" customWidth="1"/>
    <col min="9731" max="9731" width="5.54296875" style="46" customWidth="1"/>
    <col min="9732" max="9732" width="9" style="46" customWidth="1"/>
    <col min="9733" max="9734" width="9.90625" style="46" customWidth="1"/>
    <col min="9735" max="9735" width="11.08984375" style="46" customWidth="1"/>
    <col min="9736" max="9736" width="2.90625" style="46" customWidth="1"/>
    <col min="9737" max="9737" width="3.54296875" style="46" customWidth="1"/>
    <col min="9738" max="9982" width="9.08984375" style="46"/>
    <col min="9983" max="9983" width="8.6328125" style="46" customWidth="1"/>
    <col min="9984" max="9984" width="9.90625" style="46" customWidth="1"/>
    <col min="9985" max="9985" width="14.453125" style="46" customWidth="1"/>
    <col min="9986" max="9986" width="7.36328125" style="46" customWidth="1"/>
    <col min="9987" max="9987" width="5.54296875" style="46" customWidth="1"/>
    <col min="9988" max="9988" width="9" style="46" customWidth="1"/>
    <col min="9989" max="9990" width="9.90625" style="46" customWidth="1"/>
    <col min="9991" max="9991" width="11.08984375" style="46" customWidth="1"/>
    <col min="9992" max="9992" width="2.90625" style="46" customWidth="1"/>
    <col min="9993" max="9993" width="3.54296875" style="46" customWidth="1"/>
    <col min="9994" max="10238" width="9.08984375" style="46"/>
    <col min="10239" max="10239" width="8.6328125" style="46" customWidth="1"/>
    <col min="10240" max="10240" width="9.90625" style="46" customWidth="1"/>
    <col min="10241" max="10241" width="14.453125" style="46" customWidth="1"/>
    <col min="10242" max="10242" width="7.36328125" style="46" customWidth="1"/>
    <col min="10243" max="10243" width="5.54296875" style="46" customWidth="1"/>
    <col min="10244" max="10244" width="9" style="46" customWidth="1"/>
    <col min="10245" max="10246" width="9.90625" style="46" customWidth="1"/>
    <col min="10247" max="10247" width="11.08984375" style="46" customWidth="1"/>
    <col min="10248" max="10248" width="2.90625" style="46" customWidth="1"/>
    <col min="10249" max="10249" width="3.54296875" style="46" customWidth="1"/>
    <col min="10250" max="10494" width="9.08984375" style="46"/>
    <col min="10495" max="10495" width="8.6328125" style="46" customWidth="1"/>
    <col min="10496" max="10496" width="9.90625" style="46" customWidth="1"/>
    <col min="10497" max="10497" width="14.453125" style="46" customWidth="1"/>
    <col min="10498" max="10498" width="7.36328125" style="46" customWidth="1"/>
    <col min="10499" max="10499" width="5.54296875" style="46" customWidth="1"/>
    <col min="10500" max="10500" width="9" style="46" customWidth="1"/>
    <col min="10501" max="10502" width="9.90625" style="46" customWidth="1"/>
    <col min="10503" max="10503" width="11.08984375" style="46" customWidth="1"/>
    <col min="10504" max="10504" width="2.90625" style="46" customWidth="1"/>
    <col min="10505" max="10505" width="3.54296875" style="46" customWidth="1"/>
    <col min="10506" max="10750" width="9.08984375" style="46"/>
    <col min="10751" max="10751" width="8.6328125" style="46" customWidth="1"/>
    <col min="10752" max="10752" width="9.90625" style="46" customWidth="1"/>
    <col min="10753" max="10753" width="14.453125" style="46" customWidth="1"/>
    <col min="10754" max="10754" width="7.36328125" style="46" customWidth="1"/>
    <col min="10755" max="10755" width="5.54296875" style="46" customWidth="1"/>
    <col min="10756" max="10756" width="9" style="46" customWidth="1"/>
    <col min="10757" max="10758" width="9.90625" style="46" customWidth="1"/>
    <col min="10759" max="10759" width="11.08984375" style="46" customWidth="1"/>
    <col min="10760" max="10760" width="2.90625" style="46" customWidth="1"/>
    <col min="10761" max="10761" width="3.54296875" style="46" customWidth="1"/>
    <col min="10762" max="11006" width="9.08984375" style="46"/>
    <col min="11007" max="11007" width="8.6328125" style="46" customWidth="1"/>
    <col min="11008" max="11008" width="9.90625" style="46" customWidth="1"/>
    <col min="11009" max="11009" width="14.453125" style="46" customWidth="1"/>
    <col min="11010" max="11010" width="7.36328125" style="46" customWidth="1"/>
    <col min="11011" max="11011" width="5.54296875" style="46" customWidth="1"/>
    <col min="11012" max="11012" width="9" style="46" customWidth="1"/>
    <col min="11013" max="11014" width="9.90625" style="46" customWidth="1"/>
    <col min="11015" max="11015" width="11.08984375" style="46" customWidth="1"/>
    <col min="11016" max="11016" width="2.90625" style="46" customWidth="1"/>
    <col min="11017" max="11017" width="3.54296875" style="46" customWidth="1"/>
    <col min="11018" max="11262" width="9.08984375" style="46"/>
    <col min="11263" max="11263" width="8.6328125" style="46" customWidth="1"/>
    <col min="11264" max="11264" width="9.90625" style="46" customWidth="1"/>
    <col min="11265" max="11265" width="14.453125" style="46" customWidth="1"/>
    <col min="11266" max="11266" width="7.36328125" style="46" customWidth="1"/>
    <col min="11267" max="11267" width="5.54296875" style="46" customWidth="1"/>
    <col min="11268" max="11268" width="9" style="46" customWidth="1"/>
    <col min="11269" max="11270" width="9.90625" style="46" customWidth="1"/>
    <col min="11271" max="11271" width="11.08984375" style="46" customWidth="1"/>
    <col min="11272" max="11272" width="2.90625" style="46" customWidth="1"/>
    <col min="11273" max="11273" width="3.54296875" style="46" customWidth="1"/>
    <col min="11274" max="11518" width="9.08984375" style="46"/>
    <col min="11519" max="11519" width="8.6328125" style="46" customWidth="1"/>
    <col min="11520" max="11520" width="9.90625" style="46" customWidth="1"/>
    <col min="11521" max="11521" width="14.453125" style="46" customWidth="1"/>
    <col min="11522" max="11522" width="7.36328125" style="46" customWidth="1"/>
    <col min="11523" max="11523" width="5.54296875" style="46" customWidth="1"/>
    <col min="11524" max="11524" width="9" style="46" customWidth="1"/>
    <col min="11525" max="11526" width="9.90625" style="46" customWidth="1"/>
    <col min="11527" max="11527" width="11.08984375" style="46" customWidth="1"/>
    <col min="11528" max="11528" width="2.90625" style="46" customWidth="1"/>
    <col min="11529" max="11529" width="3.54296875" style="46" customWidth="1"/>
    <col min="11530" max="11774" width="9.08984375" style="46"/>
    <col min="11775" max="11775" width="8.6328125" style="46" customWidth="1"/>
    <col min="11776" max="11776" width="9.90625" style="46" customWidth="1"/>
    <col min="11777" max="11777" width="14.453125" style="46" customWidth="1"/>
    <col min="11778" max="11778" width="7.36328125" style="46" customWidth="1"/>
    <col min="11779" max="11779" width="5.54296875" style="46" customWidth="1"/>
    <col min="11780" max="11780" width="9" style="46" customWidth="1"/>
    <col min="11781" max="11782" width="9.90625" style="46" customWidth="1"/>
    <col min="11783" max="11783" width="11.08984375" style="46" customWidth="1"/>
    <col min="11784" max="11784" width="2.90625" style="46" customWidth="1"/>
    <col min="11785" max="11785" width="3.54296875" style="46" customWidth="1"/>
    <col min="11786" max="12030" width="9.08984375" style="46"/>
    <col min="12031" max="12031" width="8.6328125" style="46" customWidth="1"/>
    <col min="12032" max="12032" width="9.90625" style="46" customWidth="1"/>
    <col min="12033" max="12033" width="14.453125" style="46" customWidth="1"/>
    <col min="12034" max="12034" width="7.36328125" style="46" customWidth="1"/>
    <col min="12035" max="12035" width="5.54296875" style="46" customWidth="1"/>
    <col min="12036" max="12036" width="9" style="46" customWidth="1"/>
    <col min="12037" max="12038" width="9.90625" style="46" customWidth="1"/>
    <col min="12039" max="12039" width="11.08984375" style="46" customWidth="1"/>
    <col min="12040" max="12040" width="2.90625" style="46" customWidth="1"/>
    <col min="12041" max="12041" width="3.54296875" style="46" customWidth="1"/>
    <col min="12042" max="12286" width="9.08984375" style="46"/>
    <col min="12287" max="12287" width="8.6328125" style="46" customWidth="1"/>
    <col min="12288" max="12288" width="9.90625" style="46" customWidth="1"/>
    <col min="12289" max="12289" width="14.453125" style="46" customWidth="1"/>
    <col min="12290" max="12290" width="7.36328125" style="46" customWidth="1"/>
    <col min="12291" max="12291" width="5.54296875" style="46" customWidth="1"/>
    <col min="12292" max="12292" width="9" style="46" customWidth="1"/>
    <col min="12293" max="12294" width="9.90625" style="46" customWidth="1"/>
    <col min="12295" max="12295" width="11.08984375" style="46" customWidth="1"/>
    <col min="12296" max="12296" width="2.90625" style="46" customWidth="1"/>
    <col min="12297" max="12297" width="3.54296875" style="46" customWidth="1"/>
    <col min="12298" max="12542" width="9.08984375" style="46"/>
    <col min="12543" max="12543" width="8.6328125" style="46" customWidth="1"/>
    <col min="12544" max="12544" width="9.90625" style="46" customWidth="1"/>
    <col min="12545" max="12545" width="14.453125" style="46" customWidth="1"/>
    <col min="12546" max="12546" width="7.36328125" style="46" customWidth="1"/>
    <col min="12547" max="12547" width="5.54296875" style="46" customWidth="1"/>
    <col min="12548" max="12548" width="9" style="46" customWidth="1"/>
    <col min="12549" max="12550" width="9.90625" style="46" customWidth="1"/>
    <col min="12551" max="12551" width="11.08984375" style="46" customWidth="1"/>
    <col min="12552" max="12552" width="2.90625" style="46" customWidth="1"/>
    <col min="12553" max="12553" width="3.54296875" style="46" customWidth="1"/>
    <col min="12554" max="12798" width="9.08984375" style="46"/>
    <col min="12799" max="12799" width="8.6328125" style="46" customWidth="1"/>
    <col min="12800" max="12800" width="9.90625" style="46" customWidth="1"/>
    <col min="12801" max="12801" width="14.453125" style="46" customWidth="1"/>
    <col min="12802" max="12802" width="7.36328125" style="46" customWidth="1"/>
    <col min="12803" max="12803" width="5.54296875" style="46" customWidth="1"/>
    <col min="12804" max="12804" width="9" style="46" customWidth="1"/>
    <col min="12805" max="12806" width="9.90625" style="46" customWidth="1"/>
    <col min="12807" max="12807" width="11.08984375" style="46" customWidth="1"/>
    <col min="12808" max="12808" width="2.90625" style="46" customWidth="1"/>
    <col min="12809" max="12809" width="3.54296875" style="46" customWidth="1"/>
    <col min="12810" max="13054" width="9.08984375" style="46"/>
    <col min="13055" max="13055" width="8.6328125" style="46" customWidth="1"/>
    <col min="13056" max="13056" width="9.90625" style="46" customWidth="1"/>
    <col min="13057" max="13057" width="14.453125" style="46" customWidth="1"/>
    <col min="13058" max="13058" width="7.36328125" style="46" customWidth="1"/>
    <col min="13059" max="13059" width="5.54296875" style="46" customWidth="1"/>
    <col min="13060" max="13060" width="9" style="46" customWidth="1"/>
    <col min="13061" max="13062" width="9.90625" style="46" customWidth="1"/>
    <col min="13063" max="13063" width="11.08984375" style="46" customWidth="1"/>
    <col min="13064" max="13064" width="2.90625" style="46" customWidth="1"/>
    <col min="13065" max="13065" width="3.54296875" style="46" customWidth="1"/>
    <col min="13066" max="13310" width="9.08984375" style="46"/>
    <col min="13311" max="13311" width="8.6328125" style="46" customWidth="1"/>
    <col min="13312" max="13312" width="9.90625" style="46" customWidth="1"/>
    <col min="13313" max="13313" width="14.453125" style="46" customWidth="1"/>
    <col min="13314" max="13314" width="7.36328125" style="46" customWidth="1"/>
    <col min="13315" max="13315" width="5.54296875" style="46" customWidth="1"/>
    <col min="13316" max="13316" width="9" style="46" customWidth="1"/>
    <col min="13317" max="13318" width="9.90625" style="46" customWidth="1"/>
    <col min="13319" max="13319" width="11.08984375" style="46" customWidth="1"/>
    <col min="13320" max="13320" width="2.90625" style="46" customWidth="1"/>
    <col min="13321" max="13321" width="3.54296875" style="46" customWidth="1"/>
    <col min="13322" max="13566" width="9.08984375" style="46"/>
    <col min="13567" max="13567" width="8.6328125" style="46" customWidth="1"/>
    <col min="13568" max="13568" width="9.90625" style="46" customWidth="1"/>
    <col min="13569" max="13569" width="14.453125" style="46" customWidth="1"/>
    <col min="13570" max="13570" width="7.36328125" style="46" customWidth="1"/>
    <col min="13571" max="13571" width="5.54296875" style="46" customWidth="1"/>
    <col min="13572" max="13572" width="9" style="46" customWidth="1"/>
    <col min="13573" max="13574" width="9.90625" style="46" customWidth="1"/>
    <col min="13575" max="13575" width="11.08984375" style="46" customWidth="1"/>
    <col min="13576" max="13576" width="2.90625" style="46" customWidth="1"/>
    <col min="13577" max="13577" width="3.54296875" style="46" customWidth="1"/>
    <col min="13578" max="13822" width="9.08984375" style="46"/>
    <col min="13823" max="13823" width="8.6328125" style="46" customWidth="1"/>
    <col min="13824" max="13824" width="9.90625" style="46" customWidth="1"/>
    <col min="13825" max="13825" width="14.453125" style="46" customWidth="1"/>
    <col min="13826" max="13826" width="7.36328125" style="46" customWidth="1"/>
    <col min="13827" max="13827" width="5.54296875" style="46" customWidth="1"/>
    <col min="13828" max="13828" width="9" style="46" customWidth="1"/>
    <col min="13829" max="13830" width="9.90625" style="46" customWidth="1"/>
    <col min="13831" max="13831" width="11.08984375" style="46" customWidth="1"/>
    <col min="13832" max="13832" width="2.90625" style="46" customWidth="1"/>
    <col min="13833" max="13833" width="3.54296875" style="46" customWidth="1"/>
    <col min="13834" max="14078" width="9.08984375" style="46"/>
    <col min="14079" max="14079" width="8.6328125" style="46" customWidth="1"/>
    <col min="14080" max="14080" width="9.90625" style="46" customWidth="1"/>
    <col min="14081" max="14081" width="14.453125" style="46" customWidth="1"/>
    <col min="14082" max="14082" width="7.36328125" style="46" customWidth="1"/>
    <col min="14083" max="14083" width="5.54296875" style="46" customWidth="1"/>
    <col min="14084" max="14084" width="9" style="46" customWidth="1"/>
    <col min="14085" max="14086" width="9.90625" style="46" customWidth="1"/>
    <col min="14087" max="14087" width="11.08984375" style="46" customWidth="1"/>
    <col min="14088" max="14088" width="2.90625" style="46" customWidth="1"/>
    <col min="14089" max="14089" width="3.54296875" style="46" customWidth="1"/>
    <col min="14090" max="14334" width="9.08984375" style="46"/>
    <col min="14335" max="14335" width="8.6328125" style="46" customWidth="1"/>
    <col min="14336" max="14336" width="9.90625" style="46" customWidth="1"/>
    <col min="14337" max="14337" width="14.453125" style="46" customWidth="1"/>
    <col min="14338" max="14338" width="7.36328125" style="46" customWidth="1"/>
    <col min="14339" max="14339" width="5.54296875" style="46" customWidth="1"/>
    <col min="14340" max="14340" width="9" style="46" customWidth="1"/>
    <col min="14341" max="14342" width="9.90625" style="46" customWidth="1"/>
    <col min="14343" max="14343" width="11.08984375" style="46" customWidth="1"/>
    <col min="14344" max="14344" width="2.90625" style="46" customWidth="1"/>
    <col min="14345" max="14345" width="3.54296875" style="46" customWidth="1"/>
    <col min="14346" max="14590" width="9.08984375" style="46"/>
    <col min="14591" max="14591" width="8.6328125" style="46" customWidth="1"/>
    <col min="14592" max="14592" width="9.90625" style="46" customWidth="1"/>
    <col min="14593" max="14593" width="14.453125" style="46" customWidth="1"/>
    <col min="14594" max="14594" width="7.36328125" style="46" customWidth="1"/>
    <col min="14595" max="14595" width="5.54296875" style="46" customWidth="1"/>
    <col min="14596" max="14596" width="9" style="46" customWidth="1"/>
    <col min="14597" max="14598" width="9.90625" style="46" customWidth="1"/>
    <col min="14599" max="14599" width="11.08984375" style="46" customWidth="1"/>
    <col min="14600" max="14600" width="2.90625" style="46" customWidth="1"/>
    <col min="14601" max="14601" width="3.54296875" style="46" customWidth="1"/>
    <col min="14602" max="14846" width="9.08984375" style="46"/>
    <col min="14847" max="14847" width="8.6328125" style="46" customWidth="1"/>
    <col min="14848" max="14848" width="9.90625" style="46" customWidth="1"/>
    <col min="14849" max="14849" width="14.453125" style="46" customWidth="1"/>
    <col min="14850" max="14850" width="7.36328125" style="46" customWidth="1"/>
    <col min="14851" max="14851" width="5.54296875" style="46" customWidth="1"/>
    <col min="14852" max="14852" width="9" style="46" customWidth="1"/>
    <col min="14853" max="14854" width="9.90625" style="46" customWidth="1"/>
    <col min="14855" max="14855" width="11.08984375" style="46" customWidth="1"/>
    <col min="14856" max="14856" width="2.90625" style="46" customWidth="1"/>
    <col min="14857" max="14857" width="3.54296875" style="46" customWidth="1"/>
    <col min="14858" max="15102" width="9.08984375" style="46"/>
    <col min="15103" max="15103" width="8.6328125" style="46" customWidth="1"/>
    <col min="15104" max="15104" width="9.90625" style="46" customWidth="1"/>
    <col min="15105" max="15105" width="14.453125" style="46" customWidth="1"/>
    <col min="15106" max="15106" width="7.36328125" style="46" customWidth="1"/>
    <col min="15107" max="15107" width="5.54296875" style="46" customWidth="1"/>
    <col min="15108" max="15108" width="9" style="46" customWidth="1"/>
    <col min="15109" max="15110" width="9.90625" style="46" customWidth="1"/>
    <col min="15111" max="15111" width="11.08984375" style="46" customWidth="1"/>
    <col min="15112" max="15112" width="2.90625" style="46" customWidth="1"/>
    <col min="15113" max="15113" width="3.54296875" style="46" customWidth="1"/>
    <col min="15114" max="15358" width="9.08984375" style="46"/>
    <col min="15359" max="15359" width="8.6328125" style="46" customWidth="1"/>
    <col min="15360" max="15360" width="9.90625" style="46" customWidth="1"/>
    <col min="15361" max="15361" width="14.453125" style="46" customWidth="1"/>
    <col min="15362" max="15362" width="7.36328125" style="46" customWidth="1"/>
    <col min="15363" max="15363" width="5.54296875" style="46" customWidth="1"/>
    <col min="15364" max="15364" width="9" style="46" customWidth="1"/>
    <col min="15365" max="15366" width="9.90625" style="46" customWidth="1"/>
    <col min="15367" max="15367" width="11.08984375" style="46" customWidth="1"/>
    <col min="15368" max="15368" width="2.90625" style="46" customWidth="1"/>
    <col min="15369" max="15369" width="3.54296875" style="46" customWidth="1"/>
    <col min="15370" max="15614" width="9.08984375" style="46"/>
    <col min="15615" max="15615" width="8.6328125" style="46" customWidth="1"/>
    <col min="15616" max="15616" width="9.90625" style="46" customWidth="1"/>
    <col min="15617" max="15617" width="14.453125" style="46" customWidth="1"/>
    <col min="15618" max="15618" width="7.36328125" style="46" customWidth="1"/>
    <col min="15619" max="15619" width="5.54296875" style="46" customWidth="1"/>
    <col min="15620" max="15620" width="9" style="46" customWidth="1"/>
    <col min="15621" max="15622" width="9.90625" style="46" customWidth="1"/>
    <col min="15623" max="15623" width="11.08984375" style="46" customWidth="1"/>
    <col min="15624" max="15624" width="2.90625" style="46" customWidth="1"/>
    <col min="15625" max="15625" width="3.54296875" style="46" customWidth="1"/>
    <col min="15626" max="15870" width="9.08984375" style="46"/>
    <col min="15871" max="15871" width="8.6328125" style="46" customWidth="1"/>
    <col min="15872" max="15872" width="9.90625" style="46" customWidth="1"/>
    <col min="15873" max="15873" width="14.453125" style="46" customWidth="1"/>
    <col min="15874" max="15874" width="7.36328125" style="46" customWidth="1"/>
    <col min="15875" max="15875" width="5.54296875" style="46" customWidth="1"/>
    <col min="15876" max="15876" width="9" style="46" customWidth="1"/>
    <col min="15877" max="15878" width="9.90625" style="46" customWidth="1"/>
    <col min="15879" max="15879" width="11.08984375" style="46" customWidth="1"/>
    <col min="15880" max="15880" width="2.90625" style="46" customWidth="1"/>
    <col min="15881" max="15881" width="3.54296875" style="46" customWidth="1"/>
    <col min="15882" max="16126" width="9.08984375" style="46"/>
    <col min="16127" max="16127" width="8.6328125" style="46" customWidth="1"/>
    <col min="16128" max="16128" width="9.90625" style="46" customWidth="1"/>
    <col min="16129" max="16129" width="14.453125" style="46" customWidth="1"/>
    <col min="16130" max="16130" width="7.36328125" style="46" customWidth="1"/>
    <col min="16131" max="16131" width="5.54296875" style="46" customWidth="1"/>
    <col min="16132" max="16132" width="9" style="46" customWidth="1"/>
    <col min="16133" max="16134" width="9.90625" style="46" customWidth="1"/>
    <col min="16135" max="16135" width="11.08984375" style="46" customWidth="1"/>
    <col min="16136" max="16136" width="2.90625" style="46" customWidth="1"/>
    <col min="16137" max="16137" width="3.54296875" style="46" customWidth="1"/>
    <col min="16138" max="16384" width="9.08984375" style="46"/>
  </cols>
  <sheetData>
    <row r="1" spans="1:10" ht="46.5" customHeight="1" x14ac:dyDescent="0.35">
      <c r="A1" s="200" t="s">
        <v>269</v>
      </c>
      <c r="B1" s="201"/>
      <c r="C1" s="201"/>
      <c r="D1" s="201"/>
      <c r="E1" s="201"/>
      <c r="F1" s="201"/>
      <c r="G1" s="201"/>
      <c r="H1" s="201"/>
      <c r="I1" s="201"/>
      <c r="J1" s="202"/>
    </row>
    <row r="2" spans="1:10" ht="16.5" customHeight="1" x14ac:dyDescent="0.35">
      <c r="A2" s="123" t="s">
        <v>0</v>
      </c>
      <c r="B2" s="124"/>
      <c r="C2" s="124"/>
      <c r="D2" s="124"/>
      <c r="E2" s="124"/>
      <c r="F2" s="124"/>
      <c r="G2" s="124"/>
      <c r="H2" s="124"/>
      <c r="I2" s="124"/>
      <c r="J2" s="125"/>
    </row>
    <row r="3" spans="1:10" x14ac:dyDescent="0.35">
      <c r="A3" s="73" t="s">
        <v>1</v>
      </c>
      <c r="B3" s="74"/>
      <c r="C3" s="74"/>
      <c r="D3" s="74"/>
      <c r="E3" s="75"/>
      <c r="F3" s="197" t="str">
        <f ca="1">TEXT(TODAY(),"DD/MM/YYYY")</f>
        <v>15/07/2025</v>
      </c>
      <c r="G3" s="198"/>
      <c r="H3" s="198"/>
      <c r="I3" s="198"/>
      <c r="J3" s="199"/>
    </row>
    <row r="4" spans="1:10" ht="15" customHeight="1" x14ac:dyDescent="0.35">
      <c r="A4" s="73" t="s">
        <v>2</v>
      </c>
      <c r="B4" s="74"/>
      <c r="C4" s="74"/>
      <c r="D4" s="74"/>
      <c r="E4" s="75"/>
      <c r="F4" s="178" t="s">
        <v>181</v>
      </c>
      <c r="G4" s="179"/>
      <c r="H4" s="179"/>
      <c r="I4" s="179"/>
      <c r="J4" s="180"/>
    </row>
    <row r="5" spans="1:10" x14ac:dyDescent="0.35">
      <c r="A5" s="73" t="s">
        <v>3</v>
      </c>
      <c r="B5" s="74"/>
      <c r="C5" s="74"/>
      <c r="D5" s="74"/>
      <c r="E5" s="75"/>
      <c r="F5" s="197">
        <v>45838</v>
      </c>
      <c r="G5" s="198"/>
      <c r="H5" s="198"/>
      <c r="I5" s="198"/>
      <c r="J5" s="199"/>
    </row>
    <row r="6" spans="1:10" ht="16.5" customHeight="1" x14ac:dyDescent="0.35">
      <c r="A6" s="73" t="s">
        <v>4</v>
      </c>
      <c r="B6" s="74"/>
      <c r="C6" s="74"/>
      <c r="D6" s="74"/>
      <c r="E6" s="75"/>
      <c r="F6" s="77" t="s">
        <v>182</v>
      </c>
      <c r="G6" s="78"/>
      <c r="H6" s="78"/>
      <c r="I6" s="78"/>
      <c r="J6" s="79"/>
    </row>
    <row r="7" spans="1:10" ht="15" customHeight="1" x14ac:dyDescent="0.35">
      <c r="A7" s="73" t="s">
        <v>5</v>
      </c>
      <c r="B7" s="74"/>
      <c r="C7" s="74"/>
      <c r="D7" s="74"/>
      <c r="E7" s="75"/>
      <c r="F7" s="77" t="str">
        <f>F6</f>
        <v xml:space="preserve">M/s.Gruharaj Builders &amp; Developers
</v>
      </c>
      <c r="G7" s="78"/>
      <c r="H7" s="78"/>
      <c r="I7" s="78"/>
      <c r="J7" s="79"/>
    </row>
    <row r="8" spans="1:10" x14ac:dyDescent="0.35">
      <c r="A8" s="73" t="s">
        <v>6</v>
      </c>
      <c r="B8" s="74"/>
      <c r="C8" s="74"/>
      <c r="D8" s="74"/>
      <c r="E8" s="75"/>
      <c r="F8" s="203" t="s">
        <v>207</v>
      </c>
      <c r="G8" s="133"/>
      <c r="H8" s="133"/>
      <c r="I8" s="133"/>
      <c r="J8" s="134"/>
    </row>
    <row r="9" spans="1:10" x14ac:dyDescent="0.35">
      <c r="A9" s="73" t="s">
        <v>7</v>
      </c>
      <c r="B9" s="74"/>
      <c r="C9" s="74"/>
      <c r="D9" s="74"/>
      <c r="E9" s="75"/>
      <c r="F9" s="73">
        <v>9967021548</v>
      </c>
      <c r="G9" s="74"/>
      <c r="H9" s="74"/>
      <c r="I9" s="74"/>
      <c r="J9" s="75"/>
    </row>
    <row r="10" spans="1:10" x14ac:dyDescent="0.35">
      <c r="A10" s="77" t="s">
        <v>266</v>
      </c>
      <c r="B10" s="74"/>
      <c r="C10" s="74"/>
      <c r="D10" s="74"/>
      <c r="E10" s="75"/>
      <c r="F10" s="73" t="s">
        <v>270</v>
      </c>
      <c r="G10" s="74"/>
      <c r="H10" s="74"/>
      <c r="I10" s="74"/>
      <c r="J10" s="75"/>
    </row>
    <row r="11" spans="1:10" x14ac:dyDescent="0.35">
      <c r="A11" s="73" t="s">
        <v>8</v>
      </c>
      <c r="B11" s="74"/>
      <c r="C11" s="74"/>
      <c r="D11" s="74"/>
      <c r="E11" s="75"/>
      <c r="F11" s="97" t="s">
        <v>259</v>
      </c>
      <c r="G11" s="98"/>
      <c r="H11" s="98"/>
      <c r="I11" s="98"/>
      <c r="J11" s="196"/>
    </row>
    <row r="12" spans="1:10" ht="16.5" customHeight="1" x14ac:dyDescent="0.35">
      <c r="A12" s="73" t="s">
        <v>9</v>
      </c>
      <c r="B12" s="74"/>
      <c r="C12" s="74"/>
      <c r="D12" s="74"/>
      <c r="E12" s="75"/>
      <c r="F12" s="169" t="s">
        <v>10</v>
      </c>
      <c r="G12" s="170"/>
      <c r="H12" s="170"/>
      <c r="I12" s="170"/>
      <c r="J12" s="171"/>
    </row>
    <row r="13" spans="1:10" x14ac:dyDescent="0.35">
      <c r="A13" s="73" t="s">
        <v>11</v>
      </c>
      <c r="B13" s="74"/>
      <c r="C13" s="74"/>
      <c r="D13" s="74"/>
      <c r="E13" s="75"/>
      <c r="F13" s="77" t="s">
        <v>274</v>
      </c>
      <c r="G13" s="74"/>
      <c r="H13" s="74"/>
      <c r="I13" s="74"/>
      <c r="J13" s="75"/>
    </row>
    <row r="14" spans="1:10" ht="31.5" customHeight="1" x14ac:dyDescent="0.35">
      <c r="A14" s="175" t="s">
        <v>12</v>
      </c>
      <c r="B14" s="175"/>
      <c r="C14" s="77" t="str">
        <f>CONCATENATE((IF(OR(F8="",F8="NA"),"",F8)),", ",(IF(OR(A15="",A15="NA"),"",A15)),".",(IF(OR(C15="",C15="NA"),"",C15)),", ",(IF(OR(C16="",C16="NA"),"",C16)),", ",(IF(OR(H16="",H16="NA"),"",H16)),", ",(IF(OR(C17="",C17="NA"),"",C17)),", ",(IF(OR(C18="",C18="NA"),"",C18)),", ",(IF(OR(H17="",H17="NA"),"",H17)),".")</f>
        <v>Royal Regalia, Survey No.39/1(part), 39/2, 39/3 &amp; 40/1(part), Neral - Badlapur Road, Mamdapur, Neral, Karjat, Raigad.</v>
      </c>
      <c r="D14" s="78"/>
      <c r="E14" s="78"/>
      <c r="F14" s="78"/>
      <c r="G14" s="78"/>
      <c r="H14" s="78"/>
      <c r="I14" s="78"/>
      <c r="J14" s="79"/>
    </row>
    <row r="15" spans="1:10" ht="15.75" customHeight="1" x14ac:dyDescent="0.35">
      <c r="A15" s="77" t="s">
        <v>219</v>
      </c>
      <c r="B15" s="79"/>
      <c r="C15" s="169" t="s">
        <v>183</v>
      </c>
      <c r="D15" s="170"/>
      <c r="E15" s="170"/>
      <c r="F15" s="170"/>
      <c r="G15" s="170"/>
      <c r="H15" s="170"/>
      <c r="I15" s="170"/>
      <c r="J15" s="171"/>
    </row>
    <row r="16" spans="1:10" ht="15.75" customHeight="1" x14ac:dyDescent="0.35">
      <c r="A16" s="77" t="s">
        <v>13</v>
      </c>
      <c r="B16" s="79"/>
      <c r="C16" s="95" t="s">
        <v>188</v>
      </c>
      <c r="D16" s="95"/>
      <c r="E16" s="95"/>
      <c r="F16" s="176" t="s">
        <v>141</v>
      </c>
      <c r="G16" s="177"/>
      <c r="H16" s="169" t="s">
        <v>184</v>
      </c>
      <c r="I16" s="170"/>
      <c r="J16" s="171"/>
    </row>
    <row r="17" spans="1:11" x14ac:dyDescent="0.35">
      <c r="A17" s="93" t="s">
        <v>15</v>
      </c>
      <c r="B17" s="93"/>
      <c r="C17" s="95" t="s">
        <v>187</v>
      </c>
      <c r="D17" s="95"/>
      <c r="E17" s="95"/>
      <c r="F17" s="176" t="s">
        <v>14</v>
      </c>
      <c r="G17" s="177"/>
      <c r="H17" s="204" t="s">
        <v>186</v>
      </c>
      <c r="I17" s="204"/>
      <c r="J17" s="204"/>
    </row>
    <row r="18" spans="1:11" x14ac:dyDescent="0.35">
      <c r="A18" s="93" t="s">
        <v>142</v>
      </c>
      <c r="B18" s="93"/>
      <c r="C18" s="169" t="s">
        <v>185</v>
      </c>
      <c r="D18" s="170"/>
      <c r="E18" s="171"/>
      <c r="F18" s="176" t="s">
        <v>16</v>
      </c>
      <c r="G18" s="177"/>
      <c r="H18" s="169">
        <v>410101</v>
      </c>
      <c r="I18" s="170"/>
      <c r="J18" s="171"/>
      <c r="K18" s="46" t="s">
        <v>278</v>
      </c>
    </row>
    <row r="19" spans="1:11" ht="32.25" customHeight="1" x14ac:dyDescent="0.35">
      <c r="A19" s="93" t="s">
        <v>17</v>
      </c>
      <c r="B19" s="93"/>
      <c r="C19" s="93" t="s">
        <v>208</v>
      </c>
      <c r="D19" s="93"/>
      <c r="E19" s="93"/>
      <c r="F19" s="175" t="s">
        <v>18</v>
      </c>
      <c r="G19" s="175"/>
      <c r="H19" s="181" t="s">
        <v>263</v>
      </c>
      <c r="I19" s="181"/>
      <c r="J19" s="182"/>
    </row>
    <row r="20" spans="1:11" ht="15" customHeight="1" x14ac:dyDescent="0.35">
      <c r="A20" s="176" t="s">
        <v>156</v>
      </c>
      <c r="B20" s="183"/>
      <c r="C20" s="183"/>
      <c r="D20" s="183"/>
      <c r="E20" s="177"/>
      <c r="F20" s="187" t="s">
        <v>19</v>
      </c>
      <c r="G20" s="188"/>
      <c r="H20" s="188"/>
      <c r="I20" s="188"/>
      <c r="J20" s="189"/>
    </row>
    <row r="21" spans="1:11" ht="18.75" customHeight="1" x14ac:dyDescent="0.35">
      <c r="A21" s="184"/>
      <c r="B21" s="185"/>
      <c r="C21" s="185"/>
      <c r="D21" s="185"/>
      <c r="E21" s="186"/>
      <c r="F21" s="190"/>
      <c r="G21" s="191"/>
      <c r="H21" s="191"/>
      <c r="I21" s="191"/>
      <c r="J21" s="192"/>
    </row>
    <row r="22" spans="1:11" ht="15" customHeight="1" x14ac:dyDescent="0.35">
      <c r="A22" s="193" t="s">
        <v>20</v>
      </c>
      <c r="B22" s="194"/>
      <c r="C22" s="194"/>
      <c r="D22" s="194"/>
      <c r="E22" s="195"/>
      <c r="F22" s="176" t="s">
        <v>21</v>
      </c>
      <c r="G22" s="183"/>
      <c r="H22" s="183"/>
      <c r="I22" s="183"/>
      <c r="J22" s="177"/>
    </row>
    <row r="23" spans="1:11" ht="15" customHeight="1" x14ac:dyDescent="0.35">
      <c r="A23" s="73" t="s">
        <v>22</v>
      </c>
      <c r="B23" s="74"/>
      <c r="C23" s="74"/>
      <c r="D23" s="74"/>
      <c r="E23" s="75"/>
      <c r="F23" s="178" t="s">
        <v>23</v>
      </c>
      <c r="G23" s="179"/>
      <c r="H23" s="179"/>
      <c r="I23" s="179"/>
      <c r="J23" s="180"/>
    </row>
    <row r="24" spans="1:11" x14ac:dyDescent="0.35">
      <c r="A24" s="73" t="s">
        <v>24</v>
      </c>
      <c r="B24" s="74"/>
      <c r="C24" s="74"/>
      <c r="D24" s="74"/>
      <c r="E24" s="75"/>
      <c r="F24" s="178" t="s">
        <v>25</v>
      </c>
      <c r="G24" s="179"/>
      <c r="H24" s="179"/>
      <c r="I24" s="179"/>
      <c r="J24" s="180"/>
    </row>
    <row r="25" spans="1:11" ht="15" customHeight="1" x14ac:dyDescent="0.35">
      <c r="A25" s="73" t="s">
        <v>26</v>
      </c>
      <c r="B25" s="74"/>
      <c r="C25" s="74"/>
      <c r="D25" s="74"/>
      <c r="E25" s="75"/>
      <c r="F25" s="178" t="s">
        <v>27</v>
      </c>
      <c r="G25" s="179"/>
      <c r="H25" s="179"/>
      <c r="I25" s="179"/>
      <c r="J25" s="180"/>
    </row>
    <row r="26" spans="1:11" x14ac:dyDescent="0.35">
      <c r="A26" s="73" t="s">
        <v>28</v>
      </c>
      <c r="B26" s="74"/>
      <c r="C26" s="74"/>
      <c r="D26" s="74"/>
      <c r="E26" s="75"/>
      <c r="F26" s="178" t="s">
        <v>29</v>
      </c>
      <c r="G26" s="179"/>
      <c r="H26" s="179"/>
      <c r="I26" s="179"/>
      <c r="J26" s="180"/>
    </row>
    <row r="27" spans="1:11" x14ac:dyDescent="0.35">
      <c r="A27" s="205" t="s">
        <v>30</v>
      </c>
      <c r="B27" s="206"/>
      <c r="C27" s="205" t="s">
        <v>31</v>
      </c>
      <c r="D27" s="206"/>
      <c r="E27" s="205" t="s">
        <v>32</v>
      </c>
      <c r="F27" s="206"/>
      <c r="G27" s="205" t="s">
        <v>34</v>
      </c>
      <c r="H27" s="206"/>
      <c r="I27" s="205" t="s">
        <v>33</v>
      </c>
      <c r="J27" s="206"/>
    </row>
    <row r="28" spans="1:11" x14ac:dyDescent="0.35">
      <c r="A28" s="156" t="s">
        <v>35</v>
      </c>
      <c r="B28" s="157"/>
      <c r="C28" s="156" t="s">
        <v>36</v>
      </c>
      <c r="D28" s="157"/>
      <c r="E28" s="156" t="s">
        <v>36</v>
      </c>
      <c r="F28" s="157"/>
      <c r="G28" s="156" t="s">
        <v>36</v>
      </c>
      <c r="H28" s="157"/>
      <c r="I28" s="156" t="s">
        <v>36</v>
      </c>
      <c r="J28" s="157"/>
    </row>
    <row r="29" spans="1:11" ht="31.5" customHeight="1" x14ac:dyDescent="0.35">
      <c r="A29" s="156" t="s">
        <v>37</v>
      </c>
      <c r="B29" s="157"/>
      <c r="C29" s="207" t="s">
        <v>189</v>
      </c>
      <c r="D29" s="208"/>
      <c r="E29" s="207" t="s">
        <v>188</v>
      </c>
      <c r="F29" s="208"/>
      <c r="G29" s="207" t="s">
        <v>189</v>
      </c>
      <c r="H29" s="208"/>
      <c r="I29" s="207" t="s">
        <v>189</v>
      </c>
      <c r="J29" s="208"/>
    </row>
    <row r="30" spans="1:11" x14ac:dyDescent="0.35">
      <c r="A30" s="73" t="s">
        <v>38</v>
      </c>
      <c r="B30" s="74"/>
      <c r="C30" s="74"/>
      <c r="D30" s="74"/>
      <c r="E30" s="74"/>
      <c r="F30" s="74"/>
      <c r="G30" s="74"/>
      <c r="H30" s="74"/>
      <c r="I30" s="74"/>
      <c r="J30" s="75"/>
    </row>
    <row r="31" spans="1:11" x14ac:dyDescent="0.35">
      <c r="A31" s="73" t="s">
        <v>39</v>
      </c>
      <c r="B31" s="74"/>
      <c r="C31" s="74"/>
      <c r="D31" s="74"/>
      <c r="E31" s="74"/>
      <c r="F31" s="74"/>
      <c r="G31" s="74"/>
      <c r="H31" s="74"/>
      <c r="I31" s="74"/>
      <c r="J31" s="75"/>
    </row>
    <row r="32" spans="1:11" x14ac:dyDescent="0.35">
      <c r="A32" s="73" t="s">
        <v>40</v>
      </c>
      <c r="B32" s="75"/>
      <c r="C32" s="73" t="s">
        <v>277</v>
      </c>
      <c r="D32" s="74"/>
      <c r="E32" s="74"/>
      <c r="F32" s="74"/>
      <c r="G32" s="74"/>
      <c r="H32" s="74"/>
      <c r="I32" s="74"/>
      <c r="J32" s="75"/>
    </row>
    <row r="33" spans="1:10" x14ac:dyDescent="0.35">
      <c r="A33" s="73" t="s">
        <v>267</v>
      </c>
      <c r="B33" s="75"/>
      <c r="C33" s="215" t="s">
        <v>276</v>
      </c>
      <c r="D33" s="74"/>
      <c r="E33" s="74"/>
      <c r="F33" s="74"/>
      <c r="G33" s="74"/>
      <c r="H33" s="74"/>
      <c r="I33" s="74"/>
      <c r="J33" s="75"/>
    </row>
    <row r="34" spans="1:10" x14ac:dyDescent="0.35">
      <c r="A34" s="132" t="s">
        <v>41</v>
      </c>
      <c r="B34" s="133"/>
      <c r="C34" s="133"/>
      <c r="D34" s="133"/>
      <c r="E34" s="133"/>
      <c r="F34" s="133"/>
      <c r="G34" s="133"/>
      <c r="H34" s="133"/>
      <c r="I34" s="133"/>
      <c r="J34" s="134"/>
    </row>
    <row r="35" spans="1:10" ht="15" customHeight="1" x14ac:dyDescent="0.35">
      <c r="A35" s="77" t="s">
        <v>42</v>
      </c>
      <c r="B35" s="78"/>
      <c r="C35" s="78"/>
      <c r="D35" s="78"/>
      <c r="E35" s="79"/>
      <c r="F35" s="178" t="s">
        <v>204</v>
      </c>
      <c r="G35" s="179"/>
      <c r="H35" s="179"/>
      <c r="I35" s="179"/>
      <c r="J35" s="180"/>
    </row>
    <row r="36" spans="1:10" ht="15" customHeight="1" x14ac:dyDescent="0.35">
      <c r="A36" s="184" t="s">
        <v>43</v>
      </c>
      <c r="B36" s="185"/>
      <c r="C36" s="185"/>
      <c r="D36" s="185"/>
      <c r="E36" s="185"/>
      <c r="F36" s="77" t="s">
        <v>44</v>
      </c>
      <c r="G36" s="78"/>
      <c r="H36" s="78"/>
      <c r="I36" s="78"/>
      <c r="J36" s="79"/>
    </row>
    <row r="37" spans="1:10" x14ac:dyDescent="0.35">
      <c r="A37" s="96" t="s">
        <v>45</v>
      </c>
      <c r="B37" s="96"/>
      <c r="C37" s="96"/>
      <c r="D37" s="96"/>
      <c r="E37" s="96"/>
      <c r="F37" s="96"/>
      <c r="G37" s="96"/>
      <c r="H37" s="96"/>
      <c r="I37" s="96"/>
      <c r="J37" s="96"/>
    </row>
    <row r="38" spans="1:10" x14ac:dyDescent="0.35">
      <c r="A38" s="93" t="s">
        <v>46</v>
      </c>
      <c r="B38" s="93"/>
      <c r="C38" s="93"/>
      <c r="D38" s="93"/>
      <c r="E38" s="93"/>
      <c r="F38" s="174">
        <v>9040.24</v>
      </c>
      <c r="G38" s="174"/>
      <c r="H38" s="174"/>
      <c r="I38" s="174"/>
      <c r="J38" s="174"/>
    </row>
    <row r="39" spans="1:10" x14ac:dyDescent="0.35">
      <c r="A39" s="93" t="s">
        <v>47</v>
      </c>
      <c r="B39" s="93"/>
      <c r="C39" s="93"/>
      <c r="D39" s="93"/>
      <c r="E39" s="93"/>
      <c r="F39" s="94">
        <v>1.2</v>
      </c>
      <c r="G39" s="94"/>
      <c r="H39" s="94"/>
      <c r="I39" s="94"/>
      <c r="J39" s="94"/>
    </row>
    <row r="40" spans="1:10" x14ac:dyDescent="0.35">
      <c r="A40" s="93" t="s">
        <v>48</v>
      </c>
      <c r="B40" s="93"/>
      <c r="C40" s="93"/>
      <c r="D40" s="93"/>
      <c r="E40" s="93"/>
      <c r="F40" s="94">
        <v>0</v>
      </c>
      <c r="G40" s="94"/>
      <c r="H40" s="94"/>
      <c r="I40" s="94"/>
      <c r="J40" s="94"/>
    </row>
    <row r="41" spans="1:10" x14ac:dyDescent="0.35">
      <c r="A41" s="93" t="s">
        <v>49</v>
      </c>
      <c r="B41" s="93"/>
      <c r="C41" s="93"/>
      <c r="D41" s="93"/>
      <c r="E41" s="93"/>
      <c r="F41" s="94">
        <f>F39+F40</f>
        <v>1.2</v>
      </c>
      <c r="G41" s="94"/>
      <c r="H41" s="94"/>
      <c r="I41" s="94"/>
      <c r="J41" s="94"/>
    </row>
    <row r="42" spans="1:10" x14ac:dyDescent="0.35">
      <c r="A42" s="93" t="s">
        <v>50</v>
      </c>
      <c r="B42" s="93"/>
      <c r="C42" s="93"/>
      <c r="D42" s="93"/>
      <c r="E42" s="93"/>
      <c r="F42" s="94">
        <f>F38*F41</f>
        <v>10848.287999999999</v>
      </c>
      <c r="G42" s="94"/>
      <c r="H42" s="94"/>
      <c r="I42" s="94"/>
      <c r="J42" s="94"/>
    </row>
    <row r="43" spans="1:10" x14ac:dyDescent="0.35">
      <c r="A43" s="93" t="s">
        <v>51</v>
      </c>
      <c r="B43" s="93"/>
      <c r="C43" s="93"/>
      <c r="D43" s="93"/>
      <c r="E43" s="93"/>
      <c r="F43" s="95" t="s">
        <v>258</v>
      </c>
      <c r="G43" s="95"/>
      <c r="H43" s="95"/>
      <c r="I43" s="95"/>
      <c r="J43" s="95"/>
    </row>
    <row r="44" spans="1:10" x14ac:dyDescent="0.35">
      <c r="A44" s="96" t="s">
        <v>52</v>
      </c>
      <c r="B44" s="96"/>
      <c r="C44" s="96"/>
      <c r="D44" s="96"/>
      <c r="E44" s="96"/>
      <c r="F44" s="96"/>
      <c r="G44" s="96"/>
      <c r="H44" s="96"/>
      <c r="I44" s="96"/>
      <c r="J44" s="96"/>
    </row>
    <row r="45" spans="1:10" x14ac:dyDescent="0.35">
      <c r="A45" s="175" t="s">
        <v>53</v>
      </c>
      <c r="B45" s="175"/>
      <c r="C45" s="175" t="s">
        <v>190</v>
      </c>
      <c r="D45" s="175"/>
      <c r="E45" s="175"/>
      <c r="F45" s="175"/>
      <c r="G45" s="71" t="s">
        <v>54</v>
      </c>
      <c r="H45" s="175" t="s">
        <v>191</v>
      </c>
      <c r="I45" s="175"/>
      <c r="J45" s="175"/>
    </row>
    <row r="46" spans="1:10" x14ac:dyDescent="0.35">
      <c r="A46" s="175" t="s">
        <v>55</v>
      </c>
      <c r="B46" s="175"/>
      <c r="C46" s="175" t="str">
        <f>C45</f>
        <v>JA.KR.RJV/BD/NSVP/286-2019</v>
      </c>
      <c r="D46" s="175"/>
      <c r="E46" s="175"/>
      <c r="F46" s="175"/>
      <c r="G46" s="71" t="s">
        <v>54</v>
      </c>
      <c r="H46" s="175" t="str">
        <f>H45</f>
        <v>06/05/2019.</v>
      </c>
      <c r="I46" s="175"/>
      <c r="J46" s="175"/>
    </row>
    <row r="47" spans="1:10" ht="31.5" customHeight="1" x14ac:dyDescent="0.35">
      <c r="A47" s="175" t="s">
        <v>56</v>
      </c>
      <c r="B47" s="175"/>
      <c r="C47" s="175" t="s">
        <v>265</v>
      </c>
      <c r="D47" s="93"/>
      <c r="E47" s="93"/>
      <c r="F47" s="93"/>
      <c r="G47" s="47" t="s">
        <v>54</v>
      </c>
      <c r="H47" s="93" t="s">
        <v>192</v>
      </c>
      <c r="I47" s="93"/>
      <c r="J47" s="93"/>
    </row>
    <row r="48" spans="1:10" ht="15" customHeight="1" x14ac:dyDescent="0.35">
      <c r="A48" s="77" t="s">
        <v>57</v>
      </c>
      <c r="B48" s="79"/>
      <c r="C48" s="77" t="s">
        <v>151</v>
      </c>
      <c r="D48" s="74"/>
      <c r="E48" s="74"/>
      <c r="F48" s="75" t="s">
        <v>58</v>
      </c>
      <c r="G48" s="43" t="s">
        <v>54</v>
      </c>
      <c r="H48" s="77" t="s">
        <v>36</v>
      </c>
      <c r="I48" s="78" t="s">
        <v>36</v>
      </c>
      <c r="J48" s="79"/>
    </row>
    <row r="49" spans="1:12" x14ac:dyDescent="0.35">
      <c r="A49" s="93" t="s">
        <v>59</v>
      </c>
      <c r="B49" s="93"/>
      <c r="C49" s="93"/>
      <c r="D49" s="172" t="str">
        <f>H47</f>
        <v>09/05/2019.</v>
      </c>
      <c r="E49" s="172"/>
      <c r="F49" s="73" t="s">
        <v>60</v>
      </c>
      <c r="G49" s="173"/>
      <c r="H49" s="140" t="s">
        <v>275</v>
      </c>
      <c r="I49" s="141"/>
      <c r="J49" s="142"/>
    </row>
    <row r="50" spans="1:12" x14ac:dyDescent="0.35">
      <c r="A50" s="153" t="s">
        <v>61</v>
      </c>
      <c r="B50" s="154"/>
      <c r="C50" s="154"/>
      <c r="D50" s="154"/>
      <c r="E50" s="154"/>
      <c r="F50" s="154"/>
      <c r="G50" s="154"/>
      <c r="H50" s="154"/>
      <c r="I50" s="154"/>
      <c r="J50" s="155"/>
    </row>
    <row r="51" spans="1:12" ht="15.75" customHeight="1" x14ac:dyDescent="0.35">
      <c r="A51" s="73" t="s">
        <v>62</v>
      </c>
      <c r="B51" s="74"/>
      <c r="C51" s="75"/>
      <c r="D51" s="156">
        <f>F42</f>
        <v>10848.287999999999</v>
      </c>
      <c r="E51" s="157"/>
      <c r="F51" s="158" t="s">
        <v>63</v>
      </c>
      <c r="G51" s="159"/>
      <c r="H51" s="158" t="s">
        <v>203</v>
      </c>
      <c r="I51" s="160"/>
      <c r="J51" s="159"/>
    </row>
    <row r="52" spans="1:12" x14ac:dyDescent="0.35">
      <c r="A52" s="97" t="s">
        <v>64</v>
      </c>
      <c r="B52" s="98"/>
      <c r="C52" s="169" t="s">
        <v>264</v>
      </c>
      <c r="D52" s="170"/>
      <c r="E52" s="170"/>
      <c r="F52" s="170"/>
      <c r="G52" s="170"/>
      <c r="H52" s="170"/>
      <c r="I52" s="170"/>
      <c r="J52" s="171"/>
    </row>
    <row r="53" spans="1:12" ht="15.75" customHeight="1" x14ac:dyDescent="0.35">
      <c r="A53" s="73" t="s">
        <v>65</v>
      </c>
      <c r="B53" s="74"/>
      <c r="C53" s="74"/>
      <c r="D53" s="77" t="s">
        <v>273</v>
      </c>
      <c r="E53" s="78"/>
      <c r="F53" s="78"/>
      <c r="G53" s="78"/>
      <c r="H53" s="78"/>
      <c r="I53" s="78"/>
      <c r="J53" s="79"/>
    </row>
    <row r="54" spans="1:12" ht="16" thickBot="1" x14ac:dyDescent="0.4">
      <c r="A54" s="140" t="s">
        <v>205</v>
      </c>
      <c r="B54" s="141"/>
      <c r="C54" s="141"/>
      <c r="D54" s="141"/>
      <c r="E54" s="141"/>
      <c r="F54" s="141"/>
      <c r="G54" s="141"/>
      <c r="H54" s="141"/>
      <c r="I54" s="141"/>
      <c r="J54" s="142"/>
    </row>
    <row r="55" spans="1:12" ht="15" customHeight="1" x14ac:dyDescent="0.35">
      <c r="A55" s="161" t="s">
        <v>232</v>
      </c>
      <c r="B55" s="162"/>
      <c r="C55" s="163" t="s">
        <v>255</v>
      </c>
      <c r="D55" s="164"/>
      <c r="E55" s="164"/>
      <c r="F55" s="164"/>
      <c r="G55" s="164"/>
      <c r="H55" s="164"/>
      <c r="I55" s="164"/>
      <c r="J55" s="165"/>
      <c r="K55" s="36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Slab, Brickwork, Internal Plaster, External Plaster upto 4 Floor Completed</v>
      </c>
      <c r="L55" s="48"/>
    </row>
    <row r="56" spans="1:12" ht="15.75" customHeight="1" x14ac:dyDescent="0.35">
      <c r="A56" s="41" t="s">
        <v>137</v>
      </c>
      <c r="B56" s="42">
        <v>0</v>
      </c>
      <c r="C56" s="42" t="s">
        <v>139</v>
      </c>
      <c r="D56" s="42">
        <v>1</v>
      </c>
      <c r="E56" s="166" t="s">
        <v>138</v>
      </c>
      <c r="F56" s="167"/>
      <c r="G56" s="42">
        <v>0</v>
      </c>
      <c r="H56" s="42" t="s">
        <v>233</v>
      </c>
      <c r="I56" s="166">
        <f ca="1">--TRIM(RIGHT(SUBSTITUTE(LEFT(C55,_xlfn.AGGREGATE(16,6,FIND({0,1,2,3,4,5,6,7,8,9},C55,ROW(INDIRECT("1:"&amp;LEN(C55)))),1))," ",REPT(" ",LEN(C55))),LEN(C55)))</f>
        <v>7</v>
      </c>
      <c r="J56" s="168"/>
      <c r="K56" s="37"/>
      <c r="L56" s="49"/>
    </row>
    <row r="57" spans="1:12" ht="31" customHeight="1" x14ac:dyDescent="0.35">
      <c r="A57" s="143" t="s">
        <v>234</v>
      </c>
      <c r="B57" s="144"/>
      <c r="C57" s="145" t="str">
        <f ca="1">K55</f>
        <v>Excavation work Completed. Plinth work completed, RCC Slab, Brickwork, Internal Plaster, External Plaster upto 4 Floor Completed</v>
      </c>
      <c r="D57" s="146"/>
      <c r="E57" s="146"/>
      <c r="F57" s="146"/>
      <c r="G57" s="146"/>
      <c r="H57" s="146"/>
      <c r="I57" s="146"/>
      <c r="J57" s="147"/>
      <c r="K57" s="37" t="s">
        <v>235</v>
      </c>
      <c r="L57" s="49"/>
    </row>
    <row r="58" spans="1:12" x14ac:dyDescent="0.35">
      <c r="A58" s="148" t="s">
        <v>66</v>
      </c>
      <c r="B58" s="149"/>
      <c r="C58" s="40" t="s">
        <v>236</v>
      </c>
      <c r="D58" s="150" t="s">
        <v>237</v>
      </c>
      <c r="E58" s="150"/>
      <c r="F58" s="150" t="s">
        <v>238</v>
      </c>
      <c r="G58" s="150"/>
      <c r="H58" s="150" t="s">
        <v>239</v>
      </c>
      <c r="I58" s="150"/>
      <c r="J58" s="151"/>
      <c r="K58" s="38" t="s">
        <v>240</v>
      </c>
      <c r="L58" s="50">
        <f ca="1">I56*25%</f>
        <v>1.75</v>
      </c>
    </row>
    <row r="59" spans="1:12" x14ac:dyDescent="0.35">
      <c r="A59" s="150" t="s">
        <v>241</v>
      </c>
      <c r="B59" s="150"/>
      <c r="C59" s="51">
        <f ca="1">L60</f>
        <v>7</v>
      </c>
      <c r="D59" s="152">
        <f ca="1">((100/I56)*C59)/100</f>
        <v>1</v>
      </c>
      <c r="E59" s="152"/>
      <c r="F59" s="152">
        <f ca="1">(((C60/I56*10)+(40/(D56+G56+I56)*C61)+(7.5/(I56)*C62)+(7.5/(I56)*C63)+(10/I56*C64)+(10/I56*C65)+(5/I56*C66)+(5/I56*C67)+(5/I56*C68))/100)</f>
        <v>0.70714285714285707</v>
      </c>
      <c r="G59" s="152"/>
      <c r="H59" s="152">
        <f ca="1">((((C59/I56)*20)+((C60/I56)*25)+(30/(I56+G56+D56)*C61)+(5/I56*C62)+(5/I56*C63)+(5/I56*C64)+(5/I56*C65)+(0/I56*C66)+(0/I56*C67)+(5/I56*C68))/100)</f>
        <v>0.87857142857142856</v>
      </c>
      <c r="I59" s="152"/>
      <c r="J59" s="152"/>
      <c r="K59" s="38" t="s">
        <v>145</v>
      </c>
      <c r="L59" s="52">
        <f ca="1">I56*50%</f>
        <v>3.5</v>
      </c>
    </row>
    <row r="60" spans="1:12" x14ac:dyDescent="0.35">
      <c r="A60" s="150" t="s">
        <v>67</v>
      </c>
      <c r="B60" s="150"/>
      <c r="C60" s="53">
        <v>7</v>
      </c>
      <c r="D60" s="152">
        <f ca="1">((100/I56)*C60)/100</f>
        <v>1</v>
      </c>
      <c r="E60" s="152"/>
      <c r="F60" s="152"/>
      <c r="G60" s="152"/>
      <c r="H60" s="152"/>
      <c r="I60" s="152"/>
      <c r="J60" s="152"/>
      <c r="K60" s="38" t="s">
        <v>146</v>
      </c>
      <c r="L60" s="52">
        <f ca="1">I56</f>
        <v>7</v>
      </c>
    </row>
    <row r="61" spans="1:12" x14ac:dyDescent="0.35">
      <c r="A61" s="209" t="s">
        <v>256</v>
      </c>
      <c r="B61" s="209"/>
      <c r="C61" s="53">
        <v>8</v>
      </c>
      <c r="D61" s="152">
        <f ca="1">((100/(D56+G56+I56))*C61)/100</f>
        <v>1</v>
      </c>
      <c r="E61" s="152"/>
      <c r="F61" s="152"/>
      <c r="G61" s="152"/>
      <c r="H61" s="152"/>
      <c r="I61" s="152"/>
      <c r="J61" s="152"/>
      <c r="K61" s="38" t="s">
        <v>147</v>
      </c>
      <c r="L61" s="54">
        <f ca="1">(IF(B56&gt;1,(I56/(B56+2)),I56/4))</f>
        <v>1.75</v>
      </c>
    </row>
    <row r="62" spans="1:12" x14ac:dyDescent="0.35">
      <c r="A62" s="150" t="s">
        <v>242</v>
      </c>
      <c r="B62" s="150" t="s">
        <v>243</v>
      </c>
      <c r="C62" s="51">
        <v>7</v>
      </c>
      <c r="D62" s="152">
        <f ca="1">((100/I56)*C62)/100</f>
        <v>1</v>
      </c>
      <c r="E62" s="152"/>
      <c r="F62" s="152"/>
      <c r="G62" s="152"/>
      <c r="H62" s="152"/>
      <c r="I62" s="152"/>
      <c r="J62" s="152"/>
      <c r="K62" s="38" t="s">
        <v>148</v>
      </c>
      <c r="L62" s="54">
        <f ca="1">(IF(B56&gt;1,(I56/(B56+2)+L61),I56/4+L61))</f>
        <v>3.5</v>
      </c>
    </row>
    <row r="63" spans="1:12" x14ac:dyDescent="0.35">
      <c r="A63" s="150" t="s">
        <v>244</v>
      </c>
      <c r="B63" s="150" t="s">
        <v>243</v>
      </c>
      <c r="C63" s="51">
        <v>7</v>
      </c>
      <c r="D63" s="152">
        <f ca="1">((100/I56)*C63)/100</f>
        <v>1</v>
      </c>
      <c r="E63" s="152"/>
      <c r="F63" s="152"/>
      <c r="G63" s="152"/>
      <c r="H63" s="152"/>
      <c r="I63" s="152"/>
      <c r="J63" s="152"/>
      <c r="K63" s="38" t="s">
        <v>245</v>
      </c>
      <c r="L63" s="54">
        <f>(IF(B56&gt;1,(I56/(B56+2)+L62),0))</f>
        <v>0</v>
      </c>
    </row>
    <row r="64" spans="1:12" x14ac:dyDescent="0.35">
      <c r="A64" s="150" t="s">
        <v>246</v>
      </c>
      <c r="B64" s="150" t="s">
        <v>247</v>
      </c>
      <c r="C64" s="51">
        <v>4</v>
      </c>
      <c r="D64" s="152">
        <f ca="1">((100/(I56))*C64)/100</f>
        <v>0.57142857142857151</v>
      </c>
      <c r="E64" s="152"/>
      <c r="F64" s="152"/>
      <c r="G64" s="152"/>
      <c r="H64" s="152"/>
      <c r="I64" s="152"/>
      <c r="J64" s="152"/>
      <c r="K64" s="38" t="s">
        <v>248</v>
      </c>
      <c r="L64" s="54">
        <f>(IF(B56&gt;2,(I56/(B56+2)+L63),0))</f>
        <v>0</v>
      </c>
    </row>
    <row r="65" spans="1:12" x14ac:dyDescent="0.35">
      <c r="A65" s="150" t="s">
        <v>249</v>
      </c>
      <c r="B65" s="150" t="s">
        <v>249</v>
      </c>
      <c r="C65" s="51">
        <v>0</v>
      </c>
      <c r="D65" s="152">
        <f ca="1">((100/I56)*C65)/100</f>
        <v>0</v>
      </c>
      <c r="E65" s="152"/>
      <c r="F65" s="152"/>
      <c r="G65" s="152"/>
      <c r="H65" s="152"/>
      <c r="I65" s="152"/>
      <c r="J65" s="152"/>
      <c r="K65" s="38" t="s">
        <v>250</v>
      </c>
      <c r="L65" s="55">
        <f>(IF(B56&gt;3,(I56/(B56+2)+L64),0))</f>
        <v>0</v>
      </c>
    </row>
    <row r="66" spans="1:12" ht="15" customHeight="1" x14ac:dyDescent="0.35">
      <c r="A66" s="150" t="s">
        <v>251</v>
      </c>
      <c r="B66" s="150"/>
      <c r="C66" s="51">
        <v>0</v>
      </c>
      <c r="D66" s="152">
        <f ca="1">((100/I56)*C66)/100</f>
        <v>0</v>
      </c>
      <c r="E66" s="152"/>
      <c r="F66" s="152"/>
      <c r="G66" s="152"/>
      <c r="H66" s="152"/>
      <c r="I66" s="152"/>
      <c r="J66" s="152"/>
      <c r="K66" s="38" t="s">
        <v>252</v>
      </c>
      <c r="L66" s="54">
        <f>(IF(B56&gt;4,(I56/(B56+2)+L65),0))</f>
        <v>0</v>
      </c>
    </row>
    <row r="67" spans="1:12" x14ac:dyDescent="0.35">
      <c r="A67" s="150" t="s">
        <v>253</v>
      </c>
      <c r="B67" s="150" t="s">
        <v>253</v>
      </c>
      <c r="C67" s="51">
        <v>0</v>
      </c>
      <c r="D67" s="152">
        <f ca="1">((100/(I56))*C67)/100</f>
        <v>0</v>
      </c>
      <c r="E67" s="152"/>
      <c r="F67" s="152"/>
      <c r="G67" s="152"/>
      <c r="H67" s="152"/>
      <c r="I67" s="152"/>
      <c r="J67" s="152"/>
      <c r="K67" s="38" t="s">
        <v>149</v>
      </c>
      <c r="L67" s="54">
        <f ca="1">(IF(B56=1,(I56/(B56+3)+L62),IF(B56=0,(I56/4+L62),IF(B56&gt;1,0))))</f>
        <v>5.25</v>
      </c>
    </row>
    <row r="68" spans="1:12" ht="16" thickBot="1" x14ac:dyDescent="0.4">
      <c r="A68" s="150" t="s">
        <v>254</v>
      </c>
      <c r="B68" s="150"/>
      <c r="C68" s="51">
        <v>0</v>
      </c>
      <c r="D68" s="152">
        <f ca="1">((100/(I56))*C68)/100</f>
        <v>0</v>
      </c>
      <c r="E68" s="152"/>
      <c r="F68" s="152"/>
      <c r="G68" s="152"/>
      <c r="H68" s="152"/>
      <c r="I68" s="152"/>
      <c r="J68" s="152"/>
      <c r="K68" s="39" t="s">
        <v>150</v>
      </c>
      <c r="L68" s="56">
        <f ca="1">(IF(B56&gt;1.5,(I56/(B56+2)+L62+MAX(0,L63-L62)+MAX(0,L64-L63)+MAX(0,L65-L64)+MAX(0,L66-L65)+MAX(0,L67-L66)),IF(B56=1,(I56/(B56+3)+L67),IF(B56=0,I56/4+L67))))</f>
        <v>7</v>
      </c>
    </row>
    <row r="69" spans="1:12" ht="15" customHeight="1" x14ac:dyDescent="0.35">
      <c r="A69" s="213" t="s">
        <v>232</v>
      </c>
      <c r="B69" s="213"/>
      <c r="C69" s="214" t="s">
        <v>257</v>
      </c>
      <c r="D69" s="214"/>
      <c r="E69" s="214"/>
      <c r="F69" s="214"/>
      <c r="G69" s="214"/>
      <c r="H69" s="214"/>
      <c r="I69" s="214"/>
      <c r="J69" s="214"/>
      <c r="K69" s="36" t="str">
        <f ca="1">(IF(F73&gt;99%,"All work completed. Please provide OC.",IF(F73&gt;89.8%,"Plinth, RCC, Brick, Plaster, Flooring, Painting work Completed. Finishing work is in process.",IF(F73&lt;94%,(IF(C73=0,"Work not yet Started.",IF(D73=25%,"Piling work in process",IF(D73=50%,"Excavation work in process",IF(D73=100%,"Excavation work Completed. ","0")))&amp;(IF(C74=0%,"",IF(C74=L75,"Footing work is process",IF(C74=L76,"Footing work Completed",IF(C74=L77,"1st Basement Completed",IF(C74=L78,"1st &amp; 2nd Basement Completed",IF(C74=L79,"1st to 3rd Basement Completed",IF(C74=L80,"1st to 4th Basement Completed",IF(C74=L81,"Plinth work is process",IF(C74=L82,"Plinth work completed","0")))))))))))&amp;(IF(C75=(D70+G70+I70),", RCC Slab",IF(C75&gt;0,", RCC upto "&amp;C75&amp;" Slab",""))&amp;(IF(C76=I70,", Brickwork",IF(C76&gt;0,", Brickwork upto "&amp;C76&amp;" Floor",""))&amp;(IF(C77=I70,", Internal Plaster",IF(C77&gt;0,", Internal Plaster upto "&amp;C77&amp;" Floor",""))&amp;(IF(C78=I70,", External Plaster",IF(C78&gt;0,", External Plaster upto "&amp;C78&amp;" Floor",""))&amp;(IF(C79=I70,", Flooring",IF(C79&gt;0,", Flooring upto "&amp;C79&amp;" Floor",""))&amp;(IF(C80=I70,", Painting",IF(C80&gt;0,", Painting upto "&amp;C80&amp;" Floor",""))&amp;(IF(C81&gt;0,", Finishing upto "&amp;C81&amp;" Floor","")&amp;(IF(C75&gt;0.5," Completed",""))))))))))))))</f>
        <v>All work completed. Please provide OC.</v>
      </c>
      <c r="L69" s="48"/>
    </row>
    <row r="70" spans="1:12" ht="15.75" customHeight="1" x14ac:dyDescent="0.35">
      <c r="A70" s="70" t="s">
        <v>137</v>
      </c>
      <c r="B70" s="70">
        <v>0</v>
      </c>
      <c r="C70" s="70" t="s">
        <v>139</v>
      </c>
      <c r="D70" s="70">
        <v>1</v>
      </c>
      <c r="E70" s="209" t="s">
        <v>138</v>
      </c>
      <c r="F70" s="209"/>
      <c r="G70" s="70">
        <v>0</v>
      </c>
      <c r="H70" s="70" t="s">
        <v>233</v>
      </c>
      <c r="I70" s="209">
        <f ca="1">--TRIM(RIGHT(SUBSTITUTE(LEFT(C69,_xlfn.AGGREGATE(16,6,FIND({0,1,2,3,4,5,6,7,8,9},C69,ROW(INDIRECT("1:"&amp;LEN(C69)))),1))," ",REPT(" ",LEN(C69))),LEN(C69)))</f>
        <v>7</v>
      </c>
      <c r="J70" s="209"/>
      <c r="K70" s="37"/>
      <c r="L70" s="49"/>
    </row>
    <row r="71" spans="1:12" x14ac:dyDescent="0.35">
      <c r="A71" s="144" t="s">
        <v>234</v>
      </c>
      <c r="B71" s="144"/>
      <c r="C71" s="214" t="str">
        <f ca="1">K69</f>
        <v>All work completed. Please provide OC.</v>
      </c>
      <c r="D71" s="214"/>
      <c r="E71" s="214"/>
      <c r="F71" s="214"/>
      <c r="G71" s="214"/>
      <c r="H71" s="214"/>
      <c r="I71" s="214"/>
      <c r="J71" s="214"/>
      <c r="K71" s="37" t="s">
        <v>235</v>
      </c>
      <c r="L71" s="49"/>
    </row>
    <row r="72" spans="1:12" x14ac:dyDescent="0.35">
      <c r="A72" s="150" t="s">
        <v>66</v>
      </c>
      <c r="B72" s="150"/>
      <c r="C72" s="69" t="s">
        <v>236</v>
      </c>
      <c r="D72" s="150" t="s">
        <v>237</v>
      </c>
      <c r="E72" s="150"/>
      <c r="F72" s="150" t="s">
        <v>238</v>
      </c>
      <c r="G72" s="150"/>
      <c r="H72" s="150" t="s">
        <v>239</v>
      </c>
      <c r="I72" s="150"/>
      <c r="J72" s="150"/>
      <c r="K72" s="38" t="s">
        <v>240</v>
      </c>
      <c r="L72" s="50">
        <f ca="1">I70*25%</f>
        <v>1.75</v>
      </c>
    </row>
    <row r="73" spans="1:12" x14ac:dyDescent="0.35">
      <c r="A73" s="150" t="s">
        <v>241</v>
      </c>
      <c r="B73" s="150"/>
      <c r="C73" s="51">
        <v>7</v>
      </c>
      <c r="D73" s="152">
        <f ca="1">((100/I70)*C73)/100</f>
        <v>1</v>
      </c>
      <c r="E73" s="152"/>
      <c r="F73" s="152">
        <f ca="1">(((C74/I70*10)+(40/(D70+G70+I70)*C75)+(7.5/(I70)*C76)+(7.5/(I70)*C77)+(10/I70*C78)+(10/I70*C79)+(5/I70*C80)+(5/I70*C81)+(5/I70*C82))/100)</f>
        <v>1</v>
      </c>
      <c r="G73" s="152"/>
      <c r="H73" s="152">
        <f ca="1">((((C73/I70)*20)+((C74/I70)*25)+(30/(I70+G70+D70)*C75)+(5/I70*C76)+(5/I70*C77)+(5/I70*C78)+(5/I70*C79)+(0/I70*C80)+(0/I70*C81)+(5/I70*C82))/100)</f>
        <v>1</v>
      </c>
      <c r="I73" s="152"/>
      <c r="J73" s="152"/>
      <c r="K73" s="38" t="s">
        <v>145</v>
      </c>
      <c r="L73" s="52">
        <f ca="1">I70*50%</f>
        <v>3.5</v>
      </c>
    </row>
    <row r="74" spans="1:12" x14ac:dyDescent="0.35">
      <c r="A74" s="150" t="s">
        <v>67</v>
      </c>
      <c r="B74" s="150"/>
      <c r="C74" s="53">
        <v>7</v>
      </c>
      <c r="D74" s="152">
        <f ca="1">((100/I70)*C74)/100</f>
        <v>1</v>
      </c>
      <c r="E74" s="152"/>
      <c r="F74" s="152"/>
      <c r="G74" s="152"/>
      <c r="H74" s="152"/>
      <c r="I74" s="152"/>
      <c r="J74" s="152"/>
      <c r="K74" s="38" t="s">
        <v>146</v>
      </c>
      <c r="L74" s="52">
        <f ca="1">I70</f>
        <v>7</v>
      </c>
    </row>
    <row r="75" spans="1:12" x14ac:dyDescent="0.35">
      <c r="A75" s="209" t="s">
        <v>256</v>
      </c>
      <c r="B75" s="209"/>
      <c r="C75" s="53">
        <v>8</v>
      </c>
      <c r="D75" s="152">
        <f ca="1">((100/(D70+G70+I70))*C75)/100</f>
        <v>1</v>
      </c>
      <c r="E75" s="152"/>
      <c r="F75" s="152"/>
      <c r="G75" s="152"/>
      <c r="H75" s="152"/>
      <c r="I75" s="152"/>
      <c r="J75" s="152"/>
      <c r="K75" s="38" t="s">
        <v>147</v>
      </c>
      <c r="L75" s="54">
        <f ca="1">(IF(B70&gt;1,(I70/(B70+2)),I70/4))</f>
        <v>1.75</v>
      </c>
    </row>
    <row r="76" spans="1:12" x14ac:dyDescent="0.35">
      <c r="A76" s="150" t="s">
        <v>242</v>
      </c>
      <c r="B76" s="150" t="s">
        <v>243</v>
      </c>
      <c r="C76" s="51">
        <v>7</v>
      </c>
      <c r="D76" s="152">
        <f ca="1">((100/I70)*C76)/100</f>
        <v>1</v>
      </c>
      <c r="E76" s="152"/>
      <c r="F76" s="152"/>
      <c r="G76" s="152"/>
      <c r="H76" s="152"/>
      <c r="I76" s="152"/>
      <c r="J76" s="152"/>
      <c r="K76" s="38" t="s">
        <v>148</v>
      </c>
      <c r="L76" s="54">
        <f ca="1">(IF(B70&gt;1,(I70/(B70+2)+L75),I70/4+L75))</f>
        <v>3.5</v>
      </c>
    </row>
    <row r="77" spans="1:12" x14ac:dyDescent="0.35">
      <c r="A77" s="150" t="s">
        <v>244</v>
      </c>
      <c r="B77" s="150" t="s">
        <v>243</v>
      </c>
      <c r="C77" s="51">
        <v>7</v>
      </c>
      <c r="D77" s="152">
        <f ca="1">((100/I70)*C77)/100</f>
        <v>1</v>
      </c>
      <c r="E77" s="152"/>
      <c r="F77" s="152"/>
      <c r="G77" s="152"/>
      <c r="H77" s="152"/>
      <c r="I77" s="152"/>
      <c r="J77" s="152"/>
      <c r="K77" s="38" t="s">
        <v>245</v>
      </c>
      <c r="L77" s="54">
        <f>(IF(B70&gt;1,(I70/(B70+2)+L76),0))</f>
        <v>0</v>
      </c>
    </row>
    <row r="78" spans="1:12" x14ac:dyDescent="0.35">
      <c r="A78" s="209" t="s">
        <v>246</v>
      </c>
      <c r="B78" s="209" t="s">
        <v>247</v>
      </c>
      <c r="C78" s="51">
        <v>7</v>
      </c>
      <c r="D78" s="152">
        <f ca="1">((100/(I70))*C78)/100</f>
        <v>1</v>
      </c>
      <c r="E78" s="152"/>
      <c r="F78" s="152"/>
      <c r="G78" s="152"/>
      <c r="H78" s="152"/>
      <c r="I78" s="152"/>
      <c r="J78" s="152"/>
      <c r="K78" s="38" t="s">
        <v>248</v>
      </c>
      <c r="L78" s="54">
        <f>(IF(B70&gt;2,(I70/(B70+2)+L77),0))</f>
        <v>0</v>
      </c>
    </row>
    <row r="79" spans="1:12" x14ac:dyDescent="0.35">
      <c r="A79" s="150" t="s">
        <v>249</v>
      </c>
      <c r="B79" s="150" t="s">
        <v>249</v>
      </c>
      <c r="C79" s="51">
        <v>7</v>
      </c>
      <c r="D79" s="152">
        <f ca="1">((100/I70)*C79)/100</f>
        <v>1</v>
      </c>
      <c r="E79" s="152"/>
      <c r="F79" s="152"/>
      <c r="G79" s="152"/>
      <c r="H79" s="152"/>
      <c r="I79" s="152"/>
      <c r="J79" s="152"/>
      <c r="K79" s="38" t="s">
        <v>250</v>
      </c>
      <c r="L79" s="55">
        <f>(IF(B70&gt;3,(I70/(B70+2)+L78),0))</f>
        <v>0</v>
      </c>
    </row>
    <row r="80" spans="1:12" ht="15" customHeight="1" x14ac:dyDescent="0.35">
      <c r="A80" s="150" t="s">
        <v>251</v>
      </c>
      <c r="B80" s="150"/>
      <c r="C80" s="51">
        <v>7</v>
      </c>
      <c r="D80" s="152">
        <f ca="1">((100/I70)*C80)/100</f>
        <v>1</v>
      </c>
      <c r="E80" s="152"/>
      <c r="F80" s="152"/>
      <c r="G80" s="152"/>
      <c r="H80" s="152"/>
      <c r="I80" s="152"/>
      <c r="J80" s="152"/>
      <c r="K80" s="38" t="s">
        <v>252</v>
      </c>
      <c r="L80" s="54">
        <f>(IF(B70&gt;4,(I70/(B70+2)+L79),0))</f>
        <v>0</v>
      </c>
    </row>
    <row r="81" spans="1:12" x14ac:dyDescent="0.35">
      <c r="A81" s="150" t="s">
        <v>253</v>
      </c>
      <c r="B81" s="150" t="s">
        <v>253</v>
      </c>
      <c r="C81" s="51">
        <v>7</v>
      </c>
      <c r="D81" s="152">
        <f ca="1">((100/(I70))*C81)/100</f>
        <v>1</v>
      </c>
      <c r="E81" s="152"/>
      <c r="F81" s="152"/>
      <c r="G81" s="152"/>
      <c r="H81" s="152"/>
      <c r="I81" s="152"/>
      <c r="J81" s="152"/>
      <c r="K81" s="38" t="s">
        <v>149</v>
      </c>
      <c r="L81" s="54">
        <f ca="1">(IF(B70=1,(I70/(B70+3)+L76),IF(B70=0,(I70/4+L76),IF(B70&gt;1,0))))</f>
        <v>5.25</v>
      </c>
    </row>
    <row r="82" spans="1:12" ht="16" thickBot="1" x14ac:dyDescent="0.4">
      <c r="A82" s="150" t="s">
        <v>254</v>
      </c>
      <c r="B82" s="150"/>
      <c r="C82" s="51">
        <v>7</v>
      </c>
      <c r="D82" s="152">
        <f ca="1">((100/(I70))*C82)/100</f>
        <v>1</v>
      </c>
      <c r="E82" s="152"/>
      <c r="F82" s="152"/>
      <c r="G82" s="152"/>
      <c r="H82" s="152"/>
      <c r="I82" s="152"/>
      <c r="J82" s="152"/>
      <c r="K82" s="39" t="s">
        <v>150</v>
      </c>
      <c r="L82" s="56">
        <f ca="1">(IF(B70&gt;1.5,(I70/(B70+2)+L76+MAX(0,L77-L76)+MAX(0,L78-L77)+MAX(0,L79-L78)+MAX(0,L80-L79)+MAX(0,L81-L80)),IF(B70=1,(I70/(B70+3)+L81),IF(B70=0,I70/4+L81))))</f>
        <v>7</v>
      </c>
    </row>
    <row r="83" spans="1:12" x14ac:dyDescent="0.35">
      <c r="A83" s="210" t="s">
        <v>206</v>
      </c>
      <c r="B83" s="211"/>
      <c r="C83" s="211"/>
      <c r="D83" s="211"/>
      <c r="E83" s="211"/>
      <c r="F83" s="211"/>
      <c r="G83" s="211"/>
      <c r="H83" s="211"/>
      <c r="I83" s="211"/>
      <c r="J83" s="212"/>
    </row>
    <row r="84" spans="1:12" x14ac:dyDescent="0.35">
      <c r="A84" s="73" t="s">
        <v>72</v>
      </c>
      <c r="B84" s="74"/>
      <c r="C84" s="74"/>
      <c r="D84" s="74"/>
      <c r="E84" s="74"/>
      <c r="F84" s="74"/>
      <c r="G84" s="74"/>
      <c r="H84" s="74"/>
      <c r="I84" s="74"/>
      <c r="J84" s="75"/>
    </row>
    <row r="85" spans="1:12" x14ac:dyDescent="0.35">
      <c r="A85" s="135" t="s">
        <v>143</v>
      </c>
      <c r="B85" s="136"/>
      <c r="C85" s="137" t="s">
        <v>144</v>
      </c>
      <c r="D85" s="138"/>
      <c r="E85" s="138"/>
      <c r="F85" s="138"/>
      <c r="G85" s="138"/>
      <c r="H85" s="138"/>
      <c r="I85" s="138"/>
      <c r="J85" s="139"/>
    </row>
    <row r="86" spans="1:12" x14ac:dyDescent="0.35">
      <c r="A86" s="132" t="s">
        <v>73</v>
      </c>
      <c r="B86" s="133"/>
      <c r="C86" s="133"/>
      <c r="D86" s="133"/>
      <c r="E86" s="133"/>
      <c r="F86" s="133"/>
      <c r="G86" s="133"/>
      <c r="H86" s="133"/>
      <c r="I86" s="133"/>
      <c r="J86" s="134"/>
    </row>
    <row r="87" spans="1:12" x14ac:dyDescent="0.35">
      <c r="A87" s="73" t="s">
        <v>152</v>
      </c>
      <c r="B87" s="74"/>
      <c r="C87" s="74"/>
      <c r="D87" s="74"/>
      <c r="E87" s="74"/>
      <c r="F87" s="75"/>
      <c r="G87" s="73">
        <v>3200</v>
      </c>
      <c r="H87" s="74"/>
      <c r="I87" s="74"/>
      <c r="J87" s="75"/>
    </row>
    <row r="88" spans="1:12" x14ac:dyDescent="0.35">
      <c r="A88" s="140" t="s">
        <v>153</v>
      </c>
      <c r="B88" s="141"/>
      <c r="C88" s="141"/>
      <c r="D88" s="141"/>
      <c r="E88" s="141"/>
      <c r="F88" s="142"/>
      <c r="G88" s="140">
        <v>4500</v>
      </c>
      <c r="H88" s="141"/>
      <c r="I88" s="141"/>
      <c r="J88" s="142"/>
    </row>
    <row r="89" spans="1:12" hidden="1" x14ac:dyDescent="0.35">
      <c r="A89" s="73" t="s">
        <v>74</v>
      </c>
      <c r="B89" s="74"/>
      <c r="C89" s="74"/>
      <c r="D89" s="74"/>
      <c r="E89" s="74"/>
      <c r="F89" s="75"/>
      <c r="G89" s="77" t="s">
        <v>36</v>
      </c>
      <c r="H89" s="78"/>
      <c r="I89" s="78"/>
      <c r="J89" s="79"/>
    </row>
    <row r="90" spans="1:12" hidden="1" x14ac:dyDescent="0.35">
      <c r="A90" s="73" t="s">
        <v>75</v>
      </c>
      <c r="B90" s="74"/>
      <c r="C90" s="74"/>
      <c r="D90" s="74"/>
      <c r="E90" s="74"/>
      <c r="F90" s="75"/>
      <c r="G90" s="77" t="s">
        <v>36</v>
      </c>
      <c r="H90" s="78"/>
      <c r="I90" s="78"/>
      <c r="J90" s="79"/>
    </row>
    <row r="91" spans="1:12" x14ac:dyDescent="0.35">
      <c r="A91" s="73" t="s">
        <v>213</v>
      </c>
      <c r="B91" s="74"/>
      <c r="C91" s="74"/>
      <c r="D91" s="74"/>
      <c r="E91" s="74"/>
      <c r="F91" s="75"/>
      <c r="G91" s="77" t="s">
        <v>214</v>
      </c>
      <c r="H91" s="78"/>
      <c r="I91" s="78"/>
      <c r="J91" s="79"/>
    </row>
    <row r="92" spans="1:12" ht="15.75" customHeight="1" x14ac:dyDescent="0.35">
      <c r="A92" s="77" t="s">
        <v>261</v>
      </c>
      <c r="B92" s="78"/>
      <c r="C92" s="78"/>
      <c r="D92" s="78"/>
      <c r="E92" s="78"/>
      <c r="F92" s="79"/>
      <c r="G92" s="77" t="s">
        <v>262</v>
      </c>
      <c r="H92" s="78"/>
      <c r="I92" s="78"/>
      <c r="J92" s="79"/>
    </row>
    <row r="93" spans="1:12" hidden="1" x14ac:dyDescent="0.35">
      <c r="A93" s="73" t="s">
        <v>76</v>
      </c>
      <c r="B93" s="74"/>
      <c r="C93" s="74"/>
      <c r="D93" s="74"/>
      <c r="E93" s="74"/>
      <c r="F93" s="75"/>
      <c r="G93" s="77" t="s">
        <v>36</v>
      </c>
      <c r="H93" s="78"/>
      <c r="I93" s="78"/>
      <c r="J93" s="79"/>
    </row>
    <row r="94" spans="1:12" x14ac:dyDescent="0.35">
      <c r="A94" s="73" t="s">
        <v>77</v>
      </c>
      <c r="B94" s="74"/>
      <c r="C94" s="74"/>
      <c r="D94" s="74"/>
      <c r="E94" s="74"/>
      <c r="F94" s="75"/>
      <c r="G94" s="77" t="s">
        <v>161</v>
      </c>
      <c r="H94" s="78"/>
      <c r="I94" s="78"/>
      <c r="J94" s="79"/>
    </row>
    <row r="95" spans="1:12" x14ac:dyDescent="0.35">
      <c r="A95" s="73" t="s">
        <v>215</v>
      </c>
      <c r="B95" s="74"/>
      <c r="C95" s="74"/>
      <c r="D95" s="74"/>
      <c r="E95" s="74"/>
      <c r="F95" s="75"/>
      <c r="G95" s="77" t="s">
        <v>260</v>
      </c>
      <c r="H95" s="78"/>
      <c r="I95" s="78"/>
      <c r="J95" s="79"/>
    </row>
    <row r="96" spans="1:12" s="57" customFormat="1" x14ac:dyDescent="0.35">
      <c r="A96" s="132" t="s">
        <v>78</v>
      </c>
      <c r="B96" s="133"/>
      <c r="C96" s="133"/>
      <c r="D96" s="133"/>
      <c r="E96" s="133"/>
      <c r="F96" s="134"/>
      <c r="G96" s="73">
        <f>G87*0.8</f>
        <v>2560</v>
      </c>
      <c r="H96" s="74"/>
      <c r="I96" s="74"/>
      <c r="J96" s="75"/>
    </row>
    <row r="97" spans="1:12" s="58" customFormat="1" ht="15.75" customHeight="1" x14ac:dyDescent="0.35">
      <c r="A97" s="115" t="s">
        <v>154</v>
      </c>
      <c r="B97" s="116"/>
      <c r="C97" s="116"/>
      <c r="D97" s="116"/>
      <c r="E97" s="116"/>
      <c r="F97" s="116"/>
      <c r="G97" s="116"/>
      <c r="H97" s="116"/>
      <c r="I97" s="116"/>
      <c r="J97" s="131"/>
    </row>
    <row r="98" spans="1:12" s="58" customFormat="1" ht="15.75" customHeight="1" x14ac:dyDescent="0.35">
      <c r="A98" s="120" t="s">
        <v>79</v>
      </c>
      <c r="B98" s="122"/>
      <c r="C98" s="59" t="s">
        <v>179</v>
      </c>
      <c r="D98" s="128" t="s">
        <v>80</v>
      </c>
      <c r="E98" s="129"/>
      <c r="F98" s="130"/>
      <c r="G98" s="120" t="s">
        <v>81</v>
      </c>
      <c r="H98" s="121"/>
      <c r="I98" s="121"/>
      <c r="J98" s="122"/>
    </row>
    <row r="99" spans="1:12" s="58" customFormat="1" x14ac:dyDescent="0.35">
      <c r="A99" s="80" t="s">
        <v>193</v>
      </c>
      <c r="B99" s="81"/>
      <c r="C99" s="60">
        <f>COUNT(D112:E126)</f>
        <v>15</v>
      </c>
      <c r="D99" s="82">
        <f>SUM(D112:E126)</f>
        <v>1778.1051599999998</v>
      </c>
      <c r="E99" s="83"/>
      <c r="F99" s="84"/>
      <c r="G99" s="85">
        <f>SUM(G112:G126)</f>
        <v>2667.1577399999996</v>
      </c>
      <c r="H99" s="86"/>
      <c r="I99" s="86"/>
      <c r="J99" s="87"/>
    </row>
    <row r="100" spans="1:12" s="58" customFormat="1" x14ac:dyDescent="0.35">
      <c r="A100" s="80" t="s">
        <v>199</v>
      </c>
      <c r="B100" s="81"/>
      <c r="C100" s="60">
        <f>COUNT(D151:E171)</f>
        <v>21</v>
      </c>
      <c r="D100" s="82">
        <f>SUM(D151:E171)</f>
        <v>6132.3584399999982</v>
      </c>
      <c r="E100" s="83"/>
      <c r="F100" s="84"/>
      <c r="G100" s="85">
        <f>SUM(G151:G171)</f>
        <v>9198.5376599999981</v>
      </c>
      <c r="H100" s="86"/>
      <c r="I100" s="86"/>
      <c r="J100" s="87"/>
    </row>
    <row r="101" spans="1:12" s="58" customFormat="1" x14ac:dyDescent="0.35">
      <c r="A101" s="115" t="s">
        <v>83</v>
      </c>
      <c r="B101" s="116"/>
      <c r="C101" s="59">
        <f>SUM(C99:C100)</f>
        <v>36</v>
      </c>
      <c r="D101" s="117">
        <f>SUM(D99:F100)</f>
        <v>7910.4635999999982</v>
      </c>
      <c r="E101" s="118"/>
      <c r="F101" s="119"/>
      <c r="G101" s="120">
        <f>SUM(G99:J100)</f>
        <v>11865.695399999997</v>
      </c>
      <c r="H101" s="121"/>
      <c r="I101" s="121"/>
      <c r="J101" s="122"/>
      <c r="L101" s="67">
        <f>SUM(D101,D106)</f>
        <v>86657.95008000001</v>
      </c>
    </row>
    <row r="102" spans="1:12" s="58" customFormat="1" x14ac:dyDescent="0.35">
      <c r="A102" s="115" t="s">
        <v>136</v>
      </c>
      <c r="B102" s="116"/>
      <c r="C102" s="116"/>
      <c r="D102" s="116"/>
      <c r="E102" s="116"/>
      <c r="F102" s="116"/>
      <c r="G102" s="116"/>
      <c r="H102" s="116"/>
      <c r="I102" s="116"/>
      <c r="J102" s="131"/>
    </row>
    <row r="103" spans="1:12" s="58" customFormat="1" x14ac:dyDescent="0.35">
      <c r="A103" s="120" t="s">
        <v>79</v>
      </c>
      <c r="B103" s="122"/>
      <c r="C103" s="59" t="s">
        <v>179</v>
      </c>
      <c r="D103" s="128" t="s">
        <v>80</v>
      </c>
      <c r="E103" s="129"/>
      <c r="F103" s="130"/>
      <c r="G103" s="120" t="s">
        <v>81</v>
      </c>
      <c r="H103" s="121"/>
      <c r="I103" s="121"/>
      <c r="J103" s="122"/>
    </row>
    <row r="104" spans="1:12" s="58" customFormat="1" x14ac:dyDescent="0.35">
      <c r="A104" s="80" t="s">
        <v>193</v>
      </c>
      <c r="B104" s="81"/>
      <c r="C104" s="61">
        <f>COUNT(D128:E137)+COUNT(D139:E148)*6</f>
        <v>70</v>
      </c>
      <c r="D104" s="82">
        <f>SUM(D128:E137)+SUM(D139:E148)*6</f>
        <v>28451.404800000004</v>
      </c>
      <c r="E104" s="83"/>
      <c r="F104" s="84"/>
      <c r="G104" s="85">
        <f>SUM(G128:G137)+SUM(G139:G148)*6</f>
        <v>44777.74</v>
      </c>
      <c r="H104" s="86"/>
      <c r="I104" s="86"/>
      <c r="J104" s="87"/>
    </row>
    <row r="105" spans="1:12" s="58" customFormat="1" x14ac:dyDescent="0.35">
      <c r="A105" s="80" t="s">
        <v>199</v>
      </c>
      <c r="B105" s="81"/>
      <c r="C105" s="61">
        <f>COUNT(D173:E186)+COUNT(D188:E201)*3+COUNT(D203:E216)*3</f>
        <v>98</v>
      </c>
      <c r="D105" s="82">
        <f>SUM(D173:E186)+SUM(D188:E201)*3+SUM(D203:E216)*3</f>
        <v>50296.081680000003</v>
      </c>
      <c r="E105" s="83"/>
      <c r="F105" s="84"/>
      <c r="G105" s="85">
        <f>SUM(G173:G186)+SUM(G188:G201)*3+SUM(G203:G216)*3</f>
        <v>79840.48000000001</v>
      </c>
      <c r="H105" s="86"/>
      <c r="I105" s="86"/>
      <c r="J105" s="87"/>
    </row>
    <row r="106" spans="1:12" s="58" customFormat="1" x14ac:dyDescent="0.35">
      <c r="A106" s="115" t="s">
        <v>83</v>
      </c>
      <c r="B106" s="116"/>
      <c r="C106" s="59">
        <f>SUM(C104:C105)</f>
        <v>168</v>
      </c>
      <c r="D106" s="117">
        <f>SUM(D104:F105)</f>
        <v>78747.486480000007</v>
      </c>
      <c r="E106" s="118"/>
      <c r="F106" s="119"/>
      <c r="G106" s="120">
        <f>SUM(G104:J105)</f>
        <v>124618.22</v>
      </c>
      <c r="H106" s="121"/>
      <c r="I106" s="121"/>
      <c r="J106" s="122"/>
    </row>
    <row r="107" spans="1:12" s="57" customFormat="1" x14ac:dyDescent="0.35">
      <c r="A107" s="123" t="s">
        <v>84</v>
      </c>
      <c r="B107" s="124"/>
      <c r="C107" s="124"/>
      <c r="D107" s="124"/>
      <c r="E107" s="124"/>
      <c r="F107" s="124"/>
      <c r="G107" s="124"/>
      <c r="H107" s="124"/>
      <c r="I107" s="124"/>
      <c r="J107" s="125"/>
    </row>
    <row r="108" spans="1:12" x14ac:dyDescent="0.35">
      <c r="A108" s="123" t="s">
        <v>85</v>
      </c>
      <c r="B108" s="124"/>
      <c r="C108" s="124"/>
      <c r="D108" s="124"/>
      <c r="E108" s="124"/>
      <c r="F108" s="124"/>
      <c r="G108" s="124"/>
      <c r="H108" s="124"/>
      <c r="I108" s="124"/>
      <c r="J108" s="125"/>
    </row>
    <row r="109" spans="1:12" ht="45" x14ac:dyDescent="0.35">
      <c r="A109" s="126" t="s">
        <v>155</v>
      </c>
      <c r="B109" s="127"/>
      <c r="C109" s="1" t="s">
        <v>86</v>
      </c>
      <c r="D109" s="126" t="s">
        <v>87</v>
      </c>
      <c r="E109" s="127"/>
      <c r="F109" s="7" t="s">
        <v>88</v>
      </c>
      <c r="G109" s="1" t="s">
        <v>209</v>
      </c>
      <c r="H109" s="1" t="s">
        <v>89</v>
      </c>
      <c r="I109" s="126" t="s">
        <v>90</v>
      </c>
      <c r="J109" s="127"/>
    </row>
    <row r="110" spans="1:12" s="62" customFormat="1" x14ac:dyDescent="0.35">
      <c r="A110" s="105" t="s">
        <v>193</v>
      </c>
      <c r="B110" s="105"/>
      <c r="C110" s="105"/>
      <c r="D110" s="105"/>
      <c r="E110" s="105"/>
      <c r="F110" s="105"/>
      <c r="G110" s="105"/>
      <c r="H110" s="105"/>
      <c r="I110" s="105"/>
      <c r="J110" s="105"/>
    </row>
    <row r="111" spans="1:12" s="62" customFormat="1" x14ac:dyDescent="0.35">
      <c r="A111" s="105" t="s">
        <v>194</v>
      </c>
      <c r="B111" s="105"/>
      <c r="C111" s="105"/>
      <c r="D111" s="105"/>
      <c r="E111" s="105"/>
      <c r="F111" s="105"/>
      <c r="G111" s="105"/>
      <c r="H111" s="105"/>
      <c r="I111" s="105"/>
      <c r="J111" s="105"/>
    </row>
    <row r="112" spans="1:12" s="62" customFormat="1" ht="15.75" customHeight="1" x14ac:dyDescent="0.35">
      <c r="A112" s="99">
        <v>1</v>
      </c>
      <c r="B112" s="99"/>
      <c r="C112" s="72" t="s">
        <v>195</v>
      </c>
      <c r="D112" s="99">
        <f>(11.48*10.764)</f>
        <v>123.57071999999999</v>
      </c>
      <c r="E112" s="99"/>
      <c r="F112" s="72">
        <v>0</v>
      </c>
      <c r="G112" s="72">
        <f>D112*1.5</f>
        <v>185.35607999999999</v>
      </c>
      <c r="H112" s="72" t="s">
        <v>91</v>
      </c>
      <c r="I112" s="99" t="str">
        <f>A111</f>
        <v>Ground Floor for Commercial &amp; Parking</v>
      </c>
      <c r="J112" s="99"/>
    </row>
    <row r="113" spans="1:10" s="62" customFormat="1" x14ac:dyDescent="0.35">
      <c r="A113" s="99">
        <v>2</v>
      </c>
      <c r="B113" s="99"/>
      <c r="C113" s="72" t="s">
        <v>195</v>
      </c>
      <c r="D113" s="99">
        <f>(10.68*10.764)</f>
        <v>114.95951999999998</v>
      </c>
      <c r="E113" s="99"/>
      <c r="F113" s="72">
        <v>0</v>
      </c>
      <c r="G113" s="72">
        <f t="shared" ref="G113:G126" si="0">D113*1.5</f>
        <v>172.43927999999997</v>
      </c>
      <c r="H113" s="72" t="s">
        <v>91</v>
      </c>
      <c r="I113" s="99"/>
      <c r="J113" s="99"/>
    </row>
    <row r="114" spans="1:10" s="62" customFormat="1" x14ac:dyDescent="0.35">
      <c r="A114" s="99">
        <v>3</v>
      </c>
      <c r="B114" s="99"/>
      <c r="C114" s="72" t="s">
        <v>195</v>
      </c>
      <c r="D114" s="99">
        <f>(12.82*10.764)</f>
        <v>137.99447999999998</v>
      </c>
      <c r="E114" s="99"/>
      <c r="F114" s="72">
        <v>0</v>
      </c>
      <c r="G114" s="72">
        <f t="shared" si="0"/>
        <v>206.99171999999999</v>
      </c>
      <c r="H114" s="72" t="s">
        <v>91</v>
      </c>
      <c r="I114" s="99"/>
      <c r="J114" s="99"/>
    </row>
    <row r="115" spans="1:10" s="62" customFormat="1" x14ac:dyDescent="0.35">
      <c r="A115" s="99">
        <v>4</v>
      </c>
      <c r="B115" s="99"/>
      <c r="C115" s="72" t="s">
        <v>195</v>
      </c>
      <c r="D115" s="99">
        <f>(9.98*10.764)</f>
        <v>107.42471999999999</v>
      </c>
      <c r="E115" s="99"/>
      <c r="F115" s="72">
        <v>0</v>
      </c>
      <c r="G115" s="72">
        <f t="shared" si="0"/>
        <v>161.13708</v>
      </c>
      <c r="H115" s="72" t="s">
        <v>91</v>
      </c>
      <c r="I115" s="99"/>
      <c r="J115" s="99"/>
    </row>
    <row r="116" spans="1:10" s="62" customFormat="1" x14ac:dyDescent="0.35">
      <c r="A116" s="99">
        <v>5</v>
      </c>
      <c r="B116" s="99"/>
      <c r="C116" s="72" t="s">
        <v>195</v>
      </c>
      <c r="D116" s="99">
        <f>(10.68*10.764)</f>
        <v>114.95951999999998</v>
      </c>
      <c r="E116" s="99"/>
      <c r="F116" s="72">
        <v>0</v>
      </c>
      <c r="G116" s="72">
        <f t="shared" si="0"/>
        <v>172.43927999999997</v>
      </c>
      <c r="H116" s="72" t="s">
        <v>91</v>
      </c>
      <c r="I116" s="99"/>
      <c r="J116" s="99"/>
    </row>
    <row r="117" spans="1:10" s="62" customFormat="1" x14ac:dyDescent="0.35">
      <c r="A117" s="99">
        <v>6</v>
      </c>
      <c r="B117" s="99"/>
      <c r="C117" s="72" t="s">
        <v>195</v>
      </c>
      <c r="D117" s="99">
        <f>(11.58*10.764)</f>
        <v>124.64711999999999</v>
      </c>
      <c r="E117" s="99"/>
      <c r="F117" s="72">
        <v>0</v>
      </c>
      <c r="G117" s="72">
        <f t="shared" si="0"/>
        <v>186.97067999999999</v>
      </c>
      <c r="H117" s="72" t="s">
        <v>91</v>
      </c>
      <c r="I117" s="99"/>
      <c r="J117" s="99"/>
    </row>
    <row r="118" spans="1:10" s="62" customFormat="1" x14ac:dyDescent="0.35">
      <c r="A118" s="99">
        <v>7</v>
      </c>
      <c r="B118" s="99"/>
      <c r="C118" s="72" t="s">
        <v>195</v>
      </c>
      <c r="D118" s="99">
        <f>(11.58*10.764)</f>
        <v>124.64711999999999</v>
      </c>
      <c r="E118" s="99"/>
      <c r="F118" s="72">
        <v>0</v>
      </c>
      <c r="G118" s="72">
        <f t="shared" si="0"/>
        <v>186.97067999999999</v>
      </c>
      <c r="H118" s="72" t="s">
        <v>91</v>
      </c>
      <c r="I118" s="99"/>
      <c r="J118" s="99"/>
    </row>
    <row r="119" spans="1:10" s="62" customFormat="1" x14ac:dyDescent="0.35">
      <c r="A119" s="99">
        <v>8</v>
      </c>
      <c r="B119" s="99"/>
      <c r="C119" s="72" t="s">
        <v>195</v>
      </c>
      <c r="D119" s="99">
        <f>(10.69*10.764)</f>
        <v>115.06715999999999</v>
      </c>
      <c r="E119" s="99"/>
      <c r="F119" s="72">
        <v>0</v>
      </c>
      <c r="G119" s="72">
        <f t="shared" si="0"/>
        <v>172.60073999999997</v>
      </c>
      <c r="H119" s="72" t="s">
        <v>91</v>
      </c>
      <c r="I119" s="99"/>
      <c r="J119" s="99"/>
    </row>
    <row r="120" spans="1:10" s="62" customFormat="1" x14ac:dyDescent="0.35">
      <c r="A120" s="99">
        <v>9</v>
      </c>
      <c r="B120" s="99"/>
      <c r="C120" s="72" t="s">
        <v>195</v>
      </c>
      <c r="D120" s="99">
        <f>(9.85*10.764)</f>
        <v>106.02539999999999</v>
      </c>
      <c r="E120" s="99"/>
      <c r="F120" s="72">
        <v>0</v>
      </c>
      <c r="G120" s="72">
        <f t="shared" si="0"/>
        <v>159.03809999999999</v>
      </c>
      <c r="H120" s="72" t="s">
        <v>91</v>
      </c>
      <c r="I120" s="99"/>
      <c r="J120" s="99"/>
    </row>
    <row r="121" spans="1:10" s="62" customFormat="1" ht="15.75" customHeight="1" x14ac:dyDescent="0.35">
      <c r="A121" s="99">
        <v>10</v>
      </c>
      <c r="B121" s="99"/>
      <c r="C121" s="72" t="s">
        <v>195</v>
      </c>
      <c r="D121" s="99">
        <f>(9.85*10.764)</f>
        <v>106.02539999999999</v>
      </c>
      <c r="E121" s="99"/>
      <c r="F121" s="72">
        <v>0</v>
      </c>
      <c r="G121" s="72">
        <f t="shared" si="0"/>
        <v>159.03809999999999</v>
      </c>
      <c r="H121" s="72" t="s">
        <v>91</v>
      </c>
      <c r="I121" s="99"/>
      <c r="J121" s="99"/>
    </row>
    <row r="122" spans="1:10" s="62" customFormat="1" x14ac:dyDescent="0.35">
      <c r="A122" s="99">
        <v>11</v>
      </c>
      <c r="B122" s="99"/>
      <c r="C122" s="72" t="s">
        <v>195</v>
      </c>
      <c r="D122" s="99">
        <f>(10.68*10.764)</f>
        <v>114.95951999999998</v>
      </c>
      <c r="E122" s="99"/>
      <c r="F122" s="72">
        <v>0</v>
      </c>
      <c r="G122" s="72">
        <f t="shared" si="0"/>
        <v>172.43927999999997</v>
      </c>
      <c r="H122" s="72" t="s">
        <v>91</v>
      </c>
      <c r="I122" s="99"/>
      <c r="J122" s="99"/>
    </row>
    <row r="123" spans="1:10" s="62" customFormat="1" x14ac:dyDescent="0.35">
      <c r="A123" s="99">
        <v>12</v>
      </c>
      <c r="B123" s="99"/>
      <c r="C123" s="72" t="s">
        <v>195</v>
      </c>
      <c r="D123" s="99">
        <f>(11.58*10.764)</f>
        <v>124.64711999999999</v>
      </c>
      <c r="E123" s="99"/>
      <c r="F123" s="72">
        <v>0</v>
      </c>
      <c r="G123" s="72">
        <f t="shared" si="0"/>
        <v>186.97067999999999</v>
      </c>
      <c r="H123" s="72" t="s">
        <v>91</v>
      </c>
      <c r="I123" s="99"/>
      <c r="J123" s="99"/>
    </row>
    <row r="124" spans="1:10" s="62" customFormat="1" x14ac:dyDescent="0.35">
      <c r="A124" s="99">
        <v>13</v>
      </c>
      <c r="B124" s="99"/>
      <c r="C124" s="72" t="s">
        <v>195</v>
      </c>
      <c r="D124" s="99">
        <f>(11.58*10.764)</f>
        <v>124.64711999999999</v>
      </c>
      <c r="E124" s="99"/>
      <c r="F124" s="72">
        <v>0</v>
      </c>
      <c r="G124" s="72">
        <f t="shared" si="0"/>
        <v>186.97067999999999</v>
      </c>
      <c r="H124" s="72" t="s">
        <v>91</v>
      </c>
      <c r="I124" s="99"/>
      <c r="J124" s="99"/>
    </row>
    <row r="125" spans="1:10" s="62" customFormat="1" x14ac:dyDescent="0.35">
      <c r="A125" s="99">
        <v>14</v>
      </c>
      <c r="B125" s="99"/>
      <c r="C125" s="72" t="s">
        <v>195</v>
      </c>
      <c r="D125" s="99">
        <f>(10.68*10.764)</f>
        <v>114.95951999999998</v>
      </c>
      <c r="E125" s="99"/>
      <c r="F125" s="72">
        <v>0</v>
      </c>
      <c r="G125" s="72">
        <f t="shared" si="0"/>
        <v>172.43927999999997</v>
      </c>
      <c r="H125" s="72" t="s">
        <v>91</v>
      </c>
      <c r="I125" s="99"/>
      <c r="J125" s="99"/>
    </row>
    <row r="126" spans="1:10" s="62" customFormat="1" x14ac:dyDescent="0.35">
      <c r="A126" s="99">
        <v>15</v>
      </c>
      <c r="B126" s="99"/>
      <c r="C126" s="72" t="s">
        <v>195</v>
      </c>
      <c r="D126" s="99">
        <f>(11.48*10.764)</f>
        <v>123.57071999999999</v>
      </c>
      <c r="E126" s="99"/>
      <c r="F126" s="72">
        <v>0</v>
      </c>
      <c r="G126" s="72">
        <f t="shared" si="0"/>
        <v>185.35607999999999</v>
      </c>
      <c r="H126" s="72" t="s">
        <v>91</v>
      </c>
      <c r="I126" s="99"/>
      <c r="J126" s="99"/>
    </row>
    <row r="127" spans="1:10" s="62" customFormat="1" x14ac:dyDescent="0.35">
      <c r="A127" s="106" t="s">
        <v>196</v>
      </c>
      <c r="B127" s="107"/>
      <c r="C127" s="107"/>
      <c r="D127" s="107"/>
      <c r="E127" s="107"/>
      <c r="F127" s="107"/>
      <c r="G127" s="107"/>
      <c r="H127" s="107"/>
      <c r="I127" s="107"/>
      <c r="J127" s="108"/>
    </row>
    <row r="128" spans="1:10" s="62" customFormat="1" x14ac:dyDescent="0.35">
      <c r="A128" s="103">
        <v>1</v>
      </c>
      <c r="B128" s="104"/>
      <c r="C128" s="44" t="s">
        <v>197</v>
      </c>
      <c r="D128" s="103">
        <f>(30.62+0.45*2+1*2.75+2*2+0.75*2.2)*10.764</f>
        <v>429.69887999999992</v>
      </c>
      <c r="E128" s="104"/>
      <c r="F128" s="44">
        <f>(0.35*2.75)*10.764</f>
        <v>10.360349999999999</v>
      </c>
      <c r="G128" s="44">
        <v>679.66</v>
      </c>
      <c r="H128" s="44" t="s">
        <v>91</v>
      </c>
      <c r="I128" s="109" t="str">
        <f>A127</f>
        <v>1st Floor</v>
      </c>
      <c r="J128" s="110"/>
    </row>
    <row r="129" spans="1:12" s="62" customFormat="1" x14ac:dyDescent="0.35">
      <c r="A129" s="103">
        <v>2</v>
      </c>
      <c r="B129" s="104"/>
      <c r="C129" s="44" t="s">
        <v>197</v>
      </c>
      <c r="D129" s="103">
        <f t="shared" ref="D129:D132" si="1">(30.62+0.45*2+1*2.75+2*2+0.75*2.2)*10.764</f>
        <v>429.69887999999992</v>
      </c>
      <c r="E129" s="104"/>
      <c r="F129" s="44">
        <f>(0.35*2.75+0.75*2.075)*10.764</f>
        <v>27.111824999999996</v>
      </c>
      <c r="G129" s="44">
        <v>677.16</v>
      </c>
      <c r="H129" s="44" t="s">
        <v>91</v>
      </c>
      <c r="I129" s="111"/>
      <c r="J129" s="112"/>
    </row>
    <row r="130" spans="1:12" s="62" customFormat="1" x14ac:dyDescent="0.35">
      <c r="A130" s="103">
        <v>3</v>
      </c>
      <c r="B130" s="104"/>
      <c r="C130" s="44" t="s">
        <v>197</v>
      </c>
      <c r="D130" s="103">
        <f t="shared" si="1"/>
        <v>429.69887999999992</v>
      </c>
      <c r="E130" s="104"/>
      <c r="F130" s="44">
        <f>(0.35*2.75+0.75*2.075)*10.764</f>
        <v>27.111824999999996</v>
      </c>
      <c r="G130" s="44">
        <v>677.16</v>
      </c>
      <c r="H130" s="44" t="s">
        <v>91</v>
      </c>
      <c r="I130" s="111"/>
      <c r="J130" s="112"/>
    </row>
    <row r="131" spans="1:12" s="62" customFormat="1" x14ac:dyDescent="0.35">
      <c r="A131" s="103">
        <v>4</v>
      </c>
      <c r="B131" s="104"/>
      <c r="C131" s="44" t="s">
        <v>197</v>
      </c>
      <c r="D131" s="103">
        <f t="shared" si="1"/>
        <v>429.69887999999992</v>
      </c>
      <c r="E131" s="104"/>
      <c r="F131" s="44">
        <f>(0.35*2.75+0.75*2.075)*10.764</f>
        <v>27.111824999999996</v>
      </c>
      <c r="G131" s="44">
        <v>674.66</v>
      </c>
      <c r="H131" s="44" t="s">
        <v>91</v>
      </c>
      <c r="I131" s="111"/>
      <c r="J131" s="112"/>
    </row>
    <row r="132" spans="1:12" s="62" customFormat="1" x14ac:dyDescent="0.35">
      <c r="A132" s="103">
        <v>5</v>
      </c>
      <c r="B132" s="104"/>
      <c r="C132" s="44" t="s">
        <v>197</v>
      </c>
      <c r="D132" s="103">
        <f t="shared" si="1"/>
        <v>429.69887999999992</v>
      </c>
      <c r="E132" s="104"/>
      <c r="F132" s="44">
        <f t="shared" ref="F132" si="2">(0.35*2.75)*10.764</f>
        <v>10.360349999999999</v>
      </c>
      <c r="G132" s="44">
        <v>680.92</v>
      </c>
      <c r="H132" s="44" t="s">
        <v>91</v>
      </c>
      <c r="I132" s="111"/>
      <c r="J132" s="112"/>
    </row>
    <row r="133" spans="1:12" s="62" customFormat="1" x14ac:dyDescent="0.35">
      <c r="A133" s="103">
        <v>6</v>
      </c>
      <c r="B133" s="104"/>
      <c r="C133" s="44" t="s">
        <v>197</v>
      </c>
      <c r="D133" s="103">
        <f>(27.7+0.45*2+1.3*2+1*2.75+0.75*2.2)*10.764</f>
        <v>383.19839999999999</v>
      </c>
      <c r="E133" s="104"/>
      <c r="F133" s="44">
        <v>0</v>
      </c>
      <c r="G133" s="44">
        <v>603.75</v>
      </c>
      <c r="H133" s="44" t="s">
        <v>91</v>
      </c>
      <c r="I133" s="111"/>
      <c r="J133" s="112"/>
      <c r="L133" s="68">
        <f>G133/D133</f>
        <v>1.5755545952175165</v>
      </c>
    </row>
    <row r="134" spans="1:12" s="62" customFormat="1" x14ac:dyDescent="0.35">
      <c r="A134" s="103">
        <v>7</v>
      </c>
      <c r="B134" s="104"/>
      <c r="C134" s="44" t="s">
        <v>197</v>
      </c>
      <c r="D134" s="103">
        <f t="shared" ref="D134:D137" si="3">(27.7+0.45*2+1.3*2+1*2.75+0.75*2.2)*10.764</f>
        <v>383.19839999999999</v>
      </c>
      <c r="E134" s="104"/>
      <c r="F134" s="44">
        <v>0</v>
      </c>
      <c r="G134" s="44">
        <v>599.25</v>
      </c>
      <c r="H134" s="44" t="s">
        <v>91</v>
      </c>
      <c r="I134" s="111"/>
      <c r="J134" s="112"/>
    </row>
    <row r="135" spans="1:12" s="62" customFormat="1" x14ac:dyDescent="0.35">
      <c r="A135" s="103">
        <v>8</v>
      </c>
      <c r="B135" s="104"/>
      <c r="C135" s="44" t="s">
        <v>197</v>
      </c>
      <c r="D135" s="103">
        <f t="shared" si="3"/>
        <v>383.19839999999999</v>
      </c>
      <c r="E135" s="104"/>
      <c r="F135" s="44">
        <v>0</v>
      </c>
      <c r="G135" s="44">
        <v>600.88</v>
      </c>
      <c r="H135" s="44" t="s">
        <v>91</v>
      </c>
      <c r="I135" s="111"/>
      <c r="J135" s="112"/>
    </row>
    <row r="136" spans="1:12" s="62" customFormat="1" x14ac:dyDescent="0.35">
      <c r="A136" s="103">
        <v>9</v>
      </c>
      <c r="B136" s="104"/>
      <c r="C136" s="44" t="s">
        <v>197</v>
      </c>
      <c r="D136" s="103">
        <f t="shared" si="3"/>
        <v>383.19839999999999</v>
      </c>
      <c r="E136" s="104"/>
      <c r="F136" s="44">
        <v>0</v>
      </c>
      <c r="G136" s="44">
        <v>600.88</v>
      </c>
      <c r="H136" s="44" t="s">
        <v>91</v>
      </c>
      <c r="I136" s="111"/>
      <c r="J136" s="112"/>
    </row>
    <row r="137" spans="1:12" s="62" customFormat="1" x14ac:dyDescent="0.35">
      <c r="A137" s="103">
        <v>10</v>
      </c>
      <c r="B137" s="104"/>
      <c r="C137" s="44" t="s">
        <v>197</v>
      </c>
      <c r="D137" s="103">
        <f t="shared" si="3"/>
        <v>383.19839999999999</v>
      </c>
      <c r="E137" s="104"/>
      <c r="F137" s="44">
        <v>0</v>
      </c>
      <c r="G137" s="44">
        <v>602.5</v>
      </c>
      <c r="H137" s="44" t="s">
        <v>91</v>
      </c>
      <c r="I137" s="113"/>
      <c r="J137" s="114"/>
    </row>
    <row r="138" spans="1:12" s="62" customFormat="1" x14ac:dyDescent="0.35">
      <c r="A138" s="106" t="s">
        <v>198</v>
      </c>
      <c r="B138" s="107"/>
      <c r="C138" s="107"/>
      <c r="D138" s="107"/>
      <c r="E138" s="107"/>
      <c r="F138" s="107"/>
      <c r="G138" s="107"/>
      <c r="H138" s="107"/>
      <c r="I138" s="107"/>
      <c r="J138" s="108"/>
    </row>
    <row r="139" spans="1:12" s="62" customFormat="1" x14ac:dyDescent="0.35">
      <c r="A139" s="103">
        <v>1</v>
      </c>
      <c r="B139" s="104"/>
      <c r="C139" s="44" t="s">
        <v>197</v>
      </c>
      <c r="D139" s="103">
        <f>(30.62+0.45*2+1*2.75+2*2+0.75*2.2)*10.764</f>
        <v>429.69887999999992</v>
      </c>
      <c r="E139" s="104"/>
      <c r="F139" s="44">
        <v>0</v>
      </c>
      <c r="G139" s="44">
        <v>679.66</v>
      </c>
      <c r="H139" s="44" t="s">
        <v>91</v>
      </c>
      <c r="I139" s="109" t="str">
        <f>A138</f>
        <v>2nd to 7th Floor</v>
      </c>
      <c r="J139" s="110"/>
    </row>
    <row r="140" spans="1:12" s="62" customFormat="1" x14ac:dyDescent="0.35">
      <c r="A140" s="103">
        <v>2</v>
      </c>
      <c r="B140" s="104"/>
      <c r="C140" s="44" t="s">
        <v>197</v>
      </c>
      <c r="D140" s="103">
        <f t="shared" ref="D140:D143" si="4">(30.62+0.45*2+1*2.75+2*2+0.75*2.2)*10.764</f>
        <v>429.69887999999992</v>
      </c>
      <c r="E140" s="104"/>
      <c r="F140" s="44">
        <v>0</v>
      </c>
      <c r="G140" s="44">
        <v>677.16</v>
      </c>
      <c r="H140" s="44" t="s">
        <v>91</v>
      </c>
      <c r="I140" s="111"/>
      <c r="J140" s="112"/>
    </row>
    <row r="141" spans="1:12" s="62" customFormat="1" x14ac:dyDescent="0.35">
      <c r="A141" s="103">
        <v>3</v>
      </c>
      <c r="B141" s="104"/>
      <c r="C141" s="44" t="s">
        <v>197</v>
      </c>
      <c r="D141" s="103">
        <f t="shared" si="4"/>
        <v>429.69887999999992</v>
      </c>
      <c r="E141" s="104"/>
      <c r="F141" s="44">
        <v>0</v>
      </c>
      <c r="G141" s="44">
        <v>677.16</v>
      </c>
      <c r="H141" s="44" t="s">
        <v>91</v>
      </c>
      <c r="I141" s="111"/>
      <c r="J141" s="112"/>
      <c r="L141" s="62">
        <f>1500000/G141</f>
        <v>2215.1337940811627</v>
      </c>
    </row>
    <row r="142" spans="1:12" s="62" customFormat="1" x14ac:dyDescent="0.35">
      <c r="A142" s="103">
        <v>4</v>
      </c>
      <c r="B142" s="104"/>
      <c r="C142" s="44" t="s">
        <v>197</v>
      </c>
      <c r="D142" s="103">
        <f t="shared" si="4"/>
        <v>429.69887999999992</v>
      </c>
      <c r="E142" s="104"/>
      <c r="F142" s="44">
        <v>0</v>
      </c>
      <c r="G142" s="44">
        <v>674.66</v>
      </c>
      <c r="H142" s="44" t="s">
        <v>91</v>
      </c>
      <c r="I142" s="111"/>
      <c r="J142" s="112"/>
    </row>
    <row r="143" spans="1:12" s="62" customFormat="1" x14ac:dyDescent="0.35">
      <c r="A143" s="103">
        <v>5</v>
      </c>
      <c r="B143" s="104"/>
      <c r="C143" s="44" t="s">
        <v>197</v>
      </c>
      <c r="D143" s="103">
        <f t="shared" si="4"/>
        <v>429.69887999999992</v>
      </c>
      <c r="E143" s="104"/>
      <c r="F143" s="44">
        <v>0</v>
      </c>
      <c r="G143" s="44">
        <v>680.92</v>
      </c>
      <c r="H143" s="44" t="s">
        <v>91</v>
      </c>
      <c r="I143" s="111"/>
      <c r="J143" s="112"/>
    </row>
    <row r="144" spans="1:12" s="62" customFormat="1" x14ac:dyDescent="0.35">
      <c r="A144" s="103">
        <v>6</v>
      </c>
      <c r="B144" s="104"/>
      <c r="C144" s="44" t="s">
        <v>197</v>
      </c>
      <c r="D144" s="103">
        <f>(27.7+0.45*2+1.3*2+1*2.75+0.75*2.2)*10.764</f>
        <v>383.19839999999999</v>
      </c>
      <c r="E144" s="104"/>
      <c r="F144" s="44">
        <v>0</v>
      </c>
      <c r="G144" s="44">
        <v>603.75</v>
      </c>
      <c r="H144" s="44" t="s">
        <v>91</v>
      </c>
      <c r="I144" s="111"/>
      <c r="J144" s="112"/>
    </row>
    <row r="145" spans="1:10" s="62" customFormat="1" x14ac:dyDescent="0.35">
      <c r="A145" s="103">
        <v>7</v>
      </c>
      <c r="B145" s="104"/>
      <c r="C145" s="44" t="s">
        <v>197</v>
      </c>
      <c r="D145" s="103">
        <f t="shared" ref="D145:D148" si="5">(27.7+0.45*2+1.3*2+1*2.75+0.75*2.2)*10.764</f>
        <v>383.19839999999999</v>
      </c>
      <c r="E145" s="104"/>
      <c r="F145" s="44">
        <v>0</v>
      </c>
      <c r="G145" s="44">
        <v>599.25</v>
      </c>
      <c r="H145" s="44" t="s">
        <v>91</v>
      </c>
      <c r="I145" s="111"/>
      <c r="J145" s="112"/>
    </row>
    <row r="146" spans="1:10" s="62" customFormat="1" x14ac:dyDescent="0.35">
      <c r="A146" s="103">
        <v>8</v>
      </c>
      <c r="B146" s="104"/>
      <c r="C146" s="44" t="s">
        <v>197</v>
      </c>
      <c r="D146" s="103">
        <f t="shared" si="5"/>
        <v>383.19839999999999</v>
      </c>
      <c r="E146" s="104"/>
      <c r="F146" s="44">
        <v>0</v>
      </c>
      <c r="G146" s="44">
        <v>600.88</v>
      </c>
      <c r="H146" s="44" t="s">
        <v>91</v>
      </c>
      <c r="I146" s="111"/>
      <c r="J146" s="112"/>
    </row>
    <row r="147" spans="1:10" s="62" customFormat="1" x14ac:dyDescent="0.35">
      <c r="A147" s="103">
        <v>9</v>
      </c>
      <c r="B147" s="104"/>
      <c r="C147" s="44" t="s">
        <v>197</v>
      </c>
      <c r="D147" s="103">
        <f t="shared" si="5"/>
        <v>383.19839999999999</v>
      </c>
      <c r="E147" s="104"/>
      <c r="F147" s="44">
        <v>0</v>
      </c>
      <c r="G147" s="44">
        <v>600.88</v>
      </c>
      <c r="H147" s="44" t="s">
        <v>91</v>
      </c>
      <c r="I147" s="111"/>
      <c r="J147" s="112"/>
    </row>
    <row r="148" spans="1:10" s="62" customFormat="1" x14ac:dyDescent="0.35">
      <c r="A148" s="103">
        <v>10</v>
      </c>
      <c r="B148" s="104"/>
      <c r="C148" s="44" t="s">
        <v>197</v>
      </c>
      <c r="D148" s="103">
        <f t="shared" si="5"/>
        <v>383.19839999999999</v>
      </c>
      <c r="E148" s="104"/>
      <c r="F148" s="44">
        <v>0</v>
      </c>
      <c r="G148" s="44">
        <v>602.5</v>
      </c>
      <c r="H148" s="44" t="s">
        <v>91</v>
      </c>
      <c r="I148" s="113"/>
      <c r="J148" s="114"/>
    </row>
    <row r="149" spans="1:10" s="62" customFormat="1" x14ac:dyDescent="0.35">
      <c r="A149" s="106" t="s">
        <v>199</v>
      </c>
      <c r="B149" s="107"/>
      <c r="C149" s="107"/>
      <c r="D149" s="107"/>
      <c r="E149" s="107"/>
      <c r="F149" s="107"/>
      <c r="G149" s="107"/>
      <c r="H149" s="107"/>
      <c r="I149" s="107"/>
      <c r="J149" s="108"/>
    </row>
    <row r="150" spans="1:10" s="62" customFormat="1" x14ac:dyDescent="0.35">
      <c r="A150" s="105" t="s">
        <v>194</v>
      </c>
      <c r="B150" s="105"/>
      <c r="C150" s="105"/>
      <c r="D150" s="105"/>
      <c r="E150" s="105"/>
      <c r="F150" s="105"/>
      <c r="G150" s="105"/>
      <c r="H150" s="105"/>
      <c r="I150" s="105"/>
      <c r="J150" s="105"/>
    </row>
    <row r="151" spans="1:10" s="62" customFormat="1" ht="15.75" customHeight="1" x14ac:dyDescent="0.35">
      <c r="A151" s="99">
        <v>16</v>
      </c>
      <c r="B151" s="99"/>
      <c r="C151" s="72" t="s">
        <v>195</v>
      </c>
      <c r="D151" s="99">
        <f>(14.58*10.764)</f>
        <v>156.93912</v>
      </c>
      <c r="E151" s="99"/>
      <c r="F151" s="72">
        <v>0</v>
      </c>
      <c r="G151" s="72">
        <f t="shared" ref="G151:G171" si="6">D151*1.5</f>
        <v>235.40868</v>
      </c>
      <c r="H151" s="72" t="s">
        <v>91</v>
      </c>
      <c r="I151" s="99" t="str">
        <f>A150</f>
        <v>Ground Floor for Commercial &amp; Parking</v>
      </c>
      <c r="J151" s="99"/>
    </row>
    <row r="152" spans="1:10" s="62" customFormat="1" x14ac:dyDescent="0.35">
      <c r="A152" s="99">
        <v>17</v>
      </c>
      <c r="B152" s="99"/>
      <c r="C152" s="72" t="s">
        <v>195</v>
      </c>
      <c r="D152" s="99">
        <f>(14.58*10.764)</f>
        <v>156.93912</v>
      </c>
      <c r="E152" s="99"/>
      <c r="F152" s="72">
        <v>0</v>
      </c>
      <c r="G152" s="72">
        <f t="shared" si="6"/>
        <v>235.40868</v>
      </c>
      <c r="H152" s="72" t="s">
        <v>91</v>
      </c>
      <c r="I152" s="99"/>
      <c r="J152" s="99"/>
    </row>
    <row r="153" spans="1:10" s="62" customFormat="1" x14ac:dyDescent="0.35">
      <c r="A153" s="99">
        <v>18</v>
      </c>
      <c r="B153" s="99"/>
      <c r="C153" s="72" t="s">
        <v>195</v>
      </c>
      <c r="D153" s="99">
        <f>(17.06*10.764)</f>
        <v>183.63383999999996</v>
      </c>
      <c r="E153" s="99"/>
      <c r="F153" s="72">
        <v>0</v>
      </c>
      <c r="G153" s="72">
        <f t="shared" si="6"/>
        <v>275.45075999999995</v>
      </c>
      <c r="H153" s="72" t="s">
        <v>91</v>
      </c>
      <c r="I153" s="99"/>
      <c r="J153" s="99"/>
    </row>
    <row r="154" spans="1:10" s="62" customFormat="1" x14ac:dyDescent="0.35">
      <c r="A154" s="99">
        <v>19</v>
      </c>
      <c r="B154" s="99"/>
      <c r="C154" s="72" t="s">
        <v>195</v>
      </c>
      <c r="D154" s="99">
        <f>(17.06*10.764)</f>
        <v>183.63383999999996</v>
      </c>
      <c r="E154" s="99"/>
      <c r="F154" s="72">
        <v>0</v>
      </c>
      <c r="G154" s="72">
        <f t="shared" si="6"/>
        <v>275.45075999999995</v>
      </c>
      <c r="H154" s="72" t="s">
        <v>91</v>
      </c>
      <c r="I154" s="99"/>
      <c r="J154" s="99"/>
    </row>
    <row r="155" spans="1:10" s="62" customFormat="1" x14ac:dyDescent="0.35">
      <c r="A155" s="99">
        <v>20</v>
      </c>
      <c r="B155" s="99"/>
      <c r="C155" s="72" t="s">
        <v>195</v>
      </c>
      <c r="D155" s="99">
        <f>(16.91*10.764)</f>
        <v>182.01924</v>
      </c>
      <c r="E155" s="99"/>
      <c r="F155" s="72">
        <v>0</v>
      </c>
      <c r="G155" s="72">
        <f t="shared" si="6"/>
        <v>273.02886000000001</v>
      </c>
      <c r="H155" s="72" t="s">
        <v>91</v>
      </c>
      <c r="I155" s="99"/>
      <c r="J155" s="99"/>
    </row>
    <row r="156" spans="1:10" s="62" customFormat="1" x14ac:dyDescent="0.35">
      <c r="A156" s="99">
        <v>21</v>
      </c>
      <c r="B156" s="99"/>
      <c r="C156" s="72" t="s">
        <v>195</v>
      </c>
      <c r="D156" s="99">
        <f>(17.06*10.764)</f>
        <v>183.63383999999996</v>
      </c>
      <c r="E156" s="99"/>
      <c r="F156" s="72">
        <v>0</v>
      </c>
      <c r="G156" s="72">
        <f t="shared" si="6"/>
        <v>275.45075999999995</v>
      </c>
      <c r="H156" s="72" t="s">
        <v>91</v>
      </c>
      <c r="I156" s="99"/>
      <c r="J156" s="99"/>
    </row>
    <row r="157" spans="1:10" s="62" customFormat="1" x14ac:dyDescent="0.35">
      <c r="A157" s="99">
        <v>22</v>
      </c>
      <c r="B157" s="99"/>
      <c r="C157" s="72" t="s">
        <v>195</v>
      </c>
      <c r="D157" s="99">
        <f>(17.06*10.764)</f>
        <v>183.63383999999996</v>
      </c>
      <c r="E157" s="99"/>
      <c r="F157" s="72">
        <v>0</v>
      </c>
      <c r="G157" s="72">
        <f t="shared" si="6"/>
        <v>275.45075999999995</v>
      </c>
      <c r="H157" s="72" t="s">
        <v>91</v>
      </c>
      <c r="I157" s="99"/>
      <c r="J157" s="99"/>
    </row>
    <row r="158" spans="1:10" s="62" customFormat="1" x14ac:dyDescent="0.35">
      <c r="A158" s="99">
        <v>23</v>
      </c>
      <c r="B158" s="99"/>
      <c r="C158" s="72" t="s">
        <v>195</v>
      </c>
      <c r="D158" s="99">
        <f>(16.91*10.764)</f>
        <v>182.01924</v>
      </c>
      <c r="E158" s="99"/>
      <c r="F158" s="72">
        <v>0</v>
      </c>
      <c r="G158" s="72">
        <f t="shared" si="6"/>
        <v>273.02886000000001</v>
      </c>
      <c r="H158" s="72" t="s">
        <v>91</v>
      </c>
      <c r="I158" s="99"/>
      <c r="J158" s="99"/>
    </row>
    <row r="159" spans="1:10" s="62" customFormat="1" x14ac:dyDescent="0.35">
      <c r="A159" s="99">
        <v>24</v>
      </c>
      <c r="B159" s="99"/>
      <c r="C159" s="72" t="s">
        <v>195</v>
      </c>
      <c r="D159" s="99">
        <f>(17.22*10.764)</f>
        <v>185.35607999999996</v>
      </c>
      <c r="E159" s="99"/>
      <c r="F159" s="72">
        <v>0</v>
      </c>
      <c r="G159" s="72">
        <f t="shared" si="6"/>
        <v>278.03411999999992</v>
      </c>
      <c r="H159" s="72" t="s">
        <v>91</v>
      </c>
      <c r="I159" s="99"/>
      <c r="J159" s="99"/>
    </row>
    <row r="160" spans="1:10" s="62" customFormat="1" x14ac:dyDescent="0.35">
      <c r="A160" s="99">
        <v>25</v>
      </c>
      <c r="B160" s="99"/>
      <c r="C160" s="72" t="s">
        <v>195</v>
      </c>
      <c r="D160" s="99">
        <f>(141.95*10.764)</f>
        <v>1527.9497999999999</v>
      </c>
      <c r="E160" s="99"/>
      <c r="F160" s="72">
        <v>0</v>
      </c>
      <c r="G160" s="72">
        <f t="shared" si="6"/>
        <v>2291.9246999999996</v>
      </c>
      <c r="H160" s="72" t="s">
        <v>91</v>
      </c>
      <c r="I160" s="99"/>
      <c r="J160" s="99"/>
    </row>
    <row r="161" spans="1:10" s="62" customFormat="1" x14ac:dyDescent="0.35">
      <c r="A161" s="99">
        <v>26</v>
      </c>
      <c r="B161" s="99"/>
      <c r="C161" s="72" t="s">
        <v>195</v>
      </c>
      <c r="D161" s="99">
        <f>(130.38*10.764)</f>
        <v>1403.41032</v>
      </c>
      <c r="E161" s="99"/>
      <c r="F161" s="72">
        <v>0</v>
      </c>
      <c r="G161" s="72">
        <f t="shared" si="6"/>
        <v>2105.1154799999999</v>
      </c>
      <c r="H161" s="72" t="s">
        <v>91</v>
      </c>
      <c r="I161" s="99"/>
      <c r="J161" s="99"/>
    </row>
    <row r="162" spans="1:10" s="62" customFormat="1" x14ac:dyDescent="0.35">
      <c r="A162" s="99">
        <v>27</v>
      </c>
      <c r="B162" s="99"/>
      <c r="C162" s="72" t="s">
        <v>195</v>
      </c>
      <c r="D162" s="99">
        <f>(15.54*10.764)</f>
        <v>167.27255999999997</v>
      </c>
      <c r="E162" s="99"/>
      <c r="F162" s="72">
        <v>0</v>
      </c>
      <c r="G162" s="72">
        <f t="shared" si="6"/>
        <v>250.90883999999994</v>
      </c>
      <c r="H162" s="72" t="s">
        <v>91</v>
      </c>
      <c r="I162" s="99"/>
      <c r="J162" s="99"/>
    </row>
    <row r="163" spans="1:10" s="62" customFormat="1" ht="15.75" customHeight="1" x14ac:dyDescent="0.35">
      <c r="A163" s="99">
        <v>28</v>
      </c>
      <c r="B163" s="99"/>
      <c r="C163" s="72" t="s">
        <v>195</v>
      </c>
      <c r="D163" s="99">
        <f>(15.26*10.764)</f>
        <v>164.25863999999999</v>
      </c>
      <c r="E163" s="99"/>
      <c r="F163" s="72">
        <v>0</v>
      </c>
      <c r="G163" s="72">
        <f t="shared" si="6"/>
        <v>246.38795999999996</v>
      </c>
      <c r="H163" s="72" t="s">
        <v>91</v>
      </c>
      <c r="I163" s="99"/>
      <c r="J163" s="99"/>
    </row>
    <row r="164" spans="1:10" s="62" customFormat="1" x14ac:dyDescent="0.35">
      <c r="A164" s="99">
        <v>29</v>
      </c>
      <c r="B164" s="99"/>
      <c r="C164" s="72" t="s">
        <v>195</v>
      </c>
      <c r="D164" s="99">
        <f>(15.4*10.764)</f>
        <v>165.76560000000001</v>
      </c>
      <c r="E164" s="99"/>
      <c r="F164" s="72">
        <v>0</v>
      </c>
      <c r="G164" s="72">
        <f t="shared" si="6"/>
        <v>248.64840000000001</v>
      </c>
      <c r="H164" s="72" t="s">
        <v>91</v>
      </c>
      <c r="I164" s="99"/>
      <c r="J164" s="99"/>
    </row>
    <row r="165" spans="1:10" s="62" customFormat="1" x14ac:dyDescent="0.35">
      <c r="A165" s="99">
        <v>30</v>
      </c>
      <c r="B165" s="99"/>
      <c r="C165" s="72" t="s">
        <v>195</v>
      </c>
      <c r="D165" s="99">
        <f>(15.4*10.764)</f>
        <v>165.76560000000001</v>
      </c>
      <c r="E165" s="99"/>
      <c r="F165" s="72">
        <v>0</v>
      </c>
      <c r="G165" s="72">
        <f t="shared" si="6"/>
        <v>248.64840000000001</v>
      </c>
      <c r="H165" s="72" t="s">
        <v>91</v>
      </c>
      <c r="I165" s="99"/>
      <c r="J165" s="99"/>
    </row>
    <row r="166" spans="1:10" s="62" customFormat="1" x14ac:dyDescent="0.35">
      <c r="A166" s="99">
        <v>31</v>
      </c>
      <c r="B166" s="99"/>
      <c r="C166" s="72" t="s">
        <v>195</v>
      </c>
      <c r="D166" s="99">
        <f>(15.4*10.764)</f>
        <v>165.76560000000001</v>
      </c>
      <c r="E166" s="99"/>
      <c r="F166" s="72">
        <v>0</v>
      </c>
      <c r="G166" s="72">
        <f t="shared" si="6"/>
        <v>248.64840000000001</v>
      </c>
      <c r="H166" s="72" t="s">
        <v>91</v>
      </c>
      <c r="I166" s="99"/>
      <c r="J166" s="99"/>
    </row>
    <row r="167" spans="1:10" s="62" customFormat="1" x14ac:dyDescent="0.35">
      <c r="A167" s="99">
        <v>32</v>
      </c>
      <c r="B167" s="99"/>
      <c r="C167" s="72" t="s">
        <v>195</v>
      </c>
      <c r="D167" s="99">
        <f>(15.26*10.764)</f>
        <v>164.25863999999999</v>
      </c>
      <c r="E167" s="99"/>
      <c r="F167" s="72">
        <v>0</v>
      </c>
      <c r="G167" s="72">
        <f t="shared" si="6"/>
        <v>246.38795999999996</v>
      </c>
      <c r="H167" s="72" t="s">
        <v>91</v>
      </c>
      <c r="I167" s="99"/>
      <c r="J167" s="99"/>
    </row>
    <row r="168" spans="1:10" s="62" customFormat="1" x14ac:dyDescent="0.35">
      <c r="A168" s="99">
        <v>33</v>
      </c>
      <c r="B168" s="99"/>
      <c r="C168" s="72" t="s">
        <v>195</v>
      </c>
      <c r="D168" s="99">
        <f>(15.4*10.764)</f>
        <v>165.76560000000001</v>
      </c>
      <c r="E168" s="99"/>
      <c r="F168" s="72">
        <v>0</v>
      </c>
      <c r="G168" s="72">
        <f t="shared" si="6"/>
        <v>248.64840000000001</v>
      </c>
      <c r="H168" s="72" t="s">
        <v>91</v>
      </c>
      <c r="I168" s="99"/>
      <c r="J168" s="99"/>
    </row>
    <row r="169" spans="1:10" s="62" customFormat="1" x14ac:dyDescent="0.35">
      <c r="A169" s="99">
        <v>34</v>
      </c>
      <c r="B169" s="99"/>
      <c r="C169" s="72" t="s">
        <v>195</v>
      </c>
      <c r="D169" s="99">
        <f>(15.4*10.764)</f>
        <v>165.76560000000001</v>
      </c>
      <c r="E169" s="99"/>
      <c r="F169" s="72">
        <v>0</v>
      </c>
      <c r="G169" s="72">
        <f t="shared" si="6"/>
        <v>248.64840000000001</v>
      </c>
      <c r="H169" s="72" t="s">
        <v>91</v>
      </c>
      <c r="I169" s="99"/>
      <c r="J169" s="99"/>
    </row>
    <row r="170" spans="1:10" s="62" customFormat="1" x14ac:dyDescent="0.35">
      <c r="A170" s="99">
        <v>35</v>
      </c>
      <c r="B170" s="99"/>
      <c r="C170" s="72" t="s">
        <v>195</v>
      </c>
      <c r="D170" s="99">
        <f>(12.94*10.764)</f>
        <v>139.28616</v>
      </c>
      <c r="E170" s="99"/>
      <c r="F170" s="72">
        <v>0</v>
      </c>
      <c r="G170" s="72">
        <f t="shared" si="6"/>
        <v>208.92923999999999</v>
      </c>
      <c r="H170" s="72" t="s">
        <v>91</v>
      </c>
      <c r="I170" s="99"/>
      <c r="J170" s="99"/>
    </row>
    <row r="171" spans="1:10" s="62" customFormat="1" x14ac:dyDescent="0.35">
      <c r="A171" s="99">
        <v>36</v>
      </c>
      <c r="B171" s="99"/>
      <c r="C171" s="72" t="s">
        <v>195</v>
      </c>
      <c r="D171" s="99">
        <f>(12.94*10.764)</f>
        <v>139.28616</v>
      </c>
      <c r="E171" s="99"/>
      <c r="F171" s="72">
        <v>0</v>
      </c>
      <c r="G171" s="72">
        <f t="shared" si="6"/>
        <v>208.92923999999999</v>
      </c>
      <c r="H171" s="72" t="s">
        <v>91</v>
      </c>
      <c r="I171" s="99"/>
      <c r="J171" s="99"/>
    </row>
    <row r="172" spans="1:10" s="62" customFormat="1" x14ac:dyDescent="0.35">
      <c r="A172" s="106" t="s">
        <v>196</v>
      </c>
      <c r="B172" s="107"/>
      <c r="C172" s="107"/>
      <c r="D172" s="107"/>
      <c r="E172" s="107"/>
      <c r="F172" s="107"/>
      <c r="G172" s="107"/>
      <c r="H172" s="107"/>
      <c r="I172" s="107"/>
      <c r="J172" s="108"/>
    </row>
    <row r="173" spans="1:10" s="62" customFormat="1" x14ac:dyDescent="0.35">
      <c r="A173" s="103">
        <v>1</v>
      </c>
      <c r="B173" s="104"/>
      <c r="C173" s="44" t="s">
        <v>197</v>
      </c>
      <c r="D173" s="103">
        <f>(35.36+0.3*1.4+0.3*1.4+1*2.75+2*2.75+0.75*2.75+0.75*2.75)*10.764</f>
        <v>522.86130000000003</v>
      </c>
      <c r="E173" s="104"/>
      <c r="F173" s="44">
        <f>(0.5*5.5)*10.764</f>
        <v>29.600999999999999</v>
      </c>
      <c r="G173" s="44">
        <v>830.79</v>
      </c>
      <c r="H173" s="44" t="s">
        <v>91</v>
      </c>
      <c r="I173" s="109" t="str">
        <f>A172</f>
        <v>1st Floor</v>
      </c>
      <c r="J173" s="110"/>
    </row>
    <row r="174" spans="1:10" s="62" customFormat="1" x14ac:dyDescent="0.35">
      <c r="A174" s="103">
        <v>2</v>
      </c>
      <c r="B174" s="104"/>
      <c r="C174" s="44" t="s">
        <v>197</v>
      </c>
      <c r="D174" s="103">
        <f>(35.36+0.3*1.4+0.3*1.4+1*2.75+2*2.75+0.75*2.75+0.75*2.75)*10.764</f>
        <v>522.86130000000003</v>
      </c>
      <c r="E174" s="104"/>
      <c r="F174" s="44">
        <f t="shared" ref="F174:F175" si="7">(0.5*5.5)*10.764</f>
        <v>29.600999999999999</v>
      </c>
      <c r="G174" s="44">
        <v>828.52</v>
      </c>
      <c r="H174" s="44" t="s">
        <v>91</v>
      </c>
      <c r="I174" s="111"/>
      <c r="J174" s="112"/>
    </row>
    <row r="175" spans="1:10" s="62" customFormat="1" x14ac:dyDescent="0.35">
      <c r="A175" s="103">
        <v>3</v>
      </c>
      <c r="B175" s="104"/>
      <c r="C175" s="44" t="s">
        <v>197</v>
      </c>
      <c r="D175" s="103">
        <f t="shared" ref="D175" si="8">(35.36+0.3*1.85+0.3*1.85+1*2.75+2*2.75+0.75*2.75+0.75*2.75)*10.764</f>
        <v>525.76757999999995</v>
      </c>
      <c r="E175" s="104"/>
      <c r="F175" s="44">
        <f t="shared" si="7"/>
        <v>29.600999999999999</v>
      </c>
      <c r="G175" s="44">
        <v>831.02</v>
      </c>
      <c r="H175" s="44" t="s">
        <v>91</v>
      </c>
      <c r="I175" s="111"/>
      <c r="J175" s="112"/>
    </row>
    <row r="176" spans="1:10" s="62" customFormat="1" x14ac:dyDescent="0.35">
      <c r="A176" s="103">
        <v>4</v>
      </c>
      <c r="B176" s="104"/>
      <c r="C176" s="44" t="s">
        <v>200</v>
      </c>
      <c r="D176" s="103">
        <f>(52.98+0.3*1.15+0.3*2.9+1*3.05+2*3.05+0.75*3.05+0.75*2.75+0.75*1.9)*10.764</f>
        <v>744.00767999999982</v>
      </c>
      <c r="E176" s="104"/>
      <c r="F176" s="44">
        <v>0</v>
      </c>
      <c r="G176" s="44">
        <v>1183.1600000000001</v>
      </c>
      <c r="H176" s="44" t="s">
        <v>91</v>
      </c>
      <c r="I176" s="111"/>
      <c r="J176" s="112"/>
    </row>
    <row r="177" spans="1:10" s="62" customFormat="1" x14ac:dyDescent="0.35">
      <c r="A177" s="103">
        <v>5</v>
      </c>
      <c r="B177" s="104"/>
      <c r="C177" s="44" t="s">
        <v>200</v>
      </c>
      <c r="D177" s="103">
        <f>(52.98+0.3*1.15+0.3*2.9+1*3.05+2*3.05+0.75*3.05+0.75*2.75+0.75*1.9)*10.764</f>
        <v>744.00767999999982</v>
      </c>
      <c r="E177" s="104"/>
      <c r="F177" s="44">
        <v>0</v>
      </c>
      <c r="G177" s="44">
        <v>1183.1600000000001</v>
      </c>
      <c r="H177" s="44" t="s">
        <v>91</v>
      </c>
      <c r="I177" s="111"/>
      <c r="J177" s="112"/>
    </row>
    <row r="178" spans="1:10" s="62" customFormat="1" x14ac:dyDescent="0.35">
      <c r="A178" s="103">
        <v>6</v>
      </c>
      <c r="B178" s="104"/>
      <c r="C178" s="44" t="s">
        <v>197</v>
      </c>
      <c r="D178" s="103">
        <f>(35.36+0.3*1.4+0.3*1.4+1*2.75+2*2.75+0.75*2.75+0.75*2.75)*10.764</f>
        <v>522.86130000000003</v>
      </c>
      <c r="E178" s="104"/>
      <c r="F178" s="44">
        <f>(1.1*5.5)*10.764</f>
        <v>65.122200000000007</v>
      </c>
      <c r="G178" s="44">
        <v>831.02</v>
      </c>
      <c r="H178" s="44" t="s">
        <v>91</v>
      </c>
      <c r="I178" s="111"/>
      <c r="J178" s="112"/>
    </row>
    <row r="179" spans="1:10" s="62" customFormat="1" x14ac:dyDescent="0.35">
      <c r="A179" s="103">
        <v>7</v>
      </c>
      <c r="B179" s="104"/>
      <c r="C179" s="44" t="s">
        <v>197</v>
      </c>
      <c r="D179" s="103">
        <f t="shared" ref="D179:D180" si="9">(35.36+0.3*1.4+0.3*1.4+1*2.75+2*2.75+0.75*2.75+0.75*2.75)*10.764</f>
        <v>522.86130000000003</v>
      </c>
      <c r="E179" s="104"/>
      <c r="F179" s="44">
        <f t="shared" ref="F179:F180" si="10">(1.1*5.5)*10.764</f>
        <v>65.122200000000007</v>
      </c>
      <c r="G179" s="44">
        <v>828.52</v>
      </c>
      <c r="H179" s="44" t="s">
        <v>91</v>
      </c>
      <c r="I179" s="111"/>
      <c r="J179" s="112"/>
    </row>
    <row r="180" spans="1:10" s="62" customFormat="1" x14ac:dyDescent="0.35">
      <c r="A180" s="103">
        <v>8</v>
      </c>
      <c r="B180" s="104"/>
      <c r="C180" s="44" t="s">
        <v>197</v>
      </c>
      <c r="D180" s="103">
        <f t="shared" si="9"/>
        <v>522.86130000000003</v>
      </c>
      <c r="E180" s="104"/>
      <c r="F180" s="44">
        <f t="shared" si="10"/>
        <v>65.122200000000007</v>
      </c>
      <c r="G180" s="44">
        <v>830.79</v>
      </c>
      <c r="H180" s="44" t="s">
        <v>91</v>
      </c>
      <c r="I180" s="111"/>
      <c r="J180" s="112"/>
    </row>
    <row r="181" spans="1:10" s="62" customFormat="1" x14ac:dyDescent="0.35">
      <c r="A181" s="103">
        <v>9</v>
      </c>
      <c r="B181" s="104"/>
      <c r="C181" s="44" t="s">
        <v>197</v>
      </c>
      <c r="D181" s="103">
        <f t="shared" ref="D181:D186" si="11">(30.52+0.3*1.4+0.3*1.4+1.65*2.75+0.75*2.75+0.75*2.75)*10.764</f>
        <v>430.80219</v>
      </c>
      <c r="E181" s="104"/>
      <c r="F181" s="44">
        <v>0</v>
      </c>
      <c r="G181" s="44">
        <v>686.34</v>
      </c>
      <c r="H181" s="44" t="s">
        <v>91</v>
      </c>
      <c r="I181" s="111"/>
      <c r="J181" s="112"/>
    </row>
    <row r="182" spans="1:10" s="62" customFormat="1" x14ac:dyDescent="0.35">
      <c r="A182" s="103">
        <v>10</v>
      </c>
      <c r="B182" s="104"/>
      <c r="C182" s="44" t="s">
        <v>197</v>
      </c>
      <c r="D182" s="103">
        <f t="shared" si="11"/>
        <v>430.80219</v>
      </c>
      <c r="E182" s="104"/>
      <c r="F182" s="44">
        <v>0</v>
      </c>
      <c r="G182" s="44">
        <v>682.42</v>
      </c>
      <c r="H182" s="44" t="s">
        <v>91</v>
      </c>
      <c r="I182" s="111"/>
      <c r="J182" s="112"/>
    </row>
    <row r="183" spans="1:10" s="62" customFormat="1" x14ac:dyDescent="0.35">
      <c r="A183" s="103">
        <v>11</v>
      </c>
      <c r="B183" s="104"/>
      <c r="C183" s="44" t="s">
        <v>197</v>
      </c>
      <c r="D183" s="103">
        <f t="shared" si="11"/>
        <v>430.80219</v>
      </c>
      <c r="E183" s="104"/>
      <c r="F183" s="44">
        <v>0</v>
      </c>
      <c r="G183" s="44">
        <v>684.29</v>
      </c>
      <c r="H183" s="44" t="s">
        <v>91</v>
      </c>
      <c r="I183" s="111"/>
      <c r="J183" s="112"/>
    </row>
    <row r="184" spans="1:10" s="62" customFormat="1" x14ac:dyDescent="0.35">
      <c r="A184" s="103">
        <v>12</v>
      </c>
      <c r="B184" s="104"/>
      <c r="C184" s="44" t="s">
        <v>197</v>
      </c>
      <c r="D184" s="103">
        <f t="shared" si="11"/>
        <v>430.80219</v>
      </c>
      <c r="E184" s="104"/>
      <c r="F184" s="44">
        <v>0</v>
      </c>
      <c r="G184" s="44">
        <v>684.29</v>
      </c>
      <c r="H184" s="44" t="s">
        <v>91</v>
      </c>
      <c r="I184" s="111"/>
      <c r="J184" s="112"/>
    </row>
    <row r="185" spans="1:10" s="62" customFormat="1" x14ac:dyDescent="0.35">
      <c r="A185" s="103">
        <v>13</v>
      </c>
      <c r="B185" s="104"/>
      <c r="C185" s="44" t="s">
        <v>197</v>
      </c>
      <c r="D185" s="103">
        <f t="shared" si="11"/>
        <v>430.80219</v>
      </c>
      <c r="E185" s="104"/>
      <c r="F185" s="44">
        <v>0</v>
      </c>
      <c r="G185" s="44">
        <v>682.42</v>
      </c>
      <c r="H185" s="44" t="s">
        <v>91</v>
      </c>
      <c r="I185" s="111"/>
      <c r="J185" s="112"/>
    </row>
    <row r="186" spans="1:10" s="62" customFormat="1" x14ac:dyDescent="0.35">
      <c r="A186" s="103">
        <v>14</v>
      </c>
      <c r="B186" s="104"/>
      <c r="C186" s="44" t="s">
        <v>197</v>
      </c>
      <c r="D186" s="103">
        <f t="shared" si="11"/>
        <v>430.80219</v>
      </c>
      <c r="E186" s="104"/>
      <c r="F186" s="44">
        <v>0</v>
      </c>
      <c r="G186" s="44">
        <v>686.34</v>
      </c>
      <c r="H186" s="44" t="s">
        <v>91</v>
      </c>
      <c r="I186" s="113"/>
      <c r="J186" s="114"/>
    </row>
    <row r="187" spans="1:10" s="62" customFormat="1" x14ac:dyDescent="0.35">
      <c r="A187" s="106" t="s">
        <v>202</v>
      </c>
      <c r="B187" s="107"/>
      <c r="C187" s="107"/>
      <c r="D187" s="107"/>
      <c r="E187" s="107"/>
      <c r="F187" s="107"/>
      <c r="G187" s="107"/>
      <c r="H187" s="107"/>
      <c r="I187" s="107"/>
      <c r="J187" s="108"/>
    </row>
    <row r="188" spans="1:10" s="62" customFormat="1" x14ac:dyDescent="0.35">
      <c r="A188" s="103">
        <v>1</v>
      </c>
      <c r="B188" s="104"/>
      <c r="C188" s="44" t="s">
        <v>197</v>
      </c>
      <c r="D188" s="103">
        <f>(35.36+0.3*1.4+0.3*1.4+1*2.75+2*2.75+0.75*2.75+0.75*2.75)*10.764</f>
        <v>522.86130000000003</v>
      </c>
      <c r="E188" s="104"/>
      <c r="F188" s="44">
        <v>0</v>
      </c>
      <c r="G188" s="44">
        <v>830.79</v>
      </c>
      <c r="H188" s="44" t="s">
        <v>91</v>
      </c>
      <c r="I188" s="109" t="str">
        <f>A187</f>
        <v xml:space="preserve"> 3rd, 5th, 7th Floor</v>
      </c>
      <c r="J188" s="110"/>
    </row>
    <row r="189" spans="1:10" s="62" customFormat="1" x14ac:dyDescent="0.35">
      <c r="A189" s="103">
        <v>2</v>
      </c>
      <c r="B189" s="104"/>
      <c r="C189" s="44" t="s">
        <v>197</v>
      </c>
      <c r="D189" s="103">
        <f>(35.36+0.3*1.4+0.3*1.4+1*2.75+2*2.75+0.75*2.75+0.75*2.75)*10.764</f>
        <v>522.86130000000003</v>
      </c>
      <c r="E189" s="104"/>
      <c r="F189" s="44">
        <v>0</v>
      </c>
      <c r="G189" s="44">
        <v>828.52</v>
      </c>
      <c r="H189" s="44" t="s">
        <v>91</v>
      </c>
      <c r="I189" s="111"/>
      <c r="J189" s="112"/>
    </row>
    <row r="190" spans="1:10" s="62" customFormat="1" x14ac:dyDescent="0.35">
      <c r="A190" s="103">
        <v>3</v>
      </c>
      <c r="B190" s="104"/>
      <c r="C190" s="44" t="s">
        <v>197</v>
      </c>
      <c r="D190" s="103">
        <f t="shared" ref="D190" si="12">(35.36+0.3*1.85+0.3*1.85+1*2.75+2*2.75+0.75*2.75+0.75*2.75)*10.764</f>
        <v>525.76757999999995</v>
      </c>
      <c r="E190" s="104"/>
      <c r="F190" s="44">
        <v>0</v>
      </c>
      <c r="G190" s="44">
        <v>831.02</v>
      </c>
      <c r="H190" s="44" t="s">
        <v>91</v>
      </c>
      <c r="I190" s="111"/>
      <c r="J190" s="112"/>
    </row>
    <row r="191" spans="1:10" s="62" customFormat="1" x14ac:dyDescent="0.35">
      <c r="A191" s="103">
        <v>4</v>
      </c>
      <c r="B191" s="104"/>
      <c r="C191" s="44" t="s">
        <v>200</v>
      </c>
      <c r="D191" s="103">
        <f>(52.98+0.3*1.15+0.3*2.9+1*3.05+2*3.05+0.75*3.05+0.75*2.75+0.75*1.9)*10.764</f>
        <v>744.00767999999982</v>
      </c>
      <c r="E191" s="104"/>
      <c r="F191" s="44">
        <v>0</v>
      </c>
      <c r="G191" s="44">
        <v>1183.1600000000001</v>
      </c>
      <c r="H191" s="44" t="s">
        <v>91</v>
      </c>
      <c r="I191" s="111"/>
      <c r="J191" s="112"/>
    </row>
    <row r="192" spans="1:10" s="62" customFormat="1" x14ac:dyDescent="0.35">
      <c r="A192" s="103">
        <v>5</v>
      </c>
      <c r="B192" s="104"/>
      <c r="C192" s="44" t="s">
        <v>200</v>
      </c>
      <c r="D192" s="103">
        <f>(52.98+0.3*1.15+0.3*2.9+1*3.05+2*3.05+0.75*3.05+0.75*2.75+0.75*1.9)*10.764</f>
        <v>744.00767999999982</v>
      </c>
      <c r="E192" s="104"/>
      <c r="F192" s="44">
        <v>0</v>
      </c>
      <c r="G192" s="44">
        <v>1183.1600000000001</v>
      </c>
      <c r="H192" s="44" t="s">
        <v>91</v>
      </c>
      <c r="I192" s="111"/>
      <c r="J192" s="112"/>
    </row>
    <row r="193" spans="1:11" s="62" customFormat="1" x14ac:dyDescent="0.35">
      <c r="A193" s="103">
        <v>6</v>
      </c>
      <c r="B193" s="104"/>
      <c r="C193" s="44" t="s">
        <v>197</v>
      </c>
      <c r="D193" s="103">
        <f>(35.36+0.3*1.4+0.3*1.4+1*2.75+2*2.75+0.75*2.75+0.75*2.75)*10.764</f>
        <v>522.86130000000003</v>
      </c>
      <c r="E193" s="104"/>
      <c r="F193" s="44">
        <v>0</v>
      </c>
      <c r="G193" s="44">
        <v>831.02</v>
      </c>
      <c r="H193" s="44" t="s">
        <v>91</v>
      </c>
      <c r="I193" s="111"/>
      <c r="J193" s="112"/>
    </row>
    <row r="194" spans="1:11" s="62" customFormat="1" x14ac:dyDescent="0.35">
      <c r="A194" s="103">
        <v>7</v>
      </c>
      <c r="B194" s="104"/>
      <c r="C194" s="44" t="s">
        <v>197</v>
      </c>
      <c r="D194" s="103">
        <f t="shared" ref="D194:D195" si="13">(35.36+0.3*1.4+0.3*1.4+1*2.75+2*2.75+0.75*2.75+0.75*2.75)*10.764</f>
        <v>522.86130000000003</v>
      </c>
      <c r="E194" s="104"/>
      <c r="F194" s="44">
        <v>0</v>
      </c>
      <c r="G194" s="44">
        <v>828.52</v>
      </c>
      <c r="H194" s="44" t="s">
        <v>91</v>
      </c>
      <c r="I194" s="111"/>
      <c r="J194" s="112"/>
      <c r="K194" s="62">
        <f>2640000/G194</f>
        <v>3186.4046733935211</v>
      </c>
    </row>
    <row r="195" spans="1:11" s="62" customFormat="1" x14ac:dyDescent="0.35">
      <c r="A195" s="103">
        <v>8</v>
      </c>
      <c r="B195" s="104"/>
      <c r="C195" s="44" t="s">
        <v>197</v>
      </c>
      <c r="D195" s="103">
        <f t="shared" si="13"/>
        <v>522.86130000000003</v>
      </c>
      <c r="E195" s="104"/>
      <c r="F195" s="44">
        <v>0</v>
      </c>
      <c r="G195" s="44">
        <v>830.79</v>
      </c>
      <c r="H195" s="44" t="s">
        <v>91</v>
      </c>
      <c r="I195" s="111"/>
      <c r="J195" s="112"/>
    </row>
    <row r="196" spans="1:11" s="62" customFormat="1" x14ac:dyDescent="0.35">
      <c r="A196" s="103">
        <v>9</v>
      </c>
      <c r="B196" s="104"/>
      <c r="C196" s="44" t="s">
        <v>197</v>
      </c>
      <c r="D196" s="103">
        <f t="shared" ref="D196:D201" si="14">(30.52+0.3*1.4+0.3*1.4+1.65*2.75+0.75*2.75+0.75*2.75)*10.764</f>
        <v>430.80219</v>
      </c>
      <c r="E196" s="104"/>
      <c r="F196" s="44">
        <v>0</v>
      </c>
      <c r="G196" s="44">
        <v>686.34</v>
      </c>
      <c r="H196" s="44" t="s">
        <v>91</v>
      </c>
      <c r="I196" s="111"/>
      <c r="J196" s="112"/>
    </row>
    <row r="197" spans="1:11" s="62" customFormat="1" x14ac:dyDescent="0.35">
      <c r="A197" s="103">
        <v>10</v>
      </c>
      <c r="B197" s="104"/>
      <c r="C197" s="44" t="s">
        <v>197</v>
      </c>
      <c r="D197" s="103">
        <f t="shared" si="14"/>
        <v>430.80219</v>
      </c>
      <c r="E197" s="104"/>
      <c r="F197" s="44">
        <v>0</v>
      </c>
      <c r="G197" s="44">
        <v>682.42</v>
      </c>
      <c r="H197" s="44" t="s">
        <v>91</v>
      </c>
      <c r="I197" s="111"/>
      <c r="J197" s="112"/>
    </row>
    <row r="198" spans="1:11" s="62" customFormat="1" x14ac:dyDescent="0.35">
      <c r="A198" s="103">
        <v>11</v>
      </c>
      <c r="B198" s="104"/>
      <c r="C198" s="44" t="s">
        <v>197</v>
      </c>
      <c r="D198" s="103">
        <f t="shared" si="14"/>
        <v>430.80219</v>
      </c>
      <c r="E198" s="104"/>
      <c r="F198" s="44">
        <v>0</v>
      </c>
      <c r="G198" s="44">
        <v>684.29</v>
      </c>
      <c r="H198" s="44" t="s">
        <v>91</v>
      </c>
      <c r="I198" s="111"/>
      <c r="J198" s="112"/>
    </row>
    <row r="199" spans="1:11" s="62" customFormat="1" x14ac:dyDescent="0.35">
      <c r="A199" s="103">
        <v>12</v>
      </c>
      <c r="B199" s="104"/>
      <c r="C199" s="44" t="s">
        <v>197</v>
      </c>
      <c r="D199" s="103">
        <f t="shared" si="14"/>
        <v>430.80219</v>
      </c>
      <c r="E199" s="104"/>
      <c r="F199" s="44">
        <v>0</v>
      </c>
      <c r="G199" s="44">
        <v>684.29</v>
      </c>
      <c r="H199" s="44" t="s">
        <v>91</v>
      </c>
      <c r="I199" s="111"/>
      <c r="J199" s="112"/>
    </row>
    <row r="200" spans="1:11" s="62" customFormat="1" x14ac:dyDescent="0.35">
      <c r="A200" s="103">
        <v>13</v>
      </c>
      <c r="B200" s="104"/>
      <c r="C200" s="44" t="s">
        <v>197</v>
      </c>
      <c r="D200" s="103">
        <f t="shared" si="14"/>
        <v>430.80219</v>
      </c>
      <c r="E200" s="104"/>
      <c r="F200" s="44">
        <v>0</v>
      </c>
      <c r="G200" s="44">
        <v>682.42</v>
      </c>
      <c r="H200" s="44" t="s">
        <v>91</v>
      </c>
      <c r="I200" s="111"/>
      <c r="J200" s="112"/>
    </row>
    <row r="201" spans="1:11" s="62" customFormat="1" x14ac:dyDescent="0.35">
      <c r="A201" s="103">
        <v>14</v>
      </c>
      <c r="B201" s="104"/>
      <c r="C201" s="44" t="s">
        <v>197</v>
      </c>
      <c r="D201" s="103">
        <f t="shared" si="14"/>
        <v>430.80219</v>
      </c>
      <c r="E201" s="104"/>
      <c r="F201" s="44">
        <v>0</v>
      </c>
      <c r="G201" s="44">
        <v>686.34</v>
      </c>
      <c r="H201" s="44" t="s">
        <v>91</v>
      </c>
      <c r="I201" s="113"/>
      <c r="J201" s="114"/>
    </row>
    <row r="202" spans="1:11" s="62" customFormat="1" x14ac:dyDescent="0.35">
      <c r="A202" s="105" t="s">
        <v>201</v>
      </c>
      <c r="B202" s="105"/>
      <c r="C202" s="105"/>
      <c r="D202" s="105"/>
      <c r="E202" s="105"/>
      <c r="F202" s="105"/>
      <c r="G202" s="105"/>
      <c r="H202" s="105"/>
      <c r="I202" s="105"/>
      <c r="J202" s="105"/>
    </row>
    <row r="203" spans="1:11" s="62" customFormat="1" ht="15.75" customHeight="1" x14ac:dyDescent="0.35">
      <c r="A203" s="99">
        <v>1</v>
      </c>
      <c r="B203" s="99"/>
      <c r="C203" s="72" t="s">
        <v>197</v>
      </c>
      <c r="D203" s="99">
        <f>(35.36+0.3*1.4+0.3*1.4+1*2.75+2*2.75+0.75*2.75+0.75*2.75)*10.764</f>
        <v>522.86130000000003</v>
      </c>
      <c r="E203" s="99"/>
      <c r="F203" s="72">
        <v>0</v>
      </c>
      <c r="G203" s="72">
        <v>831.02</v>
      </c>
      <c r="H203" s="72" t="s">
        <v>91</v>
      </c>
      <c r="I203" s="99" t="str">
        <f>A202</f>
        <v>2nd, 4th, 6th Floor</v>
      </c>
      <c r="J203" s="99"/>
    </row>
    <row r="204" spans="1:11" s="62" customFormat="1" x14ac:dyDescent="0.35">
      <c r="A204" s="99">
        <v>2</v>
      </c>
      <c r="B204" s="99"/>
      <c r="C204" s="72" t="s">
        <v>197</v>
      </c>
      <c r="D204" s="99">
        <f>(35.36+0.3*1.4+0.3*1.4+1*2.75+2*2.75+0.75*2.75+0.75*2.75)*10.764</f>
        <v>522.86130000000003</v>
      </c>
      <c r="E204" s="99"/>
      <c r="F204" s="72">
        <v>0</v>
      </c>
      <c r="G204" s="72">
        <v>828.52</v>
      </c>
      <c r="H204" s="72" t="s">
        <v>91</v>
      </c>
      <c r="I204" s="99"/>
      <c r="J204" s="99"/>
    </row>
    <row r="205" spans="1:11" s="62" customFormat="1" ht="15.75" customHeight="1" x14ac:dyDescent="0.35">
      <c r="A205" s="99">
        <v>3</v>
      </c>
      <c r="B205" s="99"/>
      <c r="C205" s="72" t="s">
        <v>197</v>
      </c>
      <c r="D205" s="99">
        <f t="shared" ref="D205" si="15">(35.36+0.3*1.85+0.3*1.85+1*2.75+2*2.75+0.75*2.75+0.75*2.75)*10.764</f>
        <v>525.76757999999995</v>
      </c>
      <c r="E205" s="99"/>
      <c r="F205" s="72">
        <v>0</v>
      </c>
      <c r="G205" s="72">
        <v>830.79</v>
      </c>
      <c r="H205" s="72" t="s">
        <v>91</v>
      </c>
      <c r="I205" s="99"/>
      <c r="J205" s="99"/>
    </row>
    <row r="206" spans="1:11" s="62" customFormat="1" x14ac:dyDescent="0.35">
      <c r="A206" s="99">
        <v>4</v>
      </c>
      <c r="B206" s="99"/>
      <c r="C206" s="72" t="s">
        <v>200</v>
      </c>
      <c r="D206" s="99">
        <f>(49.88+0.3*1+0.3*2.9+1.5*3.05+2*3.05+0.75*2.75+0.75*3.05+0.75*1.7)*10.764</f>
        <v>724.95540000000005</v>
      </c>
      <c r="E206" s="99"/>
      <c r="F206" s="72">
        <v>0</v>
      </c>
      <c r="G206" s="72">
        <v>1154.28</v>
      </c>
      <c r="H206" s="72" t="s">
        <v>91</v>
      </c>
      <c r="I206" s="99"/>
      <c r="J206" s="99"/>
    </row>
    <row r="207" spans="1:11" s="62" customFormat="1" x14ac:dyDescent="0.35">
      <c r="A207" s="99">
        <v>5</v>
      </c>
      <c r="B207" s="99"/>
      <c r="C207" s="72" t="s">
        <v>200</v>
      </c>
      <c r="D207" s="99">
        <f>(49.88+0.3*1+0.3*2.9+1.5*3.05+2*3.05+0.75*2.75+0.75*3.05+0.75*1.7)*10.764</f>
        <v>724.95540000000005</v>
      </c>
      <c r="E207" s="99"/>
      <c r="F207" s="72">
        <v>0</v>
      </c>
      <c r="G207" s="72">
        <v>1154.28</v>
      </c>
      <c r="H207" s="72" t="s">
        <v>91</v>
      </c>
      <c r="I207" s="99"/>
      <c r="J207" s="99"/>
    </row>
    <row r="208" spans="1:11" s="62" customFormat="1" x14ac:dyDescent="0.35">
      <c r="A208" s="99">
        <v>6</v>
      </c>
      <c r="B208" s="99"/>
      <c r="C208" s="72" t="s">
        <v>197</v>
      </c>
      <c r="D208" s="99">
        <f>(35.36+0.3*1.4+0.3*1.4+1*2.75+2*2.75+0.75*2.75+0.75*2.75)*10.764</f>
        <v>522.86130000000003</v>
      </c>
      <c r="E208" s="99"/>
      <c r="F208" s="72">
        <v>0</v>
      </c>
      <c r="G208" s="72">
        <v>830.79</v>
      </c>
      <c r="H208" s="72" t="s">
        <v>91</v>
      </c>
      <c r="I208" s="99"/>
      <c r="J208" s="99"/>
    </row>
    <row r="209" spans="1:12" s="62" customFormat="1" x14ac:dyDescent="0.35">
      <c r="A209" s="99">
        <v>7</v>
      </c>
      <c r="B209" s="99"/>
      <c r="C209" s="72" t="s">
        <v>197</v>
      </c>
      <c r="D209" s="99">
        <f t="shared" ref="D209:D210" si="16">(35.36+0.3*1.4+0.3*1.4+1*2.75+2*2.75+0.75*2.75+0.75*2.75)*10.764</f>
        <v>522.86130000000003</v>
      </c>
      <c r="E209" s="99"/>
      <c r="F209" s="72">
        <v>0</v>
      </c>
      <c r="G209" s="72">
        <v>828.52</v>
      </c>
      <c r="H209" s="72" t="s">
        <v>91</v>
      </c>
      <c r="I209" s="99"/>
      <c r="J209" s="99"/>
    </row>
    <row r="210" spans="1:12" s="62" customFormat="1" x14ac:dyDescent="0.35">
      <c r="A210" s="99">
        <v>8</v>
      </c>
      <c r="B210" s="99"/>
      <c r="C210" s="72" t="s">
        <v>197</v>
      </c>
      <c r="D210" s="99">
        <f t="shared" si="16"/>
        <v>522.86130000000003</v>
      </c>
      <c r="E210" s="99"/>
      <c r="F210" s="72">
        <v>0</v>
      </c>
      <c r="G210" s="72">
        <v>831.02</v>
      </c>
      <c r="H210" s="72" t="s">
        <v>91</v>
      </c>
      <c r="I210" s="99"/>
      <c r="J210" s="99"/>
    </row>
    <row r="211" spans="1:12" s="62" customFormat="1" x14ac:dyDescent="0.35">
      <c r="A211" s="99">
        <v>9</v>
      </c>
      <c r="B211" s="99"/>
      <c r="C211" s="72" t="s">
        <v>197</v>
      </c>
      <c r="D211" s="99">
        <f>(30.52+0.3*1.4+0.3*1.4+1.5*2.75+0.75*2.75+0.75*2.75)*10.764</f>
        <v>426.36203999999998</v>
      </c>
      <c r="E211" s="99"/>
      <c r="F211" s="72">
        <v>0</v>
      </c>
      <c r="G211" s="72">
        <v>678.71</v>
      </c>
      <c r="H211" s="72" t="s">
        <v>91</v>
      </c>
      <c r="I211" s="99"/>
      <c r="J211" s="99"/>
      <c r="L211" s="62">
        <f>1736112/G211</f>
        <v>2557.9584800577563</v>
      </c>
    </row>
    <row r="212" spans="1:12" s="62" customFormat="1" x14ac:dyDescent="0.35">
      <c r="A212" s="99">
        <v>10</v>
      </c>
      <c r="B212" s="99"/>
      <c r="C212" s="72" t="s">
        <v>197</v>
      </c>
      <c r="D212" s="99">
        <f t="shared" ref="D212:D216" si="17">(30.52+0.3*1.4+0.3*1.4+1.5*2.75+0.75*2.75+0.75*2.75)*10.764</f>
        <v>426.36203999999998</v>
      </c>
      <c r="E212" s="99"/>
      <c r="F212" s="72">
        <v>0</v>
      </c>
      <c r="G212" s="72">
        <v>674.02</v>
      </c>
      <c r="H212" s="72" t="s">
        <v>91</v>
      </c>
      <c r="I212" s="99"/>
      <c r="J212" s="99"/>
    </row>
    <row r="213" spans="1:12" s="62" customFormat="1" x14ac:dyDescent="0.35">
      <c r="A213" s="99">
        <v>11</v>
      </c>
      <c r="B213" s="99"/>
      <c r="C213" s="72" t="s">
        <v>197</v>
      </c>
      <c r="D213" s="99">
        <f t="shared" si="17"/>
        <v>426.36203999999998</v>
      </c>
      <c r="E213" s="99"/>
      <c r="F213" s="72">
        <v>0</v>
      </c>
      <c r="G213" s="72">
        <v>674.02</v>
      </c>
      <c r="H213" s="72" t="s">
        <v>91</v>
      </c>
      <c r="I213" s="99"/>
      <c r="J213" s="99"/>
    </row>
    <row r="214" spans="1:12" s="62" customFormat="1" x14ac:dyDescent="0.35">
      <c r="A214" s="99">
        <v>12</v>
      </c>
      <c r="B214" s="99"/>
      <c r="C214" s="72" t="s">
        <v>197</v>
      </c>
      <c r="D214" s="99">
        <f t="shared" si="17"/>
        <v>426.36203999999998</v>
      </c>
      <c r="E214" s="99"/>
      <c r="F214" s="72">
        <v>0</v>
      </c>
      <c r="G214" s="72">
        <v>674.02</v>
      </c>
      <c r="H214" s="72" t="s">
        <v>91</v>
      </c>
      <c r="I214" s="99"/>
      <c r="J214" s="99"/>
    </row>
    <row r="215" spans="1:12" s="62" customFormat="1" x14ac:dyDescent="0.35">
      <c r="A215" s="99">
        <v>13</v>
      </c>
      <c r="B215" s="99"/>
      <c r="C215" s="72" t="s">
        <v>197</v>
      </c>
      <c r="D215" s="99">
        <f t="shared" si="17"/>
        <v>426.36203999999998</v>
      </c>
      <c r="E215" s="99"/>
      <c r="F215" s="72">
        <v>0</v>
      </c>
      <c r="G215" s="72">
        <v>674.02</v>
      </c>
      <c r="H215" s="72" t="s">
        <v>91</v>
      </c>
      <c r="I215" s="99"/>
      <c r="J215" s="99"/>
      <c r="L215" s="62">
        <f>1500000/G215</f>
        <v>2225.4532506453816</v>
      </c>
    </row>
    <row r="216" spans="1:12" s="62" customFormat="1" x14ac:dyDescent="0.35">
      <c r="A216" s="99">
        <v>14</v>
      </c>
      <c r="B216" s="99"/>
      <c r="C216" s="72" t="s">
        <v>197</v>
      </c>
      <c r="D216" s="99">
        <f t="shared" si="17"/>
        <v>426.36203999999998</v>
      </c>
      <c r="E216" s="99"/>
      <c r="F216" s="72">
        <v>0</v>
      </c>
      <c r="G216" s="72">
        <v>678.71</v>
      </c>
      <c r="H216" s="72" t="s">
        <v>91</v>
      </c>
      <c r="I216" s="99"/>
      <c r="J216" s="99"/>
    </row>
    <row r="217" spans="1:12" s="58" customFormat="1" x14ac:dyDescent="0.35">
      <c r="A217" s="88" t="s">
        <v>101</v>
      </c>
      <c r="B217" s="88"/>
      <c r="C217" s="88"/>
      <c r="D217" s="88"/>
      <c r="E217" s="88"/>
      <c r="F217" s="88"/>
      <c r="G217" s="88"/>
      <c r="H217" s="88"/>
      <c r="I217" s="88"/>
      <c r="J217" s="88"/>
    </row>
    <row r="218" spans="1:12" s="63" customFormat="1" ht="182" customHeight="1" x14ac:dyDescent="0.35">
      <c r="A218" s="89" t="s">
        <v>271</v>
      </c>
      <c r="B218" s="89"/>
      <c r="C218" s="89"/>
      <c r="D218" s="89"/>
      <c r="E218" s="89"/>
      <c r="F218" s="89"/>
      <c r="G218" s="89"/>
      <c r="H218" s="89"/>
      <c r="I218" s="89"/>
      <c r="J218" s="89"/>
    </row>
    <row r="219" spans="1:12" x14ac:dyDescent="0.35">
      <c r="A219" s="90" t="s">
        <v>92</v>
      </c>
      <c r="B219" s="91"/>
      <c r="C219" s="91"/>
      <c r="D219" s="91"/>
      <c r="E219" s="91"/>
      <c r="F219" s="91"/>
      <c r="G219" s="91"/>
      <c r="H219" s="91"/>
      <c r="I219" s="91"/>
      <c r="J219" s="92"/>
    </row>
    <row r="220" spans="1:12" x14ac:dyDescent="0.35">
      <c r="A220" s="73" t="s">
        <v>93</v>
      </c>
      <c r="B220" s="74"/>
      <c r="C220" s="74"/>
      <c r="D220" s="74"/>
      <c r="E220" s="74"/>
      <c r="F220" s="74"/>
      <c r="G220" s="74"/>
      <c r="H220" s="74"/>
      <c r="I220" s="74"/>
      <c r="J220" s="75"/>
    </row>
    <row r="221" spans="1:12" ht="15.75" customHeight="1" x14ac:dyDescent="0.35">
      <c r="A221" s="90" t="s">
        <v>94</v>
      </c>
      <c r="B221" s="91"/>
      <c r="C221" s="91"/>
      <c r="D221" s="91"/>
      <c r="E221" s="91"/>
      <c r="F221" s="91"/>
      <c r="G221" s="91"/>
      <c r="H221" s="91"/>
      <c r="I221" s="91"/>
      <c r="J221" s="92"/>
    </row>
    <row r="222" spans="1:12" x14ac:dyDescent="0.35">
      <c r="A222" s="73" t="s">
        <v>95</v>
      </c>
      <c r="B222" s="74"/>
      <c r="C222" s="74"/>
      <c r="D222" s="74"/>
      <c r="E222" s="74"/>
      <c r="F222" s="74"/>
      <c r="G222" s="74"/>
      <c r="H222" s="74"/>
      <c r="I222" s="74"/>
      <c r="J222" s="75"/>
    </row>
    <row r="223" spans="1:12" x14ac:dyDescent="0.35">
      <c r="A223" s="73" t="s">
        <v>96</v>
      </c>
      <c r="B223" s="74"/>
      <c r="C223" s="74"/>
      <c r="D223" s="74"/>
      <c r="E223" s="74"/>
      <c r="F223" s="74"/>
      <c r="G223" s="74"/>
      <c r="H223" s="74"/>
      <c r="I223" s="74"/>
      <c r="J223" s="75"/>
    </row>
    <row r="224" spans="1:12" x14ac:dyDescent="0.35">
      <c r="A224" s="73" t="s">
        <v>97</v>
      </c>
      <c r="B224" s="74"/>
      <c r="C224" s="74"/>
      <c r="D224" s="74"/>
      <c r="E224" s="74"/>
      <c r="F224" s="74"/>
      <c r="G224" s="74"/>
      <c r="H224" s="74"/>
      <c r="I224" s="74"/>
      <c r="J224" s="75"/>
    </row>
    <row r="225" spans="1:10" ht="35.25" hidden="1" customHeight="1" x14ac:dyDescent="0.35">
      <c r="A225" s="77" t="s">
        <v>98</v>
      </c>
      <c r="B225" s="78"/>
      <c r="C225" s="78"/>
      <c r="D225" s="78"/>
      <c r="E225" s="78"/>
      <c r="F225" s="78"/>
      <c r="G225" s="78"/>
      <c r="H225" s="78"/>
      <c r="I225" s="78"/>
      <c r="J225" s="79"/>
    </row>
    <row r="226" spans="1:10" x14ac:dyDescent="0.35">
      <c r="A226" s="101" t="s">
        <v>177</v>
      </c>
      <c r="B226" s="101"/>
      <c r="C226" s="102" t="s">
        <v>268</v>
      </c>
      <c r="D226" s="102"/>
      <c r="E226" s="101" t="s">
        <v>178</v>
      </c>
      <c r="F226" s="101"/>
      <c r="G226" s="101"/>
      <c r="H226" s="101" t="s">
        <v>272</v>
      </c>
      <c r="I226" s="101"/>
      <c r="J226" s="101"/>
    </row>
    <row r="227" spans="1:10" x14ac:dyDescent="0.35">
      <c r="A227" s="100" t="s">
        <v>180</v>
      </c>
      <c r="B227" s="100"/>
      <c r="C227" s="100"/>
      <c r="D227" s="100"/>
      <c r="E227" s="100"/>
      <c r="F227" s="100"/>
      <c r="G227" s="100"/>
      <c r="H227" s="100"/>
      <c r="I227" s="100"/>
      <c r="J227" s="100"/>
    </row>
    <row r="228" spans="1:10" x14ac:dyDescent="0.35">
      <c r="A228" s="100"/>
      <c r="B228" s="100"/>
      <c r="C228" s="100"/>
      <c r="D228" s="100"/>
      <c r="E228" s="100"/>
      <c r="F228" s="100"/>
      <c r="G228" s="100"/>
      <c r="H228" s="100"/>
      <c r="I228" s="100"/>
      <c r="J228" s="100"/>
    </row>
    <row r="229" spans="1:10" x14ac:dyDescent="0.35">
      <c r="A229" s="100"/>
      <c r="B229" s="100"/>
      <c r="C229" s="100"/>
      <c r="D229" s="100"/>
      <c r="E229" s="100"/>
      <c r="F229" s="100"/>
      <c r="G229" s="100"/>
      <c r="H229" s="100"/>
      <c r="I229" s="100"/>
      <c r="J229" s="100"/>
    </row>
    <row r="230" spans="1:10" x14ac:dyDescent="0.35">
      <c r="A230" s="100"/>
      <c r="B230" s="100"/>
      <c r="C230" s="100"/>
      <c r="D230" s="100"/>
      <c r="E230" s="100"/>
      <c r="F230" s="100"/>
      <c r="G230" s="100"/>
      <c r="H230" s="100"/>
      <c r="I230" s="100"/>
      <c r="J230" s="100"/>
    </row>
    <row r="231" spans="1:10" x14ac:dyDescent="0.35">
      <c r="A231" s="64" t="s">
        <v>99</v>
      </c>
      <c r="B231" s="65"/>
      <c r="C231" s="65"/>
      <c r="D231" s="64" t="str">
        <f>F8</f>
        <v>Royal Regalia</v>
      </c>
      <c r="G231" s="65"/>
      <c r="H231" s="65"/>
      <c r="I231" s="65"/>
      <c r="J231" s="65"/>
    </row>
    <row r="232" spans="1:10" s="62" customFormat="1" x14ac:dyDescent="0.35">
      <c r="A232" s="76"/>
      <c r="B232" s="76"/>
      <c r="C232" s="45"/>
      <c r="D232" s="76"/>
      <c r="E232" s="76"/>
      <c r="F232" s="45"/>
      <c r="G232" s="45"/>
      <c r="H232" s="45"/>
      <c r="I232" s="76"/>
      <c r="J232" s="76"/>
    </row>
    <row r="233" spans="1:10" s="62" customFormat="1" x14ac:dyDescent="0.35">
      <c r="A233" s="76"/>
      <c r="B233" s="76"/>
      <c r="C233" s="45"/>
      <c r="D233" s="76"/>
      <c r="E233" s="76"/>
      <c r="F233" s="45"/>
      <c r="G233" s="45"/>
      <c r="H233" s="45"/>
      <c r="I233" s="76"/>
      <c r="J233" s="76"/>
    </row>
    <row r="234" spans="1:10" s="62" customFormat="1" x14ac:dyDescent="0.35">
      <c r="A234" s="76"/>
      <c r="B234" s="76"/>
      <c r="C234" s="45"/>
      <c r="D234" s="76"/>
      <c r="E234" s="76"/>
      <c r="F234" s="45"/>
      <c r="G234" s="45"/>
      <c r="H234" s="45"/>
      <c r="I234" s="76"/>
      <c r="J234" s="76"/>
    </row>
    <row r="235" spans="1:10" s="62" customFormat="1" x14ac:dyDescent="0.35">
      <c r="A235" s="76"/>
      <c r="B235" s="76"/>
      <c r="C235" s="45"/>
      <c r="D235" s="76"/>
      <c r="E235" s="76"/>
      <c r="F235" s="45"/>
      <c r="G235" s="45"/>
      <c r="H235" s="45"/>
      <c r="I235" s="76"/>
      <c r="J235" s="76"/>
    </row>
    <row r="236" spans="1:10" s="62" customFormat="1" x14ac:dyDescent="0.35">
      <c r="A236" s="76"/>
      <c r="B236" s="76"/>
      <c r="C236" s="45"/>
      <c r="D236" s="76"/>
      <c r="E236" s="76"/>
      <c r="F236" s="45"/>
      <c r="G236" s="45"/>
      <c r="H236" s="45"/>
      <c r="I236" s="76"/>
      <c r="J236" s="76"/>
    </row>
    <row r="237" spans="1:10" s="62" customFormat="1" x14ac:dyDescent="0.35">
      <c r="A237" s="76"/>
      <c r="B237" s="76"/>
      <c r="C237" s="45"/>
      <c r="D237" s="76"/>
      <c r="E237" s="76"/>
      <c r="F237" s="45"/>
      <c r="G237" s="45"/>
      <c r="H237" s="45"/>
      <c r="I237" s="76"/>
      <c r="J237" s="76"/>
    </row>
    <row r="238" spans="1:10" s="62" customFormat="1" x14ac:dyDescent="0.35">
      <c r="A238" s="76"/>
      <c r="B238" s="76"/>
      <c r="C238" s="45"/>
      <c r="D238" s="76"/>
      <c r="E238" s="76"/>
      <c r="F238" s="45"/>
      <c r="G238" s="45"/>
      <c r="H238" s="45"/>
      <c r="I238" s="76"/>
      <c r="J238" s="76"/>
    </row>
    <row r="239" spans="1:10" s="62" customFormat="1" x14ac:dyDescent="0.35">
      <c r="A239" s="76"/>
      <c r="B239" s="76"/>
      <c r="C239" s="45"/>
      <c r="D239" s="76"/>
      <c r="E239" s="76"/>
      <c r="F239" s="45"/>
      <c r="G239" s="45"/>
      <c r="H239" s="45"/>
      <c r="I239" s="76"/>
      <c r="J239" s="76"/>
    </row>
    <row r="240" spans="1:10" s="62" customFormat="1" x14ac:dyDescent="0.35">
      <c r="A240" s="76"/>
      <c r="B240" s="76"/>
      <c r="C240" s="45"/>
      <c r="D240" s="76"/>
      <c r="E240" s="76"/>
      <c r="F240" s="45"/>
      <c r="G240" s="45"/>
      <c r="H240" s="45"/>
      <c r="I240" s="76"/>
      <c r="J240" s="76"/>
    </row>
    <row r="241" spans="1:10" s="62" customFormat="1" x14ac:dyDescent="0.35">
      <c r="A241" s="76"/>
      <c r="B241" s="76"/>
      <c r="C241" s="45"/>
      <c r="D241" s="76"/>
      <c r="E241" s="76"/>
      <c r="F241" s="45"/>
      <c r="G241" s="45"/>
      <c r="H241" s="45"/>
      <c r="I241" s="76"/>
      <c r="J241" s="76"/>
    </row>
    <row r="242" spans="1:10" s="62" customFormat="1" x14ac:dyDescent="0.35">
      <c r="A242" s="76"/>
      <c r="B242" s="76"/>
      <c r="C242" s="45"/>
      <c r="D242" s="76"/>
      <c r="E242" s="76"/>
      <c r="F242" s="45"/>
      <c r="G242" s="45"/>
      <c r="H242" s="45"/>
      <c r="I242" s="76"/>
      <c r="J242" s="76"/>
    </row>
    <row r="243" spans="1:10" s="62" customFormat="1" x14ac:dyDescent="0.35">
      <c r="A243" s="76"/>
      <c r="B243" s="76"/>
      <c r="C243" s="45"/>
      <c r="D243" s="76"/>
      <c r="E243" s="76"/>
      <c r="F243" s="45"/>
      <c r="G243" s="45"/>
      <c r="H243" s="45"/>
      <c r="I243" s="76"/>
      <c r="J243" s="76"/>
    </row>
    <row r="244" spans="1:10" s="62" customFormat="1" x14ac:dyDescent="0.35">
      <c r="A244" s="76"/>
      <c r="B244" s="76"/>
      <c r="C244" s="45"/>
      <c r="D244" s="76"/>
      <c r="E244" s="76"/>
      <c r="F244" s="45"/>
      <c r="G244" s="45"/>
      <c r="H244" s="45"/>
      <c r="I244" s="76"/>
      <c r="J244" s="76"/>
    </row>
    <row r="245" spans="1:10" s="62" customFormat="1" x14ac:dyDescent="0.35">
      <c r="A245" s="76"/>
      <c r="B245" s="76"/>
      <c r="C245" s="45"/>
      <c r="D245" s="76"/>
      <c r="E245" s="76"/>
      <c r="F245" s="45"/>
      <c r="G245" s="45"/>
      <c r="H245" s="45"/>
      <c r="I245" s="76"/>
      <c r="J245" s="76"/>
    </row>
    <row r="246" spans="1:10" s="62" customFormat="1" x14ac:dyDescent="0.35">
      <c r="A246" s="76"/>
      <c r="B246" s="76"/>
      <c r="C246" s="45"/>
      <c r="D246" s="76"/>
      <c r="E246" s="76"/>
      <c r="F246" s="45"/>
      <c r="G246" s="45"/>
      <c r="H246" s="45"/>
      <c r="I246" s="76"/>
      <c r="J246" s="76"/>
    </row>
    <row r="247" spans="1:10" s="62" customFormat="1" x14ac:dyDescent="0.35">
      <c r="A247" s="76"/>
      <c r="B247" s="76"/>
      <c r="C247" s="45"/>
      <c r="D247" s="76"/>
      <c r="E247" s="76"/>
      <c r="F247" s="45"/>
      <c r="G247" s="45"/>
      <c r="H247" s="45"/>
      <c r="I247" s="76"/>
      <c r="J247" s="76"/>
    </row>
    <row r="248" spans="1:10" s="62" customFormat="1" x14ac:dyDescent="0.35">
      <c r="A248" s="76"/>
      <c r="B248" s="76"/>
      <c r="C248" s="45"/>
      <c r="D248" s="76"/>
      <c r="E248" s="76"/>
      <c r="F248" s="45"/>
      <c r="G248" s="45"/>
      <c r="H248" s="45"/>
      <c r="I248" s="76"/>
      <c r="J248" s="76"/>
    </row>
    <row r="249" spans="1:10" s="62" customFormat="1" x14ac:dyDescent="0.35">
      <c r="A249" s="76"/>
      <c r="B249" s="76"/>
      <c r="C249" s="45"/>
      <c r="D249" s="76"/>
      <c r="E249" s="76"/>
      <c r="F249" s="45"/>
      <c r="G249" s="45"/>
      <c r="H249" s="45"/>
      <c r="I249" s="76"/>
      <c r="J249" s="76"/>
    </row>
    <row r="250" spans="1:10" s="62" customFormat="1" x14ac:dyDescent="0.35">
      <c r="A250" s="76"/>
      <c r="B250" s="76"/>
      <c r="C250" s="45"/>
      <c r="D250" s="76"/>
      <c r="E250" s="76"/>
      <c r="F250" s="45"/>
      <c r="G250" s="45"/>
      <c r="H250" s="45"/>
      <c r="I250" s="76"/>
      <c r="J250" s="76"/>
    </row>
    <row r="251" spans="1:10" s="62" customFormat="1" x14ac:dyDescent="0.35">
      <c r="A251" s="76"/>
      <c r="B251" s="76"/>
      <c r="C251" s="45"/>
      <c r="D251" s="76"/>
      <c r="E251" s="76"/>
      <c r="F251" s="45"/>
      <c r="G251" s="45"/>
      <c r="H251" s="45"/>
      <c r="I251" s="76"/>
      <c r="J251" s="76"/>
    </row>
    <row r="252" spans="1:10" s="62" customFormat="1" x14ac:dyDescent="0.35">
      <c r="A252" s="76"/>
      <c r="B252" s="76"/>
      <c r="C252" s="45"/>
      <c r="D252" s="76"/>
      <c r="E252" s="76"/>
      <c r="F252" s="45"/>
      <c r="G252" s="45"/>
      <c r="H252" s="45"/>
      <c r="I252" s="76"/>
      <c r="J252" s="76"/>
    </row>
    <row r="253" spans="1:10" s="62" customFormat="1" x14ac:dyDescent="0.35">
      <c r="A253" s="76"/>
      <c r="B253" s="76"/>
      <c r="C253" s="45"/>
      <c r="D253" s="76"/>
      <c r="E253" s="76"/>
      <c r="F253" s="45"/>
      <c r="G253" s="45"/>
      <c r="H253" s="45"/>
      <c r="I253" s="76"/>
      <c r="J253" s="76"/>
    </row>
    <row r="254" spans="1:10" s="62" customFormat="1" x14ac:dyDescent="0.35">
      <c r="A254" s="76"/>
      <c r="B254" s="76"/>
      <c r="C254" s="45"/>
      <c r="D254" s="76"/>
      <c r="E254" s="76"/>
      <c r="F254" s="45"/>
      <c r="G254" s="45"/>
      <c r="H254" s="45"/>
      <c r="I254" s="76"/>
      <c r="J254" s="76"/>
    </row>
    <row r="255" spans="1:10" s="62" customFormat="1" x14ac:dyDescent="0.35">
      <c r="A255" s="76"/>
      <c r="B255" s="76"/>
      <c r="C255" s="45"/>
      <c r="D255" s="76"/>
      <c r="E255" s="76"/>
      <c r="F255" s="45"/>
      <c r="G255" s="45"/>
      <c r="H255" s="45"/>
      <c r="I255" s="76"/>
      <c r="J255" s="76"/>
    </row>
    <row r="256" spans="1:10" s="62" customFormat="1" x14ac:dyDescent="0.35">
      <c r="A256" s="76"/>
      <c r="B256" s="76"/>
      <c r="C256" s="45"/>
      <c r="D256" s="76"/>
      <c r="E256" s="76"/>
      <c r="F256" s="45"/>
      <c r="G256" s="45"/>
      <c r="H256" s="45"/>
      <c r="I256" s="76"/>
      <c r="J256" s="76"/>
    </row>
    <row r="257" spans="1:10" s="62" customFormat="1" x14ac:dyDescent="0.35">
      <c r="A257" s="76"/>
      <c r="B257" s="76"/>
      <c r="C257" s="45"/>
      <c r="D257" s="76"/>
      <c r="E257" s="76"/>
      <c r="F257" s="45"/>
      <c r="G257" s="45"/>
      <c r="H257" s="45"/>
      <c r="I257" s="76"/>
      <c r="J257" s="76"/>
    </row>
    <row r="258" spans="1:10" s="62" customFormat="1" x14ac:dyDescent="0.35">
      <c r="A258" s="76"/>
      <c r="B258" s="76"/>
      <c r="C258" s="45"/>
      <c r="D258" s="76"/>
      <c r="E258" s="76"/>
      <c r="F258" s="45"/>
      <c r="G258" s="45"/>
      <c r="H258" s="45"/>
      <c r="I258" s="76"/>
      <c r="J258" s="76"/>
    </row>
    <row r="259" spans="1:10" ht="15" customHeight="1" x14ac:dyDescent="0.35">
      <c r="A259" s="64"/>
      <c r="B259" s="65"/>
      <c r="C259" s="65"/>
      <c r="D259" s="65"/>
      <c r="E259" s="65"/>
      <c r="F259" s="65"/>
      <c r="G259" s="65"/>
      <c r="H259" s="65"/>
      <c r="I259" s="65"/>
      <c r="J259" s="65"/>
    </row>
    <row r="260" spans="1:10" ht="15" customHeight="1" x14ac:dyDescent="0.35">
      <c r="A260" s="64"/>
      <c r="B260" s="65"/>
      <c r="C260" s="65"/>
      <c r="D260" s="65"/>
      <c r="E260" s="65"/>
      <c r="F260" s="65"/>
      <c r="G260" s="65"/>
      <c r="H260" s="65"/>
      <c r="I260" s="65"/>
      <c r="J260" s="65"/>
    </row>
    <row r="261" spans="1:10" x14ac:dyDescent="0.35">
      <c r="A261" s="65"/>
      <c r="B261" s="65"/>
      <c r="C261" s="65"/>
      <c r="D261" s="65"/>
      <c r="E261" s="65"/>
      <c r="F261" s="65"/>
      <c r="G261" s="65"/>
      <c r="H261" s="65"/>
      <c r="I261" s="65"/>
      <c r="J261" s="65"/>
    </row>
    <row r="262" spans="1:10" x14ac:dyDescent="0.35">
      <c r="A262" s="65"/>
      <c r="B262" s="65"/>
      <c r="C262" s="65"/>
      <c r="D262" s="65"/>
      <c r="E262" s="65"/>
      <c r="F262" s="65"/>
      <c r="G262" s="65"/>
      <c r="H262" s="65"/>
      <c r="I262" s="65"/>
      <c r="J262" s="65"/>
    </row>
    <row r="263" spans="1:10" ht="15" customHeight="1" x14ac:dyDescent="0.35"/>
    <row r="271" spans="1:10" ht="15" customHeight="1" x14ac:dyDescent="0.35"/>
    <row r="273" spans="1:1" x14ac:dyDescent="0.35">
      <c r="A273" s="66" t="s">
        <v>100</v>
      </c>
    </row>
  </sheetData>
  <mergeCells count="549">
    <mergeCell ref="A80:B80"/>
    <mergeCell ref="D80:E80"/>
    <mergeCell ref="A81:B81"/>
    <mergeCell ref="D81:E81"/>
    <mergeCell ref="A82:B82"/>
    <mergeCell ref="D82:E82"/>
    <mergeCell ref="E70:F70"/>
    <mergeCell ref="I70:J70"/>
    <mergeCell ref="A71:B71"/>
    <mergeCell ref="C71:J71"/>
    <mergeCell ref="A72:B72"/>
    <mergeCell ref="D72:E72"/>
    <mergeCell ref="F72:G72"/>
    <mergeCell ref="H72:J72"/>
    <mergeCell ref="A73:B73"/>
    <mergeCell ref="D73:E73"/>
    <mergeCell ref="F73:G82"/>
    <mergeCell ref="H73:J82"/>
    <mergeCell ref="A74:B74"/>
    <mergeCell ref="D74:E74"/>
    <mergeCell ref="A75:B75"/>
    <mergeCell ref="D75:E75"/>
    <mergeCell ref="A76:B76"/>
    <mergeCell ref="D76:E76"/>
    <mergeCell ref="D77:E77"/>
    <mergeCell ref="A78:B78"/>
    <mergeCell ref="D78:E78"/>
    <mergeCell ref="A79:B79"/>
    <mergeCell ref="D79:E79"/>
    <mergeCell ref="A65:B65"/>
    <mergeCell ref="D65:E65"/>
    <mergeCell ref="A66:B66"/>
    <mergeCell ref="D66:E66"/>
    <mergeCell ref="A67:B67"/>
    <mergeCell ref="D67:E67"/>
    <mergeCell ref="A68:B68"/>
    <mergeCell ref="A69:B69"/>
    <mergeCell ref="C69:J69"/>
    <mergeCell ref="A97:J97"/>
    <mergeCell ref="A95:F95"/>
    <mergeCell ref="G95:J95"/>
    <mergeCell ref="A92:F92"/>
    <mergeCell ref="G92:J92"/>
    <mergeCell ref="F59:G68"/>
    <mergeCell ref="H59:J68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89:F89"/>
    <mergeCell ref="G89:J89"/>
    <mergeCell ref="A83:J83"/>
    <mergeCell ref="D68:E68"/>
    <mergeCell ref="G94:J94"/>
    <mergeCell ref="A96:F96"/>
    <mergeCell ref="A77:B77"/>
    <mergeCell ref="I188:J201"/>
    <mergeCell ref="D195:E195"/>
    <mergeCell ref="A196:B196"/>
    <mergeCell ref="D196:E196"/>
    <mergeCell ref="A197:B197"/>
    <mergeCell ref="D197:E197"/>
    <mergeCell ref="A198:B198"/>
    <mergeCell ref="D198:E198"/>
    <mergeCell ref="I112:J126"/>
    <mergeCell ref="A194:B194"/>
    <mergeCell ref="D194:E194"/>
    <mergeCell ref="A195:B195"/>
    <mergeCell ref="A199:B199"/>
    <mergeCell ref="D199:E199"/>
    <mergeCell ref="A200:B200"/>
    <mergeCell ref="D200:E200"/>
    <mergeCell ref="A201:B201"/>
    <mergeCell ref="D201:E201"/>
    <mergeCell ref="A117:B117"/>
    <mergeCell ref="D117:E117"/>
    <mergeCell ref="A116:B116"/>
    <mergeCell ref="D116:E116"/>
    <mergeCell ref="A114:B114"/>
    <mergeCell ref="D114:E114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A29:B29"/>
    <mergeCell ref="C29:D29"/>
    <mergeCell ref="E29:F29"/>
    <mergeCell ref="G29:H29"/>
    <mergeCell ref="I29:J29"/>
    <mergeCell ref="A31:J31"/>
    <mergeCell ref="A32:B32"/>
    <mergeCell ref="A34:J34"/>
    <mergeCell ref="A36:E36"/>
    <mergeCell ref="F36:J36"/>
    <mergeCell ref="A33:B33"/>
    <mergeCell ref="C33:J33"/>
    <mergeCell ref="A17:B17"/>
    <mergeCell ref="C17:E17"/>
    <mergeCell ref="F17:G17"/>
    <mergeCell ref="H17:J17"/>
    <mergeCell ref="A27:B27"/>
    <mergeCell ref="C27:D27"/>
    <mergeCell ref="E27:F27"/>
    <mergeCell ref="G27:H27"/>
    <mergeCell ref="I27:J27"/>
    <mergeCell ref="A1:J1"/>
    <mergeCell ref="A2:J2"/>
    <mergeCell ref="A3:E3"/>
    <mergeCell ref="F3:J3"/>
    <mergeCell ref="A4:E4"/>
    <mergeCell ref="A8:E8"/>
    <mergeCell ref="F8:J8"/>
    <mergeCell ref="A10:E10"/>
    <mergeCell ref="F10:J10"/>
    <mergeCell ref="F4:J4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A12:E12"/>
    <mergeCell ref="F12:J12"/>
    <mergeCell ref="A13:E13"/>
    <mergeCell ref="F13:J13"/>
    <mergeCell ref="A14:B14"/>
    <mergeCell ref="C14:J14"/>
    <mergeCell ref="C15:J15"/>
    <mergeCell ref="A9:E9"/>
    <mergeCell ref="F9:J9"/>
    <mergeCell ref="A16:B16"/>
    <mergeCell ref="C16:E16"/>
    <mergeCell ref="F16:G16"/>
    <mergeCell ref="H16:J16"/>
    <mergeCell ref="A24:E24"/>
    <mergeCell ref="A25:E25"/>
    <mergeCell ref="F25:J25"/>
    <mergeCell ref="F24:J24"/>
    <mergeCell ref="A26:E26"/>
    <mergeCell ref="F26:J26"/>
    <mergeCell ref="A23:E23"/>
    <mergeCell ref="F23:J23"/>
    <mergeCell ref="A18:B18"/>
    <mergeCell ref="C18:E18"/>
    <mergeCell ref="F18:G18"/>
    <mergeCell ref="H18:J18"/>
    <mergeCell ref="A19:B19"/>
    <mergeCell ref="C19:E19"/>
    <mergeCell ref="F19:G19"/>
    <mergeCell ref="H19:J19"/>
    <mergeCell ref="A20:E21"/>
    <mergeCell ref="F20:J21"/>
    <mergeCell ref="A22:E22"/>
    <mergeCell ref="F22:J22"/>
    <mergeCell ref="A37:J37"/>
    <mergeCell ref="H48:J48"/>
    <mergeCell ref="A48:B48"/>
    <mergeCell ref="C48:F48"/>
    <mergeCell ref="A49:C49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H47:J47"/>
    <mergeCell ref="A50:J50"/>
    <mergeCell ref="A51:C51"/>
    <mergeCell ref="D51:E51"/>
    <mergeCell ref="F51:G51"/>
    <mergeCell ref="H51:J51"/>
    <mergeCell ref="A55:B55"/>
    <mergeCell ref="C55:J55"/>
    <mergeCell ref="E56:F56"/>
    <mergeCell ref="I56:J56"/>
    <mergeCell ref="C52:J52"/>
    <mergeCell ref="A57:B57"/>
    <mergeCell ref="C57:J57"/>
    <mergeCell ref="A58:B58"/>
    <mergeCell ref="D58:E58"/>
    <mergeCell ref="H58:J58"/>
    <mergeCell ref="A59:B59"/>
    <mergeCell ref="D59:E59"/>
    <mergeCell ref="A54:J54"/>
    <mergeCell ref="F58:G58"/>
    <mergeCell ref="G96:J96"/>
    <mergeCell ref="A90:F90"/>
    <mergeCell ref="G90:J90"/>
    <mergeCell ref="A91:F91"/>
    <mergeCell ref="G91:J91"/>
    <mergeCell ref="A86:J86"/>
    <mergeCell ref="A84:J84"/>
    <mergeCell ref="A85:B85"/>
    <mergeCell ref="C85:J85"/>
    <mergeCell ref="A87:F87"/>
    <mergeCell ref="A88:F88"/>
    <mergeCell ref="G88:J88"/>
    <mergeCell ref="A93:F93"/>
    <mergeCell ref="G93:J93"/>
    <mergeCell ref="A94:F94"/>
    <mergeCell ref="G87:J87"/>
    <mergeCell ref="A105:B105"/>
    <mergeCell ref="D105:F105"/>
    <mergeCell ref="G105:J105"/>
    <mergeCell ref="A98:B98"/>
    <mergeCell ref="D98:F98"/>
    <mergeCell ref="G98:J98"/>
    <mergeCell ref="A99:B99"/>
    <mergeCell ref="D99:F99"/>
    <mergeCell ref="G99:J99"/>
    <mergeCell ref="A102:J102"/>
    <mergeCell ref="A101:B101"/>
    <mergeCell ref="D101:F101"/>
    <mergeCell ref="G101:J101"/>
    <mergeCell ref="A104:B104"/>
    <mergeCell ref="A103:B103"/>
    <mergeCell ref="D103:F103"/>
    <mergeCell ref="G103:J103"/>
    <mergeCell ref="D104:F104"/>
    <mergeCell ref="G104:J104"/>
    <mergeCell ref="A106:B106"/>
    <mergeCell ref="D106:F106"/>
    <mergeCell ref="G106:J106"/>
    <mergeCell ref="A107:J107"/>
    <mergeCell ref="A108:J108"/>
    <mergeCell ref="A112:B112"/>
    <mergeCell ref="D112:E112"/>
    <mergeCell ref="A109:B109"/>
    <mergeCell ref="D109:E109"/>
    <mergeCell ref="I109:J109"/>
    <mergeCell ref="A110:J110"/>
    <mergeCell ref="A111:J111"/>
    <mergeCell ref="A115:B115"/>
    <mergeCell ref="D115:E115"/>
    <mergeCell ref="A113:B113"/>
    <mergeCell ref="D113:E113"/>
    <mergeCell ref="A120:B120"/>
    <mergeCell ref="D120:E120"/>
    <mergeCell ref="A121:B121"/>
    <mergeCell ref="D121:E121"/>
    <mergeCell ref="A118:B118"/>
    <mergeCell ref="D118:E118"/>
    <mergeCell ref="A119:B119"/>
    <mergeCell ref="D119:E119"/>
    <mergeCell ref="A124:B124"/>
    <mergeCell ref="D124:E124"/>
    <mergeCell ref="A125:B125"/>
    <mergeCell ref="D125:E125"/>
    <mergeCell ref="A122:B122"/>
    <mergeCell ref="D122:E122"/>
    <mergeCell ref="A123:B123"/>
    <mergeCell ref="D123:E123"/>
    <mergeCell ref="A129:B129"/>
    <mergeCell ref="D129:E129"/>
    <mergeCell ref="A130:B130"/>
    <mergeCell ref="D130:E130"/>
    <mergeCell ref="A126:B126"/>
    <mergeCell ref="D126:E126"/>
    <mergeCell ref="A128:B128"/>
    <mergeCell ref="D128:E128"/>
    <mergeCell ref="A127:J127"/>
    <mergeCell ref="I128:J137"/>
    <mergeCell ref="A133:B133"/>
    <mergeCell ref="D133:E133"/>
    <mergeCell ref="A134:B134"/>
    <mergeCell ref="D134:E134"/>
    <mergeCell ref="A131:B131"/>
    <mergeCell ref="D131:E131"/>
    <mergeCell ref="A132:B132"/>
    <mergeCell ref="D132:E132"/>
    <mergeCell ref="A137:B137"/>
    <mergeCell ref="D137:E137"/>
    <mergeCell ref="A139:B139"/>
    <mergeCell ref="D139:E139"/>
    <mergeCell ref="A135:B135"/>
    <mergeCell ref="D135:E135"/>
    <mergeCell ref="A136:B136"/>
    <mergeCell ref="D136:E136"/>
    <mergeCell ref="A138:J138"/>
    <mergeCell ref="I139:J148"/>
    <mergeCell ref="A142:B142"/>
    <mergeCell ref="D142:E142"/>
    <mergeCell ref="A143:B143"/>
    <mergeCell ref="D143:E143"/>
    <mergeCell ref="A140:B140"/>
    <mergeCell ref="D140:E140"/>
    <mergeCell ref="A141:B141"/>
    <mergeCell ref="D141:E141"/>
    <mergeCell ref="A146:B146"/>
    <mergeCell ref="D146:E146"/>
    <mergeCell ref="A147:B147"/>
    <mergeCell ref="D147:E147"/>
    <mergeCell ref="A144:B144"/>
    <mergeCell ref="D144:E144"/>
    <mergeCell ref="A145:B145"/>
    <mergeCell ref="D145:E145"/>
    <mergeCell ref="A152:B152"/>
    <mergeCell ref="D152:E152"/>
    <mergeCell ref="A153:B153"/>
    <mergeCell ref="D153:E153"/>
    <mergeCell ref="A148:B148"/>
    <mergeCell ref="D148:E148"/>
    <mergeCell ref="A151:B151"/>
    <mergeCell ref="D151:E151"/>
    <mergeCell ref="A149:J149"/>
    <mergeCell ref="A150:J150"/>
    <mergeCell ref="I151:J171"/>
    <mergeCell ref="A156:B156"/>
    <mergeCell ref="D156:E156"/>
    <mergeCell ref="A157:B157"/>
    <mergeCell ref="D157:E157"/>
    <mergeCell ref="A154:B154"/>
    <mergeCell ref="D154:E154"/>
    <mergeCell ref="A155:B155"/>
    <mergeCell ref="D155:E155"/>
    <mergeCell ref="A160:B160"/>
    <mergeCell ref="D160:E160"/>
    <mergeCell ref="A161:B161"/>
    <mergeCell ref="D161:E161"/>
    <mergeCell ref="A158:B158"/>
    <mergeCell ref="D158:E158"/>
    <mergeCell ref="A159:B159"/>
    <mergeCell ref="D159:E159"/>
    <mergeCell ref="A164:B164"/>
    <mergeCell ref="D164:E164"/>
    <mergeCell ref="A165:B165"/>
    <mergeCell ref="D165:E165"/>
    <mergeCell ref="A162:B162"/>
    <mergeCell ref="D162:E162"/>
    <mergeCell ref="A163:B163"/>
    <mergeCell ref="D163:E163"/>
    <mergeCell ref="A168:B168"/>
    <mergeCell ref="D168:E168"/>
    <mergeCell ref="A169:B169"/>
    <mergeCell ref="D169:E169"/>
    <mergeCell ref="A166:B166"/>
    <mergeCell ref="D166:E166"/>
    <mergeCell ref="A167:B167"/>
    <mergeCell ref="D167:E167"/>
    <mergeCell ref="A173:B173"/>
    <mergeCell ref="D173:E173"/>
    <mergeCell ref="A174:B174"/>
    <mergeCell ref="D174:E174"/>
    <mergeCell ref="A170:B170"/>
    <mergeCell ref="D170:E170"/>
    <mergeCell ref="A171:B171"/>
    <mergeCell ref="D171:E171"/>
    <mergeCell ref="A172:J172"/>
    <mergeCell ref="I173:J186"/>
    <mergeCell ref="A177:B177"/>
    <mergeCell ref="D177:E177"/>
    <mergeCell ref="A178:B178"/>
    <mergeCell ref="D178:E178"/>
    <mergeCell ref="A175:B175"/>
    <mergeCell ref="D175:E175"/>
    <mergeCell ref="A176:B176"/>
    <mergeCell ref="D176:E176"/>
    <mergeCell ref="A181:B181"/>
    <mergeCell ref="D181:E181"/>
    <mergeCell ref="A182:B182"/>
    <mergeCell ref="D182:E182"/>
    <mergeCell ref="A179:B179"/>
    <mergeCell ref="D179:E179"/>
    <mergeCell ref="A180:B180"/>
    <mergeCell ref="D180:E180"/>
    <mergeCell ref="A185:B185"/>
    <mergeCell ref="D185:E185"/>
    <mergeCell ref="A186:B186"/>
    <mergeCell ref="D186:E186"/>
    <mergeCell ref="A183:B183"/>
    <mergeCell ref="D183:E183"/>
    <mergeCell ref="A184:B184"/>
    <mergeCell ref="D184:E184"/>
    <mergeCell ref="A205:B205"/>
    <mergeCell ref="D205:E205"/>
    <mergeCell ref="A202:J202"/>
    <mergeCell ref="A187:J18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A192:B192"/>
    <mergeCell ref="D192:E192"/>
    <mergeCell ref="A193:B193"/>
    <mergeCell ref="D193:E193"/>
    <mergeCell ref="A203:B203"/>
    <mergeCell ref="D203:E203"/>
    <mergeCell ref="A204:B204"/>
    <mergeCell ref="D204:E204"/>
    <mergeCell ref="I203:J216"/>
    <mergeCell ref="A209:B209"/>
    <mergeCell ref="D209:E209"/>
    <mergeCell ref="A210:B210"/>
    <mergeCell ref="D210:E210"/>
    <mergeCell ref="A207:B207"/>
    <mergeCell ref="D207:E207"/>
    <mergeCell ref="A208:B208"/>
    <mergeCell ref="D208:E208"/>
    <mergeCell ref="A213:B213"/>
    <mergeCell ref="D213:E213"/>
    <mergeCell ref="A214:B214"/>
    <mergeCell ref="D214:E214"/>
    <mergeCell ref="A211:B211"/>
    <mergeCell ref="D211:E211"/>
    <mergeCell ref="A212:B212"/>
    <mergeCell ref="D212:E212"/>
    <mergeCell ref="A215:B215"/>
    <mergeCell ref="D215:E215"/>
    <mergeCell ref="A216:B216"/>
    <mergeCell ref="D216:E216"/>
    <mergeCell ref="A227:J230"/>
    <mergeCell ref="A226:B226"/>
    <mergeCell ref="E226:G226"/>
    <mergeCell ref="C226:D226"/>
    <mergeCell ref="H226:J226"/>
    <mergeCell ref="A206:B206"/>
    <mergeCell ref="D206:E206"/>
    <mergeCell ref="A233:B233"/>
    <mergeCell ref="D233:E233"/>
    <mergeCell ref="I233:J233"/>
    <mergeCell ref="A234:B234"/>
    <mergeCell ref="D234:E234"/>
    <mergeCell ref="I234:J234"/>
    <mergeCell ref="A232:B232"/>
    <mergeCell ref="D232:E232"/>
    <mergeCell ref="I232:J232"/>
    <mergeCell ref="A237:B237"/>
    <mergeCell ref="D237:E237"/>
    <mergeCell ref="I237:J237"/>
    <mergeCell ref="A238:B238"/>
    <mergeCell ref="D238:E238"/>
    <mergeCell ref="I238:J238"/>
    <mergeCell ref="A235:B235"/>
    <mergeCell ref="D235:E235"/>
    <mergeCell ref="I235:J235"/>
    <mergeCell ref="A236:B236"/>
    <mergeCell ref="D236:E236"/>
    <mergeCell ref="I236:J236"/>
    <mergeCell ref="A241:B241"/>
    <mergeCell ref="D241:E241"/>
    <mergeCell ref="I241:J241"/>
    <mergeCell ref="A242:B242"/>
    <mergeCell ref="D242:E242"/>
    <mergeCell ref="I242:J242"/>
    <mergeCell ref="A239:B239"/>
    <mergeCell ref="D239:E239"/>
    <mergeCell ref="I239:J239"/>
    <mergeCell ref="A240:B240"/>
    <mergeCell ref="D240:E240"/>
    <mergeCell ref="I240:J240"/>
    <mergeCell ref="A257:B257"/>
    <mergeCell ref="D257:E257"/>
    <mergeCell ref="I257:J257"/>
    <mergeCell ref="I245:J245"/>
    <mergeCell ref="A246:B246"/>
    <mergeCell ref="D246:E246"/>
    <mergeCell ref="I246:J246"/>
    <mergeCell ref="A247:B247"/>
    <mergeCell ref="A243:B243"/>
    <mergeCell ref="D243:E243"/>
    <mergeCell ref="I243:J243"/>
    <mergeCell ref="A244:B244"/>
    <mergeCell ref="D244:E244"/>
    <mergeCell ref="I244:J244"/>
    <mergeCell ref="D245:E245"/>
    <mergeCell ref="D256:E256"/>
    <mergeCell ref="I256:J256"/>
    <mergeCell ref="A253:B253"/>
    <mergeCell ref="D253:E253"/>
    <mergeCell ref="I253:J253"/>
    <mergeCell ref="A254:B254"/>
    <mergeCell ref="D254:E254"/>
    <mergeCell ref="I254:J254"/>
    <mergeCell ref="A249:B249"/>
    <mergeCell ref="D249:E249"/>
    <mergeCell ref="I249:J249"/>
    <mergeCell ref="A250:B250"/>
    <mergeCell ref="D250:E250"/>
    <mergeCell ref="I250:J250"/>
    <mergeCell ref="A41:E41"/>
    <mergeCell ref="F41:J41"/>
    <mergeCell ref="A42:E42"/>
    <mergeCell ref="F42:J42"/>
    <mergeCell ref="A43:E43"/>
    <mergeCell ref="F43:J43"/>
    <mergeCell ref="A44:J44"/>
    <mergeCell ref="A221:J221"/>
    <mergeCell ref="A222:J222"/>
    <mergeCell ref="A52:B52"/>
    <mergeCell ref="A53:C53"/>
    <mergeCell ref="D53:J53"/>
    <mergeCell ref="D247:E247"/>
    <mergeCell ref="I247:J247"/>
    <mergeCell ref="A248:B248"/>
    <mergeCell ref="D248:E248"/>
    <mergeCell ref="I248:J248"/>
    <mergeCell ref="A245:B245"/>
    <mergeCell ref="C32:J32"/>
    <mergeCell ref="I258:J258"/>
    <mergeCell ref="A255:B255"/>
    <mergeCell ref="D255:E255"/>
    <mergeCell ref="A223:J223"/>
    <mergeCell ref="A224:J224"/>
    <mergeCell ref="A225:J225"/>
    <mergeCell ref="A100:B100"/>
    <mergeCell ref="D100:F100"/>
    <mergeCell ref="G100:J100"/>
    <mergeCell ref="A217:J217"/>
    <mergeCell ref="A218:J218"/>
    <mergeCell ref="A219:J219"/>
    <mergeCell ref="A220:J220"/>
    <mergeCell ref="A258:B258"/>
    <mergeCell ref="D258:E258"/>
    <mergeCell ref="I255:J255"/>
    <mergeCell ref="A256:B256"/>
    <mergeCell ref="A251:B251"/>
    <mergeCell ref="D251:E251"/>
    <mergeCell ref="I251:J251"/>
    <mergeCell ref="A252:B252"/>
    <mergeCell ref="D252:E252"/>
    <mergeCell ref="I252:J252"/>
  </mergeCells>
  <hyperlinks>
    <hyperlink ref="C33" r:id="rId1"/>
  </hyperlinks>
  <pageMargins left="0.39370078740157483" right="0.39370078740157483" top="0.98425196850393704" bottom="0.78740157480314965" header="0.19685039370078741" footer="0.19685039370078741"/>
  <pageSetup paperSize="9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8" max="16383" man="1"/>
    <brk id="230" max="16383" man="1"/>
    <brk id="2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6" sqref="B6"/>
    </sheetView>
  </sheetViews>
  <sheetFormatPr defaultColWidth="8.6328125" defaultRowHeight="14.5" x14ac:dyDescent="0.35"/>
  <cols>
    <col min="1" max="1" width="8.6328125" style="24"/>
    <col min="2" max="2" width="22.08984375" style="24" customWidth="1"/>
    <col min="3" max="3" width="37" style="24" customWidth="1"/>
    <col min="4" max="5" width="11.453125" style="24" customWidth="1"/>
    <col min="6" max="6" width="14" style="24" customWidth="1"/>
    <col min="7" max="7" width="20" style="24" customWidth="1"/>
    <col min="8" max="8" width="16.453125" style="24" customWidth="1"/>
    <col min="9" max="16384" width="8.6328125" style="24"/>
  </cols>
  <sheetData>
    <row r="1" spans="1:9" ht="15" customHeight="1" x14ac:dyDescent="0.35"/>
    <row r="2" spans="1:9" ht="15" customHeight="1" x14ac:dyDescent="0.35">
      <c r="A2" s="25"/>
      <c r="B2" s="25"/>
      <c r="C2" s="25"/>
      <c r="D2" s="25"/>
      <c r="E2" s="25"/>
      <c r="F2" s="25"/>
      <c r="G2" s="25"/>
      <c r="H2" s="25"/>
    </row>
    <row r="3" spans="1:9" x14ac:dyDescent="0.35">
      <c r="A3" s="25"/>
      <c r="B3" s="26" t="s">
        <v>220</v>
      </c>
      <c r="C3" s="26"/>
      <c r="D3" s="26"/>
      <c r="E3" s="26"/>
      <c r="F3" s="26"/>
      <c r="G3" s="26"/>
      <c r="H3" s="26"/>
    </row>
    <row r="4" spans="1:9" x14ac:dyDescent="0.35">
      <c r="A4" s="25"/>
      <c r="B4" s="27" t="s">
        <v>221</v>
      </c>
      <c r="C4" s="27" t="s">
        <v>222</v>
      </c>
      <c r="D4" s="27" t="s">
        <v>115</v>
      </c>
      <c r="E4" s="27" t="s">
        <v>223</v>
      </c>
      <c r="F4" s="27" t="s">
        <v>224</v>
      </c>
      <c r="G4" s="27" t="s">
        <v>225</v>
      </c>
      <c r="H4" s="27" t="s">
        <v>226</v>
      </c>
    </row>
    <row r="5" spans="1:9" ht="15" customHeight="1" x14ac:dyDescent="0.35">
      <c r="A5" s="25"/>
      <c r="B5" s="28" t="s">
        <v>231</v>
      </c>
      <c r="C5" s="29" t="s">
        <v>207</v>
      </c>
      <c r="D5" s="28" t="s">
        <v>197</v>
      </c>
      <c r="E5" s="28">
        <f>35*10.764</f>
        <v>376.73999999999995</v>
      </c>
      <c r="F5" s="30">
        <f>E5*1.45</f>
        <v>546.27299999999991</v>
      </c>
      <c r="G5" s="30">
        <f>H5/F5</f>
        <v>3178.1032560642761</v>
      </c>
      <c r="H5" s="31">
        <v>1736112</v>
      </c>
    </row>
    <row r="6" spans="1:9" x14ac:dyDescent="0.35">
      <c r="A6" s="25"/>
      <c r="B6" s="28" t="s">
        <v>227</v>
      </c>
      <c r="C6" s="29" t="s">
        <v>207</v>
      </c>
      <c r="D6" s="28"/>
      <c r="E6" s="28"/>
      <c r="F6" s="30">
        <v>530</v>
      </c>
      <c r="G6" s="30">
        <f>H6/F6</f>
        <v>2830.1886792452829</v>
      </c>
      <c r="H6" s="31">
        <v>1500000</v>
      </c>
    </row>
    <row r="7" spans="1:9" ht="15" customHeight="1" x14ac:dyDescent="0.35">
      <c r="A7" s="25"/>
      <c r="B7" s="28" t="s">
        <v>227</v>
      </c>
      <c r="C7" s="29" t="s">
        <v>207</v>
      </c>
      <c r="D7" s="28"/>
      <c r="E7" s="28"/>
      <c r="F7" s="30">
        <f t="shared" ref="F7:F11" si="0">E7*1.6</f>
        <v>0</v>
      </c>
      <c r="G7" s="30" t="e">
        <f t="shared" ref="G7:G11" si="1">H7/F7</f>
        <v>#DIV/0!</v>
      </c>
      <c r="H7" s="31"/>
    </row>
    <row r="8" spans="1:9" x14ac:dyDescent="0.35">
      <c r="A8" s="25"/>
      <c r="B8" s="28" t="s">
        <v>227</v>
      </c>
      <c r="C8" s="29" t="s">
        <v>207</v>
      </c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5">
      <c r="A9" s="25"/>
      <c r="B9" s="28" t="s">
        <v>227</v>
      </c>
      <c r="C9" s="29" t="s">
        <v>207</v>
      </c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5">
      <c r="A10" s="25"/>
      <c r="B10" s="28" t="s">
        <v>228</v>
      </c>
      <c r="C10" s="29" t="s">
        <v>207</v>
      </c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5">
      <c r="A11" s="25"/>
      <c r="B11" s="28" t="s">
        <v>228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5">
      <c r="A12" s="25"/>
      <c r="B12" s="32" t="s">
        <v>229</v>
      </c>
      <c r="C12" s="28"/>
      <c r="D12" s="28"/>
      <c r="E12" s="28"/>
      <c r="F12" s="28"/>
      <c r="G12" s="33" t="e">
        <f>AVERAGE(G5:G11)</f>
        <v>#DIV/0!</v>
      </c>
      <c r="H12" s="28"/>
    </row>
    <row r="13" spans="1:9" ht="15" customHeight="1" x14ac:dyDescent="0.35">
      <c r="B13" s="32" t="s">
        <v>230</v>
      </c>
      <c r="C13" s="28"/>
      <c r="D13" s="28"/>
      <c r="E13" s="28"/>
      <c r="F13" s="34"/>
      <c r="G13" s="32"/>
      <c r="H13" s="32"/>
      <c r="I13" s="35"/>
    </row>
    <row r="14" spans="1:9" ht="15" customHeight="1" x14ac:dyDescent="0.35"/>
    <row r="15" spans="1:9" ht="15" customHeight="1" x14ac:dyDescent="0.35"/>
    <row r="16" spans="1:9" ht="15" customHeight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31" zoomScale="85" zoomScaleNormal="85" workbookViewId="0">
      <selection activeCell="D47" sqref="D47"/>
    </sheetView>
  </sheetViews>
  <sheetFormatPr defaultRowHeight="14.5" x14ac:dyDescent="0.35"/>
  <cols>
    <col min="1" max="1" width="11.08984375" bestFit="1" customWidth="1"/>
  </cols>
  <sheetData>
    <row r="2" spans="1:9" x14ac:dyDescent="0.35">
      <c r="A2" t="s">
        <v>210</v>
      </c>
      <c r="B2" t="s">
        <v>211</v>
      </c>
      <c r="I2" t="s">
        <v>212</v>
      </c>
    </row>
    <row r="15" spans="1:9" x14ac:dyDescent="0.35">
      <c r="A15" t="s">
        <v>216</v>
      </c>
      <c r="B15" t="s">
        <v>217</v>
      </c>
    </row>
    <row r="16" spans="1:9" x14ac:dyDescent="0.35">
      <c r="B16" t="s">
        <v>218</v>
      </c>
    </row>
    <row r="47" spans="1:2" x14ac:dyDescent="0.35">
      <c r="A47" s="23">
        <v>44245</v>
      </c>
      <c r="B47" t="s">
        <v>211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E28" sqref="E28"/>
    </sheetView>
  </sheetViews>
  <sheetFormatPr defaultRowHeight="14" x14ac:dyDescent="0.3"/>
  <cols>
    <col min="1" max="1" width="20.54296875" style="8" customWidth="1"/>
    <col min="2" max="2" width="11.6328125" style="8" customWidth="1"/>
    <col min="3" max="4" width="9.08984375" style="8"/>
    <col min="5" max="5" width="10.08984375" style="8" customWidth="1"/>
    <col min="6" max="6" width="10.6328125" style="8" customWidth="1"/>
    <col min="7" max="7" width="9.08984375" style="8"/>
    <col min="8" max="8" width="10.453125" style="8" customWidth="1"/>
    <col min="9" max="9" width="15.453125" style="8" customWidth="1"/>
    <col min="10" max="258" width="9.08984375" style="8"/>
    <col min="259" max="259" width="11.6328125" style="8" customWidth="1"/>
    <col min="260" max="260" width="9.08984375" style="8"/>
    <col min="261" max="261" width="14.6328125" style="8" customWidth="1"/>
    <col min="262" max="262" width="10.6328125" style="8" customWidth="1"/>
    <col min="263" max="514" width="9.08984375" style="8"/>
    <col min="515" max="515" width="11.6328125" style="8" customWidth="1"/>
    <col min="516" max="516" width="9.08984375" style="8"/>
    <col min="517" max="517" width="14.6328125" style="8" customWidth="1"/>
    <col min="518" max="518" width="10.6328125" style="8" customWidth="1"/>
    <col min="519" max="770" width="9.08984375" style="8"/>
    <col min="771" max="771" width="11.6328125" style="8" customWidth="1"/>
    <col min="772" max="772" width="9.08984375" style="8"/>
    <col min="773" max="773" width="14.6328125" style="8" customWidth="1"/>
    <col min="774" max="774" width="10.6328125" style="8" customWidth="1"/>
    <col min="775" max="1026" width="9.08984375" style="8"/>
    <col min="1027" max="1027" width="11.6328125" style="8" customWidth="1"/>
    <col min="1028" max="1028" width="9.08984375" style="8"/>
    <col min="1029" max="1029" width="14.6328125" style="8" customWidth="1"/>
    <col min="1030" max="1030" width="10.6328125" style="8" customWidth="1"/>
    <col min="1031" max="1282" width="9.08984375" style="8"/>
    <col min="1283" max="1283" width="11.6328125" style="8" customWidth="1"/>
    <col min="1284" max="1284" width="9.08984375" style="8"/>
    <col min="1285" max="1285" width="14.6328125" style="8" customWidth="1"/>
    <col min="1286" max="1286" width="10.6328125" style="8" customWidth="1"/>
    <col min="1287" max="1538" width="9.08984375" style="8"/>
    <col min="1539" max="1539" width="11.6328125" style="8" customWidth="1"/>
    <col min="1540" max="1540" width="9.08984375" style="8"/>
    <col min="1541" max="1541" width="14.6328125" style="8" customWidth="1"/>
    <col min="1542" max="1542" width="10.6328125" style="8" customWidth="1"/>
    <col min="1543" max="1794" width="9.08984375" style="8"/>
    <col min="1795" max="1795" width="11.6328125" style="8" customWidth="1"/>
    <col min="1796" max="1796" width="9.08984375" style="8"/>
    <col min="1797" max="1797" width="14.6328125" style="8" customWidth="1"/>
    <col min="1798" max="1798" width="10.6328125" style="8" customWidth="1"/>
    <col min="1799" max="2050" width="9.08984375" style="8"/>
    <col min="2051" max="2051" width="11.6328125" style="8" customWidth="1"/>
    <col min="2052" max="2052" width="9.08984375" style="8"/>
    <col min="2053" max="2053" width="14.6328125" style="8" customWidth="1"/>
    <col min="2054" max="2054" width="10.6328125" style="8" customWidth="1"/>
    <col min="2055" max="2306" width="9.08984375" style="8"/>
    <col min="2307" max="2307" width="11.6328125" style="8" customWidth="1"/>
    <col min="2308" max="2308" width="9.08984375" style="8"/>
    <col min="2309" max="2309" width="14.6328125" style="8" customWidth="1"/>
    <col min="2310" max="2310" width="10.6328125" style="8" customWidth="1"/>
    <col min="2311" max="2562" width="9.08984375" style="8"/>
    <col min="2563" max="2563" width="11.6328125" style="8" customWidth="1"/>
    <col min="2564" max="2564" width="9.08984375" style="8"/>
    <col min="2565" max="2565" width="14.6328125" style="8" customWidth="1"/>
    <col min="2566" max="2566" width="10.6328125" style="8" customWidth="1"/>
    <col min="2567" max="2818" width="9.08984375" style="8"/>
    <col min="2819" max="2819" width="11.6328125" style="8" customWidth="1"/>
    <col min="2820" max="2820" width="9.08984375" style="8"/>
    <col min="2821" max="2821" width="14.6328125" style="8" customWidth="1"/>
    <col min="2822" max="2822" width="10.6328125" style="8" customWidth="1"/>
    <col min="2823" max="3074" width="9.08984375" style="8"/>
    <col min="3075" max="3075" width="11.6328125" style="8" customWidth="1"/>
    <col min="3076" max="3076" width="9.08984375" style="8"/>
    <col min="3077" max="3077" width="14.6328125" style="8" customWidth="1"/>
    <col min="3078" max="3078" width="10.6328125" style="8" customWidth="1"/>
    <col min="3079" max="3330" width="9.08984375" style="8"/>
    <col min="3331" max="3331" width="11.6328125" style="8" customWidth="1"/>
    <col min="3332" max="3332" width="9.08984375" style="8"/>
    <col min="3333" max="3333" width="14.6328125" style="8" customWidth="1"/>
    <col min="3334" max="3334" width="10.6328125" style="8" customWidth="1"/>
    <col min="3335" max="3586" width="9.08984375" style="8"/>
    <col min="3587" max="3587" width="11.6328125" style="8" customWidth="1"/>
    <col min="3588" max="3588" width="9.08984375" style="8"/>
    <col min="3589" max="3589" width="14.6328125" style="8" customWidth="1"/>
    <col min="3590" max="3590" width="10.6328125" style="8" customWidth="1"/>
    <col min="3591" max="3842" width="9.08984375" style="8"/>
    <col min="3843" max="3843" width="11.6328125" style="8" customWidth="1"/>
    <col min="3844" max="3844" width="9.08984375" style="8"/>
    <col min="3845" max="3845" width="14.6328125" style="8" customWidth="1"/>
    <col min="3846" max="3846" width="10.6328125" style="8" customWidth="1"/>
    <col min="3847" max="4098" width="9.08984375" style="8"/>
    <col min="4099" max="4099" width="11.6328125" style="8" customWidth="1"/>
    <col min="4100" max="4100" width="9.08984375" style="8"/>
    <col min="4101" max="4101" width="14.6328125" style="8" customWidth="1"/>
    <col min="4102" max="4102" width="10.6328125" style="8" customWidth="1"/>
    <col min="4103" max="4354" width="9.08984375" style="8"/>
    <col min="4355" max="4355" width="11.6328125" style="8" customWidth="1"/>
    <col min="4356" max="4356" width="9.08984375" style="8"/>
    <col min="4357" max="4357" width="14.6328125" style="8" customWidth="1"/>
    <col min="4358" max="4358" width="10.6328125" style="8" customWidth="1"/>
    <col min="4359" max="4610" width="9.08984375" style="8"/>
    <col min="4611" max="4611" width="11.6328125" style="8" customWidth="1"/>
    <col min="4612" max="4612" width="9.08984375" style="8"/>
    <col min="4613" max="4613" width="14.6328125" style="8" customWidth="1"/>
    <col min="4614" max="4614" width="10.6328125" style="8" customWidth="1"/>
    <col min="4615" max="4866" width="9.08984375" style="8"/>
    <col min="4867" max="4867" width="11.6328125" style="8" customWidth="1"/>
    <col min="4868" max="4868" width="9.08984375" style="8"/>
    <col min="4869" max="4869" width="14.6328125" style="8" customWidth="1"/>
    <col min="4870" max="4870" width="10.6328125" style="8" customWidth="1"/>
    <col min="4871" max="5122" width="9.08984375" style="8"/>
    <col min="5123" max="5123" width="11.6328125" style="8" customWidth="1"/>
    <col min="5124" max="5124" width="9.08984375" style="8"/>
    <col min="5125" max="5125" width="14.6328125" style="8" customWidth="1"/>
    <col min="5126" max="5126" width="10.6328125" style="8" customWidth="1"/>
    <col min="5127" max="5378" width="9.08984375" style="8"/>
    <col min="5379" max="5379" width="11.6328125" style="8" customWidth="1"/>
    <col min="5380" max="5380" width="9.08984375" style="8"/>
    <col min="5381" max="5381" width="14.6328125" style="8" customWidth="1"/>
    <col min="5382" max="5382" width="10.6328125" style="8" customWidth="1"/>
    <col min="5383" max="5634" width="9.08984375" style="8"/>
    <col min="5635" max="5635" width="11.6328125" style="8" customWidth="1"/>
    <col min="5636" max="5636" width="9.08984375" style="8"/>
    <col min="5637" max="5637" width="14.6328125" style="8" customWidth="1"/>
    <col min="5638" max="5638" width="10.6328125" style="8" customWidth="1"/>
    <col min="5639" max="5890" width="9.08984375" style="8"/>
    <col min="5891" max="5891" width="11.6328125" style="8" customWidth="1"/>
    <col min="5892" max="5892" width="9.08984375" style="8"/>
    <col min="5893" max="5893" width="14.6328125" style="8" customWidth="1"/>
    <col min="5894" max="5894" width="10.6328125" style="8" customWidth="1"/>
    <col min="5895" max="6146" width="9.08984375" style="8"/>
    <col min="6147" max="6147" width="11.6328125" style="8" customWidth="1"/>
    <col min="6148" max="6148" width="9.08984375" style="8"/>
    <col min="6149" max="6149" width="14.6328125" style="8" customWidth="1"/>
    <col min="6150" max="6150" width="10.6328125" style="8" customWidth="1"/>
    <col min="6151" max="6402" width="9.08984375" style="8"/>
    <col min="6403" max="6403" width="11.6328125" style="8" customWidth="1"/>
    <col min="6404" max="6404" width="9.08984375" style="8"/>
    <col min="6405" max="6405" width="14.6328125" style="8" customWidth="1"/>
    <col min="6406" max="6406" width="10.6328125" style="8" customWidth="1"/>
    <col min="6407" max="6658" width="9.08984375" style="8"/>
    <col min="6659" max="6659" width="11.6328125" style="8" customWidth="1"/>
    <col min="6660" max="6660" width="9.08984375" style="8"/>
    <col min="6661" max="6661" width="14.6328125" style="8" customWidth="1"/>
    <col min="6662" max="6662" width="10.6328125" style="8" customWidth="1"/>
    <col min="6663" max="6914" width="9.08984375" style="8"/>
    <col min="6915" max="6915" width="11.6328125" style="8" customWidth="1"/>
    <col min="6916" max="6916" width="9.08984375" style="8"/>
    <col min="6917" max="6917" width="14.6328125" style="8" customWidth="1"/>
    <col min="6918" max="6918" width="10.6328125" style="8" customWidth="1"/>
    <col min="6919" max="7170" width="9.08984375" style="8"/>
    <col min="7171" max="7171" width="11.6328125" style="8" customWidth="1"/>
    <col min="7172" max="7172" width="9.08984375" style="8"/>
    <col min="7173" max="7173" width="14.6328125" style="8" customWidth="1"/>
    <col min="7174" max="7174" width="10.6328125" style="8" customWidth="1"/>
    <col min="7175" max="7426" width="9.08984375" style="8"/>
    <col min="7427" max="7427" width="11.6328125" style="8" customWidth="1"/>
    <col min="7428" max="7428" width="9.08984375" style="8"/>
    <col min="7429" max="7429" width="14.6328125" style="8" customWidth="1"/>
    <col min="7430" max="7430" width="10.6328125" style="8" customWidth="1"/>
    <col min="7431" max="7682" width="9.08984375" style="8"/>
    <col min="7683" max="7683" width="11.6328125" style="8" customWidth="1"/>
    <col min="7684" max="7684" width="9.08984375" style="8"/>
    <col min="7685" max="7685" width="14.6328125" style="8" customWidth="1"/>
    <col min="7686" max="7686" width="10.6328125" style="8" customWidth="1"/>
    <col min="7687" max="7938" width="9.08984375" style="8"/>
    <col min="7939" max="7939" width="11.6328125" style="8" customWidth="1"/>
    <col min="7940" max="7940" width="9.08984375" style="8"/>
    <col min="7941" max="7941" width="14.6328125" style="8" customWidth="1"/>
    <col min="7942" max="7942" width="10.6328125" style="8" customWidth="1"/>
    <col min="7943" max="8194" width="9.08984375" style="8"/>
    <col min="8195" max="8195" width="11.6328125" style="8" customWidth="1"/>
    <col min="8196" max="8196" width="9.08984375" style="8"/>
    <col min="8197" max="8197" width="14.6328125" style="8" customWidth="1"/>
    <col min="8198" max="8198" width="10.6328125" style="8" customWidth="1"/>
    <col min="8199" max="8450" width="9.08984375" style="8"/>
    <col min="8451" max="8451" width="11.6328125" style="8" customWidth="1"/>
    <col min="8452" max="8452" width="9.08984375" style="8"/>
    <col min="8453" max="8453" width="14.6328125" style="8" customWidth="1"/>
    <col min="8454" max="8454" width="10.6328125" style="8" customWidth="1"/>
    <col min="8455" max="8706" width="9.08984375" style="8"/>
    <col min="8707" max="8707" width="11.6328125" style="8" customWidth="1"/>
    <col min="8708" max="8708" width="9.08984375" style="8"/>
    <col min="8709" max="8709" width="14.6328125" style="8" customWidth="1"/>
    <col min="8710" max="8710" width="10.6328125" style="8" customWidth="1"/>
    <col min="8711" max="8962" width="9.08984375" style="8"/>
    <col min="8963" max="8963" width="11.6328125" style="8" customWidth="1"/>
    <col min="8964" max="8964" width="9.08984375" style="8"/>
    <col min="8965" max="8965" width="14.6328125" style="8" customWidth="1"/>
    <col min="8966" max="8966" width="10.6328125" style="8" customWidth="1"/>
    <col min="8967" max="9218" width="9.08984375" style="8"/>
    <col min="9219" max="9219" width="11.6328125" style="8" customWidth="1"/>
    <col min="9220" max="9220" width="9.08984375" style="8"/>
    <col min="9221" max="9221" width="14.6328125" style="8" customWidth="1"/>
    <col min="9222" max="9222" width="10.6328125" style="8" customWidth="1"/>
    <col min="9223" max="9474" width="9.08984375" style="8"/>
    <col min="9475" max="9475" width="11.6328125" style="8" customWidth="1"/>
    <col min="9476" max="9476" width="9.08984375" style="8"/>
    <col min="9477" max="9477" width="14.6328125" style="8" customWidth="1"/>
    <col min="9478" max="9478" width="10.6328125" style="8" customWidth="1"/>
    <col min="9479" max="9730" width="9.08984375" style="8"/>
    <col min="9731" max="9731" width="11.6328125" style="8" customWidth="1"/>
    <col min="9732" max="9732" width="9.08984375" style="8"/>
    <col min="9733" max="9733" width="14.6328125" style="8" customWidth="1"/>
    <col min="9734" max="9734" width="10.6328125" style="8" customWidth="1"/>
    <col min="9735" max="9986" width="9.08984375" style="8"/>
    <col min="9987" max="9987" width="11.6328125" style="8" customWidth="1"/>
    <col min="9988" max="9988" width="9.08984375" style="8"/>
    <col min="9989" max="9989" width="14.6328125" style="8" customWidth="1"/>
    <col min="9990" max="9990" width="10.6328125" style="8" customWidth="1"/>
    <col min="9991" max="10242" width="9.08984375" style="8"/>
    <col min="10243" max="10243" width="11.6328125" style="8" customWidth="1"/>
    <col min="10244" max="10244" width="9.08984375" style="8"/>
    <col min="10245" max="10245" width="14.6328125" style="8" customWidth="1"/>
    <col min="10246" max="10246" width="10.6328125" style="8" customWidth="1"/>
    <col min="10247" max="10498" width="9.08984375" style="8"/>
    <col min="10499" max="10499" width="11.6328125" style="8" customWidth="1"/>
    <col min="10500" max="10500" width="9.08984375" style="8"/>
    <col min="10501" max="10501" width="14.6328125" style="8" customWidth="1"/>
    <col min="10502" max="10502" width="10.6328125" style="8" customWidth="1"/>
    <col min="10503" max="10754" width="9.08984375" style="8"/>
    <col min="10755" max="10755" width="11.6328125" style="8" customWidth="1"/>
    <col min="10756" max="10756" width="9.08984375" style="8"/>
    <col min="10757" max="10757" width="14.6328125" style="8" customWidth="1"/>
    <col min="10758" max="10758" width="10.6328125" style="8" customWidth="1"/>
    <col min="10759" max="11010" width="9.08984375" style="8"/>
    <col min="11011" max="11011" width="11.6328125" style="8" customWidth="1"/>
    <col min="11012" max="11012" width="9.08984375" style="8"/>
    <col min="11013" max="11013" width="14.6328125" style="8" customWidth="1"/>
    <col min="11014" max="11014" width="10.6328125" style="8" customWidth="1"/>
    <col min="11015" max="11266" width="9.08984375" style="8"/>
    <col min="11267" max="11267" width="11.6328125" style="8" customWidth="1"/>
    <col min="11268" max="11268" width="9.08984375" style="8"/>
    <col min="11269" max="11269" width="14.6328125" style="8" customWidth="1"/>
    <col min="11270" max="11270" width="10.6328125" style="8" customWidth="1"/>
    <col min="11271" max="11522" width="9.08984375" style="8"/>
    <col min="11523" max="11523" width="11.6328125" style="8" customWidth="1"/>
    <col min="11524" max="11524" width="9.08984375" style="8"/>
    <col min="11525" max="11525" width="14.6328125" style="8" customWidth="1"/>
    <col min="11526" max="11526" width="10.6328125" style="8" customWidth="1"/>
    <col min="11527" max="11778" width="9.08984375" style="8"/>
    <col min="11779" max="11779" width="11.6328125" style="8" customWidth="1"/>
    <col min="11780" max="11780" width="9.08984375" style="8"/>
    <col min="11781" max="11781" width="14.6328125" style="8" customWidth="1"/>
    <col min="11782" max="11782" width="10.6328125" style="8" customWidth="1"/>
    <col min="11783" max="12034" width="9.08984375" style="8"/>
    <col min="12035" max="12035" width="11.6328125" style="8" customWidth="1"/>
    <col min="12036" max="12036" width="9.08984375" style="8"/>
    <col min="12037" max="12037" width="14.6328125" style="8" customWidth="1"/>
    <col min="12038" max="12038" width="10.6328125" style="8" customWidth="1"/>
    <col min="12039" max="12290" width="9.08984375" style="8"/>
    <col min="12291" max="12291" width="11.6328125" style="8" customWidth="1"/>
    <col min="12292" max="12292" width="9.08984375" style="8"/>
    <col min="12293" max="12293" width="14.6328125" style="8" customWidth="1"/>
    <col min="12294" max="12294" width="10.6328125" style="8" customWidth="1"/>
    <col min="12295" max="12546" width="9.08984375" style="8"/>
    <col min="12547" max="12547" width="11.6328125" style="8" customWidth="1"/>
    <col min="12548" max="12548" width="9.08984375" style="8"/>
    <col min="12549" max="12549" width="14.6328125" style="8" customWidth="1"/>
    <col min="12550" max="12550" width="10.6328125" style="8" customWidth="1"/>
    <col min="12551" max="12802" width="9.08984375" style="8"/>
    <col min="12803" max="12803" width="11.6328125" style="8" customWidth="1"/>
    <col min="12804" max="12804" width="9.08984375" style="8"/>
    <col min="12805" max="12805" width="14.6328125" style="8" customWidth="1"/>
    <col min="12806" max="12806" width="10.6328125" style="8" customWidth="1"/>
    <col min="12807" max="13058" width="9.08984375" style="8"/>
    <col min="13059" max="13059" width="11.6328125" style="8" customWidth="1"/>
    <col min="13060" max="13060" width="9.08984375" style="8"/>
    <col min="13061" max="13061" width="14.6328125" style="8" customWidth="1"/>
    <col min="13062" max="13062" width="10.6328125" style="8" customWidth="1"/>
    <col min="13063" max="13314" width="9.08984375" style="8"/>
    <col min="13315" max="13315" width="11.6328125" style="8" customWidth="1"/>
    <col min="13316" max="13316" width="9.08984375" style="8"/>
    <col min="13317" max="13317" width="14.6328125" style="8" customWidth="1"/>
    <col min="13318" max="13318" width="10.6328125" style="8" customWidth="1"/>
    <col min="13319" max="13570" width="9.08984375" style="8"/>
    <col min="13571" max="13571" width="11.6328125" style="8" customWidth="1"/>
    <col min="13572" max="13572" width="9.08984375" style="8"/>
    <col min="13573" max="13573" width="14.6328125" style="8" customWidth="1"/>
    <col min="13574" max="13574" width="10.6328125" style="8" customWidth="1"/>
    <col min="13575" max="13826" width="9.08984375" style="8"/>
    <col min="13827" max="13827" width="11.6328125" style="8" customWidth="1"/>
    <col min="13828" max="13828" width="9.08984375" style="8"/>
    <col min="13829" max="13829" width="14.6328125" style="8" customWidth="1"/>
    <col min="13830" max="13830" width="10.6328125" style="8" customWidth="1"/>
    <col min="13831" max="14082" width="9.08984375" style="8"/>
    <col min="14083" max="14083" width="11.6328125" style="8" customWidth="1"/>
    <col min="14084" max="14084" width="9.08984375" style="8"/>
    <col min="14085" max="14085" width="14.6328125" style="8" customWidth="1"/>
    <col min="14086" max="14086" width="10.6328125" style="8" customWidth="1"/>
    <col min="14087" max="14338" width="9.08984375" style="8"/>
    <col min="14339" max="14339" width="11.6328125" style="8" customWidth="1"/>
    <col min="14340" max="14340" width="9.08984375" style="8"/>
    <col min="14341" max="14341" width="14.6328125" style="8" customWidth="1"/>
    <col min="14342" max="14342" width="10.6328125" style="8" customWidth="1"/>
    <col min="14343" max="14594" width="9.08984375" style="8"/>
    <col min="14595" max="14595" width="11.6328125" style="8" customWidth="1"/>
    <col min="14596" max="14596" width="9.08984375" style="8"/>
    <col min="14597" max="14597" width="14.6328125" style="8" customWidth="1"/>
    <col min="14598" max="14598" width="10.6328125" style="8" customWidth="1"/>
    <col min="14599" max="14850" width="9.08984375" style="8"/>
    <col min="14851" max="14851" width="11.6328125" style="8" customWidth="1"/>
    <col min="14852" max="14852" width="9.08984375" style="8"/>
    <col min="14853" max="14853" width="14.6328125" style="8" customWidth="1"/>
    <col min="14854" max="14854" width="10.6328125" style="8" customWidth="1"/>
    <col min="14855" max="15106" width="9.08984375" style="8"/>
    <col min="15107" max="15107" width="11.6328125" style="8" customWidth="1"/>
    <col min="15108" max="15108" width="9.08984375" style="8"/>
    <col min="15109" max="15109" width="14.6328125" style="8" customWidth="1"/>
    <col min="15110" max="15110" width="10.6328125" style="8" customWidth="1"/>
    <col min="15111" max="15362" width="9.08984375" style="8"/>
    <col min="15363" max="15363" width="11.6328125" style="8" customWidth="1"/>
    <col min="15364" max="15364" width="9.08984375" style="8"/>
    <col min="15365" max="15365" width="14.6328125" style="8" customWidth="1"/>
    <col min="15366" max="15366" width="10.6328125" style="8" customWidth="1"/>
    <col min="15367" max="15618" width="9.08984375" style="8"/>
    <col min="15619" max="15619" width="11.6328125" style="8" customWidth="1"/>
    <col min="15620" max="15620" width="9.08984375" style="8"/>
    <col min="15621" max="15621" width="14.6328125" style="8" customWidth="1"/>
    <col min="15622" max="15622" width="10.6328125" style="8" customWidth="1"/>
    <col min="15623" max="15874" width="9.08984375" style="8"/>
    <col min="15875" max="15875" width="11.6328125" style="8" customWidth="1"/>
    <col min="15876" max="15876" width="9.08984375" style="8"/>
    <col min="15877" max="15877" width="14.6328125" style="8" customWidth="1"/>
    <col min="15878" max="15878" width="10.6328125" style="8" customWidth="1"/>
    <col min="15879" max="16130" width="9.08984375" style="8"/>
    <col min="16131" max="16131" width="11.6328125" style="8" customWidth="1"/>
    <col min="16132" max="16132" width="9.08984375" style="8"/>
    <col min="16133" max="16133" width="14.6328125" style="8" customWidth="1"/>
    <col min="16134" max="16134" width="10.6328125" style="8" customWidth="1"/>
    <col min="16135" max="16384" width="9.08984375" style="8"/>
  </cols>
  <sheetData>
    <row r="2" spans="1:13" x14ac:dyDescent="0.3">
      <c r="A2" s="9" t="s">
        <v>137</v>
      </c>
      <c r="B2" s="9" t="s">
        <v>138</v>
      </c>
      <c r="C2" s="9" t="s">
        <v>139</v>
      </c>
      <c r="D2" s="216" t="s">
        <v>140</v>
      </c>
      <c r="E2" s="216"/>
    </row>
    <row r="3" spans="1:13" x14ac:dyDescent="0.3">
      <c r="A3" s="12">
        <v>0</v>
      </c>
      <c r="B3" s="12">
        <v>0</v>
      </c>
      <c r="C3" s="12">
        <v>1</v>
      </c>
      <c r="D3" s="217">
        <v>7</v>
      </c>
      <c r="E3" s="217"/>
    </row>
    <row r="5" spans="1:13" hidden="1" x14ac:dyDescent="0.3">
      <c r="A5" s="8" t="s">
        <v>102</v>
      </c>
      <c r="B5" s="10" t="s">
        <v>157</v>
      </c>
      <c r="C5" s="10">
        <f>D3</f>
        <v>7</v>
      </c>
      <c r="D5" s="11"/>
    </row>
    <row r="6" spans="1:13" x14ac:dyDescent="0.3">
      <c r="A6" s="8" t="s">
        <v>103</v>
      </c>
      <c r="B6" s="13">
        <v>10</v>
      </c>
      <c r="C6" s="14">
        <v>0</v>
      </c>
      <c r="D6" s="15">
        <f>((100/B6)*C6)/100</f>
        <v>0</v>
      </c>
    </row>
    <row r="7" spans="1:13" x14ac:dyDescent="0.3">
      <c r="A7" s="8" t="s">
        <v>104</v>
      </c>
      <c r="B7" s="13">
        <f>A3+B3+C3+D3</f>
        <v>8</v>
      </c>
      <c r="C7" s="14">
        <v>0</v>
      </c>
      <c r="D7" s="15">
        <f t="shared" ref="D7:D12" si="0">((100/B7)*C7)/100</f>
        <v>0</v>
      </c>
      <c r="F7" s="219" t="s">
        <v>158</v>
      </c>
      <c r="G7" s="219"/>
      <c r="H7" s="16" t="s">
        <v>159</v>
      </c>
      <c r="J7" s="22"/>
    </row>
    <row r="8" spans="1:13" x14ac:dyDescent="0.3">
      <c r="A8" s="8" t="s">
        <v>109</v>
      </c>
      <c r="B8" s="13">
        <f>C5</f>
        <v>7</v>
      </c>
      <c r="C8" s="14">
        <v>0</v>
      </c>
      <c r="D8" s="15">
        <f t="shared" si="0"/>
        <v>0</v>
      </c>
      <c r="F8" s="218" t="s">
        <v>160</v>
      </c>
      <c r="G8" s="218"/>
      <c r="H8" s="13" t="s">
        <v>161</v>
      </c>
    </row>
    <row r="9" spans="1:13" x14ac:dyDescent="0.3">
      <c r="A9" s="8" t="s">
        <v>111</v>
      </c>
      <c r="B9" s="13">
        <f>C5</f>
        <v>7</v>
      </c>
      <c r="C9" s="14">
        <v>0</v>
      </c>
      <c r="D9" s="15">
        <f t="shared" si="0"/>
        <v>0</v>
      </c>
      <c r="F9" s="218" t="s">
        <v>162</v>
      </c>
      <c r="G9" s="218"/>
      <c r="H9" s="13" t="s">
        <v>163</v>
      </c>
    </row>
    <row r="10" spans="1:13" x14ac:dyDescent="0.3">
      <c r="A10" s="8" t="s">
        <v>70</v>
      </c>
      <c r="B10" s="13">
        <f>C5</f>
        <v>7</v>
      </c>
      <c r="C10" s="14">
        <v>0</v>
      </c>
      <c r="D10" s="15">
        <f t="shared" si="0"/>
        <v>0</v>
      </c>
      <c r="F10" s="218" t="s">
        <v>164</v>
      </c>
      <c r="G10" s="218"/>
      <c r="H10" s="13" t="s">
        <v>165</v>
      </c>
    </row>
    <row r="11" spans="1:13" x14ac:dyDescent="0.3">
      <c r="A11" s="17" t="s">
        <v>107</v>
      </c>
      <c r="B11" s="13">
        <f>C5</f>
        <v>7</v>
      </c>
      <c r="C11" s="14">
        <v>0</v>
      </c>
      <c r="D11" s="15">
        <f t="shared" si="0"/>
        <v>0</v>
      </c>
      <c r="F11" s="218" t="s">
        <v>166</v>
      </c>
      <c r="G11" s="218"/>
      <c r="H11" s="13" t="s">
        <v>167</v>
      </c>
    </row>
    <row r="12" spans="1:13" x14ac:dyDescent="0.3">
      <c r="A12" s="8" t="s">
        <v>71</v>
      </c>
      <c r="B12" s="13">
        <f>C5</f>
        <v>7</v>
      </c>
      <c r="C12" s="14">
        <v>0</v>
      </c>
      <c r="D12" s="15">
        <f t="shared" si="0"/>
        <v>0</v>
      </c>
      <c r="F12" s="218" t="s">
        <v>168</v>
      </c>
      <c r="G12" s="218"/>
      <c r="H12" s="13" t="s">
        <v>169</v>
      </c>
    </row>
    <row r="13" spans="1:13" x14ac:dyDescent="0.3">
      <c r="F13" s="218" t="s">
        <v>170</v>
      </c>
      <c r="G13" s="218"/>
      <c r="H13" s="13" t="s">
        <v>171</v>
      </c>
    </row>
    <row r="14" spans="1:13" hidden="1" x14ac:dyDescent="0.3">
      <c r="A14" s="9"/>
      <c r="B14" s="9" t="s">
        <v>108</v>
      </c>
      <c r="C14" s="9" t="s">
        <v>112</v>
      </c>
      <c r="G14" s="9" t="s">
        <v>103</v>
      </c>
      <c r="H14" s="9" t="s">
        <v>105</v>
      </c>
      <c r="I14" s="9" t="s">
        <v>106</v>
      </c>
      <c r="J14" s="9" t="s">
        <v>69</v>
      </c>
      <c r="K14" s="9" t="s">
        <v>70</v>
      </c>
      <c r="L14" s="9" t="s">
        <v>107</v>
      </c>
      <c r="M14" s="9" t="s">
        <v>71</v>
      </c>
    </row>
    <row r="15" spans="1:13" hidden="1" x14ac:dyDescent="0.3">
      <c r="A15" s="9" t="s">
        <v>67</v>
      </c>
      <c r="B15" s="9">
        <f>G15</f>
        <v>0</v>
      </c>
      <c r="C15" s="9">
        <f>G16</f>
        <v>20</v>
      </c>
      <c r="E15" s="216" t="s">
        <v>108</v>
      </c>
      <c r="F15" s="216"/>
      <c r="G15" s="18">
        <f>C6</f>
        <v>0</v>
      </c>
      <c r="H15" s="18">
        <f>40/B7*C7</f>
        <v>0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3">
      <c r="A16" s="9" t="s">
        <v>68</v>
      </c>
      <c r="B16" s="9">
        <f>H15</f>
        <v>0</v>
      </c>
      <c r="C16" s="9">
        <f>H16</f>
        <v>0</v>
      </c>
      <c r="E16" s="216" t="s">
        <v>110</v>
      </c>
      <c r="F16" s="216"/>
      <c r="G16" s="9">
        <f>G15+20</f>
        <v>20</v>
      </c>
      <c r="H16" s="9">
        <f>30/B7*C7</f>
        <v>0</v>
      </c>
      <c r="I16" s="9">
        <f>15/B8*C8</f>
        <v>0</v>
      </c>
      <c r="J16" s="9">
        <f>10/B9*C9</f>
        <v>0</v>
      </c>
      <c r="K16" s="9">
        <f>5/B10*C10</f>
        <v>0</v>
      </c>
      <c r="L16" s="9">
        <f>5/B11*C11</f>
        <v>0</v>
      </c>
      <c r="M16" s="9">
        <f>5/B12*C12</f>
        <v>0</v>
      </c>
    </row>
    <row r="17" spans="1:8" hidden="1" x14ac:dyDescent="0.3">
      <c r="A17" s="9" t="s">
        <v>106</v>
      </c>
      <c r="B17" s="9">
        <f>I15</f>
        <v>0</v>
      </c>
      <c r="C17" s="9">
        <f>I16</f>
        <v>0</v>
      </c>
    </row>
    <row r="18" spans="1:8" hidden="1" x14ac:dyDescent="0.3">
      <c r="A18" s="9" t="s">
        <v>69</v>
      </c>
      <c r="B18" s="9">
        <f>J15</f>
        <v>0</v>
      </c>
      <c r="C18" s="9">
        <f>J16</f>
        <v>0</v>
      </c>
    </row>
    <row r="19" spans="1:8" hidden="1" x14ac:dyDescent="0.3">
      <c r="A19" s="9" t="s">
        <v>70</v>
      </c>
      <c r="B19" s="9">
        <f>K15</f>
        <v>0</v>
      </c>
      <c r="C19" s="9">
        <f>K16</f>
        <v>0</v>
      </c>
    </row>
    <row r="20" spans="1:8" hidden="1" x14ac:dyDescent="0.3">
      <c r="A20" s="19" t="s">
        <v>107</v>
      </c>
      <c r="B20" s="9">
        <f>L15</f>
        <v>0</v>
      </c>
      <c r="C20" s="9">
        <f>L16</f>
        <v>0</v>
      </c>
    </row>
    <row r="21" spans="1:8" hidden="1" x14ac:dyDescent="0.3">
      <c r="A21" s="9" t="s">
        <v>71</v>
      </c>
      <c r="B21" s="9">
        <f>M15</f>
        <v>0</v>
      </c>
      <c r="C21" s="9">
        <f>M16</f>
        <v>0</v>
      </c>
    </row>
    <row r="22" spans="1:8" x14ac:dyDescent="0.3">
      <c r="A22" s="9" t="s">
        <v>113</v>
      </c>
      <c r="B22" s="20">
        <f>(B15+B16+B17+B18+B19+B20+B21)/100</f>
        <v>0</v>
      </c>
      <c r="C22" s="20">
        <f>(C15+C16+C17+C18+C19+C20+C21)/100</f>
        <v>0.2</v>
      </c>
      <c r="F22" s="218" t="s">
        <v>172</v>
      </c>
      <c r="G22" s="218"/>
      <c r="H22" s="13" t="s">
        <v>163</v>
      </c>
    </row>
    <row r="23" spans="1:8" x14ac:dyDescent="0.3">
      <c r="F23" s="218" t="s">
        <v>173</v>
      </c>
      <c r="G23" s="218"/>
      <c r="H23" s="13" t="s">
        <v>174</v>
      </c>
    </row>
    <row r="24" spans="1:8" x14ac:dyDescent="0.3">
      <c r="A24" s="8" t="s">
        <v>145</v>
      </c>
      <c r="B24" s="21">
        <v>0.01</v>
      </c>
      <c r="C24" s="21">
        <v>0.02</v>
      </c>
      <c r="F24" s="218" t="s">
        <v>175</v>
      </c>
      <c r="G24" s="218"/>
      <c r="H24" s="13" t="s">
        <v>176</v>
      </c>
    </row>
    <row r="25" spans="1:8" x14ac:dyDescent="0.3">
      <c r="A25" s="8" t="s">
        <v>146</v>
      </c>
      <c r="B25" s="21">
        <v>0.01</v>
      </c>
      <c r="C25" s="21">
        <v>0.03</v>
      </c>
    </row>
    <row r="26" spans="1:8" x14ac:dyDescent="0.3">
      <c r="A26" s="8" t="s">
        <v>147</v>
      </c>
      <c r="B26" s="21">
        <v>0.03</v>
      </c>
      <c r="C26" s="21">
        <v>0.08</v>
      </c>
    </row>
    <row r="27" spans="1:8" x14ac:dyDescent="0.3">
      <c r="A27" s="8" t="s">
        <v>148</v>
      </c>
      <c r="B27" s="21">
        <v>0.05</v>
      </c>
      <c r="C27" s="21">
        <v>0.15</v>
      </c>
    </row>
    <row r="28" spans="1:8" x14ac:dyDescent="0.3">
      <c r="A28" s="8" t="s">
        <v>149</v>
      </c>
      <c r="B28" s="21">
        <v>7.0000000000000007E-2</v>
      </c>
      <c r="C28" s="21">
        <v>0.2</v>
      </c>
    </row>
    <row r="29" spans="1:8" x14ac:dyDescent="0.3">
      <c r="A29" s="8" t="s">
        <v>150</v>
      </c>
      <c r="B29" s="21">
        <v>0.1</v>
      </c>
      <c r="C29" s="21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4" x14ac:dyDescent="0.3"/>
  <cols>
    <col min="1" max="1" width="20.54296875" style="8" customWidth="1"/>
    <col min="2" max="2" width="11.6328125" style="8" customWidth="1"/>
    <col min="3" max="4" width="9.08984375" style="8"/>
    <col min="5" max="5" width="10.08984375" style="8" customWidth="1"/>
    <col min="6" max="6" width="10.6328125" style="8" customWidth="1"/>
    <col min="7" max="7" width="9.08984375" style="8"/>
    <col min="8" max="8" width="10.453125" style="8" customWidth="1"/>
    <col min="9" max="9" width="15.453125" style="8" customWidth="1"/>
    <col min="10" max="258" width="9.08984375" style="8"/>
    <col min="259" max="259" width="11.6328125" style="8" customWidth="1"/>
    <col min="260" max="260" width="9.08984375" style="8"/>
    <col min="261" max="261" width="14.6328125" style="8" customWidth="1"/>
    <col min="262" max="262" width="10.6328125" style="8" customWidth="1"/>
    <col min="263" max="514" width="9.08984375" style="8"/>
    <col min="515" max="515" width="11.6328125" style="8" customWidth="1"/>
    <col min="516" max="516" width="9.08984375" style="8"/>
    <col min="517" max="517" width="14.6328125" style="8" customWidth="1"/>
    <col min="518" max="518" width="10.6328125" style="8" customWidth="1"/>
    <col min="519" max="770" width="9.08984375" style="8"/>
    <col min="771" max="771" width="11.6328125" style="8" customWidth="1"/>
    <col min="772" max="772" width="9.08984375" style="8"/>
    <col min="773" max="773" width="14.6328125" style="8" customWidth="1"/>
    <col min="774" max="774" width="10.6328125" style="8" customWidth="1"/>
    <col min="775" max="1026" width="9.08984375" style="8"/>
    <col min="1027" max="1027" width="11.6328125" style="8" customWidth="1"/>
    <col min="1028" max="1028" width="9.08984375" style="8"/>
    <col min="1029" max="1029" width="14.6328125" style="8" customWidth="1"/>
    <col min="1030" max="1030" width="10.6328125" style="8" customWidth="1"/>
    <col min="1031" max="1282" width="9.08984375" style="8"/>
    <col min="1283" max="1283" width="11.6328125" style="8" customWidth="1"/>
    <col min="1284" max="1284" width="9.08984375" style="8"/>
    <col min="1285" max="1285" width="14.6328125" style="8" customWidth="1"/>
    <col min="1286" max="1286" width="10.6328125" style="8" customWidth="1"/>
    <col min="1287" max="1538" width="9.08984375" style="8"/>
    <col min="1539" max="1539" width="11.6328125" style="8" customWidth="1"/>
    <col min="1540" max="1540" width="9.08984375" style="8"/>
    <col min="1541" max="1541" width="14.6328125" style="8" customWidth="1"/>
    <col min="1542" max="1542" width="10.6328125" style="8" customWidth="1"/>
    <col min="1543" max="1794" width="9.08984375" style="8"/>
    <col min="1795" max="1795" width="11.6328125" style="8" customWidth="1"/>
    <col min="1796" max="1796" width="9.08984375" style="8"/>
    <col min="1797" max="1797" width="14.6328125" style="8" customWidth="1"/>
    <col min="1798" max="1798" width="10.6328125" style="8" customWidth="1"/>
    <col min="1799" max="2050" width="9.08984375" style="8"/>
    <col min="2051" max="2051" width="11.6328125" style="8" customWidth="1"/>
    <col min="2052" max="2052" width="9.08984375" style="8"/>
    <col min="2053" max="2053" width="14.6328125" style="8" customWidth="1"/>
    <col min="2054" max="2054" width="10.6328125" style="8" customWidth="1"/>
    <col min="2055" max="2306" width="9.08984375" style="8"/>
    <col min="2307" max="2307" width="11.6328125" style="8" customWidth="1"/>
    <col min="2308" max="2308" width="9.08984375" style="8"/>
    <col min="2309" max="2309" width="14.6328125" style="8" customWidth="1"/>
    <col min="2310" max="2310" width="10.6328125" style="8" customWidth="1"/>
    <col min="2311" max="2562" width="9.08984375" style="8"/>
    <col min="2563" max="2563" width="11.6328125" style="8" customWidth="1"/>
    <col min="2564" max="2564" width="9.08984375" style="8"/>
    <col min="2565" max="2565" width="14.6328125" style="8" customWidth="1"/>
    <col min="2566" max="2566" width="10.6328125" style="8" customWidth="1"/>
    <col min="2567" max="2818" width="9.08984375" style="8"/>
    <col min="2819" max="2819" width="11.6328125" style="8" customWidth="1"/>
    <col min="2820" max="2820" width="9.08984375" style="8"/>
    <col min="2821" max="2821" width="14.6328125" style="8" customWidth="1"/>
    <col min="2822" max="2822" width="10.6328125" style="8" customWidth="1"/>
    <col min="2823" max="3074" width="9.08984375" style="8"/>
    <col min="3075" max="3075" width="11.6328125" style="8" customWidth="1"/>
    <col min="3076" max="3076" width="9.08984375" style="8"/>
    <col min="3077" max="3077" width="14.6328125" style="8" customWidth="1"/>
    <col min="3078" max="3078" width="10.6328125" style="8" customWidth="1"/>
    <col min="3079" max="3330" width="9.08984375" style="8"/>
    <col min="3331" max="3331" width="11.6328125" style="8" customWidth="1"/>
    <col min="3332" max="3332" width="9.08984375" style="8"/>
    <col min="3333" max="3333" width="14.6328125" style="8" customWidth="1"/>
    <col min="3334" max="3334" width="10.6328125" style="8" customWidth="1"/>
    <col min="3335" max="3586" width="9.08984375" style="8"/>
    <col min="3587" max="3587" width="11.6328125" style="8" customWidth="1"/>
    <col min="3588" max="3588" width="9.08984375" style="8"/>
    <col min="3589" max="3589" width="14.6328125" style="8" customWidth="1"/>
    <col min="3590" max="3590" width="10.6328125" style="8" customWidth="1"/>
    <col min="3591" max="3842" width="9.08984375" style="8"/>
    <col min="3843" max="3843" width="11.6328125" style="8" customWidth="1"/>
    <col min="3844" max="3844" width="9.08984375" style="8"/>
    <col min="3845" max="3845" width="14.6328125" style="8" customWidth="1"/>
    <col min="3846" max="3846" width="10.6328125" style="8" customWidth="1"/>
    <col min="3847" max="4098" width="9.08984375" style="8"/>
    <col min="4099" max="4099" width="11.6328125" style="8" customWidth="1"/>
    <col min="4100" max="4100" width="9.08984375" style="8"/>
    <col min="4101" max="4101" width="14.6328125" style="8" customWidth="1"/>
    <col min="4102" max="4102" width="10.6328125" style="8" customWidth="1"/>
    <col min="4103" max="4354" width="9.08984375" style="8"/>
    <col min="4355" max="4355" width="11.6328125" style="8" customWidth="1"/>
    <col min="4356" max="4356" width="9.08984375" style="8"/>
    <col min="4357" max="4357" width="14.6328125" style="8" customWidth="1"/>
    <col min="4358" max="4358" width="10.6328125" style="8" customWidth="1"/>
    <col min="4359" max="4610" width="9.08984375" style="8"/>
    <col min="4611" max="4611" width="11.6328125" style="8" customWidth="1"/>
    <col min="4612" max="4612" width="9.08984375" style="8"/>
    <col min="4613" max="4613" width="14.6328125" style="8" customWidth="1"/>
    <col min="4614" max="4614" width="10.6328125" style="8" customWidth="1"/>
    <col min="4615" max="4866" width="9.08984375" style="8"/>
    <col min="4867" max="4867" width="11.6328125" style="8" customWidth="1"/>
    <col min="4868" max="4868" width="9.08984375" style="8"/>
    <col min="4869" max="4869" width="14.6328125" style="8" customWidth="1"/>
    <col min="4870" max="4870" width="10.6328125" style="8" customWidth="1"/>
    <col min="4871" max="5122" width="9.08984375" style="8"/>
    <col min="5123" max="5123" width="11.6328125" style="8" customWidth="1"/>
    <col min="5124" max="5124" width="9.08984375" style="8"/>
    <col min="5125" max="5125" width="14.6328125" style="8" customWidth="1"/>
    <col min="5126" max="5126" width="10.6328125" style="8" customWidth="1"/>
    <col min="5127" max="5378" width="9.08984375" style="8"/>
    <col min="5379" max="5379" width="11.6328125" style="8" customWidth="1"/>
    <col min="5380" max="5380" width="9.08984375" style="8"/>
    <col min="5381" max="5381" width="14.6328125" style="8" customWidth="1"/>
    <col min="5382" max="5382" width="10.6328125" style="8" customWidth="1"/>
    <col min="5383" max="5634" width="9.08984375" style="8"/>
    <col min="5635" max="5635" width="11.6328125" style="8" customWidth="1"/>
    <col min="5636" max="5636" width="9.08984375" style="8"/>
    <col min="5637" max="5637" width="14.6328125" style="8" customWidth="1"/>
    <col min="5638" max="5638" width="10.6328125" style="8" customWidth="1"/>
    <col min="5639" max="5890" width="9.08984375" style="8"/>
    <col min="5891" max="5891" width="11.6328125" style="8" customWidth="1"/>
    <col min="5892" max="5892" width="9.08984375" style="8"/>
    <col min="5893" max="5893" width="14.6328125" style="8" customWidth="1"/>
    <col min="5894" max="5894" width="10.6328125" style="8" customWidth="1"/>
    <col min="5895" max="6146" width="9.08984375" style="8"/>
    <col min="6147" max="6147" width="11.6328125" style="8" customWidth="1"/>
    <col min="6148" max="6148" width="9.08984375" style="8"/>
    <col min="6149" max="6149" width="14.6328125" style="8" customWidth="1"/>
    <col min="6150" max="6150" width="10.6328125" style="8" customWidth="1"/>
    <col min="6151" max="6402" width="9.08984375" style="8"/>
    <col min="6403" max="6403" width="11.6328125" style="8" customWidth="1"/>
    <col min="6404" max="6404" width="9.08984375" style="8"/>
    <col min="6405" max="6405" width="14.6328125" style="8" customWidth="1"/>
    <col min="6406" max="6406" width="10.6328125" style="8" customWidth="1"/>
    <col min="6407" max="6658" width="9.08984375" style="8"/>
    <col min="6659" max="6659" width="11.6328125" style="8" customWidth="1"/>
    <col min="6660" max="6660" width="9.08984375" style="8"/>
    <col min="6661" max="6661" width="14.6328125" style="8" customWidth="1"/>
    <col min="6662" max="6662" width="10.6328125" style="8" customWidth="1"/>
    <col min="6663" max="6914" width="9.08984375" style="8"/>
    <col min="6915" max="6915" width="11.6328125" style="8" customWidth="1"/>
    <col min="6916" max="6916" width="9.08984375" style="8"/>
    <col min="6917" max="6917" width="14.6328125" style="8" customWidth="1"/>
    <col min="6918" max="6918" width="10.6328125" style="8" customWidth="1"/>
    <col min="6919" max="7170" width="9.08984375" style="8"/>
    <col min="7171" max="7171" width="11.6328125" style="8" customWidth="1"/>
    <col min="7172" max="7172" width="9.08984375" style="8"/>
    <col min="7173" max="7173" width="14.6328125" style="8" customWidth="1"/>
    <col min="7174" max="7174" width="10.6328125" style="8" customWidth="1"/>
    <col min="7175" max="7426" width="9.08984375" style="8"/>
    <col min="7427" max="7427" width="11.6328125" style="8" customWidth="1"/>
    <col min="7428" max="7428" width="9.08984375" style="8"/>
    <col min="7429" max="7429" width="14.6328125" style="8" customWidth="1"/>
    <col min="7430" max="7430" width="10.6328125" style="8" customWidth="1"/>
    <col min="7431" max="7682" width="9.08984375" style="8"/>
    <col min="7683" max="7683" width="11.6328125" style="8" customWidth="1"/>
    <col min="7684" max="7684" width="9.08984375" style="8"/>
    <col min="7685" max="7685" width="14.6328125" style="8" customWidth="1"/>
    <col min="7686" max="7686" width="10.6328125" style="8" customWidth="1"/>
    <col min="7687" max="7938" width="9.08984375" style="8"/>
    <col min="7939" max="7939" width="11.6328125" style="8" customWidth="1"/>
    <col min="7940" max="7940" width="9.08984375" style="8"/>
    <col min="7941" max="7941" width="14.6328125" style="8" customWidth="1"/>
    <col min="7942" max="7942" width="10.6328125" style="8" customWidth="1"/>
    <col min="7943" max="8194" width="9.08984375" style="8"/>
    <col min="8195" max="8195" width="11.6328125" style="8" customWidth="1"/>
    <col min="8196" max="8196" width="9.08984375" style="8"/>
    <col min="8197" max="8197" width="14.6328125" style="8" customWidth="1"/>
    <col min="8198" max="8198" width="10.6328125" style="8" customWidth="1"/>
    <col min="8199" max="8450" width="9.08984375" style="8"/>
    <col min="8451" max="8451" width="11.6328125" style="8" customWidth="1"/>
    <col min="8452" max="8452" width="9.08984375" style="8"/>
    <col min="8453" max="8453" width="14.6328125" style="8" customWidth="1"/>
    <col min="8454" max="8454" width="10.6328125" style="8" customWidth="1"/>
    <col min="8455" max="8706" width="9.08984375" style="8"/>
    <col min="8707" max="8707" width="11.6328125" style="8" customWidth="1"/>
    <col min="8708" max="8708" width="9.08984375" style="8"/>
    <col min="8709" max="8709" width="14.6328125" style="8" customWidth="1"/>
    <col min="8710" max="8710" width="10.6328125" style="8" customWidth="1"/>
    <col min="8711" max="8962" width="9.08984375" style="8"/>
    <col min="8963" max="8963" width="11.6328125" style="8" customWidth="1"/>
    <col min="8964" max="8964" width="9.08984375" style="8"/>
    <col min="8965" max="8965" width="14.6328125" style="8" customWidth="1"/>
    <col min="8966" max="8966" width="10.6328125" style="8" customWidth="1"/>
    <col min="8967" max="9218" width="9.08984375" style="8"/>
    <col min="9219" max="9219" width="11.6328125" style="8" customWidth="1"/>
    <col min="9220" max="9220" width="9.08984375" style="8"/>
    <col min="9221" max="9221" width="14.6328125" style="8" customWidth="1"/>
    <col min="9222" max="9222" width="10.6328125" style="8" customWidth="1"/>
    <col min="9223" max="9474" width="9.08984375" style="8"/>
    <col min="9475" max="9475" width="11.6328125" style="8" customWidth="1"/>
    <col min="9476" max="9476" width="9.08984375" style="8"/>
    <col min="9477" max="9477" width="14.6328125" style="8" customWidth="1"/>
    <col min="9478" max="9478" width="10.6328125" style="8" customWidth="1"/>
    <col min="9479" max="9730" width="9.08984375" style="8"/>
    <col min="9731" max="9731" width="11.6328125" style="8" customWidth="1"/>
    <col min="9732" max="9732" width="9.08984375" style="8"/>
    <col min="9733" max="9733" width="14.6328125" style="8" customWidth="1"/>
    <col min="9734" max="9734" width="10.6328125" style="8" customWidth="1"/>
    <col min="9735" max="9986" width="9.08984375" style="8"/>
    <col min="9987" max="9987" width="11.6328125" style="8" customWidth="1"/>
    <col min="9988" max="9988" width="9.08984375" style="8"/>
    <col min="9989" max="9989" width="14.6328125" style="8" customWidth="1"/>
    <col min="9990" max="9990" width="10.6328125" style="8" customWidth="1"/>
    <col min="9991" max="10242" width="9.08984375" style="8"/>
    <col min="10243" max="10243" width="11.6328125" style="8" customWidth="1"/>
    <col min="10244" max="10244" width="9.08984375" style="8"/>
    <col min="10245" max="10245" width="14.6328125" style="8" customWidth="1"/>
    <col min="10246" max="10246" width="10.6328125" style="8" customWidth="1"/>
    <col min="10247" max="10498" width="9.08984375" style="8"/>
    <col min="10499" max="10499" width="11.6328125" style="8" customWidth="1"/>
    <col min="10500" max="10500" width="9.08984375" style="8"/>
    <col min="10501" max="10501" width="14.6328125" style="8" customWidth="1"/>
    <col min="10502" max="10502" width="10.6328125" style="8" customWidth="1"/>
    <col min="10503" max="10754" width="9.08984375" style="8"/>
    <col min="10755" max="10755" width="11.6328125" style="8" customWidth="1"/>
    <col min="10756" max="10756" width="9.08984375" style="8"/>
    <col min="10757" max="10757" width="14.6328125" style="8" customWidth="1"/>
    <col min="10758" max="10758" width="10.6328125" style="8" customWidth="1"/>
    <col min="10759" max="11010" width="9.08984375" style="8"/>
    <col min="11011" max="11011" width="11.6328125" style="8" customWidth="1"/>
    <col min="11012" max="11012" width="9.08984375" style="8"/>
    <col min="11013" max="11013" width="14.6328125" style="8" customWidth="1"/>
    <col min="11014" max="11014" width="10.6328125" style="8" customWidth="1"/>
    <col min="11015" max="11266" width="9.08984375" style="8"/>
    <col min="11267" max="11267" width="11.6328125" style="8" customWidth="1"/>
    <col min="11268" max="11268" width="9.08984375" style="8"/>
    <col min="11269" max="11269" width="14.6328125" style="8" customWidth="1"/>
    <col min="11270" max="11270" width="10.6328125" style="8" customWidth="1"/>
    <col min="11271" max="11522" width="9.08984375" style="8"/>
    <col min="11523" max="11523" width="11.6328125" style="8" customWidth="1"/>
    <col min="11524" max="11524" width="9.08984375" style="8"/>
    <col min="11525" max="11525" width="14.6328125" style="8" customWidth="1"/>
    <col min="11526" max="11526" width="10.6328125" style="8" customWidth="1"/>
    <col min="11527" max="11778" width="9.08984375" style="8"/>
    <col min="11779" max="11779" width="11.6328125" style="8" customWidth="1"/>
    <col min="11780" max="11780" width="9.08984375" style="8"/>
    <col min="11781" max="11781" width="14.6328125" style="8" customWidth="1"/>
    <col min="11782" max="11782" width="10.6328125" style="8" customWidth="1"/>
    <col min="11783" max="12034" width="9.08984375" style="8"/>
    <col min="12035" max="12035" width="11.6328125" style="8" customWidth="1"/>
    <col min="12036" max="12036" width="9.08984375" style="8"/>
    <col min="12037" max="12037" width="14.6328125" style="8" customWidth="1"/>
    <col min="12038" max="12038" width="10.6328125" style="8" customWidth="1"/>
    <col min="12039" max="12290" width="9.08984375" style="8"/>
    <col min="12291" max="12291" width="11.6328125" style="8" customWidth="1"/>
    <col min="12292" max="12292" width="9.08984375" style="8"/>
    <col min="12293" max="12293" width="14.6328125" style="8" customWidth="1"/>
    <col min="12294" max="12294" width="10.6328125" style="8" customWidth="1"/>
    <col min="12295" max="12546" width="9.08984375" style="8"/>
    <col min="12547" max="12547" width="11.6328125" style="8" customWidth="1"/>
    <col min="12548" max="12548" width="9.08984375" style="8"/>
    <col min="12549" max="12549" width="14.6328125" style="8" customWidth="1"/>
    <col min="12550" max="12550" width="10.6328125" style="8" customWidth="1"/>
    <col min="12551" max="12802" width="9.08984375" style="8"/>
    <col min="12803" max="12803" width="11.6328125" style="8" customWidth="1"/>
    <col min="12804" max="12804" width="9.08984375" style="8"/>
    <col min="12805" max="12805" width="14.6328125" style="8" customWidth="1"/>
    <col min="12806" max="12806" width="10.6328125" style="8" customWidth="1"/>
    <col min="12807" max="13058" width="9.08984375" style="8"/>
    <col min="13059" max="13059" width="11.6328125" style="8" customWidth="1"/>
    <col min="13060" max="13060" width="9.08984375" style="8"/>
    <col min="13061" max="13061" width="14.6328125" style="8" customWidth="1"/>
    <col min="13062" max="13062" width="10.6328125" style="8" customWidth="1"/>
    <col min="13063" max="13314" width="9.08984375" style="8"/>
    <col min="13315" max="13315" width="11.6328125" style="8" customWidth="1"/>
    <col min="13316" max="13316" width="9.08984375" style="8"/>
    <col min="13317" max="13317" width="14.6328125" style="8" customWidth="1"/>
    <col min="13318" max="13318" width="10.6328125" style="8" customWidth="1"/>
    <col min="13319" max="13570" width="9.08984375" style="8"/>
    <col min="13571" max="13571" width="11.6328125" style="8" customWidth="1"/>
    <col min="13572" max="13572" width="9.08984375" style="8"/>
    <col min="13573" max="13573" width="14.6328125" style="8" customWidth="1"/>
    <col min="13574" max="13574" width="10.6328125" style="8" customWidth="1"/>
    <col min="13575" max="13826" width="9.08984375" style="8"/>
    <col min="13827" max="13827" width="11.6328125" style="8" customWidth="1"/>
    <col min="13828" max="13828" width="9.08984375" style="8"/>
    <col min="13829" max="13829" width="14.6328125" style="8" customWidth="1"/>
    <col min="13830" max="13830" width="10.6328125" style="8" customWidth="1"/>
    <col min="13831" max="14082" width="9.08984375" style="8"/>
    <col min="14083" max="14083" width="11.6328125" style="8" customWidth="1"/>
    <col min="14084" max="14084" width="9.08984375" style="8"/>
    <col min="14085" max="14085" width="14.6328125" style="8" customWidth="1"/>
    <col min="14086" max="14086" width="10.6328125" style="8" customWidth="1"/>
    <col min="14087" max="14338" width="9.08984375" style="8"/>
    <col min="14339" max="14339" width="11.6328125" style="8" customWidth="1"/>
    <col min="14340" max="14340" width="9.08984375" style="8"/>
    <col min="14341" max="14341" width="14.6328125" style="8" customWidth="1"/>
    <col min="14342" max="14342" width="10.6328125" style="8" customWidth="1"/>
    <col min="14343" max="14594" width="9.08984375" style="8"/>
    <col min="14595" max="14595" width="11.6328125" style="8" customWidth="1"/>
    <col min="14596" max="14596" width="9.08984375" style="8"/>
    <col min="14597" max="14597" width="14.6328125" style="8" customWidth="1"/>
    <col min="14598" max="14598" width="10.6328125" style="8" customWidth="1"/>
    <col min="14599" max="14850" width="9.08984375" style="8"/>
    <col min="14851" max="14851" width="11.6328125" style="8" customWidth="1"/>
    <col min="14852" max="14852" width="9.08984375" style="8"/>
    <col min="14853" max="14853" width="14.6328125" style="8" customWidth="1"/>
    <col min="14854" max="14854" width="10.6328125" style="8" customWidth="1"/>
    <col min="14855" max="15106" width="9.08984375" style="8"/>
    <col min="15107" max="15107" width="11.6328125" style="8" customWidth="1"/>
    <col min="15108" max="15108" width="9.08984375" style="8"/>
    <col min="15109" max="15109" width="14.6328125" style="8" customWidth="1"/>
    <col min="15110" max="15110" width="10.6328125" style="8" customWidth="1"/>
    <col min="15111" max="15362" width="9.08984375" style="8"/>
    <col min="15363" max="15363" width="11.6328125" style="8" customWidth="1"/>
    <col min="15364" max="15364" width="9.08984375" style="8"/>
    <col min="15365" max="15365" width="14.6328125" style="8" customWidth="1"/>
    <col min="15366" max="15366" width="10.6328125" style="8" customWidth="1"/>
    <col min="15367" max="15618" width="9.08984375" style="8"/>
    <col min="15619" max="15619" width="11.6328125" style="8" customWidth="1"/>
    <col min="15620" max="15620" width="9.08984375" style="8"/>
    <col min="15621" max="15621" width="14.6328125" style="8" customWidth="1"/>
    <col min="15622" max="15622" width="10.6328125" style="8" customWidth="1"/>
    <col min="15623" max="15874" width="9.08984375" style="8"/>
    <col min="15875" max="15875" width="11.6328125" style="8" customWidth="1"/>
    <col min="15876" max="15876" width="9.08984375" style="8"/>
    <col min="15877" max="15877" width="14.6328125" style="8" customWidth="1"/>
    <col min="15878" max="15878" width="10.6328125" style="8" customWidth="1"/>
    <col min="15879" max="16130" width="9.08984375" style="8"/>
    <col min="16131" max="16131" width="11.6328125" style="8" customWidth="1"/>
    <col min="16132" max="16132" width="9.08984375" style="8"/>
    <col min="16133" max="16133" width="14.6328125" style="8" customWidth="1"/>
    <col min="16134" max="16134" width="10.6328125" style="8" customWidth="1"/>
    <col min="16135" max="16384" width="9.08984375" style="8"/>
  </cols>
  <sheetData>
    <row r="2" spans="1:13" x14ac:dyDescent="0.3">
      <c r="A2" s="9" t="s">
        <v>137</v>
      </c>
      <c r="B2" s="9" t="s">
        <v>138</v>
      </c>
      <c r="C2" s="9" t="s">
        <v>139</v>
      </c>
      <c r="D2" s="216" t="s">
        <v>140</v>
      </c>
      <c r="E2" s="216"/>
    </row>
    <row r="3" spans="1:13" x14ac:dyDescent="0.3">
      <c r="A3" s="12">
        <v>0</v>
      </c>
      <c r="B3" s="12">
        <v>0</v>
      </c>
      <c r="C3" s="12">
        <v>1</v>
      </c>
      <c r="D3" s="217">
        <v>7</v>
      </c>
      <c r="E3" s="217"/>
    </row>
    <row r="5" spans="1:13" hidden="1" x14ac:dyDescent="0.3">
      <c r="A5" s="8" t="s">
        <v>102</v>
      </c>
      <c r="B5" s="10" t="s">
        <v>157</v>
      </c>
      <c r="C5" s="10">
        <f>D3</f>
        <v>7</v>
      </c>
      <c r="D5" s="11"/>
    </row>
    <row r="6" spans="1:13" x14ac:dyDescent="0.3">
      <c r="A6" s="8" t="s">
        <v>103</v>
      </c>
      <c r="B6" s="13">
        <v>10</v>
      </c>
      <c r="C6" s="14">
        <v>10</v>
      </c>
      <c r="D6" s="15">
        <v>1</v>
      </c>
    </row>
    <row r="7" spans="1:13" x14ac:dyDescent="0.3">
      <c r="A7" s="8" t="s">
        <v>104</v>
      </c>
      <c r="B7" s="13">
        <f>A3+B3+C3+D3</f>
        <v>8</v>
      </c>
      <c r="C7" s="14">
        <v>5</v>
      </c>
      <c r="D7" s="15">
        <f t="shared" ref="D7:D12" si="0">((100/B7)*C7)/100</f>
        <v>0.625</v>
      </c>
      <c r="F7" s="219" t="s">
        <v>158</v>
      </c>
      <c r="G7" s="219"/>
      <c r="H7" s="16" t="s">
        <v>159</v>
      </c>
      <c r="J7" s="22"/>
    </row>
    <row r="8" spans="1:13" x14ac:dyDescent="0.3">
      <c r="A8" s="8" t="s">
        <v>109</v>
      </c>
      <c r="B8" s="13">
        <f>C5</f>
        <v>7</v>
      </c>
      <c r="C8" s="14">
        <v>0</v>
      </c>
      <c r="D8" s="15">
        <f t="shared" si="0"/>
        <v>0</v>
      </c>
      <c r="F8" s="218" t="s">
        <v>160</v>
      </c>
      <c r="G8" s="218"/>
      <c r="H8" s="13" t="s">
        <v>161</v>
      </c>
    </row>
    <row r="9" spans="1:13" x14ac:dyDescent="0.3">
      <c r="A9" s="8" t="s">
        <v>111</v>
      </c>
      <c r="B9" s="13">
        <f>C5</f>
        <v>7</v>
      </c>
      <c r="C9" s="14">
        <v>0</v>
      </c>
      <c r="D9" s="15">
        <f t="shared" si="0"/>
        <v>0</v>
      </c>
      <c r="F9" s="218" t="s">
        <v>162</v>
      </c>
      <c r="G9" s="218"/>
      <c r="H9" s="13" t="s">
        <v>163</v>
      </c>
    </row>
    <row r="10" spans="1:13" x14ac:dyDescent="0.3">
      <c r="A10" s="8" t="s">
        <v>70</v>
      </c>
      <c r="B10" s="13">
        <f>C5</f>
        <v>7</v>
      </c>
      <c r="C10" s="14">
        <v>0</v>
      </c>
      <c r="D10" s="15">
        <f t="shared" si="0"/>
        <v>0</v>
      </c>
      <c r="F10" s="218" t="s">
        <v>164</v>
      </c>
      <c r="G10" s="218"/>
      <c r="H10" s="13" t="s">
        <v>165</v>
      </c>
    </row>
    <row r="11" spans="1:13" x14ac:dyDescent="0.3">
      <c r="A11" s="17" t="s">
        <v>107</v>
      </c>
      <c r="B11" s="13">
        <f>C5</f>
        <v>7</v>
      </c>
      <c r="C11" s="14">
        <v>0</v>
      </c>
      <c r="D11" s="15">
        <f t="shared" si="0"/>
        <v>0</v>
      </c>
      <c r="F11" s="218" t="s">
        <v>166</v>
      </c>
      <c r="G11" s="218"/>
      <c r="H11" s="13" t="s">
        <v>167</v>
      </c>
    </row>
    <row r="12" spans="1:13" x14ac:dyDescent="0.3">
      <c r="A12" s="8" t="s">
        <v>71</v>
      </c>
      <c r="B12" s="13">
        <f>C5</f>
        <v>7</v>
      </c>
      <c r="C12" s="14">
        <v>0</v>
      </c>
      <c r="D12" s="15">
        <f t="shared" si="0"/>
        <v>0</v>
      </c>
      <c r="F12" s="218" t="s">
        <v>168</v>
      </c>
      <c r="G12" s="218"/>
      <c r="H12" s="13" t="s">
        <v>169</v>
      </c>
    </row>
    <row r="13" spans="1:13" x14ac:dyDescent="0.3">
      <c r="F13" s="218" t="s">
        <v>170</v>
      </c>
      <c r="G13" s="218"/>
      <c r="H13" s="13" t="s">
        <v>171</v>
      </c>
    </row>
    <row r="14" spans="1:13" hidden="1" x14ac:dyDescent="0.3">
      <c r="A14" s="9"/>
      <c r="B14" s="9" t="s">
        <v>108</v>
      </c>
      <c r="C14" s="9" t="s">
        <v>112</v>
      </c>
      <c r="G14" s="9" t="s">
        <v>103</v>
      </c>
      <c r="H14" s="9" t="s">
        <v>105</v>
      </c>
      <c r="I14" s="9" t="s">
        <v>106</v>
      </c>
      <c r="J14" s="9" t="s">
        <v>69</v>
      </c>
      <c r="K14" s="9" t="s">
        <v>70</v>
      </c>
      <c r="L14" s="9" t="s">
        <v>107</v>
      </c>
      <c r="M14" s="9" t="s">
        <v>71</v>
      </c>
    </row>
    <row r="15" spans="1:13" hidden="1" x14ac:dyDescent="0.3">
      <c r="A15" s="9" t="s">
        <v>67</v>
      </c>
      <c r="B15" s="9">
        <f>G15</f>
        <v>10</v>
      </c>
      <c r="C15" s="9">
        <f>G16</f>
        <v>30</v>
      </c>
      <c r="E15" s="216" t="s">
        <v>108</v>
      </c>
      <c r="F15" s="216"/>
      <c r="G15" s="18">
        <f>C6</f>
        <v>10</v>
      </c>
      <c r="H15" s="18">
        <f>40/B7*C7</f>
        <v>25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3">
      <c r="A16" s="9" t="s">
        <v>68</v>
      </c>
      <c r="B16" s="9">
        <f>H15</f>
        <v>25</v>
      </c>
      <c r="C16" s="9">
        <f>H16</f>
        <v>18.75</v>
      </c>
      <c r="E16" s="216" t="s">
        <v>110</v>
      </c>
      <c r="F16" s="216"/>
      <c r="G16" s="9">
        <f>G15+20</f>
        <v>30</v>
      </c>
      <c r="H16" s="9">
        <f>30/B7*C7</f>
        <v>18.75</v>
      </c>
      <c r="I16" s="9">
        <f>15/B8*C8</f>
        <v>0</v>
      </c>
      <c r="J16" s="9">
        <f>10/B9*C9</f>
        <v>0</v>
      </c>
      <c r="K16" s="9">
        <f>5/B10*C10</f>
        <v>0</v>
      </c>
      <c r="L16" s="9">
        <f>5/B11*C11</f>
        <v>0</v>
      </c>
      <c r="M16" s="9">
        <f>5/B12*C12</f>
        <v>0</v>
      </c>
    </row>
    <row r="17" spans="1:8" hidden="1" x14ac:dyDescent="0.3">
      <c r="A17" s="9" t="s">
        <v>106</v>
      </c>
      <c r="B17" s="9">
        <f>I15</f>
        <v>0</v>
      </c>
      <c r="C17" s="9">
        <f>I16</f>
        <v>0</v>
      </c>
    </row>
    <row r="18" spans="1:8" hidden="1" x14ac:dyDescent="0.3">
      <c r="A18" s="9" t="s">
        <v>69</v>
      </c>
      <c r="B18" s="9">
        <f>J15</f>
        <v>0</v>
      </c>
      <c r="C18" s="9">
        <f>J16</f>
        <v>0</v>
      </c>
    </row>
    <row r="19" spans="1:8" hidden="1" x14ac:dyDescent="0.3">
      <c r="A19" s="9" t="s">
        <v>70</v>
      </c>
      <c r="B19" s="9">
        <f>K15</f>
        <v>0</v>
      </c>
      <c r="C19" s="9">
        <f>K16</f>
        <v>0</v>
      </c>
    </row>
    <row r="20" spans="1:8" hidden="1" x14ac:dyDescent="0.3">
      <c r="A20" s="19" t="s">
        <v>107</v>
      </c>
      <c r="B20" s="9">
        <f>L15</f>
        <v>0</v>
      </c>
      <c r="C20" s="9">
        <f>L16</f>
        <v>0</v>
      </c>
    </row>
    <row r="21" spans="1:8" hidden="1" x14ac:dyDescent="0.3">
      <c r="A21" s="9" t="s">
        <v>71</v>
      </c>
      <c r="B21" s="9">
        <f>M15</f>
        <v>0</v>
      </c>
      <c r="C21" s="9">
        <f>M16</f>
        <v>0</v>
      </c>
    </row>
    <row r="22" spans="1:8" x14ac:dyDescent="0.3">
      <c r="A22" s="9" t="s">
        <v>113</v>
      </c>
      <c r="B22" s="20">
        <f>(B15+B16+B17+B18+B19+B20+B21)/100</f>
        <v>0.35</v>
      </c>
      <c r="C22" s="20">
        <f>(C15+C16+C17+C18+C19+C20+C21)/100</f>
        <v>0.48749999999999999</v>
      </c>
      <c r="F22" s="218" t="s">
        <v>172</v>
      </c>
      <c r="G22" s="218"/>
      <c r="H22" s="13" t="s">
        <v>163</v>
      </c>
    </row>
    <row r="23" spans="1:8" x14ac:dyDescent="0.3">
      <c r="F23" s="218" t="s">
        <v>173</v>
      </c>
      <c r="G23" s="218"/>
      <c r="H23" s="13" t="s">
        <v>174</v>
      </c>
    </row>
    <row r="24" spans="1:8" x14ac:dyDescent="0.3">
      <c r="A24" s="8" t="s">
        <v>145</v>
      </c>
      <c r="B24" s="21">
        <v>0.01</v>
      </c>
      <c r="C24" s="21">
        <v>0.02</v>
      </c>
      <c r="F24" s="218" t="s">
        <v>175</v>
      </c>
      <c r="G24" s="218"/>
      <c r="H24" s="13" t="s">
        <v>176</v>
      </c>
    </row>
    <row r="25" spans="1:8" x14ac:dyDescent="0.3">
      <c r="A25" s="8" t="s">
        <v>146</v>
      </c>
      <c r="B25" s="21">
        <v>0.01</v>
      </c>
      <c r="C25" s="21">
        <v>0.03</v>
      </c>
    </row>
    <row r="26" spans="1:8" x14ac:dyDescent="0.3">
      <c r="A26" s="8" t="s">
        <v>147</v>
      </c>
      <c r="B26" s="21">
        <v>0.03</v>
      </c>
      <c r="C26" s="21">
        <v>0.08</v>
      </c>
    </row>
    <row r="27" spans="1:8" x14ac:dyDescent="0.3">
      <c r="A27" s="8" t="s">
        <v>148</v>
      </c>
      <c r="B27" s="21">
        <v>0.05</v>
      </c>
      <c r="C27" s="21">
        <v>0.15</v>
      </c>
    </row>
    <row r="28" spans="1:8" x14ac:dyDescent="0.3">
      <c r="A28" s="8" t="s">
        <v>149</v>
      </c>
      <c r="B28" s="21">
        <v>7.0000000000000007E-2</v>
      </c>
      <c r="C28" s="21">
        <v>0.2</v>
      </c>
    </row>
    <row r="29" spans="1:8" x14ac:dyDescent="0.3">
      <c r="A29" s="8" t="s">
        <v>150</v>
      </c>
      <c r="B29" s="21">
        <v>0.1</v>
      </c>
      <c r="C29" s="21">
        <v>0.3</v>
      </c>
    </row>
  </sheetData>
  <mergeCells count="14">
    <mergeCell ref="F23:G23"/>
    <mergeCell ref="F24:G24"/>
    <mergeCell ref="F11:G11"/>
    <mergeCell ref="F12:G12"/>
    <mergeCell ref="F13:G13"/>
    <mergeCell ref="E15:F15"/>
    <mergeCell ref="E16:F16"/>
    <mergeCell ref="F22:G22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D28" sqref="D28"/>
    </sheetView>
  </sheetViews>
  <sheetFormatPr defaultRowHeight="14.5" x14ac:dyDescent="0.35"/>
  <cols>
    <col min="2" max="2" width="12.36328125" customWidth="1"/>
  </cols>
  <sheetData>
    <row r="2" spans="1:12" x14ac:dyDescent="0.35">
      <c r="B2" s="2" t="s">
        <v>114</v>
      </c>
      <c r="C2" s="220"/>
      <c r="D2" s="220"/>
    </row>
    <row r="3" spans="1:12" x14ac:dyDescent="0.35">
      <c r="D3" s="3"/>
      <c r="E3" s="3"/>
      <c r="F3" s="3"/>
      <c r="G3" s="3"/>
      <c r="H3" s="3"/>
      <c r="I3" s="3"/>
    </row>
    <row r="4" spans="1:12" x14ac:dyDescent="0.35">
      <c r="A4" s="2" t="s">
        <v>115</v>
      </c>
      <c r="B4" s="4" t="s">
        <v>116</v>
      </c>
      <c r="C4" s="221" t="s">
        <v>117</v>
      </c>
      <c r="D4" s="221"/>
      <c r="E4" s="221"/>
      <c r="F4" s="5"/>
      <c r="G4" s="221" t="s">
        <v>118</v>
      </c>
      <c r="H4" s="221"/>
      <c r="I4" s="221"/>
      <c r="J4" s="221" t="s">
        <v>119</v>
      </c>
      <c r="K4" s="221"/>
      <c r="L4" s="221"/>
    </row>
    <row r="5" spans="1:12" x14ac:dyDescent="0.35">
      <c r="A5" s="2">
        <v>1</v>
      </c>
      <c r="B5" s="4"/>
      <c r="C5" s="4" t="s">
        <v>120</v>
      </c>
      <c r="D5" s="4" t="s">
        <v>121</v>
      </c>
      <c r="E5" s="4" t="s">
        <v>82</v>
      </c>
      <c r="F5" s="4"/>
      <c r="G5" s="4" t="s">
        <v>120</v>
      </c>
      <c r="H5" s="4" t="s">
        <v>121</v>
      </c>
      <c r="I5" s="4" t="s">
        <v>82</v>
      </c>
      <c r="J5" s="4" t="s">
        <v>120</v>
      </c>
      <c r="K5" s="4" t="s">
        <v>121</v>
      </c>
      <c r="L5" s="4" t="s">
        <v>82</v>
      </c>
    </row>
    <row r="6" spans="1:12" x14ac:dyDescent="0.35">
      <c r="B6" s="6" t="s">
        <v>122</v>
      </c>
      <c r="C6" s="6">
        <v>2.75</v>
      </c>
      <c r="D6" s="6">
        <v>4.0999999999999996</v>
      </c>
      <c r="E6" s="6">
        <f>C6*D6</f>
        <v>11.274999999999999</v>
      </c>
      <c r="F6" s="6" t="s">
        <v>123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5">
      <c r="B7" s="6"/>
      <c r="C7" s="6"/>
      <c r="D7" s="6"/>
      <c r="E7" s="6">
        <f>C7*D7</f>
        <v>0</v>
      </c>
      <c r="F7" s="6" t="s">
        <v>124</v>
      </c>
      <c r="G7" s="6"/>
      <c r="H7" s="6"/>
      <c r="I7" s="6">
        <f t="shared" ref="I7:I29" si="0">G7*H7</f>
        <v>0</v>
      </c>
      <c r="J7" s="6"/>
      <c r="K7" s="6"/>
      <c r="L7" s="6">
        <f t="shared" ref="L7:L29" si="1">J7*K7</f>
        <v>0</v>
      </c>
    </row>
    <row r="8" spans="1:12" x14ac:dyDescent="0.35">
      <c r="B8" s="6"/>
      <c r="C8" s="6"/>
      <c r="D8" s="6"/>
      <c r="E8" s="6">
        <f t="shared" ref="E8:E33" si="2">C8*D8</f>
        <v>0</v>
      </c>
      <c r="F8" s="6"/>
      <c r="G8" s="6"/>
      <c r="H8" s="6"/>
      <c r="I8" s="6">
        <f t="shared" si="0"/>
        <v>0</v>
      </c>
      <c r="J8" s="6"/>
      <c r="K8" s="6"/>
      <c r="L8" s="6">
        <f t="shared" si="1"/>
        <v>0</v>
      </c>
    </row>
    <row r="9" spans="1:12" x14ac:dyDescent="0.35">
      <c r="B9" s="6" t="s">
        <v>125</v>
      </c>
      <c r="C9" s="6">
        <v>2.2000000000000002</v>
      </c>
      <c r="D9" s="6">
        <v>1.9</v>
      </c>
      <c r="E9" s="6">
        <f t="shared" si="2"/>
        <v>4.18</v>
      </c>
      <c r="F9" s="6" t="s">
        <v>123</v>
      </c>
      <c r="G9" s="6"/>
      <c r="H9" s="6"/>
      <c r="I9" s="6">
        <f t="shared" si="0"/>
        <v>0</v>
      </c>
      <c r="J9" s="6"/>
      <c r="K9" s="6"/>
      <c r="L9" s="6">
        <f t="shared" si="1"/>
        <v>0</v>
      </c>
    </row>
    <row r="10" spans="1:12" x14ac:dyDescent="0.35">
      <c r="B10" s="6"/>
      <c r="C10" s="6"/>
      <c r="E10" s="6">
        <f>C10*C7</f>
        <v>0</v>
      </c>
      <c r="F10" s="6" t="s">
        <v>124</v>
      </c>
      <c r="G10" s="6"/>
      <c r="H10" s="6"/>
      <c r="I10" s="6">
        <f t="shared" si="0"/>
        <v>0</v>
      </c>
      <c r="J10" s="6"/>
      <c r="K10" s="6"/>
      <c r="L10" s="6">
        <f t="shared" si="1"/>
        <v>0</v>
      </c>
    </row>
    <row r="11" spans="1:12" x14ac:dyDescent="0.35">
      <c r="B11" s="6"/>
      <c r="C11" s="6"/>
      <c r="D11" s="6"/>
      <c r="E11" s="6">
        <f t="shared" si="2"/>
        <v>0</v>
      </c>
      <c r="F11" s="6"/>
      <c r="G11" s="6"/>
      <c r="H11" s="6"/>
      <c r="I11" s="6">
        <f t="shared" si="0"/>
        <v>0</v>
      </c>
      <c r="J11" s="6"/>
      <c r="K11" s="6"/>
      <c r="L11" s="6">
        <f t="shared" si="1"/>
        <v>0</v>
      </c>
    </row>
    <row r="12" spans="1:12" x14ac:dyDescent="0.35">
      <c r="B12" s="6"/>
      <c r="C12" s="6"/>
      <c r="D12" s="6"/>
      <c r="E12" s="6">
        <f t="shared" si="2"/>
        <v>0</v>
      </c>
      <c r="F12" s="6"/>
      <c r="G12" s="6"/>
      <c r="H12" s="6"/>
      <c r="I12" s="6">
        <f t="shared" si="0"/>
        <v>0</v>
      </c>
      <c r="J12" s="6"/>
      <c r="K12" s="6"/>
      <c r="L12" s="6">
        <f t="shared" si="1"/>
        <v>0</v>
      </c>
    </row>
    <row r="13" spans="1:12" x14ac:dyDescent="0.35">
      <c r="B13" s="6" t="s">
        <v>126</v>
      </c>
      <c r="C13" s="6">
        <v>3.05</v>
      </c>
      <c r="D13" s="6">
        <v>2.85</v>
      </c>
      <c r="E13" s="6">
        <f t="shared" si="2"/>
        <v>8.692499999999999</v>
      </c>
      <c r="F13" s="6" t="s">
        <v>123</v>
      </c>
      <c r="G13" s="6"/>
      <c r="H13" s="6"/>
      <c r="I13" s="6">
        <f t="shared" si="0"/>
        <v>0</v>
      </c>
      <c r="J13" s="6"/>
      <c r="K13" s="6"/>
      <c r="L13" s="6">
        <f t="shared" si="1"/>
        <v>0</v>
      </c>
    </row>
    <row r="14" spans="1:12" x14ac:dyDescent="0.35">
      <c r="B14" s="6"/>
      <c r="C14" s="6"/>
      <c r="D14" s="6"/>
      <c r="E14" s="6">
        <f t="shared" si="2"/>
        <v>0</v>
      </c>
      <c r="F14" s="6" t="s">
        <v>124</v>
      </c>
      <c r="G14" s="6"/>
      <c r="H14" s="6"/>
      <c r="I14" s="6">
        <f t="shared" si="0"/>
        <v>0</v>
      </c>
      <c r="J14" s="6"/>
      <c r="K14" s="6"/>
      <c r="L14" s="6">
        <f t="shared" si="1"/>
        <v>0</v>
      </c>
    </row>
    <row r="15" spans="1:12" x14ac:dyDescent="0.35">
      <c r="B15" s="6"/>
      <c r="C15" s="6"/>
      <c r="D15" s="6"/>
      <c r="E15" s="6">
        <f t="shared" si="2"/>
        <v>0</v>
      </c>
      <c r="F15" s="6"/>
      <c r="G15" s="6"/>
      <c r="H15" s="6"/>
      <c r="I15" s="6">
        <f t="shared" si="0"/>
        <v>0</v>
      </c>
      <c r="J15" s="6"/>
      <c r="K15" s="6"/>
      <c r="L15" s="6">
        <f t="shared" si="1"/>
        <v>0</v>
      </c>
    </row>
    <row r="16" spans="1:12" x14ac:dyDescent="0.35">
      <c r="B16" s="6"/>
      <c r="C16" s="6"/>
      <c r="D16" s="6"/>
      <c r="E16" s="6">
        <f t="shared" si="2"/>
        <v>0</v>
      </c>
      <c r="F16" s="6"/>
      <c r="G16" s="6"/>
      <c r="H16" s="6"/>
      <c r="I16" s="6">
        <f t="shared" si="0"/>
        <v>0</v>
      </c>
      <c r="J16" s="6"/>
      <c r="K16" s="6"/>
      <c r="L16" s="6">
        <f t="shared" si="1"/>
        <v>0</v>
      </c>
    </row>
    <row r="17" spans="2:12" x14ac:dyDescent="0.35">
      <c r="B17" s="6" t="s">
        <v>127</v>
      </c>
      <c r="C17" s="6"/>
      <c r="D17" s="6"/>
      <c r="E17" s="6">
        <f t="shared" si="2"/>
        <v>0</v>
      </c>
      <c r="F17" s="6" t="s">
        <v>123</v>
      </c>
      <c r="G17" s="6"/>
      <c r="H17" s="6"/>
      <c r="I17" s="6">
        <f t="shared" si="0"/>
        <v>0</v>
      </c>
      <c r="J17" s="6"/>
      <c r="K17" s="6"/>
      <c r="L17" s="6">
        <f t="shared" si="1"/>
        <v>0</v>
      </c>
    </row>
    <row r="18" spans="2:12" x14ac:dyDescent="0.35">
      <c r="B18" s="6"/>
      <c r="C18" s="6"/>
      <c r="D18" s="6"/>
      <c r="E18" s="6">
        <f t="shared" si="2"/>
        <v>0</v>
      </c>
      <c r="F18" s="6" t="s">
        <v>124</v>
      </c>
      <c r="G18" s="6"/>
      <c r="H18" s="6"/>
      <c r="I18" s="6">
        <f t="shared" si="0"/>
        <v>0</v>
      </c>
      <c r="J18" s="6"/>
      <c r="K18" s="6"/>
      <c r="L18" s="6">
        <f t="shared" si="1"/>
        <v>0</v>
      </c>
    </row>
    <row r="19" spans="2:12" x14ac:dyDescent="0.35">
      <c r="B19" s="6"/>
      <c r="C19" s="6"/>
      <c r="D19" s="6"/>
      <c r="E19" s="6">
        <f t="shared" si="2"/>
        <v>0</v>
      </c>
      <c r="F19" s="6"/>
      <c r="G19" s="6"/>
      <c r="H19" s="6"/>
      <c r="I19" s="6">
        <f t="shared" si="0"/>
        <v>0</v>
      </c>
      <c r="J19" s="6"/>
      <c r="K19" s="6"/>
      <c r="L19" s="6">
        <f t="shared" si="1"/>
        <v>0</v>
      </c>
    </row>
    <row r="20" spans="2:12" x14ac:dyDescent="0.35">
      <c r="B20" s="6" t="s">
        <v>127</v>
      </c>
      <c r="C20" s="6"/>
      <c r="D20" s="6"/>
      <c r="E20" s="6">
        <f t="shared" si="2"/>
        <v>0</v>
      </c>
      <c r="F20" s="6" t="s">
        <v>123</v>
      </c>
      <c r="G20" s="6"/>
      <c r="H20" s="6"/>
      <c r="I20" s="6">
        <f t="shared" si="0"/>
        <v>0</v>
      </c>
      <c r="J20" s="6"/>
      <c r="K20" s="6"/>
      <c r="L20" s="6">
        <f t="shared" si="1"/>
        <v>0</v>
      </c>
    </row>
    <row r="21" spans="2:12" x14ac:dyDescent="0.35">
      <c r="B21" s="6"/>
      <c r="C21" s="6"/>
      <c r="D21" s="6"/>
      <c r="E21" s="6">
        <f t="shared" si="2"/>
        <v>0</v>
      </c>
      <c r="F21" s="6" t="s">
        <v>124</v>
      </c>
      <c r="G21" s="6"/>
      <c r="H21" s="6"/>
      <c r="I21" s="6">
        <f t="shared" si="0"/>
        <v>0</v>
      </c>
      <c r="J21" s="6"/>
      <c r="K21" s="6"/>
      <c r="L21" s="6">
        <f t="shared" si="1"/>
        <v>0</v>
      </c>
    </row>
    <row r="22" spans="2:12" x14ac:dyDescent="0.35">
      <c r="B22" s="6"/>
      <c r="C22" s="6"/>
      <c r="D22" s="6"/>
      <c r="E22" s="6">
        <f t="shared" si="2"/>
        <v>0</v>
      </c>
      <c r="F22" s="6"/>
      <c r="G22" s="6"/>
      <c r="H22" s="6"/>
      <c r="I22" s="6">
        <f t="shared" si="0"/>
        <v>0</v>
      </c>
      <c r="J22" s="6"/>
      <c r="K22" s="6"/>
      <c r="L22" s="6">
        <f t="shared" si="1"/>
        <v>0</v>
      </c>
    </row>
    <row r="23" spans="2:12" x14ac:dyDescent="0.35">
      <c r="B23" s="6" t="s">
        <v>128</v>
      </c>
      <c r="C23" s="6">
        <v>1.2</v>
      </c>
      <c r="D23" s="6">
        <v>1.85</v>
      </c>
      <c r="E23" s="6">
        <f t="shared" si="2"/>
        <v>2.2200000000000002</v>
      </c>
      <c r="F23" s="6" t="s">
        <v>129</v>
      </c>
      <c r="G23" s="6"/>
      <c r="H23" s="6"/>
      <c r="I23" s="6">
        <f t="shared" si="0"/>
        <v>0</v>
      </c>
      <c r="J23" s="6"/>
      <c r="K23" s="6"/>
      <c r="L23" s="6">
        <f t="shared" si="1"/>
        <v>0</v>
      </c>
    </row>
    <row r="24" spans="2:12" x14ac:dyDescent="0.35">
      <c r="B24" s="6" t="s">
        <v>130</v>
      </c>
      <c r="C24" s="6">
        <v>1.2</v>
      </c>
      <c r="D24" s="6">
        <v>1.85</v>
      </c>
      <c r="E24" s="6">
        <f t="shared" si="2"/>
        <v>2.2200000000000002</v>
      </c>
      <c r="F24" s="6" t="s">
        <v>129</v>
      </c>
      <c r="G24" s="6"/>
      <c r="H24" s="6"/>
      <c r="I24" s="6">
        <f t="shared" si="0"/>
        <v>0</v>
      </c>
      <c r="J24" s="6"/>
      <c r="K24" s="6"/>
      <c r="L24" s="6">
        <f t="shared" si="1"/>
        <v>0</v>
      </c>
    </row>
    <row r="25" spans="2:12" x14ac:dyDescent="0.35">
      <c r="B25" s="6" t="s">
        <v>131</v>
      </c>
      <c r="C25" s="6"/>
      <c r="D25" s="6"/>
      <c r="E25" s="6">
        <f t="shared" si="2"/>
        <v>0</v>
      </c>
      <c r="F25" s="6" t="s">
        <v>129</v>
      </c>
      <c r="G25" s="6"/>
      <c r="H25" s="6"/>
      <c r="I25" s="6">
        <f t="shared" si="0"/>
        <v>0</v>
      </c>
      <c r="J25" s="6"/>
      <c r="K25" s="6"/>
      <c r="L25" s="6">
        <f t="shared" si="1"/>
        <v>0</v>
      </c>
    </row>
    <row r="26" spans="2:12" x14ac:dyDescent="0.35">
      <c r="B26" s="6"/>
      <c r="C26" s="6"/>
      <c r="D26" s="6"/>
      <c r="E26" s="6">
        <f t="shared" si="2"/>
        <v>0</v>
      </c>
      <c r="F26" s="6"/>
      <c r="G26" s="6"/>
      <c r="H26" s="6"/>
      <c r="I26" s="6">
        <f t="shared" si="0"/>
        <v>0</v>
      </c>
      <c r="J26" s="6"/>
      <c r="K26" s="6"/>
      <c r="L26" s="6">
        <f t="shared" si="1"/>
        <v>0</v>
      </c>
    </row>
    <row r="27" spans="2:12" x14ac:dyDescent="0.35">
      <c r="B27" s="6" t="s">
        <v>132</v>
      </c>
      <c r="C27" s="6">
        <v>1.3</v>
      </c>
      <c r="D27" s="6">
        <v>1.85</v>
      </c>
      <c r="E27" s="6">
        <f t="shared" si="2"/>
        <v>2.4050000000000002</v>
      </c>
      <c r="F27" s="6"/>
      <c r="G27" s="6"/>
      <c r="H27" s="6"/>
      <c r="I27" s="6">
        <f t="shared" si="0"/>
        <v>0</v>
      </c>
      <c r="J27" s="6"/>
      <c r="K27" s="6"/>
      <c r="L27" s="6">
        <f t="shared" si="1"/>
        <v>0</v>
      </c>
    </row>
    <row r="28" spans="2:12" x14ac:dyDescent="0.35">
      <c r="B28" s="6" t="s">
        <v>133</v>
      </c>
      <c r="C28" s="6"/>
      <c r="D28" s="6"/>
      <c r="E28" s="6">
        <f t="shared" si="2"/>
        <v>0</v>
      </c>
      <c r="F28" s="6"/>
      <c r="G28" s="6"/>
      <c r="H28" s="6"/>
      <c r="I28" s="6">
        <f t="shared" si="0"/>
        <v>0</v>
      </c>
      <c r="J28" s="6"/>
      <c r="K28" s="6"/>
      <c r="L28" s="6">
        <f t="shared" si="1"/>
        <v>0</v>
      </c>
    </row>
    <row r="29" spans="2:12" x14ac:dyDescent="0.35">
      <c r="B29" s="6" t="s">
        <v>134</v>
      </c>
      <c r="C29" s="6"/>
      <c r="D29" s="6"/>
      <c r="E29" s="6">
        <f t="shared" si="2"/>
        <v>0</v>
      </c>
      <c r="F29" s="6"/>
      <c r="G29" s="6"/>
      <c r="H29" s="6"/>
      <c r="I29" s="6">
        <f t="shared" si="0"/>
        <v>0</v>
      </c>
      <c r="J29" s="6"/>
      <c r="K29" s="6"/>
      <c r="L29" s="6">
        <f t="shared" si="1"/>
        <v>0</v>
      </c>
    </row>
    <row r="30" spans="2:12" x14ac:dyDescent="0.35">
      <c r="B30" s="6" t="s">
        <v>135</v>
      </c>
      <c r="C30" s="6"/>
      <c r="D30" s="6"/>
      <c r="E30" s="6">
        <f t="shared" si="2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5">
      <c r="B31" s="6"/>
      <c r="C31" s="6"/>
      <c r="D31" s="6"/>
      <c r="E31" s="6">
        <f t="shared" si="2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5">
      <c r="B32" s="6"/>
      <c r="C32" s="6"/>
      <c r="D32" s="6"/>
      <c r="E32" s="6">
        <f t="shared" si="2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5">
      <c r="B33" s="6"/>
      <c r="C33" s="6"/>
      <c r="D33" s="6"/>
      <c r="E33" s="6">
        <f t="shared" si="2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5">
      <c r="B34" s="6" t="s">
        <v>83</v>
      </c>
      <c r="C34" s="6"/>
      <c r="D34" s="6">
        <f>E34*10.764</f>
        <v>333.60326999999995</v>
      </c>
      <c r="E34" s="6">
        <f>SUM(E6:E33)</f>
        <v>30.992499999999996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5">
      <c r="D36">
        <f>D34+H34</f>
        <v>333.60326999999995</v>
      </c>
      <c r="E36">
        <f>E34+I34</f>
        <v>30.992499999999996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VALUATION</vt:lpstr>
      <vt:lpstr>Note</vt:lpstr>
      <vt:lpstr>A%</vt:lpstr>
      <vt:lpstr>B% (2)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2025-07-15T07:27:20Z</cp:lastPrinted>
  <dcterms:created xsi:type="dcterms:W3CDTF">2019-07-16T09:29:46Z</dcterms:created>
  <dcterms:modified xsi:type="dcterms:W3CDTF">2025-07-15T07:28:57Z</dcterms:modified>
</cp:coreProperties>
</file>