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12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Report!$A$1:$H$424</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9" i="1" l="1"/>
  <c r="E240" i="1" l="1"/>
  <c r="D240" i="1"/>
  <c r="E239" i="1"/>
  <c r="D239" i="1"/>
  <c r="E238" i="1"/>
  <c r="D238" i="1"/>
  <c r="E237" i="1"/>
  <c r="D237" i="1"/>
  <c r="E236" i="1"/>
  <c r="D236" i="1"/>
  <c r="E235" i="1"/>
  <c r="D235" i="1"/>
  <c r="E234" i="1"/>
  <c r="D234" i="1"/>
  <c r="E233" i="1"/>
  <c r="D233" i="1"/>
  <c r="E231" i="1"/>
  <c r="D231" i="1"/>
  <c r="E230" i="1"/>
  <c r="D230" i="1"/>
  <c r="E229" i="1"/>
  <c r="D229" i="1"/>
  <c r="E228" i="1"/>
  <c r="D228" i="1"/>
  <c r="E227" i="1"/>
  <c r="D227" i="1"/>
  <c r="E226" i="1"/>
  <c r="D226" i="1"/>
  <c r="E225" i="1"/>
  <c r="D225" i="1"/>
  <c r="E224" i="1"/>
  <c r="D224" i="1"/>
  <c r="E219" i="1"/>
  <c r="D219" i="1"/>
  <c r="E218" i="1"/>
  <c r="D218" i="1"/>
  <c r="E217" i="1"/>
  <c r="D217" i="1"/>
  <c r="E216" i="1"/>
  <c r="D216" i="1"/>
  <c r="E215" i="1"/>
  <c r="D215" i="1"/>
  <c r="E214" i="1"/>
  <c r="D214" i="1"/>
  <c r="E213" i="1"/>
  <c r="D213" i="1"/>
  <c r="E212" i="1"/>
  <c r="D212" i="1"/>
  <c r="E210" i="1"/>
  <c r="D210" i="1"/>
  <c r="E209" i="1"/>
  <c r="D209" i="1"/>
  <c r="E208" i="1"/>
  <c r="D208" i="1"/>
  <c r="E207" i="1"/>
  <c r="D207" i="1"/>
  <c r="E206" i="1"/>
  <c r="D206" i="1"/>
  <c r="E205" i="1"/>
  <c r="D205" i="1"/>
  <c r="E204" i="1"/>
  <c r="D204" i="1"/>
  <c r="E203" i="1"/>
  <c r="D203" i="1"/>
  <c r="E198" i="1"/>
  <c r="D198" i="1"/>
  <c r="E197" i="1"/>
  <c r="D197" i="1"/>
  <c r="E196" i="1"/>
  <c r="D196" i="1"/>
  <c r="E195" i="1"/>
  <c r="D195" i="1"/>
  <c r="E194" i="1"/>
  <c r="D194" i="1"/>
  <c r="E193" i="1"/>
  <c r="D193" i="1"/>
  <c r="E192" i="1"/>
  <c r="D192" i="1"/>
  <c r="E191" i="1"/>
  <c r="D191" i="1"/>
  <c r="E189" i="1"/>
  <c r="D189" i="1"/>
  <c r="E188" i="1"/>
  <c r="D188" i="1"/>
  <c r="E187" i="1"/>
  <c r="D187" i="1"/>
  <c r="E186" i="1"/>
  <c r="D186" i="1"/>
  <c r="E185" i="1"/>
  <c r="D185" i="1"/>
  <c r="E184" i="1"/>
  <c r="D184" i="1"/>
  <c r="E183" i="1"/>
  <c r="D183" i="1"/>
  <c r="E182" i="1"/>
  <c r="D182" i="1"/>
  <c r="E176" i="1"/>
  <c r="D176" i="1"/>
  <c r="E175" i="1"/>
  <c r="D175" i="1"/>
  <c r="E174" i="1"/>
  <c r="D174" i="1"/>
  <c r="E173" i="1"/>
  <c r="D173" i="1"/>
  <c r="E172" i="1"/>
  <c r="D172" i="1"/>
  <c r="E171" i="1"/>
  <c r="D171" i="1"/>
  <c r="E170" i="1"/>
  <c r="D170" i="1"/>
  <c r="E169" i="1"/>
  <c r="D169" i="1"/>
  <c r="E167" i="1"/>
  <c r="D167" i="1"/>
  <c r="E166" i="1"/>
  <c r="D166" i="1"/>
  <c r="E165" i="1"/>
  <c r="D165" i="1"/>
  <c r="E164" i="1"/>
  <c r="D164" i="1"/>
  <c r="E163" i="1"/>
  <c r="D163" i="1"/>
  <c r="E162" i="1"/>
  <c r="D162" i="1"/>
  <c r="E161" i="1"/>
  <c r="D161" i="1"/>
  <c r="E160" i="1"/>
  <c r="D160" i="1"/>
  <c r="K156" i="1"/>
  <c r="C140" i="1" l="1"/>
  <c r="C139" i="1"/>
  <c r="C138" i="1"/>
  <c r="C137" i="1"/>
  <c r="F198" i="1"/>
  <c r="H198" i="1" s="1"/>
  <c r="F197" i="1"/>
  <c r="H197" i="1" s="1"/>
  <c r="F196" i="1"/>
  <c r="H196" i="1" s="1"/>
  <c r="F195" i="1"/>
  <c r="H195" i="1" s="1"/>
  <c r="F194" i="1"/>
  <c r="H194" i="1" s="1"/>
  <c r="F193" i="1"/>
  <c r="H193" i="1" s="1"/>
  <c r="F192" i="1"/>
  <c r="H192" i="1" s="1"/>
  <c r="A192" i="1"/>
  <c r="A193" i="1" s="1"/>
  <c r="A194" i="1" s="1"/>
  <c r="A195" i="1" s="1"/>
  <c r="A196" i="1" s="1"/>
  <c r="A197" i="1" s="1"/>
  <c r="A198" i="1" s="1"/>
  <c r="F191" i="1"/>
  <c r="H191" i="1" s="1"/>
  <c r="F189" i="1"/>
  <c r="H189" i="1" s="1"/>
  <c r="F188" i="1"/>
  <c r="H188" i="1" s="1"/>
  <c r="F187" i="1"/>
  <c r="H187" i="1" s="1"/>
  <c r="F186" i="1"/>
  <c r="H186" i="1" s="1"/>
  <c r="F185" i="1"/>
  <c r="H185" i="1" s="1"/>
  <c r="F184" i="1"/>
  <c r="H184" i="1" s="1"/>
  <c r="F183" i="1"/>
  <c r="H183" i="1" s="1"/>
  <c r="A183" i="1"/>
  <c r="A184" i="1" s="1"/>
  <c r="A185" i="1" s="1"/>
  <c r="A186" i="1" s="1"/>
  <c r="A187" i="1" s="1"/>
  <c r="A188" i="1" s="1"/>
  <c r="A189" i="1" s="1"/>
  <c r="F182" i="1"/>
  <c r="H182" i="1" s="1"/>
  <c r="J161" i="1"/>
  <c r="I161" i="1"/>
  <c r="F173" i="1"/>
  <c r="H173" i="1" s="1"/>
  <c r="F170" i="1"/>
  <c r="H170" i="1" s="1"/>
  <c r="F176" i="1"/>
  <c r="H176" i="1" s="1"/>
  <c r="F172" i="1"/>
  <c r="H172" i="1" s="1"/>
  <c r="J171" i="1" s="1"/>
  <c r="F169" i="1"/>
  <c r="H169" i="1" s="1"/>
  <c r="F165" i="1"/>
  <c r="H165" i="1" s="1"/>
  <c r="F166" i="1"/>
  <c r="H166" i="1" s="1"/>
  <c r="F167" i="1"/>
  <c r="H167" i="1" s="1"/>
  <c r="F175" i="1"/>
  <c r="H175" i="1" s="1"/>
  <c r="F174" i="1"/>
  <c r="H174" i="1" s="1"/>
  <c r="F171" i="1"/>
  <c r="H171" i="1" s="1"/>
  <c r="A170" i="1"/>
  <c r="A171" i="1" s="1"/>
  <c r="A172" i="1" s="1"/>
  <c r="A173" i="1" s="1"/>
  <c r="A174" i="1" s="1"/>
  <c r="A175" i="1" s="1"/>
  <c r="A176" i="1" s="1"/>
  <c r="F164" i="1"/>
  <c r="H164" i="1" s="1"/>
  <c r="F163" i="1"/>
  <c r="H163" i="1" s="1"/>
  <c r="F162" i="1"/>
  <c r="H162" i="1" s="1"/>
  <c r="F161" i="1"/>
  <c r="H161" i="1" s="1"/>
  <c r="A161" i="1"/>
  <c r="A162" i="1" s="1"/>
  <c r="A163" i="1" s="1"/>
  <c r="A164" i="1" s="1"/>
  <c r="A165" i="1" s="1"/>
  <c r="A166" i="1" s="1"/>
  <c r="A167" i="1" s="1"/>
  <c r="F160" i="1"/>
  <c r="H160" i="1" s="1"/>
  <c r="F240" i="1"/>
  <c r="H240" i="1" s="1"/>
  <c r="F239" i="1"/>
  <c r="H239" i="1" s="1"/>
  <c r="F238" i="1"/>
  <c r="H238" i="1" s="1"/>
  <c r="F237" i="1"/>
  <c r="H237" i="1" s="1"/>
  <c r="F236" i="1"/>
  <c r="H236" i="1" s="1"/>
  <c r="F235" i="1"/>
  <c r="H235" i="1" s="1"/>
  <c r="F234" i="1"/>
  <c r="H234" i="1" s="1"/>
  <c r="A234" i="1"/>
  <c r="A235" i="1" s="1"/>
  <c r="A236" i="1" s="1"/>
  <c r="A237" i="1" s="1"/>
  <c r="A238" i="1" s="1"/>
  <c r="A239" i="1" s="1"/>
  <c r="A240" i="1" s="1"/>
  <c r="F233" i="1"/>
  <c r="H233" i="1" s="1"/>
  <c r="F231" i="1"/>
  <c r="H231" i="1" s="1"/>
  <c r="F230" i="1"/>
  <c r="H230" i="1" s="1"/>
  <c r="F229" i="1"/>
  <c r="H229" i="1" s="1"/>
  <c r="F228" i="1"/>
  <c r="H228" i="1" s="1"/>
  <c r="F227" i="1"/>
  <c r="H227" i="1" s="1"/>
  <c r="F226" i="1"/>
  <c r="H226" i="1" s="1"/>
  <c r="F225" i="1"/>
  <c r="H225" i="1" s="1"/>
  <c r="A225" i="1"/>
  <c r="A226" i="1" s="1"/>
  <c r="A227" i="1" s="1"/>
  <c r="A228" i="1" s="1"/>
  <c r="A229" i="1" s="1"/>
  <c r="A230" i="1" s="1"/>
  <c r="A231" i="1" s="1"/>
  <c r="F224" i="1"/>
  <c r="H224" i="1" s="1"/>
  <c r="A213" i="1"/>
  <c r="A214" i="1" s="1"/>
  <c r="A215" i="1" s="1"/>
  <c r="A216" i="1" s="1"/>
  <c r="A217" i="1" s="1"/>
  <c r="A218" i="1" s="1"/>
  <c r="A219" i="1" s="1"/>
  <c r="A204" i="1"/>
  <c r="A205" i="1" s="1"/>
  <c r="A206" i="1" s="1"/>
  <c r="A207" i="1" s="1"/>
  <c r="A208" i="1" s="1"/>
  <c r="A209" i="1" s="1"/>
  <c r="A210" i="1" s="1"/>
  <c r="F219" i="1"/>
  <c r="H219" i="1" s="1"/>
  <c r="F218" i="1"/>
  <c r="H218" i="1" s="1"/>
  <c r="F217" i="1"/>
  <c r="H217" i="1" s="1"/>
  <c r="F216" i="1"/>
  <c r="H216" i="1" s="1"/>
  <c r="F215" i="1"/>
  <c r="H215" i="1" s="1"/>
  <c r="F214" i="1"/>
  <c r="H214" i="1" s="1"/>
  <c r="F213" i="1"/>
  <c r="H213" i="1" s="1"/>
  <c r="F212" i="1"/>
  <c r="H212" i="1" s="1"/>
  <c r="J204" i="1"/>
  <c r="I204" i="1"/>
  <c r="F207" i="1"/>
  <c r="H207" i="1" s="1"/>
  <c r="F205" i="1"/>
  <c r="H205" i="1" s="1"/>
  <c r="F210" i="1"/>
  <c r="H210" i="1" s="1"/>
  <c r="F209" i="1"/>
  <c r="H209" i="1" s="1"/>
  <c r="F208" i="1"/>
  <c r="H208" i="1" s="1"/>
  <c r="F206" i="1"/>
  <c r="H206" i="1" s="1"/>
  <c r="D62" i="1"/>
  <c r="I62" i="1"/>
  <c r="E43" i="1"/>
  <c r="G138" i="1" l="1"/>
  <c r="G137" i="1"/>
  <c r="G140" i="1"/>
  <c r="E137" i="1"/>
  <c r="E138" i="1"/>
  <c r="E140" i="1"/>
  <c r="C141" i="1"/>
  <c r="F204" i="1"/>
  <c r="H204" i="1" s="1"/>
  <c r="F203" i="1"/>
  <c r="C103" i="1"/>
  <c r="C89" i="1"/>
  <c r="H203" i="1" l="1"/>
  <c r="G139" i="1" s="1"/>
  <c r="G141" i="1" s="1"/>
  <c r="E139" i="1"/>
  <c r="E141" i="1" s="1"/>
  <c r="F148" i="1"/>
  <c r="H148" i="1" s="1"/>
  <c r="E31" i="1" l="1"/>
  <c r="E26" i="1"/>
  <c r="F242" i="1" l="1"/>
  <c r="H242" i="1" s="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I42" i="7"/>
  <c r="H42" i="7" s="1"/>
  <c r="L42" i="7"/>
  <c r="K42" i="7" s="1"/>
  <c r="D42" i="7"/>
  <c r="D44" i="7" s="1"/>
  <c r="E44" i="7" l="1"/>
  <c r="B272" i="1"/>
  <c r="F149" i="1" l="1"/>
  <c r="H149" i="1" s="1"/>
  <c r="F150" i="1"/>
  <c r="H150" i="1" s="1"/>
  <c r="F151" i="1"/>
  <c r="H151" i="1" s="1"/>
  <c r="G58" i="1" l="1"/>
  <c r="C58" i="1"/>
  <c r="C54" i="1"/>
  <c r="S33" i="1" l="1"/>
  <c r="F11" i="5" l="1"/>
  <c r="G11" i="5" s="1"/>
  <c r="F10" i="5"/>
  <c r="G10" i="5" s="1"/>
  <c r="F9" i="5"/>
  <c r="G9" i="5" s="1"/>
  <c r="F8" i="5"/>
  <c r="G8" i="5" s="1"/>
  <c r="F7" i="5"/>
  <c r="G7" i="5" s="1"/>
  <c r="F6" i="5"/>
  <c r="G6" i="5" s="1"/>
  <c r="F5" i="5"/>
  <c r="G5" i="5" s="1"/>
  <c r="G12" i="5" s="1"/>
  <c r="D296" i="1"/>
  <c r="B273" i="1"/>
  <c r="F269" i="1"/>
  <c r="H269" i="1" s="1"/>
  <c r="F268" i="1"/>
  <c r="H268" i="1" s="1"/>
  <c r="F267" i="1"/>
  <c r="H267" i="1" s="1"/>
  <c r="F266" i="1"/>
  <c r="H266" i="1" s="1"/>
  <c r="F265" i="1"/>
  <c r="H265" i="1" s="1"/>
  <c r="F263" i="1"/>
  <c r="H263" i="1" s="1"/>
  <c r="F262" i="1"/>
  <c r="H262" i="1" s="1"/>
  <c r="F261" i="1"/>
  <c r="H261" i="1" s="1"/>
  <c r="F260" i="1"/>
  <c r="H260" i="1" s="1"/>
  <c r="F259" i="1"/>
  <c r="H259" i="1" s="1"/>
  <c r="F257" i="1"/>
  <c r="H257" i="1" s="1"/>
  <c r="F256" i="1"/>
  <c r="H256" i="1" s="1"/>
  <c r="F255" i="1"/>
  <c r="H255" i="1" s="1"/>
  <c r="F254" i="1"/>
  <c r="H254" i="1" s="1"/>
  <c r="F253" i="1"/>
  <c r="H253" i="1" s="1"/>
  <c r="F251" i="1"/>
  <c r="H251" i="1" s="1"/>
  <c r="F250" i="1"/>
  <c r="H250" i="1" s="1"/>
  <c r="F249" i="1"/>
  <c r="H249" i="1" s="1"/>
  <c r="F248" i="1"/>
  <c r="H248" i="1" s="1"/>
  <c r="F247" i="1"/>
  <c r="H247" i="1" s="1"/>
  <c r="A247" i="1"/>
  <c r="A248" i="1" s="1"/>
  <c r="A249" i="1" s="1"/>
  <c r="A250" i="1" s="1"/>
  <c r="A251" i="1" s="1"/>
  <c r="F245" i="1"/>
  <c r="H245" i="1" s="1"/>
  <c r="F244" i="1"/>
  <c r="H244" i="1" s="1"/>
  <c r="F243" i="1"/>
  <c r="H243" i="1" s="1"/>
  <c r="A243" i="1"/>
  <c r="A244" i="1" s="1"/>
  <c r="A245" i="1" s="1"/>
  <c r="A149" i="1"/>
  <c r="A150" i="1" s="1"/>
  <c r="A151" i="1" s="1"/>
  <c r="G142" i="1"/>
  <c r="E142" i="1"/>
  <c r="C142" i="1"/>
  <c r="F129" i="1"/>
  <c r="C75" i="1"/>
  <c r="B76" i="1" s="1"/>
  <c r="G51" i="1"/>
  <c r="G52" i="1" s="1"/>
  <c r="C51" i="1"/>
  <c r="C52" i="1" s="1"/>
  <c r="E44" i="1"/>
  <c r="E45" i="1" s="1"/>
  <c r="E28" i="1"/>
  <c r="C16" i="1"/>
  <c r="I15" i="1"/>
  <c r="Z13" i="1"/>
  <c r="E8" i="1"/>
  <c r="E3" i="1"/>
  <c r="D69" i="1" s="1"/>
  <c r="H76" i="1"/>
  <c r="A253" i="1"/>
  <c r="A265" i="1"/>
  <c r="A259" i="1"/>
  <c r="J75" i="1" l="1"/>
  <c r="J77" i="1" s="1"/>
  <c r="J78" i="1"/>
  <c r="J79" i="1"/>
  <c r="J80" i="1"/>
  <c r="D83" i="1"/>
  <c r="D85" i="1"/>
  <c r="D84" i="1"/>
  <c r="D88" i="1"/>
  <c r="D82" i="1"/>
  <c r="D87" i="1"/>
  <c r="D81" i="1"/>
  <c r="D86" i="1"/>
  <c r="J81" i="1"/>
  <c r="A254" i="1"/>
  <c r="A266" i="1"/>
  <c r="A260" i="1"/>
  <c r="D79" i="1" l="1"/>
  <c r="J85" i="1"/>
  <c r="J83" i="1"/>
  <c r="J84" i="1"/>
  <c r="J82" i="1"/>
  <c r="J87" i="1" s="1"/>
  <c r="J88" i="1" s="1"/>
  <c r="J86" i="1"/>
  <c r="A267" i="1"/>
  <c r="A255" i="1"/>
  <c r="A261" i="1"/>
  <c r="B90" i="1" l="1"/>
  <c r="J76" i="1"/>
  <c r="E79" i="1"/>
  <c r="D80" i="1"/>
  <c r="G79" i="1"/>
  <c r="A262" i="1"/>
  <c r="A268" i="1"/>
  <c r="H90" i="1"/>
  <c r="A256" i="1"/>
  <c r="I76" i="1" l="1"/>
  <c r="I77" i="1" s="1"/>
  <c r="I75" i="1" s="1"/>
  <c r="C77" i="1" s="1"/>
  <c r="J92" i="1"/>
  <c r="D102" i="1"/>
  <c r="D96" i="1"/>
  <c r="J94" i="1"/>
  <c r="C93" i="1" s="1"/>
  <c r="D100" i="1"/>
  <c r="J89" i="1"/>
  <c r="J91" i="1" s="1"/>
  <c r="D97" i="1"/>
  <c r="D101" i="1"/>
  <c r="D95" i="1"/>
  <c r="D99" i="1"/>
  <c r="J93" i="1"/>
  <c r="D98" i="1"/>
  <c r="J95" i="1"/>
  <c r="J96" i="1" s="1"/>
  <c r="J101" i="1" s="1"/>
  <c r="J102" i="1" s="1"/>
  <c r="J100" i="1"/>
  <c r="J99" i="1"/>
  <c r="J98" i="1"/>
  <c r="J97" i="1"/>
  <c r="A257" i="1"/>
  <c r="A263" i="1"/>
  <c r="A269" i="1"/>
  <c r="B104" i="1" l="1"/>
  <c r="E93" i="1"/>
  <c r="D94" i="1"/>
  <c r="G93" i="1"/>
  <c r="D73" i="1" s="1"/>
  <c r="D93" i="1"/>
  <c r="H104" i="1"/>
  <c r="F74" i="1" l="1"/>
  <c r="D74" i="1"/>
  <c r="J106" i="1"/>
  <c r="D115" i="1"/>
  <c r="J108" i="1"/>
  <c r="C107" i="1" s="1"/>
  <c r="D107" i="1" s="1"/>
  <c r="D114" i="1"/>
  <c r="D113" i="1"/>
  <c r="J107" i="1"/>
  <c r="J103" i="1"/>
  <c r="J105" i="1" s="1"/>
  <c r="D111" i="1"/>
  <c r="D116" i="1"/>
  <c r="D110" i="1"/>
  <c r="D109" i="1"/>
  <c r="D112" i="1"/>
  <c r="I90" i="1"/>
  <c r="I91" i="1" s="1"/>
  <c r="J113" i="1"/>
  <c r="J111" i="1"/>
  <c r="J109" i="1"/>
  <c r="J110" i="1" s="1"/>
  <c r="J115" i="1" s="1"/>
  <c r="J116" i="1" s="1"/>
  <c r="C108" i="1" s="1"/>
  <c r="J114" i="1"/>
  <c r="J112" i="1"/>
  <c r="J90" i="1"/>
  <c r="I89" i="1" l="1"/>
  <c r="C91" i="1" s="1"/>
  <c r="E107" i="1"/>
  <c r="D108" i="1"/>
  <c r="I104" i="1" s="1"/>
  <c r="I105" i="1" s="1"/>
  <c r="J104" i="1"/>
  <c r="G107" i="1"/>
  <c r="I103" i="1" l="1"/>
  <c r="C105" i="1" s="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4"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<sst xmlns="http://schemas.openxmlformats.org/spreadsheetml/2006/main" count="757" uniqueCount="408">
  <si>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</si>
  <si>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</si>
  <si>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</si>
  <si>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</si>
  <si>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</si>
  <si>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</si>
  <si>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</si>
  <si>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</si>
  <si>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</si>
  <si>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</si>
  <si>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</si>
  <si>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</si>
  <si>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</si>
  <si>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</si>
  <si>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</si>
  <si>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</si>
  <si>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</si>
  <si>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</si>
  <si>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</si>
  <si>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</si>
  <si>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</si>
  <si>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</si>
  <si>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</si>
  <si>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</si>
  <si>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</si>
  <si>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</si>
  <si>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</si>
  <si>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</si>
  <si>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</si>
  <si>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</si>
  <si>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</si>
  <si>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</si>
  <si>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</si>
  <si>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</si>
  <si>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</si>
  <si>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</si>
  <si>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</si>
  <si>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</si>
  <si>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</si>
  <si>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</si>
  <si>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</si>
  <si>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</si>
  <si>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</si>
  <si>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</si>
  <si>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</si>
  <si>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</si>
  <si>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</si>
  <si>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</si>
  <si>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</si>
  <si>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</si>
  <si>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</si>
  <si>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</si>
  <si>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</si>
  <si>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</si>
  <si>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</si>
  <si>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</si>
  <si>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</si>
  <si>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</si>
  <si>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</si>
  <si>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</si>
  <si>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</si>
  <si>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</si>
  <si>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</si>
  <si>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</si>
  <si>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</si>
  <si>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</si>
  <si>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</si>
  <si>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</si>
  <si>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</si>
  <si>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</si>
  <si>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</si>
  <si>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</si>
  <si>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</si>
  <si>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</si>
  <si>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</si>
  <si>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</si>
  <si>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</si>
  <si>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</si>
  <si>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</si>
  <si>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</si>
  <si>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</si>
  <si>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</si>
  <si>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</si>
  <si>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</si>
  <si>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</si>
  <si>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</si>
  <si>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</si>
  <si>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</si>
  <si>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</si>
  <si>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</si>
  <si>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</si>
  <si>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</si>
  <si>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</si>
  <si>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</si>
  <si>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</si>
  <si>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</si>
  <si>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</si>
  <si>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</si>
  <si>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</si>
  <si>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</si>
  <si>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</si>
  <si>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</si>
  <si>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</si>
  <si>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</si>
  <si>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</si>
  <si>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</si>
  <si>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</si>
  <si>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</si>
  <si>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</si>
  <si>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</si>
  <si>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</si>
  <si>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</si>
  <si>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</si>
  <si>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</si>
  <si>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</si>
  <si>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</si>
  <si>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</si>
  <si>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</si>
  <si>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</si>
  <si>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</si>
  <si>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</si>
  <si>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</si>
  <si>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</si>
  <si>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</si>
  <si>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</si>
  <si>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</si>
  <si>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</si>
  <si>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</si>
  <si>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</si>
  <si>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</si>
  <si>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</si>
  <si>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</si>
  <si>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</si>
  <si>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</si>
  <si>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</si>
  <si>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</si>
  <si>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</si>
  <si>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</si>
  <si>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</si>
  <si>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</si>
  <si>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</si>
  <si>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</si>
  <si>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</si>
  <si>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</si>
  <si>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</si>
  <si>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</si>
  <si>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</si>
  <si>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</si>
  <si>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</si>
  <si>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</si>
  <si>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</si>
  <si>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</si>
  <si>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</si>
  <si>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</si>
  <si>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</si>
  <si>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</si>
  <si>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</si>
  <si>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</si>
  <si>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</si>
  <si>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</si>
  <si>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</si>
  <si>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</si>
  <si>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</si>
  <si>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</si>
  <si>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</si>
  <si>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</si>
  <si>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</si>
  <si>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</si>
  <si>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</si>
  <si>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</si>
  <si>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</si>
  <si>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</si>
  <si>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</si>
  <si>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</si>
  <si>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</si>
  <si>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</si>
  <si>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</si>
  <si>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</si>
  <si>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</si>
  <si>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</si>
  <si>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</si>
  <si>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</si>
  <si>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</si>
  <si>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</si>
  <si>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</si>
  <si>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</si>
  <si>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</si>
  <si>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</si>
  <si>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</si>
  <si>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</si>
  <si>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</si>
  <si>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</si>
  <si>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</si>
  <si>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</si>
  <si>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</si>
  <si>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</si>
  <si>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</si>
  <si>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</si>
  <si>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</si>
  <si>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</si>
  <si>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</si>
  <si>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</si>
  <si>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</si>
  <si>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</si>
  <si>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</si>
  <si>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</si>
  <si>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</si>
  <si>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</si>
  <si>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</si>
  <si>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</si>
  <si>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</si>
  <si>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</si>
  <si>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</si>
  <si>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</si>
  <si>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</si>
  <si>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</si>
  <si>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</si>
  <si>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</si>
  <si>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</si>
  <si>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</si>
  <si>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</si>
  <si>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</si>
  <si>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</si>
  <si>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</si>
  <si>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</si>
  <si>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</si>
  <si>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</si>
  <si>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</si>
  <si>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</si>
  <si>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</si>
  <si>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</si>
  <si>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</si>
  <si>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</si>
  <si>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</si>
  <si>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</si>
  <si>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</si>
  <si>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</si>
  <si>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</si>
  <si>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</si>
  <si>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</si>
  <si>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</si>
  <si>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</si>
  <si>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</si>
  <si>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</si>
  <si>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</si>
  <si>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</si>
  <si>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</si>
  <si>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</si>
  <si>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</si>
  <si>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</si>
  <si>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</si>
  <si>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</si>
  <si>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</si>
  <si>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</si>
  <si>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</si>
  <si>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</si>
  <si>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</si>
  <si>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</si>
  <si>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</si>
  <si>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</si>
  <si>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</si>
  <si>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</si>
  <si>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</si>
  <si>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</si>
  <si>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</si>
  <si>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</si>
  <si>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</si>
  <si>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</si>
  <si>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</si>
  <si>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</si>
  <si>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</si>
  <si>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</si>
  <si>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</si>
  <si>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</si>
  <si>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</si>
  <si>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</si>
  <si>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</si>
  <si>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</si>
  <si>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</si>
  <si>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</si>
  <si>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</si>
  <si>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</si>
  <si>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</si>
  <si>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</si>
  <si>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</si>
  <si>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</si>
  <si>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</si>
  <si>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</si>
  <si>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</si>
  <si>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</si>
  <si>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</si>
  <si>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</si>
  <si>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</si>
  <si>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</si>
  <si>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</si>
  <si>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</si>
  <si>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</si>
  <si>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</si>
  <si>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</si>
  <si>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</si>
  <si>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</si>
  <si>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</si>
  <si>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</si>
  <si>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</si>
  <si>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</si>
  <si>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</si>
  <si>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</si>
  <si>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</si>
  <si>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</si>
  <si>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</si>
  <si>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</si>
  <si>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</si>
  <si>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</si>
  <si>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</si>
  <si>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</si>
  <si>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</si>
  <si>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</si>
  <si>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</si>
  <si>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</si>
  <si>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</si>
  <si>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</si>
  <si>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</si>
  <si>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</si>
  <si>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</si>
  <si>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</si>
  <si>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</si>
  <si>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</si>
  <si>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</si>
  <si>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</si>
  <si>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</si>
  <si>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</si>
  <si>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</si>
  <si>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</si>
  <si>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</si>
  <si>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</si>
  <si>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</si>
  <si>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</si>
  <si>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</si>
  <si>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</si>
  <si>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</si>
  <si>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</si>
  <si>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</si>
  <si>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</si>
  <si>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</si>
  <si>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</si>
  <si>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</si>
  <si>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</si>
  <si>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</si>
  <si>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</si>
  <si>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</si>
  <si>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 xml:space="preserve">Regency Nirman Ltd
</t>
  </si>
  <si>
    <t>Regency Anantam Nxt Phase I</t>
  </si>
  <si>
    <t>Building No. 1, 2, 7 &amp; 8</t>
  </si>
  <si>
    <t>P51700055848</t>
  </si>
  <si>
    <t>19.1991311,73.1217787</t>
  </si>
  <si>
    <t>https://maps.app.goo.gl/pjpTReZWBG3Ho7iz6</t>
  </si>
  <si>
    <t>Survey No</t>
  </si>
  <si>
    <t>Davdi</t>
  </si>
  <si>
    <t>Regency Anantam Rd</t>
  </si>
  <si>
    <t>Aster - Tower Regency Anantam</t>
  </si>
  <si>
    <t xml:space="preserve">24 M W Road </t>
  </si>
  <si>
    <t>Other Plot</t>
  </si>
  <si>
    <t>Open Plot</t>
  </si>
  <si>
    <t>04 Buildings</t>
  </si>
  <si>
    <t>Kalyan Dombivli Municipal Corporation (KDMC)</t>
  </si>
  <si>
    <t>KDMC/TPD/BP/27Village/2024-25/01</t>
  </si>
  <si>
    <t>KDMC/TPD/4894</t>
  </si>
  <si>
    <t>Survey No. 64, 65/3, 65/4, 65/5, 66/1, 66/2, 67/4B, 102/5A, 102/5B, 102/7, 102/9, 102/10, 102/4</t>
  </si>
  <si>
    <t xml:space="preserve">Approved no of Floors
</t>
  </si>
  <si>
    <t>As per RERA - 31/12/2027</t>
  </si>
  <si>
    <t>Cafeteria With Library, Meditation Room, 3D Video Parlor, Mini Theatre, Salon, Jogging Track, Buiseness Center, Multipurpose Hall, Spa Room, Swimming Pool, Senior Citizen Zone, etc.</t>
  </si>
  <si>
    <t>Building No. 7</t>
  </si>
  <si>
    <t>Building No. 8</t>
  </si>
  <si>
    <t>Ground Floor, 1st &amp; 2nd Podium For Parking</t>
  </si>
  <si>
    <t>1st, 2nd, 4th, 5th, 7th, 9th to 12th, 14th to 17th, 19th to 22nd &amp; 24th Floor</t>
  </si>
  <si>
    <t>2BHK</t>
  </si>
  <si>
    <t>3rd, 8th, 13th, 18th &amp; 23rd Floor (Part Refuge Area)</t>
  </si>
  <si>
    <t>Building No. 1</t>
  </si>
  <si>
    <t>Ground Floor For Meter Room &amp; Parking</t>
  </si>
  <si>
    <t>1st &amp; 2nd Podium For Parking</t>
  </si>
  <si>
    <t>E Deck Floor For Society Office &amp; Parking</t>
  </si>
  <si>
    <t>1st, 2nd, 4th, 5th, 7th, 9th to 12th, 14th to 17th, 19th to 22nd, 24th to 26th &amp; 28th Floor</t>
  </si>
  <si>
    <t>1BHK</t>
  </si>
  <si>
    <t>3rd, 8th, 13th, 18th, 23rd &amp; 27th Floor (Part Refuge Area)</t>
  </si>
  <si>
    <t>Building No. 2</t>
  </si>
  <si>
    <t xml:space="preserve">Details of Residential in Building   </t>
  </si>
  <si>
    <t>Flats - 800</t>
  </si>
  <si>
    <t>We considered Gross carpet area = Net carpet + Balcony</t>
  </si>
  <si>
    <t>Total Flat = 832</t>
  </si>
  <si>
    <t>Dombivali East</t>
  </si>
  <si>
    <t>5.7 KM from Dombivali Railway Station</t>
  </si>
  <si>
    <t>64, 65/3,4,5, 66/1, 67/4B, 102/5A,5B,7,9,10</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</si>
  <si>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</si>
  <si>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</si>
  <si>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</si>
  <si>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In Approved plans 6th Floor Plan is missing  in Building No. 1, 2, 7 &amp; 8. 
Please Provide approved floor plan for 6th floor.</t>
  </si>
  <si>
    <t xml:space="preserve">Building No. 1 &amp; 2 = St + 2P + E Deck + 1st to 28th Floor
Building No. 7 &amp; 8 = St + 2P + E Deck + 1st to 24th Floor
</t>
  </si>
  <si>
    <t>Building No. 1 &amp; 2 = St + 2P + E Deck + 1st to 28th Floor</t>
  </si>
  <si>
    <t>Building No. 7 &amp; 8 = St + 2P + E Deck + 1st to 24th Floor</t>
  </si>
  <si>
    <t>Building No. 1 &amp; 2 = St + 2P + E Deck + 1st to 28th Floors
Building No. 7 &amp; 8 = St + 2P + E Deck + 1st to 24th Floor</t>
  </si>
  <si>
    <t xml:space="preserve">Please check for Fire Noc &amp; Environmental Clearance .
</t>
  </si>
  <si>
    <t>Rate 6800 Smith Cost sheet</t>
  </si>
  <si>
    <t xml:space="preserve">Recommended Rates/Other Charges of the Property have been revised on 18/11/2024.
</t>
  </si>
  <si>
    <t>Bldg No.1 &amp; 2 = Work Not yet Started.
Bldg No.7 &amp; 8 = Construction work is stop. Work is same as last vsit dtd. 04/12/2024.</t>
  </si>
  <si>
    <t>Miss. Geeta : 9107171050</t>
  </si>
  <si>
    <t>Ms. Aarti 9107171020</t>
  </si>
  <si>
    <t>Shruti Tathare</t>
  </si>
  <si>
    <t>Mr. Gangaram Lambore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</si>
</sst>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1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14" fillId="0" borderId="1" xfId="1" applyFont="1" applyBorder="1" applyAlignment="1" applyProtection="1">
      <alignment horizontal="center" vertical="top" wrapText="1"/>
      <protection locked="0"/>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1" fillId="0" borderId="1" xfId="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23" fillId="2" borderId="15" xfId="0" applyFont="1" applyFill="1" applyBorder="1"/>
    <xf numFmtId="1" fontId="5" fillId="0" borderId="1" xfId="1" applyNumberFormat="1" applyFont="1" applyBorder="1" applyAlignment="1" applyProtection="1">
      <alignment horizontal="center" vertical="center" wrapText="1"/>
      <protection locked="0"/>
    </xf>
    <xf numFmtId="0" fontId="24" fillId="0" borderId="9" xfId="0" applyFont="1" applyBorder="1"/>
    <xf numFmtId="1" fontId="12" fillId="0" borderId="1" xfId="1" applyNumberFormat="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 fontId="5" fillId="0" borderId="1"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protection locked="0"/>
    </xf>
    <xf numFmtId="1" fontId="11"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top"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1" fontId="29" fillId="0" borderId="1" xfId="1" applyNumberFormat="1"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1" fontId="5" fillId="0" borderId="1" xfId="0" applyNumberFormat="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center"/>
      <protection locked="0"/>
    </xf>
    <xf numFmtId="0" fontId="7" fillId="0" borderId="16" xfId="1" applyFont="1" applyBorder="1" applyAlignment="1" applyProtection="1">
      <alignment horizontal="center" vertical="top"/>
      <protection locked="0"/>
    </xf>
    <xf numFmtId="0" fontId="5" fillId="0" borderId="1" xfId="1" applyFont="1" applyBorder="1" applyAlignment="1" applyProtection="1">
      <alignment horizontal="left" vertical="top"/>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0" fontId="6" fillId="0" borderId="0" xfId="1" applyFont="1" applyAlignment="1">
      <alignment horizontal="center" vertical="center"/>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12"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5" fillId="0" borderId="16"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7" fillId="0" borderId="1" xfId="1" applyFont="1" applyBorder="1" applyAlignment="1" applyProtection="1">
      <alignment vertical="top"/>
      <protection locked="0"/>
    </xf>
    <xf numFmtId="0" fontId="5" fillId="0" borderId="1"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0" fontId="9" fillId="0" borderId="1" xfId="0"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0" fontId="6" fillId="0" borderId="25"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9" xfId="1" applyFont="1" applyBorder="1" applyAlignment="1" applyProtection="1">
      <alignment horizontal="left" vertical="top"/>
      <protection locked="0"/>
    </xf>
    <xf numFmtId="0" fontId="14" fillId="0" borderId="2" xfId="1" applyFont="1" applyBorder="1" applyAlignment="1" applyProtection="1">
      <alignment horizontal="left" vertical="top"/>
      <protection locked="0"/>
    </xf>
    <xf numFmtId="0" fontId="14" fillId="0" borderId="20" xfId="1" applyFont="1" applyBorder="1" applyAlignment="1" applyProtection="1">
      <alignment horizontal="left" vertical="top"/>
      <protection locked="0"/>
    </xf>
    <xf numFmtId="1" fontId="7" fillId="0" borderId="1" xfId="0" applyNumberFormat="1" applyFont="1" applyBorder="1" applyAlignment="1" applyProtection="1">
      <alignment horizontal="left" vertical="top"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673880</xdr:colOff>
      <xdr:row>339</xdr:row>
      <xdr:rowOff>23366</xdr:rowOff>
    </xdr:from>
    <xdr:to>
      <xdr:col>5</xdr:col>
      <xdr:colOff>679565</xdr:colOff>
      <xdr:row>355</xdr:row>
      <xdr:rowOff>62966</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1435880" y="59640341"/>
          <a:ext cx="3348960" cy="3240000"/>
        </a:xfrm>
        <a:prstGeom prst="rect">
          <a:avLst/>
        </a:prstGeom>
        <a:ln>
          <a:solidFill>
            <a:schemeClr val="tx1"/>
          </a:solidFill>
        </a:ln>
      </xdr:spPr>
    </xdr:pic>
    <xdr:clientData/>
  </xdr:twoCellAnchor>
  <xdr:twoCellAnchor>
    <xdr:from>
      <xdr:col>1</xdr:col>
      <xdr:colOff>53482</xdr:colOff>
      <xdr:row>356</xdr:row>
      <xdr:rowOff>29236</xdr:rowOff>
    </xdr:from>
    <xdr:to>
      <xdr:col>6</xdr:col>
      <xdr:colOff>677507</xdr:colOff>
      <xdr:row>377</xdr:row>
      <xdr:rowOff>148711</xdr:rowOff>
    </xdr:to>
    <xdr:grpSp>
      <xdr:nvGrpSpPr>
        <xdr:cNvPr id="19" name="Group 18">
          <a:extLst>
            <a:ext uri="{FF2B5EF4-FFF2-40B4-BE49-F238E27FC236}">
              <a16:creationId xmlns:a16="http://schemas.microsoft.com/office/drawing/2014/main" xmlns="" id="{00000000-0008-0000-0000-000013000000}"/>
            </a:ext>
          </a:extLst>
        </xdr:cNvPr>
        <xdr:cNvGrpSpPr/>
      </xdr:nvGrpSpPr>
      <xdr:grpSpPr>
        <a:xfrm>
          <a:off x="815482" y="60093886"/>
          <a:ext cx="4710250" cy="4320000"/>
          <a:chOff x="815482" y="62520563"/>
          <a:chExt cx="4712448" cy="4273840"/>
        </a:xfrm>
      </xdr:grpSpPr>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15482" y="62520563"/>
            <a:ext cx="4712448" cy="4273840"/>
          </a:xfrm>
          <a:prstGeom prst="rect">
            <a:avLst/>
          </a:prstGeom>
          <a:ln>
            <a:solidFill>
              <a:schemeClr val="tx1"/>
            </a:solidFill>
          </a:ln>
        </xdr:spPr>
      </xdr:pic>
      <xdr:sp macro="" textlink="">
        <xdr:nvSpPr>
          <xdr:cNvPr id="8" name="Rectangle 7">
            <a:extLst>
              <a:ext uri="{FF2B5EF4-FFF2-40B4-BE49-F238E27FC236}">
                <a16:creationId xmlns:a16="http://schemas.microsoft.com/office/drawing/2014/main" xmlns="" id="{00000000-0008-0000-0000-000008000000}"/>
              </a:ext>
            </a:extLst>
          </xdr:cNvPr>
          <xdr:cNvSpPr/>
        </xdr:nvSpPr>
        <xdr:spPr>
          <a:xfrm>
            <a:off x="3844345" y="65500403"/>
            <a:ext cx="593481" cy="34070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9" name="Rectangle 8">
            <a:extLst>
              <a:ext uri="{FF2B5EF4-FFF2-40B4-BE49-F238E27FC236}">
                <a16:creationId xmlns:a16="http://schemas.microsoft.com/office/drawing/2014/main" xmlns="" id="{00000000-0008-0000-0000-000009000000}"/>
              </a:ext>
            </a:extLst>
          </xdr:cNvPr>
          <xdr:cNvSpPr/>
        </xdr:nvSpPr>
        <xdr:spPr>
          <a:xfrm rot="20866932">
            <a:off x="3219990" y="65560172"/>
            <a:ext cx="625642" cy="33584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 name="Rectangle 9">
            <a:extLst>
              <a:ext uri="{FF2B5EF4-FFF2-40B4-BE49-F238E27FC236}">
                <a16:creationId xmlns:a16="http://schemas.microsoft.com/office/drawing/2014/main" xmlns="" id="{00000000-0008-0000-0000-00000A000000}"/>
              </a:ext>
            </a:extLst>
          </xdr:cNvPr>
          <xdr:cNvSpPr/>
        </xdr:nvSpPr>
        <xdr:spPr>
          <a:xfrm>
            <a:off x="2608385" y="66103500"/>
            <a:ext cx="429430" cy="32697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Rectangle 10">
            <a:extLst>
              <a:ext uri="{FF2B5EF4-FFF2-40B4-BE49-F238E27FC236}">
                <a16:creationId xmlns:a16="http://schemas.microsoft.com/office/drawing/2014/main" xmlns="" id="{00000000-0008-0000-0000-00000B000000}"/>
              </a:ext>
            </a:extLst>
          </xdr:cNvPr>
          <xdr:cNvSpPr/>
        </xdr:nvSpPr>
        <xdr:spPr>
          <a:xfrm>
            <a:off x="3042461" y="66105466"/>
            <a:ext cx="415848" cy="326977"/>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2443404" y="66381417"/>
            <a:ext cx="683172" cy="250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1">
                <a:solidFill>
                  <a:srgbClr val="FF0000"/>
                </a:solidFill>
              </a:rPr>
              <a:t>Bldg No.1</a:t>
            </a:r>
          </a:p>
        </xdr:txBody>
      </xdr:sp>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rot="20621589">
            <a:off x="3106868" y="65372576"/>
            <a:ext cx="685950" cy="250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1">
                <a:solidFill>
                  <a:srgbClr val="FF0000"/>
                </a:solidFill>
              </a:rPr>
              <a:t>Bldg No.8</a:t>
            </a:r>
          </a:p>
        </xdr:txBody>
      </xdr:sp>
      <xdr:sp macro="" textlink="">
        <xdr:nvSpPr>
          <xdr:cNvPr id="17" name="TextBox 16">
            <a:extLst>
              <a:ext uri="{FF2B5EF4-FFF2-40B4-BE49-F238E27FC236}">
                <a16:creationId xmlns:a16="http://schemas.microsoft.com/office/drawing/2014/main" xmlns="" id="{00000000-0008-0000-0000-000011000000}"/>
              </a:ext>
            </a:extLst>
          </xdr:cNvPr>
          <xdr:cNvSpPr txBox="1"/>
        </xdr:nvSpPr>
        <xdr:spPr>
          <a:xfrm>
            <a:off x="3924199" y="65274042"/>
            <a:ext cx="685447" cy="250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1">
                <a:solidFill>
                  <a:srgbClr val="FF0000"/>
                </a:solidFill>
              </a:rPr>
              <a:t>Bldg No.7</a:t>
            </a:r>
          </a:p>
        </xdr:txBody>
      </xdr:sp>
      <xdr:sp macro="" textlink="">
        <xdr:nvSpPr>
          <xdr:cNvPr id="18" name="TextBox 17">
            <a:extLst>
              <a:ext uri="{FF2B5EF4-FFF2-40B4-BE49-F238E27FC236}">
                <a16:creationId xmlns:a16="http://schemas.microsoft.com/office/drawing/2014/main" xmlns="" id="{00000000-0008-0000-0000-000012000000}"/>
              </a:ext>
            </a:extLst>
          </xdr:cNvPr>
          <xdr:cNvSpPr txBox="1"/>
        </xdr:nvSpPr>
        <xdr:spPr>
          <a:xfrm>
            <a:off x="3022786" y="66376162"/>
            <a:ext cx="685950" cy="250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1">
                <a:solidFill>
                  <a:srgbClr val="FF0000"/>
                </a:solidFill>
              </a:rPr>
              <a:t>Bldg No.2</a:t>
            </a:r>
          </a:p>
        </xdr:txBody>
      </xdr:sp>
    </xdr:grpSp>
    <xdr:clientData/>
  </xdr:twoCellAnchor>
  <xdr:twoCellAnchor>
    <xdr:from>
      <xdr:col>0</xdr:col>
      <xdr:colOff>459440</xdr:colOff>
      <xdr:row>402</xdr:row>
      <xdr:rowOff>134473</xdr:rowOff>
    </xdr:from>
    <xdr:to>
      <xdr:col>7</xdr:col>
      <xdr:colOff>320595</xdr:colOff>
      <xdr:row>423</xdr:row>
      <xdr:rowOff>69851</xdr:rowOff>
    </xdr:to>
    <xdr:grpSp>
      <xdr:nvGrpSpPr>
        <xdr:cNvPr id="25" name="Group 24">
          <a:extLst>
            <a:ext uri="{FF2B5EF4-FFF2-40B4-BE49-F238E27FC236}">
              <a16:creationId xmlns:a16="http://schemas.microsoft.com/office/drawing/2014/main" xmlns="" id="{00000000-0008-0000-0000-000019000000}"/>
            </a:ext>
          </a:extLst>
        </xdr:cNvPr>
        <xdr:cNvGrpSpPr/>
      </xdr:nvGrpSpPr>
      <xdr:grpSpPr>
        <a:xfrm>
          <a:off x="459440" y="69400273"/>
          <a:ext cx="5442805" cy="4135903"/>
          <a:chOff x="0" y="0"/>
          <a:chExt cx="5441684" cy="4320000"/>
        </a:xfrm>
      </xdr:grpSpPr>
      <xdr:pic>
        <xdr:nvPicPr>
          <xdr:cNvPr id="26" name="Pictur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3"/>
          <a:stretch>
            <a:fillRect/>
          </a:stretch>
        </xdr:blipFill>
        <xdr:spPr>
          <a:xfrm>
            <a:off x="0" y="0"/>
            <a:ext cx="5441684" cy="4320000"/>
          </a:xfrm>
          <a:prstGeom prst="rect">
            <a:avLst/>
          </a:prstGeom>
          <a:ln>
            <a:solidFill>
              <a:schemeClr val="tx1"/>
            </a:solidFill>
          </a:ln>
        </xdr:spPr>
      </xdr:pic>
      <xdr:sp macro="" textlink="">
        <xdr:nvSpPr>
          <xdr:cNvPr id="27" name="Freeform 26">
            <a:extLst>
              <a:ext uri="{FF2B5EF4-FFF2-40B4-BE49-F238E27FC236}">
                <a16:creationId xmlns:a16="http://schemas.microsoft.com/office/drawing/2014/main" xmlns="" id="{00000000-0008-0000-0000-00001B000000}"/>
              </a:ext>
            </a:extLst>
          </xdr:cNvPr>
          <xdr:cNvSpPr/>
        </xdr:nvSpPr>
        <xdr:spPr>
          <a:xfrm rot="21373349">
            <a:off x="604602" y="1016453"/>
            <a:ext cx="3038318" cy="2311640"/>
          </a:xfrm>
          <a:custGeom>
            <a:avLst/>
            <a:gdLst>
              <a:gd name="connsiteX0" fmla="*/ 9525 w 5334000"/>
              <a:gd name="connsiteY0" fmla="*/ 4524375 h 4895850"/>
              <a:gd name="connsiteX1" fmla="*/ 1066800 w 5334000"/>
              <a:gd name="connsiteY1" fmla="*/ 4095750 h 4895850"/>
              <a:gd name="connsiteX2" fmla="*/ 1095375 w 5334000"/>
              <a:gd name="connsiteY2" fmla="*/ 3981450 h 4895850"/>
              <a:gd name="connsiteX3" fmla="*/ 1476375 w 5334000"/>
              <a:gd name="connsiteY3" fmla="*/ 3876675 h 4895850"/>
              <a:gd name="connsiteX4" fmla="*/ 1428750 w 5334000"/>
              <a:gd name="connsiteY4" fmla="*/ 3181350 h 4895850"/>
              <a:gd name="connsiteX5" fmla="*/ 1076325 w 5334000"/>
              <a:gd name="connsiteY5" fmla="*/ 3209925 h 4895850"/>
              <a:gd name="connsiteX6" fmla="*/ 1076325 w 5334000"/>
              <a:gd name="connsiteY6" fmla="*/ 3038475 h 4895850"/>
              <a:gd name="connsiteX7" fmla="*/ 895350 w 5334000"/>
              <a:gd name="connsiteY7" fmla="*/ 3009900 h 4895850"/>
              <a:gd name="connsiteX8" fmla="*/ 847725 w 5334000"/>
              <a:gd name="connsiteY8" fmla="*/ 2819400 h 4895850"/>
              <a:gd name="connsiteX9" fmla="*/ 1543050 w 5334000"/>
              <a:gd name="connsiteY9" fmla="*/ 2324100 h 4895850"/>
              <a:gd name="connsiteX10" fmla="*/ 1457325 w 5334000"/>
              <a:gd name="connsiteY10" fmla="*/ 2000250 h 4895850"/>
              <a:gd name="connsiteX11" fmla="*/ 2181225 w 5334000"/>
              <a:gd name="connsiteY11" fmla="*/ 1171575 h 4895850"/>
              <a:gd name="connsiteX12" fmla="*/ 1924050 w 5334000"/>
              <a:gd name="connsiteY12" fmla="*/ 857250 h 4895850"/>
              <a:gd name="connsiteX13" fmla="*/ 3486150 w 5334000"/>
              <a:gd name="connsiteY13" fmla="*/ 0 h 4895850"/>
              <a:gd name="connsiteX14" fmla="*/ 3743325 w 5334000"/>
              <a:gd name="connsiteY14" fmla="*/ 1581150 h 4895850"/>
              <a:gd name="connsiteX15" fmla="*/ 4305300 w 5334000"/>
              <a:gd name="connsiteY15" fmla="*/ 1314450 h 4895850"/>
              <a:gd name="connsiteX16" fmla="*/ 4619625 w 5334000"/>
              <a:gd name="connsiteY16" fmla="*/ 2228850 h 4895850"/>
              <a:gd name="connsiteX17" fmla="*/ 2762250 w 5334000"/>
              <a:gd name="connsiteY17" fmla="*/ 3543300 h 4895850"/>
              <a:gd name="connsiteX18" fmla="*/ 2752725 w 5334000"/>
              <a:gd name="connsiteY18" fmla="*/ 3371850 h 4895850"/>
              <a:gd name="connsiteX19" fmla="*/ 1866900 w 5334000"/>
              <a:gd name="connsiteY19" fmla="*/ 3648075 h 4895850"/>
              <a:gd name="connsiteX20" fmla="*/ 1790700 w 5334000"/>
              <a:gd name="connsiteY20" fmla="*/ 3876675 h 4895850"/>
              <a:gd name="connsiteX21" fmla="*/ 1943100 w 5334000"/>
              <a:gd name="connsiteY21" fmla="*/ 4162425 h 4895850"/>
              <a:gd name="connsiteX22" fmla="*/ 2524125 w 5334000"/>
              <a:gd name="connsiteY22" fmla="*/ 4095750 h 4895850"/>
              <a:gd name="connsiteX23" fmla="*/ 2724150 w 5334000"/>
              <a:gd name="connsiteY23" fmla="*/ 3714750 h 4895850"/>
              <a:gd name="connsiteX24" fmla="*/ 3286125 w 5334000"/>
              <a:gd name="connsiteY24" fmla="*/ 3524250 h 4895850"/>
              <a:gd name="connsiteX25" fmla="*/ 5019675 w 5334000"/>
              <a:gd name="connsiteY25" fmla="*/ 3524250 h 4895850"/>
              <a:gd name="connsiteX26" fmla="*/ 5334000 w 5334000"/>
              <a:gd name="connsiteY26" fmla="*/ 4400550 h 4895850"/>
              <a:gd name="connsiteX27" fmla="*/ 3838575 w 5334000"/>
              <a:gd name="connsiteY27" fmla="*/ 4895850 h 4895850"/>
              <a:gd name="connsiteX28" fmla="*/ 1685925 w 5334000"/>
              <a:gd name="connsiteY28" fmla="*/ 4886325 h 4895850"/>
              <a:gd name="connsiteX29" fmla="*/ 1809750 w 5334000"/>
              <a:gd name="connsiteY29" fmla="*/ 4486275 h 4895850"/>
              <a:gd name="connsiteX30" fmla="*/ 1676400 w 5334000"/>
              <a:gd name="connsiteY30" fmla="*/ 4295775 h 4895850"/>
              <a:gd name="connsiteX31" fmla="*/ 476250 w 5334000"/>
              <a:gd name="connsiteY31" fmla="*/ 4791075 h 4895850"/>
              <a:gd name="connsiteX32" fmla="*/ 0 w 5334000"/>
              <a:gd name="connsiteY32" fmla="*/ 4791075 h 4895850"/>
              <a:gd name="connsiteX33" fmla="*/ 9525 w 5334000"/>
              <a:gd name="connsiteY33" fmla="*/ 4524375 h 4895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5334000" h="4895850">
                <a:moveTo>
                  <a:pt x="9525" y="4524375"/>
                </a:moveTo>
                <a:lnTo>
                  <a:pt x="1066800" y="4095750"/>
                </a:lnTo>
                <a:lnTo>
                  <a:pt x="1095375" y="3981450"/>
                </a:lnTo>
                <a:lnTo>
                  <a:pt x="1476375" y="3876675"/>
                </a:lnTo>
                <a:lnTo>
                  <a:pt x="1428750" y="3181350"/>
                </a:lnTo>
                <a:lnTo>
                  <a:pt x="1076325" y="3209925"/>
                </a:lnTo>
                <a:lnTo>
                  <a:pt x="1076325" y="3038475"/>
                </a:lnTo>
                <a:lnTo>
                  <a:pt x="895350" y="3009900"/>
                </a:lnTo>
                <a:lnTo>
                  <a:pt x="847725" y="2819400"/>
                </a:lnTo>
                <a:lnTo>
                  <a:pt x="1543050" y="2324100"/>
                </a:lnTo>
                <a:lnTo>
                  <a:pt x="1457325" y="2000250"/>
                </a:lnTo>
                <a:lnTo>
                  <a:pt x="2181225" y="1171575"/>
                </a:lnTo>
                <a:lnTo>
                  <a:pt x="1924050" y="857250"/>
                </a:lnTo>
                <a:lnTo>
                  <a:pt x="3486150" y="0"/>
                </a:lnTo>
                <a:lnTo>
                  <a:pt x="3743325" y="1581150"/>
                </a:lnTo>
                <a:lnTo>
                  <a:pt x="4305300" y="1314450"/>
                </a:lnTo>
                <a:lnTo>
                  <a:pt x="4619625" y="2228850"/>
                </a:lnTo>
                <a:lnTo>
                  <a:pt x="2762250" y="3543300"/>
                </a:lnTo>
                <a:lnTo>
                  <a:pt x="2752725" y="3371850"/>
                </a:lnTo>
                <a:lnTo>
                  <a:pt x="1866900" y="3648075"/>
                </a:lnTo>
                <a:lnTo>
                  <a:pt x="1790700" y="3876675"/>
                </a:lnTo>
                <a:lnTo>
                  <a:pt x="1943100" y="4162425"/>
                </a:lnTo>
                <a:lnTo>
                  <a:pt x="2524125" y="4095750"/>
                </a:lnTo>
                <a:lnTo>
                  <a:pt x="2724150" y="3714750"/>
                </a:lnTo>
                <a:lnTo>
                  <a:pt x="3286125" y="3524250"/>
                </a:lnTo>
                <a:lnTo>
                  <a:pt x="5019675" y="3524250"/>
                </a:lnTo>
                <a:lnTo>
                  <a:pt x="5334000" y="4400550"/>
                </a:lnTo>
                <a:lnTo>
                  <a:pt x="3838575" y="4895850"/>
                </a:lnTo>
                <a:lnTo>
                  <a:pt x="1685925" y="4886325"/>
                </a:lnTo>
                <a:lnTo>
                  <a:pt x="1809750" y="4486275"/>
                </a:lnTo>
                <a:lnTo>
                  <a:pt x="1676400" y="4295775"/>
                </a:lnTo>
                <a:lnTo>
                  <a:pt x="476250" y="4791075"/>
                </a:lnTo>
                <a:lnTo>
                  <a:pt x="0" y="4791075"/>
                </a:lnTo>
                <a:lnTo>
                  <a:pt x="9525" y="4524375"/>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179295</xdr:colOff>
      <xdr:row>382</xdr:row>
      <xdr:rowOff>78441</xdr:rowOff>
    </xdr:from>
    <xdr:to>
      <xdr:col>6</xdr:col>
      <xdr:colOff>564735</xdr:colOff>
      <xdr:row>402</xdr:row>
      <xdr:rowOff>4324</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4"/>
        <a:stretch>
          <a:fillRect/>
        </a:stretch>
      </xdr:blipFill>
      <xdr:spPr>
        <a:xfrm>
          <a:off x="941295" y="68882559"/>
          <a:ext cx="4475587" cy="3960000"/>
        </a:xfrm>
        <a:prstGeom prst="rect">
          <a:avLst/>
        </a:prstGeom>
        <a:ln>
          <a:solidFill>
            <a:schemeClr val="tx1"/>
          </a:solidFill>
        </a:ln>
      </xdr:spPr>
    </xdr:pic>
    <xdr:clientData/>
  </xdr:twoCellAnchor>
  <xdr:twoCellAnchor>
    <xdr:from>
      <xdr:col>0</xdr:col>
      <xdr:colOff>85725</xdr:colOff>
      <xdr:row>296</xdr:row>
      <xdr:rowOff>74612</xdr:rowOff>
    </xdr:from>
    <xdr:to>
      <xdr:col>7</xdr:col>
      <xdr:colOff>600076</xdr:colOff>
      <xdr:row>331</xdr:row>
      <xdr:rowOff>178800</xdr:rowOff>
    </xdr:to>
    <xdr:grpSp>
      <xdr:nvGrpSpPr>
        <xdr:cNvPr id="4" name="Group 3"/>
        <xdr:cNvGrpSpPr/>
      </xdr:nvGrpSpPr>
      <xdr:grpSpPr>
        <a:xfrm>
          <a:off x="85725" y="48147287"/>
          <a:ext cx="6096001" cy="7095538"/>
          <a:chOff x="85725" y="48147287"/>
          <a:chExt cx="6096001" cy="7095538"/>
        </a:xfrm>
      </xdr:grpSpPr>
      <xdr:pic>
        <xdr:nvPicPr>
          <xdr:cNvPr id="42" name="Picture 41" descr="https://vsjcllp.vsjadon.com/upload/insp-246618-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2590800" y="530828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46618-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5725" y="48156812"/>
            <a:ext cx="3000376" cy="22520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46618-84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85800" y="50518125"/>
            <a:ext cx="1821613" cy="24313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46618-844.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181350" y="48147287"/>
            <a:ext cx="3000376" cy="225207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46618-847.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600325" y="50527650"/>
            <a:ext cx="3228976" cy="24313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15</xdr:col>
      <xdr:colOff>101974</xdr:colOff>
      <xdr:row>52</xdr:row>
      <xdr:rowOff>76200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2678206"/>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pjpTReZWBG3Ho7iz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82"/>
  <sheetViews>
    <sheetView tabSelected="1" view="pageBreakPreview" zoomScaleNormal="100" zoomScaleSheetLayoutView="100" zoomScalePageLayoutView="85" workbookViewId="0">
      <selection activeCell="I19" sqref="I19"/>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90" t="s">
        <v>164</v>
      </c>
      <c r="B1" s="190"/>
      <c r="C1" s="190"/>
      <c r="D1" s="190"/>
      <c r="E1" s="190"/>
      <c r="F1" s="190"/>
      <c r="G1" s="190"/>
      <c r="H1" s="190"/>
    </row>
    <row r="2" spans="1:26" ht="16.5" customHeight="1" x14ac:dyDescent="0.25">
      <c r="A2" s="191" t="s">
        <v>0</v>
      </c>
      <c r="B2" s="191"/>
      <c r="C2" s="191"/>
      <c r="D2" s="191"/>
      <c r="E2" s="191"/>
      <c r="F2" s="191"/>
      <c r="G2" s="191"/>
      <c r="H2" s="191"/>
    </row>
    <row r="3" spans="1:26" x14ac:dyDescent="0.25">
      <c r="A3" s="84" t="s">
        <v>1</v>
      </c>
      <c r="B3" s="84"/>
      <c r="C3" s="84"/>
      <c r="D3" s="84"/>
      <c r="E3" s="84" t="str">
        <f ca="1">TEXT(TODAY(),"DD/MM/YYYY")</f>
        <v>10/09/2025</v>
      </c>
      <c r="F3" s="84"/>
      <c r="G3" s="84"/>
      <c r="H3" s="84"/>
      <c r="K3" s="55" t="s">
        <v>236</v>
      </c>
      <c r="L3" s="54" t="s">
        <v>234</v>
      </c>
      <c r="M3" s="54" t="s">
        <v>239</v>
      </c>
      <c r="N3" s="54" t="s">
        <v>237</v>
      </c>
      <c r="O3" s="54" t="s">
        <v>342</v>
      </c>
      <c r="P3" s="54" t="s">
        <v>240</v>
      </c>
    </row>
    <row r="4" spans="1:26" ht="15" customHeight="1" x14ac:dyDescent="0.25">
      <c r="A4" s="84" t="s">
        <v>233</v>
      </c>
      <c r="B4" s="84"/>
      <c r="C4" s="84"/>
      <c r="D4" s="84"/>
      <c r="E4" s="84" t="s">
        <v>234</v>
      </c>
      <c r="F4" s="84"/>
      <c r="G4" s="84"/>
      <c r="H4" s="84"/>
      <c r="K4" s="53" t="s">
        <v>235</v>
      </c>
      <c r="L4" s="54" t="s">
        <v>170</v>
      </c>
      <c r="M4" s="54" t="s">
        <v>244</v>
      </c>
      <c r="N4" s="54" t="s">
        <v>246</v>
      </c>
      <c r="O4" s="54" t="s">
        <v>343</v>
      </c>
      <c r="P4" s="54"/>
    </row>
    <row r="5" spans="1:26" ht="15" customHeight="1" x14ac:dyDescent="0.25">
      <c r="A5" s="84" t="s">
        <v>2</v>
      </c>
      <c r="B5" s="84"/>
      <c r="C5" s="84"/>
      <c r="D5" s="84"/>
      <c r="E5" s="84" t="s">
        <v>243</v>
      </c>
      <c r="F5" s="84"/>
      <c r="G5" s="84"/>
      <c r="H5" s="84"/>
      <c r="K5" s="53"/>
      <c r="L5" s="54" t="s">
        <v>241</v>
      </c>
      <c r="M5" s="54" t="s">
        <v>245</v>
      </c>
      <c r="N5" s="54" t="s">
        <v>247</v>
      </c>
      <c r="O5" s="54" t="s">
        <v>344</v>
      </c>
      <c r="P5" s="54"/>
    </row>
    <row r="6" spans="1:26" x14ac:dyDescent="0.25">
      <c r="A6" s="84" t="s">
        <v>3</v>
      </c>
      <c r="B6" s="84"/>
      <c r="C6" s="84"/>
      <c r="D6" s="84"/>
      <c r="E6" s="192">
        <v>45907</v>
      </c>
      <c r="F6" s="84"/>
      <c r="G6" s="84"/>
      <c r="H6" s="84"/>
      <c r="K6" s="53"/>
      <c r="L6" s="54" t="s">
        <v>242</v>
      </c>
      <c r="M6" s="54"/>
      <c r="N6" s="54"/>
      <c r="O6" s="54" t="s">
        <v>345</v>
      </c>
      <c r="P6" s="54"/>
    </row>
    <row r="7" spans="1:26" ht="16.5" customHeight="1" x14ac:dyDescent="0.25">
      <c r="A7" s="84" t="s">
        <v>4</v>
      </c>
      <c r="B7" s="84"/>
      <c r="C7" s="84"/>
      <c r="D7" s="84"/>
      <c r="E7" s="136" t="s">
        <v>350</v>
      </c>
      <c r="F7" s="84"/>
      <c r="G7" s="84"/>
      <c r="H7" s="84"/>
      <c r="K7" s="53"/>
      <c r="L7" s="54" t="s">
        <v>243</v>
      </c>
      <c r="M7" s="54"/>
      <c r="N7" s="54"/>
      <c r="O7" s="54" t="s">
        <v>345</v>
      </c>
      <c r="P7" s="54"/>
    </row>
    <row r="8" spans="1:26" ht="15" customHeight="1" x14ac:dyDescent="0.25">
      <c r="A8" s="84" t="s">
        <v>5</v>
      </c>
      <c r="B8" s="84"/>
      <c r="C8" s="84"/>
      <c r="D8" s="84"/>
      <c r="E8" s="84" t="str">
        <f>E7</f>
        <v xml:space="preserve">Regency Nirman Ltd
</v>
      </c>
      <c r="F8" s="84"/>
      <c r="G8" s="84"/>
      <c r="H8" s="84"/>
      <c r="K8" s="53"/>
      <c r="L8" s="54"/>
      <c r="M8" s="54"/>
      <c r="N8" s="54"/>
      <c r="O8" s="54" t="s">
        <v>346</v>
      </c>
      <c r="P8" s="54"/>
    </row>
    <row r="9" spans="1:26" x14ac:dyDescent="0.25">
      <c r="A9" s="84" t="s">
        <v>6</v>
      </c>
      <c r="B9" s="84"/>
      <c r="C9" s="84"/>
      <c r="D9" s="84"/>
      <c r="E9" s="117" t="s">
        <v>351</v>
      </c>
      <c r="F9" s="116"/>
      <c r="G9" s="116"/>
      <c r="H9" s="116"/>
      <c r="K9" s="53"/>
      <c r="L9" s="54"/>
      <c r="M9" s="54"/>
      <c r="N9" s="54"/>
      <c r="O9" s="54" t="s">
        <v>347</v>
      </c>
      <c r="P9" s="54"/>
    </row>
    <row r="10" spans="1:26" x14ac:dyDescent="0.25">
      <c r="A10" s="84" t="s">
        <v>167</v>
      </c>
      <c r="B10" s="84"/>
      <c r="C10" s="84"/>
      <c r="D10" s="84"/>
      <c r="E10" s="84" t="s">
        <v>28</v>
      </c>
      <c r="F10" s="84"/>
      <c r="G10" s="84"/>
      <c r="H10" s="84"/>
      <c r="K10" s="53"/>
      <c r="L10" s="54"/>
      <c r="M10" s="54"/>
      <c r="N10" s="54"/>
      <c r="O10" s="54" t="s">
        <v>348</v>
      </c>
      <c r="P10" s="54"/>
    </row>
    <row r="11" spans="1:26" x14ac:dyDescent="0.25">
      <c r="A11" s="84" t="s">
        <v>168</v>
      </c>
      <c r="B11" s="84"/>
      <c r="C11" s="84"/>
      <c r="D11" s="84"/>
      <c r="E11" s="84" t="s">
        <v>405</v>
      </c>
      <c r="F11" s="84"/>
      <c r="G11" s="84"/>
      <c r="H11" s="84"/>
      <c r="I11" s="84" t="s">
        <v>404</v>
      </c>
      <c r="J11" s="84"/>
      <c r="K11" s="84"/>
      <c r="L11" s="84"/>
      <c r="O11" s="54" t="s">
        <v>349</v>
      </c>
    </row>
    <row r="12" spans="1:26" x14ac:dyDescent="0.25">
      <c r="A12" s="84" t="s">
        <v>7</v>
      </c>
      <c r="B12" s="84"/>
      <c r="C12" s="84"/>
      <c r="D12" s="84"/>
      <c r="E12" s="84" t="s">
        <v>352</v>
      </c>
      <c r="F12" s="84"/>
      <c r="G12" s="84"/>
      <c r="H12" s="84"/>
    </row>
    <row r="13" spans="1:26" x14ac:dyDescent="0.25">
      <c r="A13" s="84" t="s">
        <v>171</v>
      </c>
      <c r="B13" s="84"/>
      <c r="C13" s="84"/>
      <c r="D13" s="84"/>
      <c r="E13" s="84" t="s">
        <v>28</v>
      </c>
      <c r="F13" s="84"/>
      <c r="G13" s="84"/>
      <c r="H13" s="84"/>
      <c r="S13" s="54" t="s">
        <v>179</v>
      </c>
      <c r="T13" s="54" t="s">
        <v>188</v>
      </c>
      <c r="U13" s="54" t="s">
        <v>172</v>
      </c>
      <c r="V13" s="54" t="s">
        <v>193</v>
      </c>
      <c r="W13" s="54" t="s">
        <v>211</v>
      </c>
      <c r="X13"/>
      <c r="Y13" t="s">
        <v>193</v>
      </c>
      <c r="Z13" t="e">
        <f ca="1">OFFSET($S$13,1,MATCH($G20,$S$13:$W$13,0)-1,15,1)</f>
        <v>#VALUE!</v>
      </c>
    </row>
    <row r="14" spans="1:26" x14ac:dyDescent="0.25">
      <c r="A14" s="128" t="s">
        <v>279</v>
      </c>
      <c r="B14" s="128"/>
      <c r="C14" s="128"/>
      <c r="D14" s="128"/>
      <c r="E14" s="136" t="s">
        <v>226</v>
      </c>
      <c r="F14" s="136"/>
      <c r="G14" s="136"/>
      <c r="H14" s="136"/>
      <c r="S14" s="54" t="s">
        <v>179</v>
      </c>
      <c r="T14" s="54" t="s">
        <v>186</v>
      </c>
      <c r="U14" s="54" t="s">
        <v>208</v>
      </c>
      <c r="V14" s="54" t="s">
        <v>194</v>
      </c>
      <c r="W14" s="54" t="s">
        <v>212</v>
      </c>
      <c r="X14"/>
      <c r="Y14"/>
      <c r="Z14"/>
    </row>
    <row r="15" spans="1:26" x14ac:dyDescent="0.25">
      <c r="A15" s="128" t="s">
        <v>8</v>
      </c>
      <c r="B15" s="128"/>
      <c r="C15" s="128"/>
      <c r="D15" s="128"/>
      <c r="E15" s="136" t="s">
        <v>353</v>
      </c>
      <c r="F15" s="84"/>
      <c r="G15" s="84"/>
      <c r="H15" s="84"/>
      <c r="I15" s="201" t="e">
        <f ca="1">OFFSET($D$5,1,MATCH($J13,$D$5:$H$5,0)-1,15,1)</f>
        <v>#N/A</v>
      </c>
      <c r="J15" s="202"/>
      <c r="K15" s="202"/>
      <c r="L15" s="202"/>
      <c r="M15" s="202"/>
      <c r="N15" s="202"/>
      <c r="O15" s="202"/>
      <c r="P15" s="202"/>
      <c r="S15" s="54" t="s">
        <v>180</v>
      </c>
      <c r="T15" s="54" t="s">
        <v>187</v>
      </c>
      <c r="U15" s="54" t="s">
        <v>209</v>
      </c>
      <c r="V15" s="54" t="s">
        <v>195</v>
      </c>
      <c r="W15" s="54" t="s">
        <v>225</v>
      </c>
      <c r="X15"/>
      <c r="Y15"/>
      <c r="Z15"/>
    </row>
    <row r="16" spans="1:26" ht="48.75" customHeight="1" x14ac:dyDescent="0.25">
      <c r="A16" s="184" t="s">
        <v>9</v>
      </c>
      <c r="B16" s="184"/>
      <c r="C16" s="184" t="str">
        <f>CONCATENATE((IF(OR(E9="",E9="NA"),"",E9)),", ",(IF(OR(A17="",A17="NA"),"",A17)),".",(IF(OR(C17="",C17="NA"),"",C17)),", near ",(IF(OR(C22="",C22="NA"),"",C22)),", ",(IF(OR(C19="",C19="NA"),"",C19)),", ",(IF(OR(C18="",C18="NA"),"",C18)),", ",(IF(OR(G19="",G19="NA"),"",G19)),", ",(IF(OR(C20="",C20="NA"),"",C20)),", ",(IF(OR(C21="",C21="NA"),"",C21)),", ",(IF(OR(G20="",G20="NA"),"",G20))," - ",(IF(OR(G21="",G21="NA"),"",G21)),".")</f>
        <v>Regency Anantam Nxt Phase I, Survey No.64, 65/3,4,5, 66/1, 67/4B, 102/5A,5B,7,9,10, near Aster - Tower Regency Anantam, Regency Anantam Rd, Davdi, Davdi, Dombivali East, Kalyan, Thane - 421306.</v>
      </c>
      <c r="D16" s="184"/>
      <c r="E16" s="184"/>
      <c r="F16" s="184"/>
      <c r="G16" s="184"/>
      <c r="H16" s="184"/>
      <c r="S16" s="54" t="s">
        <v>181</v>
      </c>
      <c r="T16" s="54" t="s">
        <v>189</v>
      </c>
      <c r="U16" s="54" t="s">
        <v>210</v>
      </c>
      <c r="V16" s="54" t="s">
        <v>196</v>
      </c>
      <c r="W16" s="54" t="s">
        <v>213</v>
      </c>
      <c r="X16"/>
      <c r="Y16"/>
      <c r="Z16"/>
    </row>
    <row r="17" spans="1:26" x14ac:dyDescent="0.25">
      <c r="A17" s="136" t="s">
        <v>356</v>
      </c>
      <c r="B17" s="136"/>
      <c r="C17" s="136" t="s">
        <v>391</v>
      </c>
      <c r="D17" s="136"/>
      <c r="E17" s="136"/>
      <c r="F17" s="136"/>
      <c r="G17" s="136"/>
      <c r="H17" s="136"/>
      <c r="S17" s="54" t="s">
        <v>182</v>
      </c>
      <c r="T17" s="54" t="s">
        <v>190</v>
      </c>
      <c r="U17" s="54" t="s">
        <v>172</v>
      </c>
      <c r="V17" s="54" t="s">
        <v>197</v>
      </c>
      <c r="W17" s="54" t="s">
        <v>214</v>
      </c>
      <c r="X17"/>
      <c r="Y17"/>
      <c r="Z17"/>
    </row>
    <row r="18" spans="1:26" ht="15.75" customHeight="1" x14ac:dyDescent="0.25">
      <c r="A18" s="136" t="s">
        <v>162</v>
      </c>
      <c r="B18" s="136"/>
      <c r="C18" s="136" t="s">
        <v>357</v>
      </c>
      <c r="D18" s="136"/>
      <c r="E18" s="136"/>
      <c r="F18" s="136"/>
      <c r="G18" s="136"/>
      <c r="H18" s="136"/>
      <c r="S18" s="54" t="s">
        <v>183</v>
      </c>
      <c r="T18" s="54" t="s">
        <v>188</v>
      </c>
      <c r="U18" s="54"/>
      <c r="V18" s="54" t="s">
        <v>198</v>
      </c>
      <c r="W18" s="54" t="s">
        <v>215</v>
      </c>
      <c r="X18"/>
      <c r="Y18"/>
      <c r="Z18"/>
    </row>
    <row r="19" spans="1:26" ht="15.75" customHeight="1" x14ac:dyDescent="0.25">
      <c r="A19" s="184" t="s">
        <v>10</v>
      </c>
      <c r="B19" s="184"/>
      <c r="C19" s="84" t="s">
        <v>358</v>
      </c>
      <c r="D19" s="84"/>
      <c r="E19" s="184" t="s">
        <v>69</v>
      </c>
      <c r="F19" s="184"/>
      <c r="G19" s="136" t="s">
        <v>357</v>
      </c>
      <c r="H19" s="136"/>
      <c r="S19" s="54" t="s">
        <v>184</v>
      </c>
      <c r="T19" s="54" t="s">
        <v>191</v>
      </c>
      <c r="U19" s="54"/>
      <c r="V19" s="54" t="s">
        <v>199</v>
      </c>
      <c r="W19" s="54" t="s">
        <v>216</v>
      </c>
      <c r="X19"/>
      <c r="Y19"/>
      <c r="Z19"/>
    </row>
    <row r="20" spans="1:26" x14ac:dyDescent="0.25">
      <c r="A20" s="128" t="s">
        <v>12</v>
      </c>
      <c r="B20" s="128"/>
      <c r="C20" s="136" t="s">
        <v>389</v>
      </c>
      <c r="D20" s="136"/>
      <c r="E20" s="184" t="s">
        <v>11</v>
      </c>
      <c r="F20" s="184"/>
      <c r="G20" s="189" t="s">
        <v>179</v>
      </c>
      <c r="H20" s="189"/>
      <c r="S20" s="54" t="s">
        <v>185</v>
      </c>
      <c r="T20" s="54" t="s">
        <v>192</v>
      </c>
      <c r="U20" s="54"/>
      <c r="V20" s="54" t="s">
        <v>200</v>
      </c>
      <c r="W20" s="54" t="s">
        <v>217</v>
      </c>
      <c r="X20"/>
      <c r="Y20"/>
      <c r="Z20"/>
    </row>
    <row r="21" spans="1:26" x14ac:dyDescent="0.25">
      <c r="A21" s="128" t="s">
        <v>70</v>
      </c>
      <c r="B21" s="128"/>
      <c r="C21" s="136" t="s">
        <v>181</v>
      </c>
      <c r="D21" s="136"/>
      <c r="E21" s="184" t="s">
        <v>13</v>
      </c>
      <c r="F21" s="184"/>
      <c r="G21" s="136">
        <v>421306</v>
      </c>
      <c r="H21" s="136"/>
      <c r="S21" s="54"/>
      <c r="T21" s="54"/>
      <c r="U21" s="54"/>
      <c r="V21" s="54" t="s">
        <v>201</v>
      </c>
      <c r="W21" s="54" t="s">
        <v>218</v>
      </c>
      <c r="X21"/>
      <c r="Y21"/>
      <c r="Z21"/>
    </row>
    <row r="22" spans="1:26" ht="33" customHeight="1" x14ac:dyDescent="0.25">
      <c r="A22" s="128" t="s">
        <v>118</v>
      </c>
      <c r="B22" s="128"/>
      <c r="C22" s="136" t="s">
        <v>359</v>
      </c>
      <c r="D22" s="136"/>
      <c r="E22" s="184" t="s">
        <v>14</v>
      </c>
      <c r="F22" s="184"/>
      <c r="G22" s="136" t="s">
        <v>390</v>
      </c>
      <c r="H22" s="136"/>
      <c r="S22" s="54"/>
      <c r="T22" s="54"/>
      <c r="U22" s="54"/>
      <c r="V22" s="54" t="s">
        <v>202</v>
      </c>
      <c r="W22" s="54" t="s">
        <v>219</v>
      </c>
      <c r="X22"/>
      <c r="Y22"/>
      <c r="Z22"/>
    </row>
    <row r="23" spans="1:26" ht="15" customHeight="1" x14ac:dyDescent="0.25">
      <c r="A23" s="184" t="s">
        <v>72</v>
      </c>
      <c r="B23" s="184"/>
      <c r="C23" s="184"/>
      <c r="D23" s="184"/>
      <c r="E23" s="84" t="s">
        <v>15</v>
      </c>
      <c r="F23" s="84"/>
      <c r="G23" s="84"/>
      <c r="H23" s="84"/>
      <c r="S23" s="54"/>
      <c r="T23" s="54"/>
      <c r="U23" s="54"/>
      <c r="V23" s="54" t="s">
        <v>203</v>
      </c>
      <c r="W23" s="54" t="s">
        <v>220</v>
      </c>
      <c r="X23"/>
      <c r="Y23"/>
      <c r="Z23"/>
    </row>
    <row r="24" spans="1:26" ht="18.75" customHeight="1" x14ac:dyDescent="0.25">
      <c r="A24" s="184"/>
      <c r="B24" s="184"/>
      <c r="C24" s="184"/>
      <c r="D24" s="184"/>
      <c r="E24" s="84"/>
      <c r="F24" s="84"/>
      <c r="G24" s="84"/>
      <c r="H24" s="84"/>
      <c r="S24" s="54"/>
      <c r="T24" s="54"/>
      <c r="U24" s="54"/>
      <c r="V24" s="54" t="s">
        <v>204</v>
      </c>
      <c r="W24" s="54" t="s">
        <v>221</v>
      </c>
      <c r="X24"/>
      <c r="Y24"/>
      <c r="Z24"/>
    </row>
    <row r="25" spans="1:26" ht="15" customHeight="1" x14ac:dyDescent="0.25">
      <c r="A25" s="184" t="s">
        <v>16</v>
      </c>
      <c r="B25" s="184"/>
      <c r="C25" s="184"/>
      <c r="D25" s="184"/>
      <c r="E25" s="136" t="s">
        <v>17</v>
      </c>
      <c r="F25" s="136"/>
      <c r="G25" s="136"/>
      <c r="H25" s="136"/>
      <c r="S25" s="54"/>
      <c r="T25" s="54"/>
      <c r="U25" s="54"/>
      <c r="V25" s="54" t="s">
        <v>205</v>
      </c>
      <c r="W25" s="54" t="s">
        <v>222</v>
      </c>
      <c r="X25"/>
      <c r="Y25"/>
      <c r="Z25"/>
    </row>
    <row r="26" spans="1:26" ht="15" customHeight="1" x14ac:dyDescent="0.25">
      <c r="A26" s="128" t="s">
        <v>18</v>
      </c>
      <c r="B26" s="128"/>
      <c r="C26" s="128"/>
      <c r="D26" s="128"/>
      <c r="E26" s="136" t="str">
        <f>IF(AND(G20="Mumbai"),"Upper Class","Middle Class")</f>
        <v>Middle Class</v>
      </c>
      <c r="F26" s="136"/>
      <c r="G26" s="136"/>
      <c r="H26" s="136"/>
      <c r="S26" s="54"/>
      <c r="T26" s="54"/>
      <c r="U26" s="54"/>
      <c r="V26" s="54" t="s">
        <v>206</v>
      </c>
      <c r="W26" s="54" t="s">
        <v>223</v>
      </c>
      <c r="X26"/>
      <c r="Y26"/>
      <c r="Z26"/>
    </row>
    <row r="27" spans="1:26" x14ac:dyDescent="0.25">
      <c r="A27" s="128" t="s">
        <v>19</v>
      </c>
      <c r="B27" s="128"/>
      <c r="C27" s="128"/>
      <c r="D27" s="128"/>
      <c r="E27" s="136" t="s">
        <v>20</v>
      </c>
      <c r="F27" s="136"/>
      <c r="G27" s="136"/>
      <c r="H27" s="136"/>
      <c r="S27" s="54"/>
      <c r="T27" s="54"/>
      <c r="U27" s="54"/>
      <c r="V27" s="54" t="s">
        <v>207</v>
      </c>
      <c r="W27" s="54" t="s">
        <v>224</v>
      </c>
      <c r="X27"/>
      <c r="Y27"/>
      <c r="Z27"/>
    </row>
    <row r="28" spans="1:26" ht="15.75" customHeight="1" x14ac:dyDescent="0.25">
      <c r="A28" s="128" t="s">
        <v>21</v>
      </c>
      <c r="B28" s="128"/>
      <c r="C28" s="128"/>
      <c r="D28" s="128"/>
      <c r="E28" s="136" t="str">
        <f>IF(AND(G20="Mumbai"),"Developed","Developing")</f>
        <v>Developing</v>
      </c>
      <c r="F28" s="136"/>
      <c r="G28" s="136"/>
      <c r="H28" s="136"/>
    </row>
    <row r="29" spans="1:26" x14ac:dyDescent="0.25">
      <c r="A29" s="128" t="s">
        <v>22</v>
      </c>
      <c r="B29" s="128"/>
      <c r="C29" s="128"/>
      <c r="D29" s="128"/>
      <c r="E29" s="136" t="s">
        <v>23</v>
      </c>
      <c r="F29" s="136"/>
      <c r="G29" s="136"/>
      <c r="H29" s="136"/>
    </row>
    <row r="30" spans="1:26" ht="15.75" customHeight="1" x14ac:dyDescent="0.25">
      <c r="A30" s="128" t="s">
        <v>77</v>
      </c>
      <c r="B30" s="128"/>
      <c r="C30" s="128"/>
      <c r="D30" s="128"/>
      <c r="E30" s="136" t="s">
        <v>78</v>
      </c>
      <c r="F30" s="136"/>
      <c r="G30" s="136"/>
      <c r="H30" s="136"/>
    </row>
    <row r="31" spans="1:26" ht="15" customHeight="1" x14ac:dyDescent="0.25">
      <c r="A31" s="128" t="s">
        <v>30</v>
      </c>
      <c r="B31" s="128"/>
      <c r="C31" s="128"/>
      <c r="D31" s="128"/>
      <c r="E31" s="13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6"/>
      <c r="G31" s="136"/>
      <c r="H31" s="136"/>
    </row>
    <row r="32" spans="1:26" ht="15.75" customHeight="1" x14ac:dyDescent="0.25">
      <c r="A32" s="128" t="s">
        <v>89</v>
      </c>
      <c r="B32" s="128"/>
      <c r="C32" s="128"/>
      <c r="D32" s="128"/>
      <c r="E32" s="136" t="s">
        <v>31</v>
      </c>
      <c r="F32" s="136"/>
      <c r="G32" s="136"/>
      <c r="H32" s="136"/>
    </row>
    <row r="33" spans="1:19" s="22" customFormat="1" x14ac:dyDescent="0.25">
      <c r="A33" s="188" t="s">
        <v>90</v>
      </c>
      <c r="B33" s="188"/>
      <c r="C33" s="187" t="s">
        <v>173</v>
      </c>
      <c r="D33" s="187"/>
      <c r="E33" s="187"/>
      <c r="F33" s="187" t="s">
        <v>29</v>
      </c>
      <c r="G33" s="187"/>
      <c r="H33" s="187"/>
      <c r="S33" s="22" t="e">
        <f ca="1">OFFSET($S$13,1,MATCH($G20,$S$13:$W$13,0)-1,15,1)</f>
        <v>#VALUE!</v>
      </c>
    </row>
    <row r="34" spans="1:19" s="22" customFormat="1" x14ac:dyDescent="0.25">
      <c r="A34" s="144" t="s">
        <v>24</v>
      </c>
      <c r="B34" s="144" t="s">
        <v>28</v>
      </c>
      <c r="C34" s="145" t="s">
        <v>361</v>
      </c>
      <c r="D34" s="145"/>
      <c r="E34" s="145"/>
      <c r="F34" s="145" t="s">
        <v>362</v>
      </c>
      <c r="G34" s="145"/>
      <c r="H34" s="145"/>
    </row>
    <row r="35" spans="1:19" x14ac:dyDescent="0.25">
      <c r="A35" s="144" t="s">
        <v>25</v>
      </c>
      <c r="B35" s="144" t="s">
        <v>28</v>
      </c>
      <c r="C35" s="145" t="s">
        <v>360</v>
      </c>
      <c r="D35" s="145"/>
      <c r="E35" s="145"/>
      <c r="F35" s="145" t="s">
        <v>10</v>
      </c>
      <c r="G35" s="145"/>
      <c r="H35" s="145"/>
    </row>
    <row r="36" spans="1:19" s="22" customFormat="1" x14ac:dyDescent="0.25">
      <c r="A36" s="144" t="s">
        <v>27</v>
      </c>
      <c r="B36" s="144" t="s">
        <v>28</v>
      </c>
      <c r="C36" s="145" t="s">
        <v>360</v>
      </c>
      <c r="D36" s="145"/>
      <c r="E36" s="145"/>
      <c r="F36" s="145" t="s">
        <v>10</v>
      </c>
      <c r="G36" s="145"/>
      <c r="H36" s="145"/>
    </row>
    <row r="37" spans="1:19" x14ac:dyDescent="0.25">
      <c r="A37" s="144" t="s">
        <v>26</v>
      </c>
      <c r="B37" s="144" t="s">
        <v>28</v>
      </c>
      <c r="C37" s="145" t="s">
        <v>361</v>
      </c>
      <c r="D37" s="145"/>
      <c r="E37" s="145"/>
      <c r="F37" s="145" t="s">
        <v>362</v>
      </c>
      <c r="G37" s="145"/>
      <c r="H37" s="145"/>
    </row>
    <row r="38" spans="1:19" x14ac:dyDescent="0.25">
      <c r="A38" s="128" t="s">
        <v>280</v>
      </c>
      <c r="B38" s="128"/>
      <c r="C38" s="128"/>
      <c r="D38" s="128"/>
      <c r="E38" s="128"/>
      <c r="F38" s="128"/>
      <c r="G38" s="128"/>
      <c r="H38" s="128"/>
    </row>
    <row r="39" spans="1:19" ht="15.75" customHeight="1" x14ac:dyDescent="0.25">
      <c r="A39" s="128" t="s">
        <v>165</v>
      </c>
      <c r="B39" s="128"/>
      <c r="C39" s="147" t="s">
        <v>354</v>
      </c>
      <c r="D39" s="147"/>
      <c r="E39" s="147"/>
      <c r="F39" s="147"/>
      <c r="G39" s="147"/>
      <c r="H39" s="147"/>
    </row>
    <row r="40" spans="1:19" x14ac:dyDescent="0.25">
      <c r="A40" s="128" t="s">
        <v>161</v>
      </c>
      <c r="B40" s="128"/>
      <c r="C40" s="135" t="s">
        <v>355</v>
      </c>
      <c r="D40" s="136"/>
      <c r="E40" s="136"/>
      <c r="F40" s="136"/>
      <c r="G40" s="136"/>
      <c r="H40" s="136"/>
    </row>
    <row r="41" spans="1:19" x14ac:dyDescent="0.25">
      <c r="A41" s="147" t="s">
        <v>32</v>
      </c>
      <c r="B41" s="147"/>
      <c r="C41" s="147"/>
      <c r="D41" s="147"/>
      <c r="E41" s="147"/>
      <c r="F41" s="147"/>
      <c r="G41" s="147"/>
      <c r="H41" s="147"/>
    </row>
    <row r="42" spans="1:19" x14ac:dyDescent="0.25">
      <c r="A42" s="128" t="s">
        <v>33</v>
      </c>
      <c r="B42" s="128"/>
      <c r="C42" s="128"/>
      <c r="D42" s="128"/>
      <c r="E42" s="146">
        <v>54438</v>
      </c>
      <c r="F42" s="146"/>
      <c r="G42" s="146"/>
      <c r="H42" s="146"/>
    </row>
    <row r="43" spans="1:19" x14ac:dyDescent="0.25">
      <c r="A43" s="128" t="s">
        <v>34</v>
      </c>
      <c r="B43" s="128"/>
      <c r="C43" s="128"/>
      <c r="D43" s="128"/>
      <c r="E43" s="163">
        <f>59881.8/E42</f>
        <v>1.1000000000000001</v>
      </c>
      <c r="F43" s="163"/>
      <c r="G43" s="163"/>
      <c r="H43" s="163"/>
    </row>
    <row r="44" spans="1:19" x14ac:dyDescent="0.25">
      <c r="A44" s="128" t="s">
        <v>35</v>
      </c>
      <c r="B44" s="128"/>
      <c r="C44" s="128"/>
      <c r="D44" s="128"/>
      <c r="E44" s="163">
        <f>E46/E42-E43</f>
        <v>1.0343682721628276</v>
      </c>
      <c r="F44" s="163"/>
      <c r="G44" s="163"/>
      <c r="H44" s="163"/>
    </row>
    <row r="45" spans="1:19" x14ac:dyDescent="0.25">
      <c r="A45" s="128" t="s">
        <v>36</v>
      </c>
      <c r="B45" s="128"/>
      <c r="C45" s="128"/>
      <c r="D45" s="128"/>
      <c r="E45" s="163">
        <f>E43+E44</f>
        <v>2.1343682721628277</v>
      </c>
      <c r="F45" s="163"/>
      <c r="G45" s="163"/>
      <c r="H45" s="163"/>
    </row>
    <row r="46" spans="1:19" x14ac:dyDescent="0.25">
      <c r="A46" s="128" t="s">
        <v>88</v>
      </c>
      <c r="B46" s="128"/>
      <c r="C46" s="128"/>
      <c r="D46" s="128"/>
      <c r="E46" s="164">
        <v>116190.74</v>
      </c>
      <c r="F46" s="164"/>
      <c r="G46" s="164"/>
      <c r="H46" s="164"/>
    </row>
    <row r="47" spans="1:19" x14ac:dyDescent="0.25">
      <c r="A47" s="84" t="s">
        <v>37</v>
      </c>
      <c r="B47" s="84"/>
      <c r="C47" s="84"/>
      <c r="D47" s="84"/>
      <c r="E47" s="84" t="s">
        <v>363</v>
      </c>
      <c r="F47" s="84"/>
      <c r="G47" s="84"/>
      <c r="H47" s="84"/>
    </row>
    <row r="48" spans="1:19" x14ac:dyDescent="0.25">
      <c r="A48" s="147" t="s">
        <v>38</v>
      </c>
      <c r="B48" s="147"/>
      <c r="C48" s="147"/>
      <c r="D48" s="147"/>
      <c r="E48" s="147"/>
      <c r="F48" s="147"/>
      <c r="G48" s="147"/>
      <c r="H48" s="147"/>
    </row>
    <row r="49" spans="1:24" ht="33.75" customHeight="1" x14ac:dyDescent="0.25">
      <c r="A49" s="149" t="s">
        <v>150</v>
      </c>
      <c r="B49" s="151"/>
      <c r="C49" s="170" t="s">
        <v>364</v>
      </c>
      <c r="D49" s="171"/>
      <c r="E49" s="171"/>
      <c r="F49" s="171"/>
      <c r="G49" s="171"/>
      <c r="H49" s="172"/>
      <c r="R49" t="s">
        <v>253</v>
      </c>
      <c r="S49" s="56" t="s">
        <v>172</v>
      </c>
      <c r="T49" s="56" t="s">
        <v>179</v>
      </c>
      <c r="U49" s="56" t="s">
        <v>193</v>
      </c>
      <c r="V49" s="56" t="s">
        <v>188</v>
      </c>
    </row>
    <row r="50" spans="1:24" ht="15.75" customHeight="1" x14ac:dyDescent="0.25">
      <c r="A50" s="149" t="s">
        <v>39</v>
      </c>
      <c r="B50" s="151"/>
      <c r="C50" s="149" t="s">
        <v>365</v>
      </c>
      <c r="D50" s="150"/>
      <c r="E50" s="151"/>
      <c r="F50" s="18" t="s">
        <v>40</v>
      </c>
      <c r="G50" s="152">
        <v>45384</v>
      </c>
      <c r="H50" s="151"/>
      <c r="R50"/>
      <c r="S50" s="56" t="s">
        <v>254</v>
      </c>
      <c r="T50" s="56" t="s">
        <v>259</v>
      </c>
      <c r="U50" s="56" t="s">
        <v>270</v>
      </c>
      <c r="V50" s="56" t="s">
        <v>275</v>
      </c>
    </row>
    <row r="51" spans="1:24" x14ac:dyDescent="0.25">
      <c r="A51" s="149" t="s">
        <v>41</v>
      </c>
      <c r="B51" s="151"/>
      <c r="C51" s="149" t="str">
        <f>C50</f>
        <v>KDMC/TPD/BP/27Village/2024-25/01</v>
      </c>
      <c r="D51" s="150"/>
      <c r="E51" s="151"/>
      <c r="F51" s="18" t="s">
        <v>40</v>
      </c>
      <c r="G51" s="152">
        <f>G50</f>
        <v>45384</v>
      </c>
      <c r="H51" s="157"/>
      <c r="R51"/>
      <c r="S51" s="56" t="s">
        <v>255</v>
      </c>
      <c r="T51" s="56" t="s">
        <v>260</v>
      </c>
      <c r="U51" s="56" t="s">
        <v>268</v>
      </c>
      <c r="V51" s="56" t="s">
        <v>276</v>
      </c>
    </row>
    <row r="52" spans="1:24" s="23" customFormat="1" ht="15.75" customHeight="1" x14ac:dyDescent="0.25">
      <c r="A52" s="158" t="s">
        <v>154</v>
      </c>
      <c r="B52" s="159"/>
      <c r="C52" s="149" t="str">
        <f>C51</f>
        <v>KDMC/TPD/BP/27Village/2024-25/01</v>
      </c>
      <c r="D52" s="150"/>
      <c r="E52" s="151"/>
      <c r="F52" s="18" t="s">
        <v>40</v>
      </c>
      <c r="G52" s="152">
        <f>G51</f>
        <v>45384</v>
      </c>
      <c r="H52" s="157"/>
      <c r="R52"/>
      <c r="S52" s="56" t="s">
        <v>256</v>
      </c>
      <c r="T52" s="56" t="s">
        <v>364</v>
      </c>
      <c r="U52" s="56" t="s">
        <v>258</v>
      </c>
      <c r="V52" s="56" t="s">
        <v>277</v>
      </c>
    </row>
    <row r="53" spans="1:24" s="23" customFormat="1" ht="34.5" customHeight="1" x14ac:dyDescent="0.25">
      <c r="A53" s="160"/>
      <c r="B53" s="161"/>
      <c r="C53" s="149" t="s">
        <v>399</v>
      </c>
      <c r="D53" s="150"/>
      <c r="E53" s="150"/>
      <c r="F53" s="150"/>
      <c r="G53" s="150"/>
      <c r="H53" s="151"/>
      <c r="R53"/>
      <c r="S53" s="56" t="s">
        <v>257</v>
      </c>
      <c r="T53" s="56" t="s">
        <v>264</v>
      </c>
      <c r="U53" s="56" t="s">
        <v>271</v>
      </c>
      <c r="V53" s="72"/>
    </row>
    <row r="54" spans="1:24" s="23" customFormat="1" hidden="1" x14ac:dyDescent="0.25">
      <c r="A54" s="153" t="s">
        <v>281</v>
      </c>
      <c r="B54" s="154"/>
      <c r="C54" s="149" t="str">
        <f>C53</f>
        <v>Building No. 1 &amp; 2 = St + 2P + E Deck + 1st to 28th Floors
Building No. 7 &amp; 8 = St + 2P + E Deck + 1st to 24th Floor</v>
      </c>
      <c r="D54" s="150"/>
      <c r="E54" s="151"/>
      <c r="F54" s="18" t="s">
        <v>40</v>
      </c>
      <c r="G54" s="149"/>
      <c r="H54" s="151"/>
      <c r="R54"/>
      <c r="S54" s="56" t="s">
        <v>256</v>
      </c>
      <c r="T54" s="56" t="s">
        <v>261</v>
      </c>
      <c r="U54" s="56" t="s">
        <v>258</v>
      </c>
      <c r="V54" s="56" t="s">
        <v>277</v>
      </c>
    </row>
    <row r="55" spans="1:24" s="23" customFormat="1" ht="32.25" hidden="1" customHeight="1" x14ac:dyDescent="0.25">
      <c r="A55" s="155"/>
      <c r="B55" s="156"/>
      <c r="C55" s="140"/>
      <c r="D55" s="141"/>
      <c r="E55" s="141"/>
      <c r="F55" s="141"/>
      <c r="G55" s="141"/>
      <c r="H55" s="142"/>
      <c r="R55"/>
      <c r="S55" s="56" t="s">
        <v>258</v>
      </c>
      <c r="T55" s="56" t="s">
        <v>262</v>
      </c>
      <c r="U55" s="56" t="s">
        <v>272</v>
      </c>
      <c r="V55" s="73"/>
      <c r="W55" s="21"/>
      <c r="X55" s="21"/>
    </row>
    <row r="56" spans="1:24" s="23" customFormat="1" hidden="1" x14ac:dyDescent="0.25">
      <c r="A56" s="167" t="s">
        <v>282</v>
      </c>
      <c r="B56" s="169"/>
      <c r="C56" s="149" t="s">
        <v>366</v>
      </c>
      <c r="D56" s="150"/>
      <c r="E56" s="151"/>
      <c r="F56" s="18" t="s">
        <v>40</v>
      </c>
      <c r="G56" s="152">
        <v>45260</v>
      </c>
      <c r="H56" s="151"/>
      <c r="R56"/>
      <c r="S56" s="73"/>
      <c r="T56" s="56" t="s">
        <v>263</v>
      </c>
      <c r="U56" s="56" t="s">
        <v>273</v>
      </c>
      <c r="V56" s="73"/>
      <c r="W56" s="21"/>
      <c r="X56" s="21"/>
    </row>
    <row r="57" spans="1:24" s="23" customFormat="1" ht="48" hidden="1" customHeight="1" x14ac:dyDescent="0.25">
      <c r="A57" s="175"/>
      <c r="B57" s="185"/>
      <c r="C57" s="149" t="s">
        <v>367</v>
      </c>
      <c r="D57" s="150"/>
      <c r="E57" s="150"/>
      <c r="F57" s="150"/>
      <c r="G57" s="150"/>
      <c r="H57" s="151"/>
      <c r="R57"/>
      <c r="S57" s="73"/>
      <c r="T57" s="56" t="s">
        <v>265</v>
      </c>
      <c r="U57" s="56" t="s">
        <v>274</v>
      </c>
      <c r="V57" s="73"/>
      <c r="W57" s="21"/>
      <c r="X57" s="21"/>
    </row>
    <row r="58" spans="1:24" s="23" customFormat="1" ht="15.75" hidden="1" customHeight="1" x14ac:dyDescent="0.25">
      <c r="A58" s="153" t="s">
        <v>283</v>
      </c>
      <c r="B58" s="154"/>
      <c r="C58" s="149" t="str">
        <f>C57</f>
        <v>Survey No. 64, 65/3, 65/4, 65/5, 66/1, 66/2, 67/4B, 102/5A, 102/5B, 102/7, 102/9, 102/10, 102/4</v>
      </c>
      <c r="D58" s="150"/>
      <c r="E58" s="151"/>
      <c r="F58" s="18" t="s">
        <v>40</v>
      </c>
      <c r="G58" s="149">
        <f>G57</f>
        <v>0</v>
      </c>
      <c r="H58" s="151"/>
      <c r="R58"/>
      <c r="S58" s="73"/>
      <c r="T58" s="56" t="s">
        <v>266</v>
      </c>
      <c r="U58" s="73" t="s">
        <v>297</v>
      </c>
      <c r="V58" s="73"/>
      <c r="W58" s="21"/>
      <c r="X58" s="21"/>
    </row>
    <row r="59" spans="1:24" s="23" customFormat="1" ht="33.75" hidden="1" customHeight="1" x14ac:dyDescent="0.25">
      <c r="A59" s="155"/>
      <c r="B59" s="156"/>
      <c r="C59" s="149"/>
      <c r="D59" s="150"/>
      <c r="E59" s="150"/>
      <c r="F59" s="150"/>
      <c r="G59" s="150"/>
      <c r="H59" s="151"/>
      <c r="R59"/>
      <c r="S59" s="73"/>
      <c r="T59" s="56" t="s">
        <v>267</v>
      </c>
      <c r="U59" s="73"/>
      <c r="V59" s="73"/>
      <c r="W59" s="21"/>
      <c r="X59" s="21"/>
    </row>
    <row r="60" spans="1:24" x14ac:dyDescent="0.25">
      <c r="A60" s="203" t="s">
        <v>42</v>
      </c>
      <c r="B60" s="204"/>
      <c r="C60" s="203" t="s">
        <v>102</v>
      </c>
      <c r="D60" s="205"/>
      <c r="E60" s="204"/>
      <c r="F60" s="45" t="s">
        <v>40</v>
      </c>
      <c r="G60" s="206" t="s">
        <v>28</v>
      </c>
      <c r="H60" s="207"/>
      <c r="R60"/>
      <c r="S60" s="73"/>
      <c r="T60" s="56" t="s">
        <v>269</v>
      </c>
      <c r="U60" s="73"/>
      <c r="V60" s="73"/>
    </row>
    <row r="61" spans="1:24" x14ac:dyDescent="0.25">
      <c r="A61" s="183" t="s">
        <v>44</v>
      </c>
      <c r="B61" s="183"/>
      <c r="C61" s="183"/>
      <c r="D61" s="183"/>
      <c r="E61" s="183"/>
      <c r="F61" s="183"/>
      <c r="G61" s="183"/>
      <c r="H61" s="183"/>
      <c r="S61" s="73"/>
      <c r="T61" s="56" t="s">
        <v>278</v>
      </c>
      <c r="U61" s="73"/>
      <c r="V61" s="73"/>
    </row>
    <row r="62" spans="1:24" x14ac:dyDescent="0.25">
      <c r="A62" s="184" t="s">
        <v>87</v>
      </c>
      <c r="B62" s="184"/>
      <c r="C62" s="184"/>
      <c r="D62" s="128">
        <f>67842.3</f>
        <v>67842.3</v>
      </c>
      <c r="E62" s="128"/>
      <c r="F62" s="128"/>
      <c r="G62" s="128"/>
      <c r="H62" s="128"/>
      <c r="I62" s="21">
        <f>15480.23*2+18440.92*2</f>
        <v>67842.299999999988</v>
      </c>
      <c r="R62"/>
    </row>
    <row r="63" spans="1:24" x14ac:dyDescent="0.25">
      <c r="A63" s="136" t="s">
        <v>45</v>
      </c>
      <c r="B63" s="84"/>
      <c r="C63" s="84"/>
      <c r="D63" s="84" t="s">
        <v>386</v>
      </c>
      <c r="E63" s="84"/>
      <c r="F63" s="84"/>
      <c r="G63" s="84"/>
      <c r="H63" s="84"/>
      <c r="I63" s="24" t="s">
        <v>388</v>
      </c>
      <c r="R63"/>
    </row>
    <row r="64" spans="1:24" ht="33" customHeight="1" x14ac:dyDescent="0.25">
      <c r="A64" s="167" t="s">
        <v>368</v>
      </c>
      <c r="B64" s="168"/>
      <c r="C64" s="169"/>
      <c r="D64" s="165" t="s">
        <v>396</v>
      </c>
      <c r="E64" s="166"/>
      <c r="F64" s="166"/>
      <c r="G64" s="166"/>
      <c r="H64" s="166"/>
      <c r="R64"/>
    </row>
    <row r="65" spans="1:19" ht="15.75" customHeight="1" x14ac:dyDescent="0.25">
      <c r="A65" s="167" t="s">
        <v>85</v>
      </c>
      <c r="B65" s="168"/>
      <c r="C65" s="168"/>
      <c r="D65" s="177" t="s">
        <v>397</v>
      </c>
      <c r="E65" s="178"/>
      <c r="F65" s="178"/>
      <c r="G65" s="178"/>
      <c r="H65" s="179"/>
      <c r="R65"/>
    </row>
    <row r="66" spans="1:19" ht="15.75" customHeight="1" x14ac:dyDescent="0.25">
      <c r="A66" s="173"/>
      <c r="B66" s="174"/>
      <c r="C66" s="174"/>
      <c r="D66" s="180" t="s">
        <v>398</v>
      </c>
      <c r="E66" s="181"/>
      <c r="F66" s="181"/>
      <c r="G66" s="181"/>
      <c r="H66" s="182"/>
      <c r="R66"/>
    </row>
    <row r="67" spans="1:19" ht="15.75" hidden="1" customHeight="1" x14ac:dyDescent="0.25">
      <c r="A67" s="175"/>
      <c r="B67" s="176"/>
      <c r="C67" s="176"/>
      <c r="D67" s="208"/>
      <c r="E67" s="209"/>
      <c r="F67" s="209"/>
      <c r="G67" s="209"/>
      <c r="H67" s="210"/>
      <c r="S67"/>
    </row>
    <row r="68" spans="1:19" ht="15.75" customHeight="1" x14ac:dyDescent="0.25">
      <c r="A68" s="128" t="s">
        <v>43</v>
      </c>
      <c r="B68" s="128"/>
      <c r="C68" s="128"/>
      <c r="D68" s="148" t="s">
        <v>369</v>
      </c>
      <c r="E68" s="148"/>
      <c r="F68" s="148"/>
      <c r="G68" s="148"/>
      <c r="H68" s="148"/>
      <c r="J68" s="25"/>
      <c r="K68" s="24"/>
      <c r="N68" s="24"/>
      <c r="S68"/>
    </row>
    <row r="69" spans="1:19" ht="15.75" customHeight="1" x14ac:dyDescent="0.25">
      <c r="A69" s="128" t="s">
        <v>83</v>
      </c>
      <c r="B69" s="128"/>
      <c r="C69" s="128"/>
      <c r="D69" s="162" t="str">
        <f>(IF(G60="NA","60 Years After Completion",IF(G60&lt;&gt;"NA",""&amp;60-ROUNDDOWN((E3-G60)/360,0)&amp;" Years"," ")))</f>
        <v>60 Years After Completion</v>
      </c>
      <c r="E69" s="162"/>
      <c r="F69" s="162"/>
      <c r="G69" s="162"/>
      <c r="H69" s="162"/>
      <c r="K69" s="21">
        <f>8*4</f>
        <v>32</v>
      </c>
      <c r="N69" s="24"/>
      <c r="S69"/>
    </row>
    <row r="70" spans="1:19" ht="15.75" customHeight="1" x14ac:dyDescent="0.25">
      <c r="A70" s="128" t="s">
        <v>84</v>
      </c>
      <c r="B70" s="128"/>
      <c r="C70" s="128"/>
      <c r="D70" s="184" t="s">
        <v>23</v>
      </c>
      <c r="E70" s="184"/>
      <c r="F70" s="184"/>
      <c r="G70" s="184"/>
      <c r="H70" s="184"/>
      <c r="J70" s="26"/>
      <c r="K70" s="26"/>
      <c r="S70"/>
    </row>
    <row r="71" spans="1:19" ht="51.75" customHeight="1" x14ac:dyDescent="0.25">
      <c r="A71" s="84" t="s">
        <v>392</v>
      </c>
      <c r="B71" s="84"/>
      <c r="C71" s="84"/>
      <c r="D71" s="136" t="s">
        <v>370</v>
      </c>
      <c r="E71" s="184"/>
      <c r="F71" s="184"/>
      <c r="G71" s="184"/>
      <c r="H71" s="184"/>
      <c r="S71"/>
    </row>
    <row r="72" spans="1:19" x14ac:dyDescent="0.25">
      <c r="A72" s="184" t="s">
        <v>146</v>
      </c>
      <c r="B72" s="184"/>
      <c r="C72" s="184"/>
      <c r="D72" s="184" t="s">
        <v>28</v>
      </c>
      <c r="E72" s="184"/>
      <c r="F72" s="184"/>
      <c r="G72" s="184"/>
      <c r="H72" s="184"/>
      <c r="I72" s="27"/>
      <c r="J72" s="27"/>
      <c r="K72" s="27"/>
      <c r="L72" s="27"/>
      <c r="M72" s="27"/>
      <c r="N72" s="27"/>
    </row>
    <row r="73" spans="1:19" ht="15.75" customHeight="1" x14ac:dyDescent="0.25">
      <c r="A73" s="128" t="s">
        <v>82</v>
      </c>
      <c r="B73" s="128"/>
      <c r="C73" s="128"/>
      <c r="D73" s="136" t="str">
        <f ca="1">(IF(G93&gt;95%,"Nothing",IF(G93&gt;0%,"Cement, Aggregate, Steel, etc",IF(G93=0%,"Work not yet Started"))))</f>
        <v>Cement, Aggregate, Steel, etc</v>
      </c>
      <c r="E73" s="136"/>
      <c r="F73" s="136"/>
      <c r="G73" s="136"/>
      <c r="H73" s="136"/>
      <c r="J73" s="26"/>
      <c r="S73"/>
    </row>
    <row r="74" spans="1:19" ht="33.75" customHeight="1" thickBot="1" x14ac:dyDescent="0.3">
      <c r="A74" s="184" t="s">
        <v>115</v>
      </c>
      <c r="B74" s="184"/>
      <c r="C74" s="184"/>
      <c r="D74" s="136" t="str">
        <f ca="1">(IF(D73="Nothing","Yes",IF(D73="Cement, Aggregate, Steel, etc","Under Construction",IF(D73="Work not yet Started","Work not yet Started"))))</f>
        <v>Under Construction</v>
      </c>
      <c r="E74" s="136"/>
      <c r="F74" s="136" t="str">
        <f ca="1">(IF(D73="Nothing","Yes",IF(D73="Cement, Aggregate, Steel, etc","Under Construction",IF(D73="Work not yet Started","Work not yet Started"))))</f>
        <v>Under Construction</v>
      </c>
      <c r="G74" s="136"/>
      <c r="H74" s="136"/>
      <c r="S74"/>
    </row>
    <row r="75" spans="1:19" ht="15.75" customHeight="1" x14ac:dyDescent="0.25">
      <c r="A75" s="186" t="s">
        <v>136</v>
      </c>
      <c r="B75" s="186"/>
      <c r="C75" s="186" t="str">
        <f>D65</f>
        <v>Building No. 1 &amp; 2 = St + 2P + E Deck + 1st to 28th Floor</v>
      </c>
      <c r="D75" s="186"/>
      <c r="E75" s="186"/>
      <c r="F75" s="186"/>
      <c r="G75" s="186"/>
      <c r="H75" s="186"/>
      <c r="I75" s="79" t="str">
        <f ca="1">IF(D88=100%,"All work Completed. Possession granted to the Building.",IF(D87=100%,"All work Completed, Waiting for OC",I76&amp;""&amp;I77&amp;""&amp;J76&amp;""&amp;J75&amp;" "&amp;J77))</f>
        <v xml:space="preserve">Work not yet Started. </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47" t="s">
        <v>138</v>
      </c>
      <c r="B76" s="47">
        <f>IF(AND(ISNUMBER(SEARCH("1B",C75))),1,IF(AND(ISNUMBER(SEARCH("2B",C75))),2,IF(AND(ISNUMBER(SEARCH("3B",C75))),3,IF(AND(ISNUMBER(SEARCH("4B",C75))),4,IF(ISNUMBER(SEARCH("5B",C75)),5,0)))))</f>
        <v>0</v>
      </c>
      <c r="C76" s="47" t="s">
        <v>68</v>
      </c>
      <c r="D76" s="47">
        <v>1</v>
      </c>
      <c r="E76" s="47" t="s">
        <v>67</v>
      </c>
      <c r="F76" s="47">
        <v>3</v>
      </c>
      <c r="G76" s="48" t="s">
        <v>76</v>
      </c>
      <c r="H76" s="47">
        <f ca="1">--TRIM(RIGHT(SUBSTITUTE(LEFT(C75,_xlfn.AGGREGATE(16,6,FIND({0,1,2,3,4,5,6,7,8,9},C75,ROW(INDIRECT("1:"&amp;LEN(C75)))),1))," ",REPT(" ",LEN(C75))),LEN(C75)))</f>
        <v>28</v>
      </c>
      <c r="I76" s="81" t="str">
        <f ca="1">IF(D79=100%,"Excavation","")&amp;IF(D80=100%,", Plinth","")&amp;IF(D81=100%,", RCC Slab","")&amp;IF(D82=100%,", Brickwork","")&amp;IF(D83=100%,", Internal Plaster","")&amp;IF(D84=100%,", External Plaster","")&amp;IF(D85=100%,", Flooring","")&amp;IF(D86=100%,", Painting","")&amp;IF(D87=100%,", Building common Amenities","")</f>
        <v/>
      </c>
      <c r="J76" s="52" t="str">
        <f>(IF(C79=0,"Work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Work not yet Started.</v>
      </c>
      <c r="S76"/>
    </row>
    <row r="77" spans="1:19" x14ac:dyDescent="0.25">
      <c r="A77" s="116" t="s">
        <v>86</v>
      </c>
      <c r="B77" s="116"/>
      <c r="C77" s="117" t="str">
        <f ca="1">I75</f>
        <v xml:space="preserve">Work not yet Started. </v>
      </c>
      <c r="D77" s="117"/>
      <c r="E77" s="117"/>
      <c r="F77" s="117"/>
      <c r="G77" s="117"/>
      <c r="H77" s="117"/>
      <c r="I77" s="81" t="str">
        <f ca="1">IF(I76&lt;&gt;""," Completed","")</f>
        <v/>
      </c>
      <c r="J77" s="52" t="str">
        <f ca="1">IF(J75&lt;&gt;"","Completed","")</f>
        <v/>
      </c>
      <c r="S77"/>
    </row>
    <row r="78" spans="1:19" ht="15.75" customHeight="1" x14ac:dyDescent="0.25">
      <c r="A78" s="96" t="s">
        <v>46</v>
      </c>
      <c r="B78" s="97"/>
      <c r="C78" s="43" t="s">
        <v>135</v>
      </c>
      <c r="D78" s="43" t="s">
        <v>79</v>
      </c>
      <c r="E78" s="97" t="s">
        <v>81</v>
      </c>
      <c r="F78" s="97"/>
      <c r="G78" s="97" t="s">
        <v>80</v>
      </c>
      <c r="H78" s="119"/>
      <c r="I78" s="13" t="s">
        <v>137</v>
      </c>
      <c r="J78" s="28">
        <f ca="1">H76*25%</f>
        <v>7</v>
      </c>
      <c r="S78"/>
    </row>
    <row r="79" spans="1:19" x14ac:dyDescent="0.25">
      <c r="A79" s="96" t="s">
        <v>124</v>
      </c>
      <c r="B79" s="97"/>
      <c r="C79" s="76">
        <v>0</v>
      </c>
      <c r="D79" s="19">
        <f ca="1">((100/H76)*C79)/100</f>
        <v>0</v>
      </c>
      <c r="E79" s="98">
        <f ca="1">(((C80/H76*10)+(40/(D76+F76+H76)*C81)+(7.5/(H76)*C82)+(7.5/(H76)*C83)+(10/H76*C84)+(10/H76*C85)+(5/H76*C86)+(5/H76*C87)+(5/H76*C88))/100)</f>
        <v>0</v>
      </c>
      <c r="F79" s="99"/>
      <c r="G79" s="98">
        <f ca="1">((((C79/H76)*20)+((C80/H76)*25)+(30/(H76+F76+D76)*C81)+(5/H76*C82)+(5/H76*C83)+(5/H76*C84)+(5/H76*C85)+(0/H76*C86)+(0/H76*C87)+(5/H76*C88))/100)</f>
        <v>0</v>
      </c>
      <c r="H79" s="104"/>
      <c r="I79" s="13" t="s">
        <v>97</v>
      </c>
      <c r="J79" s="29">
        <f ca="1">H76*50%</f>
        <v>14</v>
      </c>
    </row>
    <row r="80" spans="1:19" x14ac:dyDescent="0.25">
      <c r="A80" s="96" t="s">
        <v>47</v>
      </c>
      <c r="B80" s="97"/>
      <c r="C80" s="43">
        <v>0</v>
      </c>
      <c r="D80" s="19">
        <f ca="1">((100/H76)*C80)/100</f>
        <v>0</v>
      </c>
      <c r="E80" s="100"/>
      <c r="F80" s="101"/>
      <c r="G80" s="100"/>
      <c r="H80" s="105"/>
      <c r="I80" s="13" t="s">
        <v>98</v>
      </c>
      <c r="J80" s="29">
        <f ca="1">H76</f>
        <v>28</v>
      </c>
      <c r="S80"/>
    </row>
    <row r="81" spans="1:19" ht="15.75" customHeight="1" x14ac:dyDescent="0.25">
      <c r="A81" s="96" t="s">
        <v>125</v>
      </c>
      <c r="B81" s="97"/>
      <c r="C81" s="43">
        <v>0</v>
      </c>
      <c r="D81" s="19">
        <f ca="1">((100/(D76+F76+H76))*C81)/100</f>
        <v>0</v>
      </c>
      <c r="E81" s="100"/>
      <c r="F81" s="101"/>
      <c r="G81" s="100"/>
      <c r="H81" s="105"/>
      <c r="I81" s="13" t="s">
        <v>99</v>
      </c>
      <c r="J81" s="30">
        <f ca="1">(IF(B76&gt;1,(H76/(B76+2)),H76/4))</f>
        <v>7</v>
      </c>
      <c r="S81"/>
    </row>
    <row r="82" spans="1:19" ht="15.75" customHeight="1" x14ac:dyDescent="0.25">
      <c r="A82" s="96" t="s">
        <v>132</v>
      </c>
      <c r="B82" s="97" t="s">
        <v>126</v>
      </c>
      <c r="C82" s="43">
        <v>0</v>
      </c>
      <c r="D82" s="19">
        <f ca="1">((100/H76)*C82)/100</f>
        <v>0</v>
      </c>
      <c r="E82" s="100"/>
      <c r="F82" s="101"/>
      <c r="G82" s="100"/>
      <c r="H82" s="105"/>
      <c r="I82" s="13" t="s">
        <v>100</v>
      </c>
      <c r="J82" s="30">
        <f ca="1">(IF(B76&gt;1,(H76/(B76+2)+J81),H76/4+J81))</f>
        <v>14</v>
      </c>
    </row>
    <row r="83" spans="1:19" ht="15.75" customHeight="1" x14ac:dyDescent="0.25">
      <c r="A83" s="96" t="s">
        <v>133</v>
      </c>
      <c r="B83" s="97" t="s">
        <v>126</v>
      </c>
      <c r="C83" s="43">
        <v>0</v>
      </c>
      <c r="D83" s="19">
        <f ca="1">((100/H76)*C83)/100</f>
        <v>0</v>
      </c>
      <c r="E83" s="100"/>
      <c r="F83" s="101"/>
      <c r="G83" s="100"/>
      <c r="H83" s="105"/>
      <c r="I83" s="13" t="s">
        <v>144</v>
      </c>
      <c r="J83" s="30">
        <f>(IF(B76&gt;1,(H76/(B76+2)+J82),0))</f>
        <v>0</v>
      </c>
    </row>
    <row r="84" spans="1:19" ht="15" customHeight="1" x14ac:dyDescent="0.25">
      <c r="A84" s="96" t="s">
        <v>131</v>
      </c>
      <c r="B84" s="97" t="s">
        <v>128</v>
      </c>
      <c r="C84" s="43">
        <v>0</v>
      </c>
      <c r="D84" s="19">
        <f ca="1">((100/(H76))*C84)/100</f>
        <v>0</v>
      </c>
      <c r="E84" s="100"/>
      <c r="F84" s="101"/>
      <c r="G84" s="100"/>
      <c r="H84" s="105"/>
      <c r="I84" s="13" t="s">
        <v>139</v>
      </c>
      <c r="J84" s="30">
        <f>(IF(B76&gt;2,(H76/(B76+2)+J83),0))</f>
        <v>0</v>
      </c>
    </row>
    <row r="85" spans="1:19" ht="15.75" customHeight="1" x14ac:dyDescent="0.25">
      <c r="A85" s="96" t="s">
        <v>127</v>
      </c>
      <c r="B85" s="97" t="s">
        <v>127</v>
      </c>
      <c r="C85" s="43">
        <v>0</v>
      </c>
      <c r="D85" s="19">
        <f ca="1">((100/H76)*C85)/100</f>
        <v>0</v>
      </c>
      <c r="E85" s="100"/>
      <c r="F85" s="101"/>
      <c r="G85" s="100"/>
      <c r="H85" s="105"/>
      <c r="I85" s="13" t="s">
        <v>140</v>
      </c>
      <c r="J85" s="31">
        <f>(IF(B76&gt;3,(H76/(B76+2)+J84),0))</f>
        <v>0</v>
      </c>
    </row>
    <row r="86" spans="1:19" ht="15.75" customHeight="1" x14ac:dyDescent="0.25">
      <c r="A86" s="96" t="s">
        <v>134</v>
      </c>
      <c r="B86" s="97"/>
      <c r="C86" s="43">
        <v>0</v>
      </c>
      <c r="D86" s="19">
        <f ca="1">((100/H76)*C86)/100</f>
        <v>0</v>
      </c>
      <c r="E86" s="100"/>
      <c r="F86" s="101"/>
      <c r="G86" s="100"/>
      <c r="H86" s="105"/>
      <c r="I86" s="13" t="s">
        <v>141</v>
      </c>
      <c r="J86" s="30">
        <f>(IF(B76&gt;4,(H76/(B76+2)+J85),0))</f>
        <v>0</v>
      </c>
    </row>
    <row r="87" spans="1:19" ht="15.75" customHeight="1" x14ac:dyDescent="0.25">
      <c r="A87" s="96" t="s">
        <v>129</v>
      </c>
      <c r="B87" s="97" t="s">
        <v>129</v>
      </c>
      <c r="C87" s="43">
        <v>0</v>
      </c>
      <c r="D87" s="19">
        <f ca="1">((100/(H76))*C87)/100</f>
        <v>0</v>
      </c>
      <c r="E87" s="100"/>
      <c r="F87" s="101"/>
      <c r="G87" s="100"/>
      <c r="H87" s="105"/>
      <c r="I87" s="13" t="s">
        <v>145</v>
      </c>
      <c r="J87" s="30">
        <f ca="1">(IF(B76=1,(H76/(B76+3)+J82),IF(B76=0,(H76/4+J82),IF(B76&gt;1,0))))</f>
        <v>21</v>
      </c>
    </row>
    <row r="88" spans="1:19" ht="16.5" thickBot="1" x14ac:dyDescent="0.3">
      <c r="A88" s="123" t="s">
        <v>130</v>
      </c>
      <c r="B88" s="124"/>
      <c r="C88" s="44">
        <v>0</v>
      </c>
      <c r="D88" s="20">
        <f ca="1">((100/(H76))*C88)/100</f>
        <v>0</v>
      </c>
      <c r="E88" s="102"/>
      <c r="F88" s="103"/>
      <c r="G88" s="102"/>
      <c r="H88" s="106"/>
      <c r="I88" s="15" t="s">
        <v>101</v>
      </c>
      <c r="J88" s="32">
        <f ca="1">(IF(B76&gt;1.5,(H76/(B76+2)+J82+MAX(0,J83-J82)+MAX(0,J84-J83)+MAX(0,J85-J84)+MAX(0,J86-J85)+MAX(0,J87-J86)),IF(B76=1,(H76/(B76+3)+J87),IF(B76=0,H76/4+J87))))</f>
        <v>28</v>
      </c>
    </row>
    <row r="89" spans="1:19" ht="15.75" customHeight="1" x14ac:dyDescent="0.25">
      <c r="A89" s="110" t="s">
        <v>136</v>
      </c>
      <c r="B89" s="111"/>
      <c r="C89" s="112" t="str">
        <f>D66</f>
        <v>Building No. 7 &amp; 8 = St + 2P + E Deck + 1st to 24th Floor</v>
      </c>
      <c r="D89" s="113"/>
      <c r="E89" s="113"/>
      <c r="F89" s="113"/>
      <c r="G89" s="113"/>
      <c r="H89" s="114"/>
      <c r="I89" s="49" t="str">
        <f ca="1">IF(D102=100%,"All work Completed. Possession granted to the Building.",IF(D101=100%,"All work Completed, Waiting for OC",I90&amp;""&amp;I91&amp;""&amp;J90&amp;""&amp;J89&amp;" "&amp;J91))</f>
        <v xml:space="preserve">Excavation Completed </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x14ac:dyDescent="0.25">
      <c r="A90" s="16" t="s">
        <v>138</v>
      </c>
      <c r="B90" s="47">
        <f>IF(AND(ISNUMBER(SEARCH("1B",C89))),1,IF(AND(ISNUMBER(SEARCH("2B",C89))),2,IF(AND(ISNUMBER(SEARCH("3B",C89))),3,IF(AND(ISNUMBER(SEARCH("4B",C89))),4,IF(ISNUMBER(SEARCH("5B",C89)),5,0)))))</f>
        <v>0</v>
      </c>
      <c r="C90" s="47" t="s">
        <v>68</v>
      </c>
      <c r="D90" s="47">
        <v>1</v>
      </c>
      <c r="E90" s="47" t="s">
        <v>67</v>
      </c>
      <c r="F90" s="47">
        <v>3</v>
      </c>
      <c r="G90" s="48" t="s">
        <v>76</v>
      </c>
      <c r="H90" s="17">
        <f ca="1">--TRIM(RIGHT(SUBSTITUTE(LEFT(C89,_xlfn.AGGREGATE(16,6,FIND({0,1,2,3,4,5,6,7,8,9},C89,ROW(INDIRECT("1:"&amp;LEN(C89)))),1))," ",REPT(" ",LEN(C89))),LEN(C89)))</f>
        <v>24</v>
      </c>
      <c r="I90" s="51" t="str">
        <f ca="1">IF(D93=100%,"Excavation","")&amp;IF(D94=100%,", Plinth","")&amp;IF(D95=100%,", RCC Slab","")&amp;IF(D96=100%,", Brickwork","")&amp;IF(D97=100%,", Internal Plaster","")&amp;IF(D98=100%,", External Plaster","")&amp;IF(D99=100%,", Flooring","")&amp;IF(D100=100%,", Painting","")&amp;IF(D101=100%,", Building common Amenities","")</f>
        <v>Excavation</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x14ac:dyDescent="0.25">
      <c r="A91" s="115" t="s">
        <v>86</v>
      </c>
      <c r="B91" s="116"/>
      <c r="C91" s="117" t="str">
        <f ca="1">I89</f>
        <v xml:space="preserve">Excavation Completed </v>
      </c>
      <c r="D91" s="117"/>
      <c r="E91" s="117"/>
      <c r="F91" s="117"/>
      <c r="G91" s="117"/>
      <c r="H91" s="118"/>
      <c r="I91" s="51" t="str">
        <f ca="1">IF(I90&lt;&gt;""," Completed","")</f>
        <v xml:space="preserve"> Completed</v>
      </c>
      <c r="J91" s="52" t="str">
        <f ca="1">IF(J89&lt;&gt;"","Completed","")</f>
        <v/>
      </c>
      <c r="S91"/>
    </row>
    <row r="92" spans="1:19" ht="15.75" customHeight="1" x14ac:dyDescent="0.25">
      <c r="A92" s="96" t="s">
        <v>46</v>
      </c>
      <c r="B92" s="97"/>
      <c r="C92" s="43" t="s">
        <v>135</v>
      </c>
      <c r="D92" s="43" t="s">
        <v>79</v>
      </c>
      <c r="E92" s="97" t="s">
        <v>81</v>
      </c>
      <c r="F92" s="97"/>
      <c r="G92" s="97" t="s">
        <v>80</v>
      </c>
      <c r="H92" s="119"/>
      <c r="I92" s="13" t="s">
        <v>137</v>
      </c>
      <c r="J92" s="28">
        <f ca="1">H90*25%</f>
        <v>6</v>
      </c>
      <c r="S92"/>
    </row>
    <row r="93" spans="1:19" x14ac:dyDescent="0.25">
      <c r="A93" s="96" t="s">
        <v>124</v>
      </c>
      <c r="B93" s="97"/>
      <c r="C93" s="76">
        <f ca="1">J94</f>
        <v>24</v>
      </c>
      <c r="D93" s="19">
        <f ca="1">((100/H90)*C93)/100</f>
        <v>1</v>
      </c>
      <c r="E93" s="98">
        <f ca="1">(((C94/H90*10)+(40/(D90+F90+H90)*C95)+(7.5/(H90)*C96)+(7.5/(H90)*C97)+(10/H90*C98)+(10/H90*C99)+(5/H90*C100)+(5/H90*C101)+(5/H90*C102))/100)</f>
        <v>0</v>
      </c>
      <c r="F93" s="99"/>
      <c r="G93" s="98">
        <f ca="1">((((C93/H90)*20)+((C94/H90)*25)+(30/(H90+F90+D90)*C95)+(5/H90*C96)+(5/H90*C97)+(5/H90*C98)+(5/H90*C99)+(0/H90*C100)+(0/H90*C101)+(5/H90*C102))/100)</f>
        <v>0.2</v>
      </c>
      <c r="H93" s="104"/>
      <c r="I93" s="13" t="s">
        <v>97</v>
      </c>
      <c r="J93" s="29">
        <f ca="1">H90*50%</f>
        <v>12</v>
      </c>
    </row>
    <row r="94" spans="1:19" x14ac:dyDescent="0.25">
      <c r="A94" s="96" t="s">
        <v>47</v>
      </c>
      <c r="B94" s="97"/>
      <c r="C94" s="43">
        <v>0</v>
      </c>
      <c r="D94" s="19">
        <f ca="1">((100/H90)*C94)/100</f>
        <v>0</v>
      </c>
      <c r="E94" s="100"/>
      <c r="F94" s="101"/>
      <c r="G94" s="100"/>
      <c r="H94" s="105"/>
      <c r="I94" s="13" t="s">
        <v>98</v>
      </c>
      <c r="J94" s="29">
        <f ca="1">H90</f>
        <v>24</v>
      </c>
      <c r="S94"/>
    </row>
    <row r="95" spans="1:19" ht="15.75" customHeight="1" x14ac:dyDescent="0.25">
      <c r="A95" s="96" t="s">
        <v>125</v>
      </c>
      <c r="B95" s="97"/>
      <c r="C95" s="43">
        <v>0</v>
      </c>
      <c r="D95" s="19">
        <f ca="1">((100/(D90+F90+H90))*C95)/100</f>
        <v>0</v>
      </c>
      <c r="E95" s="100"/>
      <c r="F95" s="101"/>
      <c r="G95" s="100"/>
      <c r="H95" s="105"/>
      <c r="I95" s="13" t="s">
        <v>99</v>
      </c>
      <c r="J95" s="30">
        <f ca="1">(IF(B90&gt;1,(H90/(B90+2)),H90/4))</f>
        <v>6</v>
      </c>
      <c r="S95"/>
    </row>
    <row r="96" spans="1:19" ht="15.75" customHeight="1" x14ac:dyDescent="0.25">
      <c r="A96" s="96" t="s">
        <v>132</v>
      </c>
      <c r="B96" s="97" t="s">
        <v>126</v>
      </c>
      <c r="C96" s="43">
        <v>0</v>
      </c>
      <c r="D96" s="19">
        <f ca="1">((100/H90)*C96)/100</f>
        <v>0</v>
      </c>
      <c r="E96" s="100"/>
      <c r="F96" s="101"/>
      <c r="G96" s="100"/>
      <c r="H96" s="105"/>
      <c r="I96" s="13" t="s">
        <v>100</v>
      </c>
      <c r="J96" s="30">
        <f ca="1">(IF(B90&gt;1,(H90/(B90+2)+J95),H90/4+J95))</f>
        <v>12</v>
      </c>
    </row>
    <row r="97" spans="1:19" ht="15.75" customHeight="1" x14ac:dyDescent="0.25">
      <c r="A97" s="96" t="s">
        <v>133</v>
      </c>
      <c r="B97" s="97" t="s">
        <v>126</v>
      </c>
      <c r="C97" s="43">
        <v>0</v>
      </c>
      <c r="D97" s="19">
        <f ca="1">((100/H90)*C97)/100</f>
        <v>0</v>
      </c>
      <c r="E97" s="100"/>
      <c r="F97" s="101"/>
      <c r="G97" s="100"/>
      <c r="H97" s="105"/>
      <c r="I97" s="13" t="s">
        <v>144</v>
      </c>
      <c r="J97" s="30">
        <f>(IF(B90&gt;1,(H90/(B90+2)+J96),0))</f>
        <v>0</v>
      </c>
    </row>
    <row r="98" spans="1:19" ht="15" customHeight="1" x14ac:dyDescent="0.25">
      <c r="A98" s="96" t="s">
        <v>131</v>
      </c>
      <c r="B98" s="97" t="s">
        <v>128</v>
      </c>
      <c r="C98" s="43">
        <v>0</v>
      </c>
      <c r="D98" s="19">
        <f ca="1">((100/(H90))*C98)/100</f>
        <v>0</v>
      </c>
      <c r="E98" s="100"/>
      <c r="F98" s="101"/>
      <c r="G98" s="100"/>
      <c r="H98" s="105"/>
      <c r="I98" s="13" t="s">
        <v>139</v>
      </c>
      <c r="J98" s="30">
        <f>(IF(B90&gt;2,(H90/(B90+2)+J97),0))</f>
        <v>0</v>
      </c>
    </row>
    <row r="99" spans="1:19" ht="15.75" customHeight="1" x14ac:dyDescent="0.25">
      <c r="A99" s="96" t="s">
        <v>127</v>
      </c>
      <c r="B99" s="97" t="s">
        <v>127</v>
      </c>
      <c r="C99" s="43">
        <v>0</v>
      </c>
      <c r="D99" s="19">
        <f ca="1">((100/H90)*C99)/100</f>
        <v>0</v>
      </c>
      <c r="E99" s="100"/>
      <c r="F99" s="101"/>
      <c r="G99" s="100"/>
      <c r="H99" s="105"/>
      <c r="I99" s="13" t="s">
        <v>140</v>
      </c>
      <c r="J99" s="31">
        <f>(IF(B90&gt;3,(H90/(B90+2)+J98),0))</f>
        <v>0</v>
      </c>
    </row>
    <row r="100" spans="1:19" ht="15.75" customHeight="1" x14ac:dyDescent="0.25">
      <c r="A100" s="96" t="s">
        <v>134</v>
      </c>
      <c r="B100" s="97"/>
      <c r="C100" s="43">
        <v>0</v>
      </c>
      <c r="D100" s="19">
        <f ca="1">((100/H90)*C100)/100</f>
        <v>0</v>
      </c>
      <c r="E100" s="100"/>
      <c r="F100" s="101"/>
      <c r="G100" s="100"/>
      <c r="H100" s="105"/>
      <c r="I100" s="13" t="s">
        <v>141</v>
      </c>
      <c r="J100" s="30">
        <f>(IF(B90&gt;4,(H90/(B90+2)+J99),0))</f>
        <v>0</v>
      </c>
    </row>
    <row r="101" spans="1:19" ht="15.75" customHeight="1" x14ac:dyDescent="0.25">
      <c r="A101" s="96" t="s">
        <v>129</v>
      </c>
      <c r="B101" s="97" t="s">
        <v>129</v>
      </c>
      <c r="C101" s="43">
        <v>0</v>
      </c>
      <c r="D101" s="19">
        <f ca="1">((100/(H90))*C101)/100</f>
        <v>0</v>
      </c>
      <c r="E101" s="100"/>
      <c r="F101" s="101"/>
      <c r="G101" s="100"/>
      <c r="H101" s="105"/>
      <c r="I101" s="13" t="s">
        <v>145</v>
      </c>
      <c r="J101" s="30">
        <f ca="1">(IF(B90=1,(H90/(B90+3)+J96),IF(B90=0,(H90/4+J96),IF(B90&gt;1,0))))</f>
        <v>18</v>
      </c>
    </row>
    <row r="102" spans="1:19" ht="16.5" thickBot="1" x14ac:dyDescent="0.3">
      <c r="A102" s="123" t="s">
        <v>130</v>
      </c>
      <c r="B102" s="124"/>
      <c r="C102" s="44">
        <v>0</v>
      </c>
      <c r="D102" s="20">
        <f ca="1">((100/(H90))*C102)/100</f>
        <v>0</v>
      </c>
      <c r="E102" s="102"/>
      <c r="F102" s="103"/>
      <c r="G102" s="102"/>
      <c r="H102" s="106"/>
      <c r="I102" s="15" t="s">
        <v>101</v>
      </c>
      <c r="J102" s="32">
        <f ca="1">(IF(B90&gt;1.5,(H90/(B90+2)+J96+MAX(0,J97-J96)+MAX(0,J98-J97)+MAX(0,J99-J98)+MAX(0,J100-J99)+MAX(0,J101-J100)),IF(B90=1,(H90/(B90+3)+J101),IF(B90=0,H90/4+J101))))</f>
        <v>24</v>
      </c>
    </row>
    <row r="103" spans="1:19" ht="15.75" hidden="1" customHeight="1" x14ac:dyDescent="0.25">
      <c r="A103" s="110" t="s">
        <v>136</v>
      </c>
      <c r="B103" s="111"/>
      <c r="C103" s="112">
        <f>D67</f>
        <v>0</v>
      </c>
      <c r="D103" s="113"/>
      <c r="E103" s="113"/>
      <c r="F103" s="113"/>
      <c r="G103" s="113"/>
      <c r="H103" s="114"/>
      <c r="I103" s="49" t="e">
        <f ca="1">IF(D116=100%,"All work Completed. Possession granted to the Building.",IF(D115=100%,"All work Completed, Waiting for OC",I104&amp;""&amp;I105&amp;""&amp;J104&amp;""&amp;J103&amp;" "&amp;J105))</f>
        <v>#DIV/0!</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138</v>
      </c>
      <c r="B104" s="47">
        <f>IF(AND(ISNUMBER(SEARCH("1B",C103))),1,IF(AND(ISNUMBER(SEARCH("2B",C103))),2,IF(AND(ISNUMBER(SEARCH("3B",C103))),3,IF(AND(ISNUMBER(SEARCH("4B",C103))),4,IF(ISNUMBER(SEARCH("5B",C103)),5,0)))))</f>
        <v>0</v>
      </c>
      <c r="C104" s="47" t="s">
        <v>68</v>
      </c>
      <c r="D104" s="47">
        <v>1</v>
      </c>
      <c r="E104" s="47" t="s">
        <v>67</v>
      </c>
      <c r="F104" s="14">
        <v>0</v>
      </c>
      <c r="G104" s="48" t="s">
        <v>76</v>
      </c>
      <c r="H104" s="17">
        <f ca="1">--TRIM(RIGHT(SUBSTITUTE(LEFT(C103,_xlfn.AGGREGATE(16,6,FIND({0,1,2,3,4,5,6,7,8,9},C103,ROW(INDIRECT("1:"&amp;LEN(C103)))),1))," ",REPT(" ",LEN(C103))),LEN(C103)))</f>
        <v>0</v>
      </c>
      <c r="I104" s="51" t="e">
        <f ca="1">IF(D107=100%,"Excavation","")&amp;IF(D108=100%,", Plinth","")&amp;IF(D109=100%,", RCC Slab","")&amp;IF(D110=100%,", Brickwork","")&amp;IF(D111=100%,", Internal Plaster","")&amp;IF(D112=100%,", External Plaster","")&amp;IF(D113=100%,", Flooring","")&amp;IF(D114=100%,", Painting","")&amp;IF(D115=100%,", Building common Amenities","")</f>
        <v>#DIV/0!</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Work not yet Started.</v>
      </c>
      <c r="S104"/>
    </row>
    <row r="105" spans="1:19" ht="36.75" hidden="1" customHeight="1" x14ac:dyDescent="0.25">
      <c r="A105" s="115" t="s">
        <v>86</v>
      </c>
      <c r="B105" s="116"/>
      <c r="C105" s="117" t="e">
        <f ca="1">I103</f>
        <v>#DIV/0!</v>
      </c>
      <c r="D105" s="117"/>
      <c r="E105" s="117"/>
      <c r="F105" s="117"/>
      <c r="G105" s="117"/>
      <c r="H105" s="118"/>
      <c r="I105" s="51" t="e">
        <f ca="1">IF(I104&lt;&gt;""," Completed","")</f>
        <v>#DIV/0!</v>
      </c>
      <c r="J105" s="52" t="str">
        <f ca="1">IF(J103&lt;&gt;"","Completed","")</f>
        <v/>
      </c>
      <c r="S105"/>
    </row>
    <row r="106" spans="1:19" ht="15.75" hidden="1" customHeight="1" x14ac:dyDescent="0.25">
      <c r="A106" s="96" t="s">
        <v>46</v>
      </c>
      <c r="B106" s="97"/>
      <c r="C106" s="43" t="s">
        <v>135</v>
      </c>
      <c r="D106" s="43" t="s">
        <v>79</v>
      </c>
      <c r="E106" s="97" t="s">
        <v>81</v>
      </c>
      <c r="F106" s="97"/>
      <c r="G106" s="97" t="s">
        <v>80</v>
      </c>
      <c r="H106" s="119"/>
      <c r="I106" s="13" t="s">
        <v>137</v>
      </c>
      <c r="J106" s="28">
        <f ca="1">H104*25%</f>
        <v>0</v>
      </c>
      <c r="S106"/>
    </row>
    <row r="107" spans="1:19" hidden="1" x14ac:dyDescent="0.25">
      <c r="A107" s="96" t="s">
        <v>124</v>
      </c>
      <c r="B107" s="97"/>
      <c r="C107" s="59">
        <f ca="1">J108</f>
        <v>0</v>
      </c>
      <c r="D107" s="19" t="e">
        <f ca="1">((100/H104)*C107)/100</f>
        <v>#DIV/0!</v>
      </c>
      <c r="E107" s="98" t="e">
        <f ca="1">(((C108/H104*10)+(40/(D104+F104+H104)*C109)+(7.5/(H104)*C110)+(7.5/(H104)*C111)+(10/H104*C112)+(10/H104*C113)+(5/H104*C114)+(5/H104*C115)+(5/H104*C116))/100)</f>
        <v>#DIV/0!</v>
      </c>
      <c r="F107" s="99"/>
      <c r="G107" s="98" t="e">
        <f ca="1">((((C107/H104)*20)+((C108/H104)*25)+(30/(H104+F104+D104)*C109)+(5/H104*C110)+(5/H104*C111)+(5/H104*C112)+(5/H104*C113)+(0/H104*C114)+(0/H104*C115)+(5/H104*C116))/100)</f>
        <v>#DIV/0!</v>
      </c>
      <c r="H107" s="104"/>
      <c r="I107" s="13" t="s">
        <v>97</v>
      </c>
      <c r="J107" s="29">
        <f ca="1">H104*50%</f>
        <v>0</v>
      </c>
    </row>
    <row r="108" spans="1:19" hidden="1" x14ac:dyDescent="0.25">
      <c r="A108" s="96" t="s">
        <v>47</v>
      </c>
      <c r="B108" s="97"/>
      <c r="C108" s="43">
        <f ca="1">J116</f>
        <v>0</v>
      </c>
      <c r="D108" s="19" t="e">
        <f ca="1">((100/H104)*C108)/100</f>
        <v>#DIV/0!</v>
      </c>
      <c r="E108" s="100"/>
      <c r="F108" s="101"/>
      <c r="G108" s="100"/>
      <c r="H108" s="105"/>
      <c r="I108" s="13" t="s">
        <v>98</v>
      </c>
      <c r="J108" s="29">
        <f ca="1">H104</f>
        <v>0</v>
      </c>
      <c r="S108"/>
    </row>
    <row r="109" spans="1:19" ht="15.75" hidden="1" customHeight="1" x14ac:dyDescent="0.25">
      <c r="A109" s="96" t="s">
        <v>125</v>
      </c>
      <c r="B109" s="97"/>
      <c r="C109" s="43">
        <v>0</v>
      </c>
      <c r="D109" s="19">
        <f ca="1">((100/(D104+F104+H104))*C109)/100</f>
        <v>0</v>
      </c>
      <c r="E109" s="100"/>
      <c r="F109" s="101"/>
      <c r="G109" s="100"/>
      <c r="H109" s="105"/>
      <c r="I109" s="13" t="s">
        <v>99</v>
      </c>
      <c r="J109" s="30">
        <f ca="1">(IF(B104&gt;1,(H104/(B104+2)),H104/4))</f>
        <v>0</v>
      </c>
      <c r="S109"/>
    </row>
    <row r="110" spans="1:19" ht="15.75" hidden="1" customHeight="1" x14ac:dyDescent="0.25">
      <c r="A110" s="96" t="s">
        <v>132</v>
      </c>
      <c r="B110" s="97" t="s">
        <v>126</v>
      </c>
      <c r="C110" s="43">
        <v>0</v>
      </c>
      <c r="D110" s="19" t="e">
        <f ca="1">((100/H104)*C110)/100</f>
        <v>#DIV/0!</v>
      </c>
      <c r="E110" s="100"/>
      <c r="F110" s="101"/>
      <c r="G110" s="100"/>
      <c r="H110" s="105"/>
      <c r="I110" s="13" t="s">
        <v>100</v>
      </c>
      <c r="J110" s="30">
        <f ca="1">(IF(B104&gt;1,(H104/(B104+2)+J109),H104/4+J109))</f>
        <v>0</v>
      </c>
    </row>
    <row r="111" spans="1:19" ht="15.75" hidden="1" customHeight="1" x14ac:dyDescent="0.25">
      <c r="A111" s="96" t="s">
        <v>133</v>
      </c>
      <c r="B111" s="97" t="s">
        <v>126</v>
      </c>
      <c r="C111" s="43">
        <v>0</v>
      </c>
      <c r="D111" s="19" t="e">
        <f ca="1">((100/H104)*C111)/100</f>
        <v>#DIV/0!</v>
      </c>
      <c r="E111" s="100"/>
      <c r="F111" s="101"/>
      <c r="G111" s="100"/>
      <c r="H111" s="105"/>
      <c r="I111" s="13" t="s">
        <v>144</v>
      </c>
      <c r="J111" s="30">
        <f>(IF(B104&gt;1,(H104/(B104+2)+J110),0))</f>
        <v>0</v>
      </c>
    </row>
    <row r="112" spans="1:19" ht="15" hidden="1" customHeight="1" x14ac:dyDescent="0.25">
      <c r="A112" s="96" t="s">
        <v>131</v>
      </c>
      <c r="B112" s="97" t="s">
        <v>128</v>
      </c>
      <c r="C112" s="43">
        <v>0</v>
      </c>
      <c r="D112" s="19" t="e">
        <f ca="1">((100/(H104))*C112)/100</f>
        <v>#DIV/0!</v>
      </c>
      <c r="E112" s="100"/>
      <c r="F112" s="101"/>
      <c r="G112" s="100"/>
      <c r="H112" s="105"/>
      <c r="I112" s="13" t="s">
        <v>139</v>
      </c>
      <c r="J112" s="30">
        <f>(IF(B104&gt;2,(H104/(B104+2)+J111),0))</f>
        <v>0</v>
      </c>
    </row>
    <row r="113" spans="1:22" ht="15.75" hidden="1" customHeight="1" x14ac:dyDescent="0.25">
      <c r="A113" s="96" t="s">
        <v>127</v>
      </c>
      <c r="B113" s="97" t="s">
        <v>127</v>
      </c>
      <c r="C113" s="43">
        <v>0</v>
      </c>
      <c r="D113" s="19" t="e">
        <f ca="1">((100/H104)*C113)/100</f>
        <v>#DIV/0!</v>
      </c>
      <c r="E113" s="100"/>
      <c r="F113" s="101"/>
      <c r="G113" s="100"/>
      <c r="H113" s="105"/>
      <c r="I113" s="13" t="s">
        <v>140</v>
      </c>
      <c r="J113" s="31">
        <f>(IF(B104&gt;3,(H104/(B104+2)+J112),0))</f>
        <v>0</v>
      </c>
    </row>
    <row r="114" spans="1:22" ht="15.75" hidden="1" customHeight="1" x14ac:dyDescent="0.25">
      <c r="A114" s="96" t="s">
        <v>134</v>
      </c>
      <c r="B114" s="97"/>
      <c r="C114" s="43">
        <v>0</v>
      </c>
      <c r="D114" s="19" t="e">
        <f ca="1">((100/H104)*C114)/100</f>
        <v>#DIV/0!</v>
      </c>
      <c r="E114" s="100"/>
      <c r="F114" s="101"/>
      <c r="G114" s="100"/>
      <c r="H114" s="105"/>
      <c r="I114" s="13" t="s">
        <v>141</v>
      </c>
      <c r="J114" s="30">
        <f>(IF(B104&gt;4,(H104/(B104+2)+J113),0))</f>
        <v>0</v>
      </c>
    </row>
    <row r="115" spans="1:22" ht="15.75" hidden="1" customHeight="1" x14ac:dyDescent="0.25">
      <c r="A115" s="96" t="s">
        <v>129</v>
      </c>
      <c r="B115" s="97" t="s">
        <v>129</v>
      </c>
      <c r="C115" s="43">
        <v>0</v>
      </c>
      <c r="D115" s="19" t="e">
        <f ca="1">((100/(H104))*C115)/100</f>
        <v>#DIV/0!</v>
      </c>
      <c r="E115" s="100"/>
      <c r="F115" s="101"/>
      <c r="G115" s="100"/>
      <c r="H115" s="105"/>
      <c r="I115" s="13" t="s">
        <v>145</v>
      </c>
      <c r="J115" s="30">
        <f ca="1">(IF(B104=1,(H104/(B104+3)+J110),IF(B104=0,(H104/4+J110),IF(B104&gt;1,0))))</f>
        <v>0</v>
      </c>
    </row>
    <row r="116" spans="1:22" ht="16.5" hidden="1" thickBot="1" x14ac:dyDescent="0.3">
      <c r="A116" s="123" t="s">
        <v>130</v>
      </c>
      <c r="B116" s="124"/>
      <c r="C116" s="44">
        <v>0</v>
      </c>
      <c r="D116" s="20" t="e">
        <f ca="1">((100/(H104))*C116)/100</f>
        <v>#DIV/0!</v>
      </c>
      <c r="E116" s="102"/>
      <c r="F116" s="103"/>
      <c r="G116" s="102"/>
      <c r="H116" s="106"/>
      <c r="I116" s="15" t="s">
        <v>101</v>
      </c>
      <c r="J116" s="32">
        <f ca="1">(IF(B104&gt;1.5,(H104/(B104+2)+J110+MAX(0,J111-J110)+MAX(0,J112-J111)+MAX(0,J113-J112)+MAX(0,J114-J113)+MAX(0,J115-J114)),IF(B104=1,(H104/(B104+3)+J115),IF(B104=0,H104/4+J115))))</f>
        <v>0</v>
      </c>
    </row>
    <row r="117" spans="1:22" x14ac:dyDescent="0.25">
      <c r="A117" s="200" t="s">
        <v>156</v>
      </c>
      <c r="B117" s="200"/>
      <c r="C117" s="200"/>
      <c r="D117" s="200"/>
      <c r="E117" s="200"/>
      <c r="F117" s="127" t="s">
        <v>160</v>
      </c>
      <c r="G117" s="127"/>
      <c r="H117" s="127"/>
      <c r="R117" t="s">
        <v>253</v>
      </c>
      <c r="S117" t="s">
        <v>172</v>
      </c>
      <c r="T117" t="s">
        <v>179</v>
      </c>
      <c r="U117" t="s">
        <v>193</v>
      </c>
      <c r="V117" t="s">
        <v>188</v>
      </c>
    </row>
    <row r="118" spans="1:22" x14ac:dyDescent="0.25">
      <c r="A118" s="128" t="s">
        <v>158</v>
      </c>
      <c r="B118" s="128"/>
      <c r="C118" s="128"/>
      <c r="D118" s="128"/>
      <c r="E118" s="128"/>
      <c r="F118" s="121">
        <v>6800</v>
      </c>
      <c r="G118" s="121"/>
      <c r="H118" s="121"/>
      <c r="J118" s="21" t="s">
        <v>401</v>
      </c>
      <c r="L118" s="25">
        <v>45614</v>
      </c>
      <c r="R118"/>
      <c r="S118">
        <v>800000</v>
      </c>
      <c r="T118">
        <v>150000</v>
      </c>
      <c r="U118">
        <v>100000</v>
      </c>
      <c r="V118">
        <v>100000</v>
      </c>
    </row>
    <row r="119" spans="1:22" hidden="1" x14ac:dyDescent="0.25">
      <c r="A119" s="128" t="s">
        <v>157</v>
      </c>
      <c r="B119" s="128"/>
      <c r="C119" s="128"/>
      <c r="D119" s="128"/>
      <c r="E119" s="128"/>
      <c r="F119" s="121"/>
      <c r="G119" s="121"/>
      <c r="H119" s="121"/>
      <c r="R119"/>
      <c r="S119">
        <v>900000</v>
      </c>
      <c r="T119">
        <v>200000</v>
      </c>
      <c r="U119">
        <v>150000</v>
      </c>
      <c r="V119">
        <v>150000</v>
      </c>
    </row>
    <row r="120" spans="1:22" hidden="1" x14ac:dyDescent="0.25">
      <c r="A120" s="128" t="s">
        <v>159</v>
      </c>
      <c r="B120" s="128"/>
      <c r="C120" s="128"/>
      <c r="D120" s="128"/>
      <c r="E120" s="128"/>
      <c r="F120" s="121"/>
      <c r="G120" s="121"/>
      <c r="H120" s="121"/>
      <c r="R120"/>
      <c r="S120">
        <v>1000000</v>
      </c>
      <c r="T120">
        <v>250000</v>
      </c>
      <c r="U120">
        <v>200000</v>
      </c>
      <c r="V120">
        <v>200000</v>
      </c>
    </row>
    <row r="121" spans="1:22" s="33" customFormat="1" hidden="1" x14ac:dyDescent="0.25">
      <c r="A121" s="128" t="s">
        <v>174</v>
      </c>
      <c r="B121" s="128"/>
      <c r="C121" s="128"/>
      <c r="D121" s="128"/>
      <c r="E121" s="128"/>
      <c r="F121" s="121"/>
      <c r="G121" s="121"/>
      <c r="H121" s="121"/>
      <c r="R121"/>
      <c r="S121">
        <v>1100000</v>
      </c>
      <c r="T121">
        <v>300000</v>
      </c>
      <c r="U121">
        <v>250000</v>
      </c>
      <c r="V121" s="23">
        <v>250000</v>
      </c>
    </row>
    <row r="122" spans="1:22" s="33" customFormat="1" hidden="1" x14ac:dyDescent="0.25">
      <c r="A122" s="128" t="s">
        <v>91</v>
      </c>
      <c r="B122" s="128"/>
      <c r="C122" s="128"/>
      <c r="D122" s="128"/>
      <c r="E122" s="128"/>
      <c r="F122" s="121"/>
      <c r="G122" s="121"/>
      <c r="H122" s="121"/>
      <c r="R122"/>
      <c r="S122">
        <v>1200000</v>
      </c>
      <c r="T122">
        <v>350000</v>
      </c>
      <c r="U122">
        <v>300000</v>
      </c>
      <c r="V122">
        <v>300000</v>
      </c>
    </row>
    <row r="123" spans="1:22" s="33" customFormat="1" hidden="1" x14ac:dyDescent="0.25">
      <c r="A123" s="128" t="s">
        <v>92</v>
      </c>
      <c r="B123" s="128"/>
      <c r="C123" s="128"/>
      <c r="D123" s="128"/>
      <c r="E123" s="128"/>
      <c r="F123" s="121"/>
      <c r="G123" s="121"/>
      <c r="H123" s="121"/>
      <c r="R123"/>
      <c r="S123">
        <v>1300000</v>
      </c>
      <c r="T123">
        <v>400000</v>
      </c>
      <c r="U123">
        <v>350000</v>
      </c>
      <c r="V123" s="23">
        <v>400000</v>
      </c>
    </row>
    <row r="124" spans="1:22" s="33" customFormat="1" hidden="1" x14ac:dyDescent="0.25">
      <c r="A124" s="128" t="s">
        <v>93</v>
      </c>
      <c r="B124" s="128"/>
      <c r="C124" s="128"/>
      <c r="D124" s="128"/>
      <c r="E124" s="128"/>
      <c r="F124" s="121"/>
      <c r="G124" s="121"/>
      <c r="H124" s="121"/>
      <c r="R124"/>
      <c r="S124">
        <v>1400000</v>
      </c>
      <c r="T124">
        <v>500000</v>
      </c>
      <c r="U124">
        <v>400000</v>
      </c>
      <c r="V124"/>
    </row>
    <row r="125" spans="1:22" s="33" customFormat="1" hidden="1" x14ac:dyDescent="0.25">
      <c r="A125" s="128" t="s">
        <v>94</v>
      </c>
      <c r="B125" s="128"/>
      <c r="C125" s="128"/>
      <c r="D125" s="128"/>
      <c r="E125" s="128"/>
      <c r="F125" s="121"/>
      <c r="G125" s="121"/>
      <c r="H125" s="121"/>
      <c r="R125"/>
      <c r="S125">
        <v>1500000</v>
      </c>
      <c r="T125">
        <v>600000</v>
      </c>
      <c r="U125">
        <v>500000</v>
      </c>
      <c r="V125" s="23"/>
    </row>
    <row r="126" spans="1:22" s="33" customFormat="1" hidden="1" x14ac:dyDescent="0.25">
      <c r="A126" s="128" t="s">
        <v>95</v>
      </c>
      <c r="B126" s="128"/>
      <c r="C126" s="128"/>
      <c r="D126" s="128"/>
      <c r="E126" s="128"/>
      <c r="F126" s="121"/>
      <c r="G126" s="121"/>
      <c r="H126" s="121"/>
      <c r="R126"/>
      <c r="S126">
        <v>1600000</v>
      </c>
      <c r="T126">
        <v>700000</v>
      </c>
      <c r="U126">
        <v>600000</v>
      </c>
      <c r="V126"/>
    </row>
    <row r="127" spans="1:22" s="33" customFormat="1" hidden="1" x14ac:dyDescent="0.25">
      <c r="A127" s="128" t="s">
        <v>96</v>
      </c>
      <c r="B127" s="128"/>
      <c r="C127" s="128"/>
      <c r="D127" s="128"/>
      <c r="E127" s="128"/>
      <c r="F127" s="121"/>
      <c r="G127" s="121"/>
      <c r="H127" s="121"/>
      <c r="R127"/>
      <c r="S127">
        <v>1700000</v>
      </c>
      <c r="T127">
        <v>800000</v>
      </c>
      <c r="U127"/>
      <c r="V127" s="23"/>
    </row>
    <row r="128" spans="1:22" x14ac:dyDescent="0.25">
      <c r="A128" s="128" t="s">
        <v>48</v>
      </c>
      <c r="B128" s="128"/>
      <c r="C128" s="128"/>
      <c r="D128" s="128"/>
      <c r="E128" s="128"/>
      <c r="F128" s="121">
        <v>300000</v>
      </c>
      <c r="G128" s="121"/>
      <c r="H128" s="121"/>
      <c r="R128"/>
      <c r="S128">
        <v>1800000</v>
      </c>
      <c r="T128">
        <v>900000</v>
      </c>
      <c r="U128"/>
    </row>
    <row r="129" spans="1:22" s="34" customFormat="1" x14ac:dyDescent="0.25">
      <c r="A129" s="147" t="s">
        <v>49</v>
      </c>
      <c r="B129" s="147"/>
      <c r="C129" s="147"/>
      <c r="D129" s="147"/>
      <c r="E129" s="147"/>
      <c r="F129" s="121">
        <f>F118*0.8</f>
        <v>5440</v>
      </c>
      <c r="G129" s="121"/>
      <c r="H129" s="121"/>
      <c r="R129" s="21"/>
      <c r="S129" s="21"/>
      <c r="T129">
        <v>1000000</v>
      </c>
      <c r="U129"/>
      <c r="V129" s="21"/>
    </row>
    <row r="130" spans="1:22" s="35" customFormat="1" ht="15.75" hidden="1" customHeight="1" x14ac:dyDescent="0.25">
      <c r="A130" s="132" t="s">
        <v>71</v>
      </c>
      <c r="B130" s="132"/>
      <c r="C130" s="132"/>
      <c r="D130" s="132"/>
      <c r="E130" s="132"/>
      <c r="F130" s="132"/>
      <c r="G130" s="132"/>
      <c r="H130" s="132"/>
      <c r="R130"/>
      <c r="S130" s="21"/>
      <c r="T130"/>
      <c r="U130"/>
      <c r="V130" s="21"/>
    </row>
    <row r="131" spans="1:22" s="35" customFormat="1" ht="15.75" hidden="1" customHeight="1" x14ac:dyDescent="0.25">
      <c r="A131" s="139" t="s">
        <v>50</v>
      </c>
      <c r="B131" s="139"/>
      <c r="C131" s="125" t="s">
        <v>74</v>
      </c>
      <c r="D131" s="125"/>
      <c r="E131" s="199" t="s">
        <v>51</v>
      </c>
      <c r="F131" s="199"/>
      <c r="G131" s="139" t="s">
        <v>52</v>
      </c>
      <c r="H131" s="139"/>
      <c r="R131"/>
      <c r="S131" s="21"/>
      <c r="T131"/>
      <c r="U131" s="21"/>
      <c r="V131" s="21"/>
    </row>
    <row r="132" spans="1:22" s="35" customFormat="1" hidden="1" x14ac:dyDescent="0.25">
      <c r="A132" s="95"/>
      <c r="B132" s="95"/>
      <c r="C132" s="137"/>
      <c r="D132" s="137"/>
      <c r="E132" s="138"/>
      <c r="F132" s="138"/>
      <c r="G132" s="122"/>
      <c r="H132" s="122"/>
      <c r="R132"/>
      <c r="S132" s="21"/>
      <c r="T132"/>
      <c r="U132" s="21"/>
      <c r="V132" s="21"/>
    </row>
    <row r="133" spans="1:22" s="35" customFormat="1" hidden="1" x14ac:dyDescent="0.25">
      <c r="A133" s="95"/>
      <c r="B133" s="95"/>
      <c r="C133" s="137"/>
      <c r="D133" s="137"/>
      <c r="E133" s="138"/>
      <c r="F133" s="138"/>
      <c r="G133" s="122"/>
      <c r="H133" s="122"/>
      <c r="R133"/>
      <c r="S133" s="21"/>
      <c r="T133"/>
      <c r="U133" s="21"/>
      <c r="V133" s="21"/>
    </row>
    <row r="134" spans="1:22" s="35" customFormat="1" hidden="1" x14ac:dyDescent="0.25">
      <c r="A134" s="132" t="s">
        <v>149</v>
      </c>
      <c r="B134" s="132"/>
      <c r="C134" s="125"/>
      <c r="D134" s="125"/>
      <c r="E134" s="199"/>
      <c r="F134" s="199"/>
      <c r="G134" s="139"/>
      <c r="H134" s="139"/>
      <c r="R134"/>
      <c r="S134" s="21"/>
      <c r="T134"/>
      <c r="U134" s="21"/>
      <c r="V134" s="21"/>
    </row>
    <row r="135" spans="1:22" s="35" customFormat="1" x14ac:dyDescent="0.25">
      <c r="A135" s="132" t="s">
        <v>66</v>
      </c>
      <c r="B135" s="132"/>
      <c r="C135" s="132"/>
      <c r="D135" s="132"/>
      <c r="E135" s="132"/>
      <c r="F135" s="132"/>
      <c r="G135" s="132"/>
      <c r="H135" s="132"/>
      <c r="T135"/>
    </row>
    <row r="136" spans="1:22" s="35" customFormat="1" ht="15.75" customHeight="1" x14ac:dyDescent="0.25">
      <c r="A136" s="139" t="s">
        <v>50</v>
      </c>
      <c r="B136" s="139"/>
      <c r="C136" s="125" t="s">
        <v>74</v>
      </c>
      <c r="D136" s="125"/>
      <c r="E136" s="199" t="s">
        <v>51</v>
      </c>
      <c r="F136" s="199"/>
      <c r="G136" s="139" t="s">
        <v>52</v>
      </c>
      <c r="H136" s="139"/>
      <c r="T136"/>
    </row>
    <row r="137" spans="1:22" s="35" customFormat="1" x14ac:dyDescent="0.25">
      <c r="A137" s="95" t="s">
        <v>377</v>
      </c>
      <c r="B137" s="95"/>
      <c r="C137" s="107">
        <f>COUNT(D160:D167)*21+COUNT(D169:D176)*6</f>
        <v>216</v>
      </c>
      <c r="D137" s="107"/>
      <c r="E137" s="107">
        <f t="shared" ref="E137" si="0">SUM(F160:F167)*21+SUM(F169:F176)*6</f>
        <v>109903.88447999999</v>
      </c>
      <c r="F137" s="107"/>
      <c r="G137" s="107">
        <f t="shared" ref="G137" si="1">SUM(H160:H167)*21+SUM(H169:H176)*6</f>
        <v>159360.63249600001</v>
      </c>
      <c r="H137" s="107"/>
      <c r="T137"/>
    </row>
    <row r="138" spans="1:22" s="35" customFormat="1" x14ac:dyDescent="0.25">
      <c r="A138" s="95" t="s">
        <v>384</v>
      </c>
      <c r="B138" s="95"/>
      <c r="C138" s="107">
        <f>COUNT(D182:D189)*21+COUNT(D191:D198)*6</f>
        <v>216</v>
      </c>
      <c r="D138" s="107"/>
      <c r="E138" s="107">
        <f t="shared" ref="E138" si="2">SUM(F182:F189)*21+SUM(F191:F198)*6</f>
        <v>109903.88447999999</v>
      </c>
      <c r="F138" s="107"/>
      <c r="G138" s="107">
        <f t="shared" ref="G138" si="3">SUM(H182:H189)*21+SUM(H191:H198)*6</f>
        <v>159360.63249600001</v>
      </c>
      <c r="H138" s="107"/>
      <c r="T138"/>
    </row>
    <row r="139" spans="1:22" s="35" customFormat="1" x14ac:dyDescent="0.25">
      <c r="A139" s="95" t="s">
        <v>371</v>
      </c>
      <c r="B139" s="95"/>
      <c r="C139" s="107">
        <f>COUNT(D203:D210)*18+COUNT(D212:D219)*5</f>
        <v>184</v>
      </c>
      <c r="D139" s="107"/>
      <c r="E139" s="107">
        <f t="shared" ref="E139" si="4">SUM(F203:F210)*18+SUM(F212:F219)*5</f>
        <v>138877.98911999998</v>
      </c>
      <c r="F139" s="107"/>
      <c r="G139" s="107">
        <f t="shared" ref="G139" si="5">SUM(H203:H210)*18+SUM(H212:H219)*5</f>
        <v>201373.08422399996</v>
      </c>
      <c r="H139" s="107"/>
      <c r="T139"/>
    </row>
    <row r="140" spans="1:22" s="35" customFormat="1" x14ac:dyDescent="0.25">
      <c r="A140" s="95" t="s">
        <v>372</v>
      </c>
      <c r="B140" s="95"/>
      <c r="C140" s="107">
        <f>COUNT(D224:D231)*18+COUNT(D233:D240)*5</f>
        <v>184</v>
      </c>
      <c r="D140" s="107"/>
      <c r="E140" s="107">
        <f t="shared" ref="E140" si="6">SUM(F224:F231)*18+SUM(F233:F240)*5</f>
        <v>138877.98911999998</v>
      </c>
      <c r="F140" s="107"/>
      <c r="G140" s="107">
        <f t="shared" ref="G140" si="7">SUM(H224:H231)*18+SUM(H233:H240)*5</f>
        <v>201373.08422399996</v>
      </c>
      <c r="H140" s="107"/>
      <c r="T140"/>
    </row>
    <row r="141" spans="1:22" s="35" customFormat="1" x14ac:dyDescent="0.25">
      <c r="A141" s="132" t="s">
        <v>149</v>
      </c>
      <c r="B141" s="132"/>
      <c r="C141" s="126">
        <f>SUM(C137:D140)</f>
        <v>800</v>
      </c>
      <c r="D141" s="125"/>
      <c r="E141" s="126">
        <f t="shared" ref="E141" si="8">SUM(E137:F140)</f>
        <v>497563.74719999993</v>
      </c>
      <c r="F141" s="125"/>
      <c r="G141" s="126">
        <f t="shared" ref="G141" si="9">SUM(G137:H140)</f>
        <v>721467.43343999994</v>
      </c>
      <c r="H141" s="125"/>
      <c r="T141"/>
    </row>
    <row r="142" spans="1:22" s="35" customFormat="1" hidden="1" x14ac:dyDescent="0.25">
      <c r="A142" s="132" t="s">
        <v>166</v>
      </c>
      <c r="B142" s="132"/>
      <c r="C142" s="126">
        <f>C134+C141</f>
        <v>800</v>
      </c>
      <c r="D142" s="126"/>
      <c r="E142" s="133">
        <f>E134+E141</f>
        <v>497563.74719999993</v>
      </c>
      <c r="F142" s="133"/>
      <c r="G142" s="139">
        <f>G134+G141</f>
        <v>721467.43343999994</v>
      </c>
      <c r="H142" s="139"/>
      <c r="T142"/>
    </row>
    <row r="143" spans="1:22" s="34" customFormat="1" x14ac:dyDescent="0.25">
      <c r="A143" s="191" t="s">
        <v>53</v>
      </c>
      <c r="B143" s="191"/>
      <c r="C143" s="191"/>
      <c r="D143" s="191"/>
      <c r="E143" s="191"/>
      <c r="F143" s="191"/>
      <c r="G143" s="191"/>
      <c r="H143" s="191"/>
      <c r="T143" s="35"/>
    </row>
    <row r="144" spans="1:22" x14ac:dyDescent="0.25">
      <c r="A144" s="187" t="s">
        <v>385</v>
      </c>
      <c r="B144" s="187"/>
      <c r="C144" s="187"/>
      <c r="D144" s="187"/>
      <c r="E144" s="187"/>
      <c r="F144" s="187"/>
      <c r="G144" s="187"/>
      <c r="H144" s="187"/>
      <c r="T144" s="35"/>
    </row>
    <row r="145" spans="1:20" ht="47.25" hidden="1" customHeight="1" x14ac:dyDescent="0.25">
      <c r="A145" s="109" t="s">
        <v>393</v>
      </c>
      <c r="B145" s="109" t="s">
        <v>175</v>
      </c>
      <c r="C145" s="109" t="s">
        <v>54</v>
      </c>
      <c r="D145" s="109" t="s">
        <v>232</v>
      </c>
      <c r="E145" s="120" t="s">
        <v>155</v>
      </c>
      <c r="F145" s="109" t="s">
        <v>55</v>
      </c>
      <c r="G145" s="120" t="s">
        <v>56</v>
      </c>
      <c r="H145" s="82" t="s">
        <v>147</v>
      </c>
      <c r="T145" s="35"/>
    </row>
    <row r="146" spans="1:20" s="37" customFormat="1" hidden="1" x14ac:dyDescent="0.25">
      <c r="A146" s="109"/>
      <c r="B146" s="109"/>
      <c r="C146" s="109"/>
      <c r="D146" s="109"/>
      <c r="E146" s="120"/>
      <c r="F146" s="109"/>
      <c r="G146" s="120"/>
      <c r="H146" s="83">
        <v>0.45</v>
      </c>
      <c r="T146" s="35"/>
    </row>
    <row r="147" spans="1:20" s="37" customFormat="1" hidden="1" x14ac:dyDescent="0.25">
      <c r="A147" s="143" t="s">
        <v>116</v>
      </c>
      <c r="B147" s="143"/>
      <c r="C147" s="143"/>
      <c r="D147" s="143"/>
      <c r="E147" s="143"/>
      <c r="F147" s="143"/>
      <c r="G147" s="143"/>
      <c r="H147" s="143"/>
      <c r="J147" s="36"/>
      <c r="T147" s="35"/>
    </row>
    <row r="148" spans="1:20" s="37" customFormat="1" ht="15.75" hidden="1" customHeight="1" x14ac:dyDescent="0.25">
      <c r="A148" s="108">
        <v>1</v>
      </c>
      <c r="B148" s="108"/>
      <c r="C148" s="77"/>
      <c r="D148" s="77">
        <v>0</v>
      </c>
      <c r="E148" s="77">
        <v>0</v>
      </c>
      <c r="F148" s="77">
        <f>D148+(IF(E148&lt;201,E148,IF(E148&lt;301,E148/2,E148/3)))</f>
        <v>0</v>
      </c>
      <c r="G148" s="77">
        <v>0</v>
      </c>
      <c r="H148" s="77">
        <f>(F148+(IF(G148&lt;101,G148,IF(G148&lt;201,G148/2,IF(G148&lt;=301,G148/3,G148/4)))))*(($H$146)+1)</f>
        <v>0</v>
      </c>
      <c r="I148" s="36"/>
      <c r="L148" s="134"/>
      <c r="M148" s="134"/>
      <c r="N148" s="36"/>
      <c r="T148" s="35"/>
    </row>
    <row r="149" spans="1:20" s="37" customFormat="1" ht="15.75" hidden="1" customHeight="1" x14ac:dyDescent="0.25">
      <c r="A149" s="108">
        <f>A148+1</f>
        <v>2</v>
      </c>
      <c r="B149" s="108"/>
      <c r="C149" s="77"/>
      <c r="D149" s="77"/>
      <c r="E149" s="77">
        <v>0</v>
      </c>
      <c r="F149" s="77">
        <f t="shared" ref="F149:F151" si="10">D149+(IF(E149&lt;201,E149,IF(E149&lt;301,E149/2,E149/3)))</f>
        <v>0</v>
      </c>
      <c r="G149" s="77">
        <v>0</v>
      </c>
      <c r="H149" s="77">
        <f t="shared" ref="H149:H151" si="11">(F149+(IF(G149&lt;101,G149,IF(G149&lt;201,G149/2,IF(G149&lt;=301,G149/3,G149/4)))))*(($H$146)+1)</f>
        <v>0</v>
      </c>
      <c r="I149" s="36"/>
      <c r="L149" s="134"/>
      <c r="M149" s="134"/>
      <c r="N149" s="36"/>
      <c r="T149" s="34"/>
    </row>
    <row r="150" spans="1:20" s="37" customFormat="1" ht="15.75" hidden="1" customHeight="1" x14ac:dyDescent="0.25">
      <c r="A150" s="108">
        <f>A149+1</f>
        <v>3</v>
      </c>
      <c r="B150" s="108"/>
      <c r="C150" s="77"/>
      <c r="D150" s="77"/>
      <c r="E150" s="77">
        <v>0</v>
      </c>
      <c r="F150" s="77">
        <f t="shared" si="10"/>
        <v>0</v>
      </c>
      <c r="G150" s="77">
        <v>0</v>
      </c>
      <c r="H150" s="77">
        <f t="shared" si="11"/>
        <v>0</v>
      </c>
      <c r="I150" s="36"/>
      <c r="L150" s="134"/>
      <c r="M150" s="134"/>
      <c r="N150" s="36"/>
      <c r="T150" s="21"/>
    </row>
    <row r="151" spans="1:20" s="37" customFormat="1" ht="15.75" hidden="1" customHeight="1" x14ac:dyDescent="0.25">
      <c r="A151" s="108">
        <f>A150+1</f>
        <v>4</v>
      </c>
      <c r="B151" s="108"/>
      <c r="C151" s="77"/>
      <c r="D151" s="77"/>
      <c r="E151" s="77">
        <v>0</v>
      </c>
      <c r="F151" s="77">
        <f t="shared" si="10"/>
        <v>0</v>
      </c>
      <c r="G151" s="77">
        <v>0</v>
      </c>
      <c r="H151" s="77">
        <f t="shared" si="11"/>
        <v>0</v>
      </c>
      <c r="I151" s="36"/>
      <c r="L151" s="134"/>
      <c r="M151" s="134"/>
      <c r="N151" s="36"/>
      <c r="T151" s="21"/>
    </row>
    <row r="152" spans="1:20" s="37" customFormat="1" hidden="1" x14ac:dyDescent="0.25">
      <c r="A152" s="108"/>
      <c r="B152" s="108"/>
      <c r="C152" s="108"/>
      <c r="D152" s="108"/>
      <c r="E152" s="108"/>
      <c r="F152" s="108"/>
      <c r="G152" s="108"/>
      <c r="H152" s="108"/>
      <c r="I152" s="36"/>
      <c r="N152" s="36"/>
    </row>
    <row r="153" spans="1:20" ht="47.25" customHeight="1" x14ac:dyDescent="0.25">
      <c r="A153" s="109" t="s">
        <v>394</v>
      </c>
      <c r="B153" s="109" t="s">
        <v>176</v>
      </c>
      <c r="C153" s="109" t="s">
        <v>54</v>
      </c>
      <c r="D153" s="109" t="s">
        <v>232</v>
      </c>
      <c r="E153" s="109" t="s">
        <v>231</v>
      </c>
      <c r="F153" s="109" t="s">
        <v>55</v>
      </c>
      <c r="G153" s="120" t="s">
        <v>56</v>
      </c>
      <c r="H153" s="82" t="s">
        <v>147</v>
      </c>
      <c r="I153" s="36"/>
      <c r="T153" s="37"/>
    </row>
    <row r="154" spans="1:20" s="37" customFormat="1" x14ac:dyDescent="0.25">
      <c r="A154" s="109"/>
      <c r="B154" s="109"/>
      <c r="C154" s="109"/>
      <c r="D154" s="109"/>
      <c r="E154" s="109"/>
      <c r="F154" s="109"/>
      <c r="G154" s="120"/>
      <c r="H154" s="83">
        <v>0.45</v>
      </c>
      <c r="I154" s="36"/>
    </row>
    <row r="155" spans="1:20" s="37" customFormat="1" x14ac:dyDescent="0.25">
      <c r="A155" s="88" t="s">
        <v>377</v>
      </c>
      <c r="B155" s="89"/>
      <c r="C155" s="89"/>
      <c r="D155" s="89"/>
      <c r="E155" s="89"/>
      <c r="F155" s="89"/>
      <c r="G155" s="89"/>
      <c r="H155" s="90"/>
      <c r="J155" s="36"/>
    </row>
    <row r="156" spans="1:20" s="37" customFormat="1" x14ac:dyDescent="0.25">
      <c r="A156" s="88" t="s">
        <v>378</v>
      </c>
      <c r="B156" s="89"/>
      <c r="C156" s="89"/>
      <c r="D156" s="89"/>
      <c r="E156" s="89"/>
      <c r="F156" s="89"/>
      <c r="G156" s="89"/>
      <c r="H156" s="90"/>
      <c r="J156" s="36"/>
      <c r="K156" s="78">
        <f>10.764</f>
        <v>10.763999999999999</v>
      </c>
    </row>
    <row r="157" spans="1:20" s="37" customFormat="1" x14ac:dyDescent="0.25">
      <c r="A157" s="88" t="s">
        <v>379</v>
      </c>
      <c r="B157" s="89"/>
      <c r="C157" s="89"/>
      <c r="D157" s="89"/>
      <c r="E157" s="89"/>
      <c r="F157" s="89"/>
      <c r="G157" s="89"/>
      <c r="H157" s="90"/>
      <c r="J157" s="36"/>
    </row>
    <row r="158" spans="1:20" s="37" customFormat="1" x14ac:dyDescent="0.25">
      <c r="A158" s="88" t="s">
        <v>380</v>
      </c>
      <c r="B158" s="89"/>
      <c r="C158" s="89"/>
      <c r="D158" s="89"/>
      <c r="E158" s="89"/>
      <c r="F158" s="89"/>
      <c r="G158" s="89"/>
      <c r="H158" s="90"/>
      <c r="J158" s="36"/>
    </row>
    <row r="159" spans="1:20" s="37" customFormat="1" ht="15.75" customHeight="1" x14ac:dyDescent="0.25">
      <c r="A159" s="88" t="s">
        <v>381</v>
      </c>
      <c r="B159" s="89"/>
      <c r="C159" s="89"/>
      <c r="D159" s="89"/>
      <c r="E159" s="89"/>
      <c r="F159" s="89"/>
      <c r="G159" s="89"/>
      <c r="H159" s="90"/>
      <c r="I159" s="36"/>
    </row>
    <row r="160" spans="1:20" s="37" customFormat="1" ht="15.75" customHeight="1" x14ac:dyDescent="0.25">
      <c r="A160" s="86">
        <v>1</v>
      </c>
      <c r="B160" s="87"/>
      <c r="C160" s="42" t="s">
        <v>382</v>
      </c>
      <c r="D160" s="78">
        <f t="shared" ref="D160:D167" si="12">(39.78)*(10.764)</f>
        <v>428.19191999999998</v>
      </c>
      <c r="E160" s="78">
        <f t="shared" ref="E160:E167" si="13">(7.49)*(10.764)</f>
        <v>80.62236</v>
      </c>
      <c r="F160" s="42">
        <f t="shared" ref="F160:F167" si="14">D160+E160</f>
        <v>508.81428</v>
      </c>
      <c r="G160" s="42">
        <v>0</v>
      </c>
      <c r="H160" s="42">
        <f t="shared" ref="H160:H167" si="15">F160*(($H$154)+1)+(IF(G160&lt;101,G160,IF(G160&lt;201,G160/2,IF(G160&lt;=301,G160/3,G160/4))))</f>
        <v>737.78070600000001</v>
      </c>
      <c r="I160" s="36"/>
    </row>
    <row r="161" spans="1:10" s="37" customFormat="1" ht="15.75" customHeight="1" x14ac:dyDescent="0.25">
      <c r="A161" s="86">
        <f>A160+1</f>
        <v>2</v>
      </c>
      <c r="B161" s="87"/>
      <c r="C161" s="42" t="s">
        <v>382</v>
      </c>
      <c r="D161" s="78">
        <f t="shared" si="12"/>
        <v>428.19191999999998</v>
      </c>
      <c r="E161" s="78">
        <f t="shared" si="13"/>
        <v>80.62236</v>
      </c>
      <c r="F161" s="42">
        <f t="shared" si="14"/>
        <v>508.81428</v>
      </c>
      <c r="G161" s="42">
        <v>0</v>
      </c>
      <c r="H161" s="42">
        <f t="shared" si="15"/>
        <v>737.78070600000001</v>
      </c>
      <c r="I161" s="36">
        <f>(2.9*4.56+2.45*2.45+2.75*2.9+1.86*0.6+1*3.2+2.13*1.3+1.3*2.13)</f>
        <v>37.055500000000002</v>
      </c>
      <c r="J161" s="36">
        <f>1*2.9+0.85*2.45+0.9*2.75</f>
        <v>7.4574999999999996</v>
      </c>
    </row>
    <row r="162" spans="1:10" s="37" customFormat="1" ht="15.75" customHeight="1" x14ac:dyDescent="0.25">
      <c r="A162" s="86">
        <f t="shared" ref="A162:A167" si="16">A161+1</f>
        <v>3</v>
      </c>
      <c r="B162" s="87"/>
      <c r="C162" s="42" t="s">
        <v>382</v>
      </c>
      <c r="D162" s="78">
        <f t="shared" si="12"/>
        <v>428.19191999999998</v>
      </c>
      <c r="E162" s="78">
        <f t="shared" si="13"/>
        <v>80.62236</v>
      </c>
      <c r="F162" s="42">
        <f t="shared" si="14"/>
        <v>508.81428</v>
      </c>
      <c r="G162" s="42">
        <v>0</v>
      </c>
      <c r="H162" s="42">
        <f t="shared" si="15"/>
        <v>737.78070600000001</v>
      </c>
      <c r="I162" s="36"/>
    </row>
    <row r="163" spans="1:10" s="37" customFormat="1" ht="15.75" customHeight="1" x14ac:dyDescent="0.25">
      <c r="A163" s="86">
        <f t="shared" si="16"/>
        <v>4</v>
      </c>
      <c r="B163" s="87"/>
      <c r="C163" s="42" t="s">
        <v>382</v>
      </c>
      <c r="D163" s="78">
        <f t="shared" si="12"/>
        <v>428.19191999999998</v>
      </c>
      <c r="E163" s="78">
        <f t="shared" si="13"/>
        <v>80.62236</v>
      </c>
      <c r="F163" s="42">
        <f t="shared" si="14"/>
        <v>508.81428</v>
      </c>
      <c r="G163" s="42">
        <v>0</v>
      </c>
      <c r="H163" s="42">
        <f t="shared" si="15"/>
        <v>737.78070600000001</v>
      </c>
      <c r="I163" s="36"/>
    </row>
    <row r="164" spans="1:10" s="37" customFormat="1" ht="15.75" customHeight="1" x14ac:dyDescent="0.25">
      <c r="A164" s="86">
        <f t="shared" si="16"/>
        <v>5</v>
      </c>
      <c r="B164" s="87"/>
      <c r="C164" s="42" t="s">
        <v>382</v>
      </c>
      <c r="D164" s="78">
        <f t="shared" si="12"/>
        <v>428.19191999999998</v>
      </c>
      <c r="E164" s="78">
        <f t="shared" si="13"/>
        <v>80.62236</v>
      </c>
      <c r="F164" s="42">
        <f t="shared" si="14"/>
        <v>508.81428</v>
      </c>
      <c r="G164" s="42">
        <v>0</v>
      </c>
      <c r="H164" s="42">
        <f t="shared" si="15"/>
        <v>737.78070600000001</v>
      </c>
      <c r="I164" s="36"/>
    </row>
    <row r="165" spans="1:10" s="37" customFormat="1" ht="15.75" customHeight="1" x14ac:dyDescent="0.25">
      <c r="A165" s="86">
        <f t="shared" si="16"/>
        <v>6</v>
      </c>
      <c r="B165" s="87"/>
      <c r="C165" s="42" t="s">
        <v>382</v>
      </c>
      <c r="D165" s="78">
        <f t="shared" si="12"/>
        <v>428.19191999999998</v>
      </c>
      <c r="E165" s="78">
        <f t="shared" si="13"/>
        <v>80.62236</v>
      </c>
      <c r="F165" s="42">
        <f t="shared" si="14"/>
        <v>508.81428</v>
      </c>
      <c r="G165" s="42">
        <v>0</v>
      </c>
      <c r="H165" s="42">
        <f t="shared" si="15"/>
        <v>737.78070600000001</v>
      </c>
      <c r="I165" s="36"/>
    </row>
    <row r="166" spans="1:10" s="37" customFormat="1" ht="15.75" customHeight="1" x14ac:dyDescent="0.25">
      <c r="A166" s="86">
        <f t="shared" si="16"/>
        <v>7</v>
      </c>
      <c r="B166" s="87"/>
      <c r="C166" s="42" t="s">
        <v>382</v>
      </c>
      <c r="D166" s="78">
        <f t="shared" si="12"/>
        <v>428.19191999999998</v>
      </c>
      <c r="E166" s="78">
        <f t="shared" si="13"/>
        <v>80.62236</v>
      </c>
      <c r="F166" s="42">
        <f t="shared" si="14"/>
        <v>508.81428</v>
      </c>
      <c r="G166" s="42">
        <v>0</v>
      </c>
      <c r="H166" s="42">
        <f t="shared" si="15"/>
        <v>737.78070600000001</v>
      </c>
      <c r="I166" s="36"/>
    </row>
    <row r="167" spans="1:10" s="37" customFormat="1" ht="15.75" customHeight="1" x14ac:dyDescent="0.25">
      <c r="A167" s="86">
        <f t="shared" si="16"/>
        <v>8</v>
      </c>
      <c r="B167" s="87"/>
      <c r="C167" s="42" t="s">
        <v>382</v>
      </c>
      <c r="D167" s="78">
        <f t="shared" si="12"/>
        <v>428.19191999999998</v>
      </c>
      <c r="E167" s="78">
        <f t="shared" si="13"/>
        <v>80.62236</v>
      </c>
      <c r="F167" s="42">
        <f t="shared" si="14"/>
        <v>508.81428</v>
      </c>
      <c r="G167" s="42">
        <v>0</v>
      </c>
      <c r="H167" s="42">
        <f t="shared" si="15"/>
        <v>737.78070600000001</v>
      </c>
      <c r="I167" s="36"/>
    </row>
    <row r="168" spans="1:10" s="37" customFormat="1" ht="15.75" customHeight="1" x14ac:dyDescent="0.25">
      <c r="A168" s="88" t="s">
        <v>383</v>
      </c>
      <c r="B168" s="89"/>
      <c r="C168" s="89"/>
      <c r="D168" s="89"/>
      <c r="E168" s="89"/>
      <c r="F168" s="89"/>
      <c r="G168" s="89"/>
      <c r="H168" s="90"/>
      <c r="I168" s="36"/>
    </row>
    <row r="169" spans="1:10" s="37" customFormat="1" ht="15.75" customHeight="1" x14ac:dyDescent="0.25">
      <c r="A169" s="86">
        <v>1</v>
      </c>
      <c r="B169" s="87"/>
      <c r="C169" s="42" t="s">
        <v>382</v>
      </c>
      <c r="D169" s="78">
        <f t="shared" ref="D169:D176" si="17">(39.78)*(10.764)</f>
        <v>428.19191999999998</v>
      </c>
      <c r="E169" s="78">
        <f t="shared" ref="E169:E176" si="18">(7.49)*(10.764)</f>
        <v>80.62236</v>
      </c>
      <c r="F169" s="42">
        <f t="shared" ref="F169:F176" si="19">D169+E169</f>
        <v>508.81428</v>
      </c>
      <c r="G169" s="42">
        <v>0</v>
      </c>
      <c r="H169" s="42">
        <f t="shared" ref="H169:H176" si="20">F169*(($H$154)+1)+(IF(G169&lt;101,G169,IF(G169&lt;201,G169/2,IF(G169&lt;=301,G169/3,G169/4))))</f>
        <v>737.78070600000001</v>
      </c>
      <c r="I169" s="36"/>
    </row>
    <row r="170" spans="1:10" s="37" customFormat="1" ht="15.75" customHeight="1" x14ac:dyDescent="0.25">
      <c r="A170" s="86">
        <f>A169+1</f>
        <v>2</v>
      </c>
      <c r="B170" s="87"/>
      <c r="C170" s="42" t="s">
        <v>382</v>
      </c>
      <c r="D170" s="78">
        <f t="shared" si="17"/>
        <v>428.19191999999998</v>
      </c>
      <c r="E170" s="78">
        <f t="shared" si="18"/>
        <v>80.62236</v>
      </c>
      <c r="F170" s="42">
        <f t="shared" si="19"/>
        <v>508.81428</v>
      </c>
      <c r="G170" s="42">
        <v>0</v>
      </c>
      <c r="H170" s="42">
        <f t="shared" si="20"/>
        <v>737.78070600000001</v>
      </c>
      <c r="I170" s="36"/>
      <c r="J170" s="36"/>
    </row>
    <row r="171" spans="1:10" s="37" customFormat="1" ht="15.75" customHeight="1" x14ac:dyDescent="0.25">
      <c r="A171" s="86">
        <f t="shared" ref="A171:A176" si="21">A170+1</f>
        <v>3</v>
      </c>
      <c r="B171" s="87"/>
      <c r="C171" s="42" t="s">
        <v>382</v>
      </c>
      <c r="D171" s="78">
        <f t="shared" si="17"/>
        <v>428.19191999999998</v>
      </c>
      <c r="E171" s="78">
        <f t="shared" si="18"/>
        <v>80.62236</v>
      </c>
      <c r="F171" s="42">
        <f t="shared" si="19"/>
        <v>508.81428</v>
      </c>
      <c r="G171" s="42">
        <v>0</v>
      </c>
      <c r="H171" s="42">
        <f t="shared" si="20"/>
        <v>737.78070600000001</v>
      </c>
      <c r="I171" s="36"/>
      <c r="J171" s="37">
        <f>4000000/H172</f>
        <v>5421.6652285293021</v>
      </c>
    </row>
    <row r="172" spans="1:10" s="37" customFormat="1" ht="15.75" customHeight="1" x14ac:dyDescent="0.25">
      <c r="A172" s="86">
        <f t="shared" si="21"/>
        <v>4</v>
      </c>
      <c r="B172" s="87"/>
      <c r="C172" s="42" t="s">
        <v>382</v>
      </c>
      <c r="D172" s="78">
        <f t="shared" si="17"/>
        <v>428.19191999999998</v>
      </c>
      <c r="E172" s="78">
        <f t="shared" si="18"/>
        <v>80.62236</v>
      </c>
      <c r="F172" s="42">
        <f t="shared" si="19"/>
        <v>508.81428</v>
      </c>
      <c r="G172" s="42">
        <v>0</v>
      </c>
      <c r="H172" s="42">
        <f t="shared" si="20"/>
        <v>737.78070600000001</v>
      </c>
      <c r="I172" s="36"/>
    </row>
    <row r="173" spans="1:10" s="37" customFormat="1" ht="15.75" customHeight="1" x14ac:dyDescent="0.25">
      <c r="A173" s="86">
        <f t="shared" si="21"/>
        <v>5</v>
      </c>
      <c r="B173" s="87"/>
      <c r="C173" s="42" t="s">
        <v>382</v>
      </c>
      <c r="D173" s="78">
        <f t="shared" si="17"/>
        <v>428.19191999999998</v>
      </c>
      <c r="E173" s="78">
        <f t="shared" si="18"/>
        <v>80.62236</v>
      </c>
      <c r="F173" s="42">
        <f t="shared" si="19"/>
        <v>508.81428</v>
      </c>
      <c r="G173" s="42">
        <v>0</v>
      </c>
      <c r="H173" s="42">
        <f t="shared" si="20"/>
        <v>737.78070600000001</v>
      </c>
      <c r="I173" s="36"/>
    </row>
    <row r="174" spans="1:10" s="37" customFormat="1" ht="15.75" customHeight="1" x14ac:dyDescent="0.25">
      <c r="A174" s="86">
        <f t="shared" si="21"/>
        <v>6</v>
      </c>
      <c r="B174" s="87"/>
      <c r="C174" s="42" t="s">
        <v>382</v>
      </c>
      <c r="D174" s="78">
        <f t="shared" si="17"/>
        <v>428.19191999999998</v>
      </c>
      <c r="E174" s="78">
        <f t="shared" si="18"/>
        <v>80.62236</v>
      </c>
      <c r="F174" s="42">
        <f t="shared" si="19"/>
        <v>508.81428</v>
      </c>
      <c r="G174" s="42">
        <v>0</v>
      </c>
      <c r="H174" s="42">
        <f t="shared" si="20"/>
        <v>737.78070600000001</v>
      </c>
      <c r="I174" s="36"/>
    </row>
    <row r="175" spans="1:10" s="37" customFormat="1" ht="15.75" customHeight="1" x14ac:dyDescent="0.25">
      <c r="A175" s="86">
        <f t="shared" si="21"/>
        <v>7</v>
      </c>
      <c r="B175" s="87"/>
      <c r="C175" s="42" t="s">
        <v>382</v>
      </c>
      <c r="D175" s="78">
        <f t="shared" si="17"/>
        <v>428.19191999999998</v>
      </c>
      <c r="E175" s="78">
        <f t="shared" si="18"/>
        <v>80.62236</v>
      </c>
      <c r="F175" s="42">
        <f t="shared" si="19"/>
        <v>508.81428</v>
      </c>
      <c r="G175" s="42">
        <v>0</v>
      </c>
      <c r="H175" s="42">
        <f t="shared" si="20"/>
        <v>737.78070600000001</v>
      </c>
      <c r="I175" s="36"/>
    </row>
    <row r="176" spans="1:10" s="37" customFormat="1" ht="15.75" customHeight="1" x14ac:dyDescent="0.25">
      <c r="A176" s="86">
        <f t="shared" si="21"/>
        <v>8</v>
      </c>
      <c r="B176" s="87"/>
      <c r="C176" s="42" t="s">
        <v>382</v>
      </c>
      <c r="D176" s="78">
        <f t="shared" si="17"/>
        <v>428.19191999999998</v>
      </c>
      <c r="E176" s="78">
        <f t="shared" si="18"/>
        <v>80.62236</v>
      </c>
      <c r="F176" s="42">
        <f t="shared" si="19"/>
        <v>508.81428</v>
      </c>
      <c r="G176" s="42">
        <v>0</v>
      </c>
      <c r="H176" s="42">
        <f t="shared" si="20"/>
        <v>737.78070600000001</v>
      </c>
      <c r="I176" s="36"/>
    </row>
    <row r="177" spans="1:10" s="37" customFormat="1" x14ac:dyDescent="0.25">
      <c r="A177" s="88" t="s">
        <v>384</v>
      </c>
      <c r="B177" s="89"/>
      <c r="C177" s="89"/>
      <c r="D177" s="89"/>
      <c r="E177" s="89"/>
      <c r="F177" s="89"/>
      <c r="G177" s="89"/>
      <c r="H177" s="90"/>
      <c r="J177" s="36"/>
    </row>
    <row r="178" spans="1:10" s="37" customFormat="1" x14ac:dyDescent="0.25">
      <c r="A178" s="88" t="s">
        <v>378</v>
      </c>
      <c r="B178" s="89"/>
      <c r="C178" s="89"/>
      <c r="D178" s="89"/>
      <c r="E178" s="89"/>
      <c r="F178" s="89"/>
      <c r="G178" s="89"/>
      <c r="H178" s="90"/>
      <c r="J178" s="36"/>
    </row>
    <row r="179" spans="1:10" s="37" customFormat="1" x14ac:dyDescent="0.25">
      <c r="A179" s="88" t="s">
        <v>379</v>
      </c>
      <c r="B179" s="89"/>
      <c r="C179" s="89"/>
      <c r="D179" s="89"/>
      <c r="E179" s="89"/>
      <c r="F179" s="89"/>
      <c r="G179" s="89"/>
      <c r="H179" s="90"/>
      <c r="J179" s="36"/>
    </row>
    <row r="180" spans="1:10" s="37" customFormat="1" x14ac:dyDescent="0.25">
      <c r="A180" s="88" t="s">
        <v>380</v>
      </c>
      <c r="B180" s="89"/>
      <c r="C180" s="89"/>
      <c r="D180" s="89"/>
      <c r="E180" s="89"/>
      <c r="F180" s="89"/>
      <c r="G180" s="89"/>
      <c r="H180" s="90"/>
      <c r="J180" s="36"/>
    </row>
    <row r="181" spans="1:10" s="37" customFormat="1" ht="15.75" customHeight="1" x14ac:dyDescent="0.25">
      <c r="A181" s="88" t="s">
        <v>381</v>
      </c>
      <c r="B181" s="89"/>
      <c r="C181" s="89"/>
      <c r="D181" s="89"/>
      <c r="E181" s="89"/>
      <c r="F181" s="89"/>
      <c r="G181" s="89"/>
      <c r="H181" s="90"/>
      <c r="I181" s="36"/>
    </row>
    <row r="182" spans="1:10" s="37" customFormat="1" ht="15.75" customHeight="1" x14ac:dyDescent="0.25">
      <c r="A182" s="86">
        <v>1</v>
      </c>
      <c r="B182" s="87"/>
      <c r="C182" s="42" t="s">
        <v>382</v>
      </c>
      <c r="D182" s="78">
        <f t="shared" ref="D182:D189" si="22">(39.78)*(10.764)</f>
        <v>428.19191999999998</v>
      </c>
      <c r="E182" s="78">
        <f t="shared" ref="E182:E189" si="23">(7.49)*(10.764)</f>
        <v>80.62236</v>
      </c>
      <c r="F182" s="42">
        <f t="shared" ref="F182:F189" si="24">D182+E182</f>
        <v>508.81428</v>
      </c>
      <c r="G182" s="42">
        <v>0</v>
      </c>
      <c r="H182" s="42">
        <f t="shared" ref="H182:H189" si="25">F182*(($H$154)+1)+(IF(G182&lt;101,G182,IF(G182&lt;201,G182/2,IF(G182&lt;=301,G182/3,G182/4))))</f>
        <v>737.78070600000001</v>
      </c>
      <c r="I182" s="36"/>
    </row>
    <row r="183" spans="1:10" s="37" customFormat="1" ht="15.75" customHeight="1" x14ac:dyDescent="0.25">
      <c r="A183" s="86">
        <f>A182+1</f>
        <v>2</v>
      </c>
      <c r="B183" s="87"/>
      <c r="C183" s="42" t="s">
        <v>382</v>
      </c>
      <c r="D183" s="78">
        <f t="shared" si="22"/>
        <v>428.19191999999998</v>
      </c>
      <c r="E183" s="78">
        <f t="shared" si="23"/>
        <v>80.62236</v>
      </c>
      <c r="F183" s="42">
        <f t="shared" si="24"/>
        <v>508.81428</v>
      </c>
      <c r="G183" s="42">
        <v>0</v>
      </c>
      <c r="H183" s="42">
        <f t="shared" si="25"/>
        <v>737.78070600000001</v>
      </c>
      <c r="I183" s="36"/>
      <c r="J183" s="36"/>
    </row>
    <row r="184" spans="1:10" s="37" customFormat="1" ht="15.75" customHeight="1" x14ac:dyDescent="0.25">
      <c r="A184" s="86">
        <f t="shared" ref="A184:A189" si="26">A183+1</f>
        <v>3</v>
      </c>
      <c r="B184" s="87"/>
      <c r="C184" s="42" t="s">
        <v>382</v>
      </c>
      <c r="D184" s="78">
        <f t="shared" si="22"/>
        <v>428.19191999999998</v>
      </c>
      <c r="E184" s="78">
        <f t="shared" si="23"/>
        <v>80.62236</v>
      </c>
      <c r="F184" s="42">
        <f t="shared" si="24"/>
        <v>508.81428</v>
      </c>
      <c r="G184" s="42">
        <v>0</v>
      </c>
      <c r="H184" s="42">
        <f t="shared" si="25"/>
        <v>737.78070600000001</v>
      </c>
      <c r="I184" s="36"/>
    </row>
    <row r="185" spans="1:10" s="37" customFormat="1" ht="15.75" customHeight="1" x14ac:dyDescent="0.25">
      <c r="A185" s="86">
        <f t="shared" si="26"/>
        <v>4</v>
      </c>
      <c r="B185" s="87"/>
      <c r="C185" s="42" t="s">
        <v>382</v>
      </c>
      <c r="D185" s="78">
        <f t="shared" si="22"/>
        <v>428.19191999999998</v>
      </c>
      <c r="E185" s="78">
        <f t="shared" si="23"/>
        <v>80.62236</v>
      </c>
      <c r="F185" s="42">
        <f t="shared" si="24"/>
        <v>508.81428</v>
      </c>
      <c r="G185" s="42">
        <v>0</v>
      </c>
      <c r="H185" s="42">
        <f t="shared" si="25"/>
        <v>737.78070600000001</v>
      </c>
      <c r="I185" s="36"/>
    </row>
    <row r="186" spans="1:10" s="37" customFormat="1" ht="15.75" customHeight="1" x14ac:dyDescent="0.25">
      <c r="A186" s="86">
        <f t="shared" si="26"/>
        <v>5</v>
      </c>
      <c r="B186" s="87"/>
      <c r="C186" s="42" t="s">
        <v>382</v>
      </c>
      <c r="D186" s="78">
        <f t="shared" si="22"/>
        <v>428.19191999999998</v>
      </c>
      <c r="E186" s="78">
        <f t="shared" si="23"/>
        <v>80.62236</v>
      </c>
      <c r="F186" s="42">
        <f t="shared" si="24"/>
        <v>508.81428</v>
      </c>
      <c r="G186" s="42">
        <v>0</v>
      </c>
      <c r="H186" s="42">
        <f t="shared" si="25"/>
        <v>737.78070600000001</v>
      </c>
      <c r="I186" s="36"/>
    </row>
    <row r="187" spans="1:10" s="37" customFormat="1" ht="15.75" customHeight="1" x14ac:dyDescent="0.25">
      <c r="A187" s="86">
        <f t="shared" si="26"/>
        <v>6</v>
      </c>
      <c r="B187" s="87"/>
      <c r="C187" s="42" t="s">
        <v>382</v>
      </c>
      <c r="D187" s="78">
        <f t="shared" si="22"/>
        <v>428.19191999999998</v>
      </c>
      <c r="E187" s="78">
        <f t="shared" si="23"/>
        <v>80.62236</v>
      </c>
      <c r="F187" s="42">
        <f t="shared" si="24"/>
        <v>508.81428</v>
      </c>
      <c r="G187" s="42">
        <v>0</v>
      </c>
      <c r="H187" s="42">
        <f t="shared" si="25"/>
        <v>737.78070600000001</v>
      </c>
      <c r="I187" s="36"/>
    </row>
    <row r="188" spans="1:10" s="37" customFormat="1" ht="15.75" customHeight="1" x14ac:dyDescent="0.25">
      <c r="A188" s="86">
        <f t="shared" si="26"/>
        <v>7</v>
      </c>
      <c r="B188" s="87"/>
      <c r="C188" s="42" t="s">
        <v>382</v>
      </c>
      <c r="D188" s="78">
        <f t="shared" si="22"/>
        <v>428.19191999999998</v>
      </c>
      <c r="E188" s="78">
        <f t="shared" si="23"/>
        <v>80.62236</v>
      </c>
      <c r="F188" s="42">
        <f t="shared" si="24"/>
        <v>508.81428</v>
      </c>
      <c r="G188" s="42">
        <v>0</v>
      </c>
      <c r="H188" s="42">
        <f t="shared" si="25"/>
        <v>737.78070600000001</v>
      </c>
      <c r="I188" s="36"/>
    </row>
    <row r="189" spans="1:10" s="37" customFormat="1" ht="15.75" customHeight="1" x14ac:dyDescent="0.25">
      <c r="A189" s="86">
        <f t="shared" si="26"/>
        <v>8</v>
      </c>
      <c r="B189" s="87"/>
      <c r="C189" s="42" t="s">
        <v>382</v>
      </c>
      <c r="D189" s="78">
        <f t="shared" si="22"/>
        <v>428.19191999999998</v>
      </c>
      <c r="E189" s="78">
        <f t="shared" si="23"/>
        <v>80.62236</v>
      </c>
      <c r="F189" s="42">
        <f t="shared" si="24"/>
        <v>508.81428</v>
      </c>
      <c r="G189" s="42">
        <v>0</v>
      </c>
      <c r="H189" s="42">
        <f t="shared" si="25"/>
        <v>737.78070600000001</v>
      </c>
      <c r="I189" s="36"/>
    </row>
    <row r="190" spans="1:10" s="37" customFormat="1" ht="15.75" customHeight="1" x14ac:dyDescent="0.25">
      <c r="A190" s="94" t="s">
        <v>383</v>
      </c>
      <c r="B190" s="94"/>
      <c r="C190" s="94"/>
      <c r="D190" s="94"/>
      <c r="E190" s="94"/>
      <c r="F190" s="94"/>
      <c r="G190" s="94"/>
      <c r="H190" s="94"/>
      <c r="I190" s="36"/>
    </row>
    <row r="191" spans="1:10" s="37" customFormat="1" ht="15.75" customHeight="1" x14ac:dyDescent="0.25">
      <c r="A191" s="85">
        <v>1</v>
      </c>
      <c r="B191" s="85"/>
      <c r="C191" s="80" t="s">
        <v>382</v>
      </c>
      <c r="D191" s="78">
        <f t="shared" ref="D191:D198" si="27">(39.78)*(10.764)</f>
        <v>428.19191999999998</v>
      </c>
      <c r="E191" s="78">
        <f t="shared" ref="E191:E198" si="28">(7.49)*(10.764)</f>
        <v>80.62236</v>
      </c>
      <c r="F191" s="80">
        <f t="shared" ref="F191:F198" si="29">D191+E191</f>
        <v>508.81428</v>
      </c>
      <c r="G191" s="80">
        <v>0</v>
      </c>
      <c r="H191" s="80">
        <f t="shared" ref="H191:H198" si="30">F191*(($H$154)+1)+(IF(G191&lt;101,G191,IF(G191&lt;201,G191/2,IF(G191&lt;=301,G191/3,G191/4))))</f>
        <v>737.78070600000001</v>
      </c>
      <c r="I191" s="36"/>
    </row>
    <row r="192" spans="1:10" s="37" customFormat="1" ht="15.75" customHeight="1" x14ac:dyDescent="0.25">
      <c r="A192" s="85">
        <f>A191+1</f>
        <v>2</v>
      </c>
      <c r="B192" s="85"/>
      <c r="C192" s="80" t="s">
        <v>382</v>
      </c>
      <c r="D192" s="78">
        <f t="shared" si="27"/>
        <v>428.19191999999998</v>
      </c>
      <c r="E192" s="78">
        <f t="shared" si="28"/>
        <v>80.62236</v>
      </c>
      <c r="F192" s="80">
        <f t="shared" si="29"/>
        <v>508.81428</v>
      </c>
      <c r="G192" s="80">
        <v>0</v>
      </c>
      <c r="H192" s="80">
        <f t="shared" si="30"/>
        <v>737.78070600000001</v>
      </c>
      <c r="I192" s="36"/>
      <c r="J192" s="36"/>
    </row>
    <row r="193" spans="1:10" s="37" customFormat="1" ht="15.75" customHeight="1" x14ac:dyDescent="0.25">
      <c r="A193" s="85">
        <f t="shared" ref="A193:A198" si="31">A192+1</f>
        <v>3</v>
      </c>
      <c r="B193" s="85"/>
      <c r="C193" s="80" t="s">
        <v>382</v>
      </c>
      <c r="D193" s="78">
        <f t="shared" si="27"/>
        <v>428.19191999999998</v>
      </c>
      <c r="E193" s="78">
        <f t="shared" si="28"/>
        <v>80.62236</v>
      </c>
      <c r="F193" s="80">
        <f t="shared" si="29"/>
        <v>508.81428</v>
      </c>
      <c r="G193" s="80">
        <v>0</v>
      </c>
      <c r="H193" s="80">
        <f t="shared" si="30"/>
        <v>737.78070600000001</v>
      </c>
      <c r="I193" s="36"/>
    </row>
    <row r="194" spans="1:10" s="37" customFormat="1" ht="15.75" customHeight="1" x14ac:dyDescent="0.25">
      <c r="A194" s="86">
        <f t="shared" si="31"/>
        <v>4</v>
      </c>
      <c r="B194" s="87"/>
      <c r="C194" s="42" t="s">
        <v>382</v>
      </c>
      <c r="D194" s="78">
        <f t="shared" si="27"/>
        <v>428.19191999999998</v>
      </c>
      <c r="E194" s="78">
        <f t="shared" si="28"/>
        <v>80.62236</v>
      </c>
      <c r="F194" s="42">
        <f t="shared" si="29"/>
        <v>508.81428</v>
      </c>
      <c r="G194" s="42">
        <v>0</v>
      </c>
      <c r="H194" s="42">
        <f t="shared" si="30"/>
        <v>737.78070600000001</v>
      </c>
      <c r="I194" s="36"/>
    </row>
    <row r="195" spans="1:10" s="37" customFormat="1" ht="15.75" customHeight="1" x14ac:dyDescent="0.25">
      <c r="A195" s="86">
        <f t="shared" si="31"/>
        <v>5</v>
      </c>
      <c r="B195" s="87"/>
      <c r="C195" s="42" t="s">
        <v>382</v>
      </c>
      <c r="D195" s="78">
        <f t="shared" si="27"/>
        <v>428.19191999999998</v>
      </c>
      <c r="E195" s="78">
        <f t="shared" si="28"/>
        <v>80.62236</v>
      </c>
      <c r="F195" s="42">
        <f t="shared" si="29"/>
        <v>508.81428</v>
      </c>
      <c r="G195" s="42">
        <v>0</v>
      </c>
      <c r="H195" s="42">
        <f t="shared" si="30"/>
        <v>737.78070600000001</v>
      </c>
      <c r="I195" s="36"/>
    </row>
    <row r="196" spans="1:10" s="37" customFormat="1" ht="15.75" customHeight="1" x14ac:dyDescent="0.25">
      <c r="A196" s="86">
        <f t="shared" si="31"/>
        <v>6</v>
      </c>
      <c r="B196" s="87"/>
      <c r="C196" s="42" t="s">
        <v>382</v>
      </c>
      <c r="D196" s="78">
        <f t="shared" si="27"/>
        <v>428.19191999999998</v>
      </c>
      <c r="E196" s="78">
        <f t="shared" si="28"/>
        <v>80.62236</v>
      </c>
      <c r="F196" s="42">
        <f t="shared" si="29"/>
        <v>508.81428</v>
      </c>
      <c r="G196" s="42">
        <v>0</v>
      </c>
      <c r="H196" s="42">
        <f t="shared" si="30"/>
        <v>737.78070600000001</v>
      </c>
      <c r="I196" s="36"/>
    </row>
    <row r="197" spans="1:10" s="37" customFormat="1" ht="15.75" customHeight="1" x14ac:dyDescent="0.25">
      <c r="A197" s="86">
        <f t="shared" si="31"/>
        <v>7</v>
      </c>
      <c r="B197" s="87"/>
      <c r="C197" s="42" t="s">
        <v>382</v>
      </c>
      <c r="D197" s="78">
        <f t="shared" si="27"/>
        <v>428.19191999999998</v>
      </c>
      <c r="E197" s="78">
        <f t="shared" si="28"/>
        <v>80.62236</v>
      </c>
      <c r="F197" s="42">
        <f t="shared" si="29"/>
        <v>508.81428</v>
      </c>
      <c r="G197" s="42">
        <v>0</v>
      </c>
      <c r="H197" s="42">
        <f t="shared" si="30"/>
        <v>737.78070600000001</v>
      </c>
      <c r="I197" s="36"/>
    </row>
    <row r="198" spans="1:10" s="37" customFormat="1" ht="15.75" customHeight="1" x14ac:dyDescent="0.25">
      <c r="A198" s="86">
        <f t="shared" si="31"/>
        <v>8</v>
      </c>
      <c r="B198" s="87"/>
      <c r="C198" s="42" t="s">
        <v>382</v>
      </c>
      <c r="D198" s="78">
        <f t="shared" si="27"/>
        <v>428.19191999999998</v>
      </c>
      <c r="E198" s="78">
        <f t="shared" si="28"/>
        <v>80.62236</v>
      </c>
      <c r="F198" s="42">
        <f t="shared" si="29"/>
        <v>508.81428</v>
      </c>
      <c r="G198" s="42">
        <v>0</v>
      </c>
      <c r="H198" s="42">
        <f t="shared" si="30"/>
        <v>737.78070600000001</v>
      </c>
      <c r="I198" s="36"/>
    </row>
    <row r="199" spans="1:10" s="37" customFormat="1" x14ac:dyDescent="0.25">
      <c r="A199" s="88" t="s">
        <v>371</v>
      </c>
      <c r="B199" s="89"/>
      <c r="C199" s="89"/>
      <c r="D199" s="89"/>
      <c r="E199" s="89"/>
      <c r="F199" s="89"/>
      <c r="G199" s="89"/>
      <c r="H199" s="90"/>
      <c r="J199" s="36"/>
    </row>
    <row r="200" spans="1:10" s="37" customFormat="1" x14ac:dyDescent="0.25">
      <c r="A200" s="88" t="s">
        <v>373</v>
      </c>
      <c r="B200" s="89"/>
      <c r="C200" s="89"/>
      <c r="D200" s="89"/>
      <c r="E200" s="89"/>
      <c r="F200" s="89"/>
      <c r="G200" s="89"/>
      <c r="H200" s="90"/>
      <c r="J200" s="36"/>
    </row>
    <row r="201" spans="1:10" s="37" customFormat="1" x14ac:dyDescent="0.25">
      <c r="A201" s="88" t="s">
        <v>380</v>
      </c>
      <c r="B201" s="89"/>
      <c r="C201" s="89"/>
      <c r="D201" s="89"/>
      <c r="E201" s="89"/>
      <c r="F201" s="89"/>
      <c r="G201" s="89"/>
      <c r="H201" s="90"/>
      <c r="J201" s="36"/>
    </row>
    <row r="202" spans="1:10" s="37" customFormat="1" ht="15.75" customHeight="1" x14ac:dyDescent="0.25">
      <c r="A202" s="88" t="s">
        <v>374</v>
      </c>
      <c r="B202" s="89"/>
      <c r="C202" s="89"/>
      <c r="D202" s="89"/>
      <c r="E202" s="89"/>
      <c r="F202" s="89"/>
      <c r="G202" s="89"/>
      <c r="H202" s="90"/>
      <c r="I202" s="36"/>
    </row>
    <row r="203" spans="1:10" s="37" customFormat="1" ht="15.75" customHeight="1" x14ac:dyDescent="0.25">
      <c r="A203" s="86">
        <v>1</v>
      </c>
      <c r="B203" s="87"/>
      <c r="C203" s="42" t="s">
        <v>375</v>
      </c>
      <c r="D203" s="78">
        <f t="shared" ref="D203:D210" si="32">(59.6)*(10.764)</f>
        <v>641.53440000000001</v>
      </c>
      <c r="E203" s="78">
        <f t="shared" ref="E203:E210" si="33">(10.52)*(10.764)</f>
        <v>113.23727999999998</v>
      </c>
      <c r="F203" s="42">
        <f t="shared" ref="F203:F210" si="34">D203+E203</f>
        <v>754.77167999999995</v>
      </c>
      <c r="G203" s="42">
        <v>0</v>
      </c>
      <c r="H203" s="42">
        <f t="shared" ref="H203:H210" si="35">F203*(($H$154)+1)+(IF(G203&lt;101,G203,IF(G203&lt;201,G203/2,IF(G203&lt;=301,G203/3,G203/4))))</f>
        <v>1094.4189359999998</v>
      </c>
      <c r="I203" s="36"/>
    </row>
    <row r="204" spans="1:10" s="37" customFormat="1" ht="15.75" customHeight="1" x14ac:dyDescent="0.25">
      <c r="A204" s="86">
        <f>A203+1</f>
        <v>2</v>
      </c>
      <c r="B204" s="87"/>
      <c r="C204" s="42" t="s">
        <v>375</v>
      </c>
      <c r="D204" s="78">
        <f t="shared" si="32"/>
        <v>641.53440000000001</v>
      </c>
      <c r="E204" s="78">
        <f t="shared" si="33"/>
        <v>113.23727999999998</v>
      </c>
      <c r="F204" s="42">
        <f t="shared" si="34"/>
        <v>754.77167999999995</v>
      </c>
      <c r="G204" s="42">
        <v>0</v>
      </c>
      <c r="H204" s="42">
        <f t="shared" si="35"/>
        <v>1094.4189359999998</v>
      </c>
      <c r="I204" s="36">
        <f>(3.05*4.55+1.05*2.4+2.45*2.59+2.9*3.35+3.05*3.05+2.2*0.55+1*5.1+1.37*2.28+2.28*1.37+0.6*1.35)</f>
        <v>55.127700000000004</v>
      </c>
      <c r="J204" s="36">
        <f>0.95*3.05+0.8*2.45+0.9*(2.9+3.05)</f>
        <v>10.212499999999999</v>
      </c>
    </row>
    <row r="205" spans="1:10" s="37" customFormat="1" ht="15.75" customHeight="1" x14ac:dyDescent="0.25">
      <c r="A205" s="86">
        <f t="shared" ref="A205:A210" si="36">A204+1</f>
        <v>3</v>
      </c>
      <c r="B205" s="87"/>
      <c r="C205" s="42" t="s">
        <v>375</v>
      </c>
      <c r="D205" s="78">
        <f t="shared" si="32"/>
        <v>641.53440000000001</v>
      </c>
      <c r="E205" s="78">
        <f t="shared" si="33"/>
        <v>113.23727999999998</v>
      </c>
      <c r="F205" s="42">
        <f t="shared" si="34"/>
        <v>754.77167999999995</v>
      </c>
      <c r="G205" s="42">
        <v>0</v>
      </c>
      <c r="H205" s="42">
        <f t="shared" si="35"/>
        <v>1094.4189359999998</v>
      </c>
      <c r="I205" s="36"/>
    </row>
    <row r="206" spans="1:10" s="37" customFormat="1" ht="15.75" customHeight="1" x14ac:dyDescent="0.25">
      <c r="A206" s="86">
        <f t="shared" si="36"/>
        <v>4</v>
      </c>
      <c r="B206" s="87"/>
      <c r="C206" s="42" t="s">
        <v>375</v>
      </c>
      <c r="D206" s="78">
        <f t="shared" si="32"/>
        <v>641.53440000000001</v>
      </c>
      <c r="E206" s="78">
        <f t="shared" si="33"/>
        <v>113.23727999999998</v>
      </c>
      <c r="F206" s="42">
        <f t="shared" si="34"/>
        <v>754.77167999999995</v>
      </c>
      <c r="G206" s="42">
        <v>0</v>
      </c>
      <c r="H206" s="42">
        <f t="shared" si="35"/>
        <v>1094.4189359999998</v>
      </c>
      <c r="I206" s="36"/>
    </row>
    <row r="207" spans="1:10" s="37" customFormat="1" ht="15.75" customHeight="1" x14ac:dyDescent="0.25">
      <c r="A207" s="86">
        <f t="shared" si="36"/>
        <v>5</v>
      </c>
      <c r="B207" s="87"/>
      <c r="C207" s="42" t="s">
        <v>375</v>
      </c>
      <c r="D207" s="78">
        <f t="shared" si="32"/>
        <v>641.53440000000001</v>
      </c>
      <c r="E207" s="78">
        <f t="shared" si="33"/>
        <v>113.23727999999998</v>
      </c>
      <c r="F207" s="42">
        <f t="shared" si="34"/>
        <v>754.77167999999995</v>
      </c>
      <c r="G207" s="42">
        <v>0</v>
      </c>
      <c r="H207" s="42">
        <f t="shared" si="35"/>
        <v>1094.4189359999998</v>
      </c>
      <c r="I207" s="36"/>
    </row>
    <row r="208" spans="1:10" s="37" customFormat="1" ht="15.75" customHeight="1" x14ac:dyDescent="0.25">
      <c r="A208" s="86">
        <f t="shared" si="36"/>
        <v>6</v>
      </c>
      <c r="B208" s="87"/>
      <c r="C208" s="42" t="s">
        <v>375</v>
      </c>
      <c r="D208" s="78">
        <f t="shared" si="32"/>
        <v>641.53440000000001</v>
      </c>
      <c r="E208" s="78">
        <f t="shared" si="33"/>
        <v>113.23727999999998</v>
      </c>
      <c r="F208" s="42">
        <f t="shared" si="34"/>
        <v>754.77167999999995</v>
      </c>
      <c r="G208" s="42">
        <v>0</v>
      </c>
      <c r="H208" s="42">
        <f t="shared" si="35"/>
        <v>1094.4189359999998</v>
      </c>
      <c r="I208" s="36"/>
    </row>
    <row r="209" spans="1:10" s="37" customFormat="1" ht="15.75" customHeight="1" x14ac:dyDescent="0.25">
      <c r="A209" s="86">
        <f t="shared" si="36"/>
        <v>7</v>
      </c>
      <c r="B209" s="87"/>
      <c r="C209" s="42" t="s">
        <v>375</v>
      </c>
      <c r="D209" s="78">
        <f t="shared" si="32"/>
        <v>641.53440000000001</v>
      </c>
      <c r="E209" s="78">
        <f t="shared" si="33"/>
        <v>113.23727999999998</v>
      </c>
      <c r="F209" s="42">
        <f t="shared" si="34"/>
        <v>754.77167999999995</v>
      </c>
      <c r="G209" s="42">
        <v>0</v>
      </c>
      <c r="H209" s="42">
        <f t="shared" si="35"/>
        <v>1094.4189359999998</v>
      </c>
      <c r="I209" s="36"/>
    </row>
    <row r="210" spans="1:10" s="37" customFormat="1" ht="15.75" customHeight="1" x14ac:dyDescent="0.25">
      <c r="A210" s="86">
        <f t="shared" si="36"/>
        <v>8</v>
      </c>
      <c r="B210" s="87"/>
      <c r="C210" s="42" t="s">
        <v>375</v>
      </c>
      <c r="D210" s="78">
        <f t="shared" si="32"/>
        <v>641.53440000000001</v>
      </c>
      <c r="E210" s="78">
        <f t="shared" si="33"/>
        <v>113.23727999999998</v>
      </c>
      <c r="F210" s="42">
        <f t="shared" si="34"/>
        <v>754.77167999999995</v>
      </c>
      <c r="G210" s="42">
        <v>0</v>
      </c>
      <c r="H210" s="42">
        <f t="shared" si="35"/>
        <v>1094.4189359999998</v>
      </c>
      <c r="I210" s="36"/>
    </row>
    <row r="211" spans="1:10" s="37" customFormat="1" ht="15.75" customHeight="1" x14ac:dyDescent="0.25">
      <c r="A211" s="88" t="s">
        <v>376</v>
      </c>
      <c r="B211" s="89"/>
      <c r="C211" s="89"/>
      <c r="D211" s="89"/>
      <c r="E211" s="89"/>
      <c r="F211" s="89"/>
      <c r="G211" s="89"/>
      <c r="H211" s="90"/>
      <c r="I211" s="36"/>
    </row>
    <row r="212" spans="1:10" s="37" customFormat="1" ht="15.75" customHeight="1" x14ac:dyDescent="0.25">
      <c r="A212" s="86">
        <v>1</v>
      </c>
      <c r="B212" s="87"/>
      <c r="C212" s="42" t="s">
        <v>375</v>
      </c>
      <c r="D212" s="78">
        <f t="shared" ref="D212:D219" si="37">(59.6)*(10.764)</f>
        <v>641.53440000000001</v>
      </c>
      <c r="E212" s="78">
        <f t="shared" ref="E212:E219" si="38">(10.52)*(10.764)</f>
        <v>113.23727999999998</v>
      </c>
      <c r="F212" s="42">
        <f t="shared" ref="F212:F219" si="39">D212+E212</f>
        <v>754.77167999999995</v>
      </c>
      <c r="G212" s="42">
        <v>0</v>
      </c>
      <c r="H212" s="42">
        <f t="shared" ref="H212:H219" si="40">F212*(($H$154)+1)+(IF(G212&lt;101,G212,IF(G212&lt;201,G212/2,IF(G212&lt;=301,G212/3,G212/4))))</f>
        <v>1094.4189359999998</v>
      </c>
      <c r="I212" s="36"/>
    </row>
    <row r="213" spans="1:10" s="37" customFormat="1" ht="15.75" customHeight="1" x14ac:dyDescent="0.25">
      <c r="A213" s="86">
        <f>A212+1</f>
        <v>2</v>
      </c>
      <c r="B213" s="87"/>
      <c r="C213" s="42" t="s">
        <v>375</v>
      </c>
      <c r="D213" s="78">
        <f t="shared" si="37"/>
        <v>641.53440000000001</v>
      </c>
      <c r="E213" s="78">
        <f t="shared" si="38"/>
        <v>113.23727999999998</v>
      </c>
      <c r="F213" s="42">
        <f t="shared" si="39"/>
        <v>754.77167999999995</v>
      </c>
      <c r="G213" s="42">
        <v>0</v>
      </c>
      <c r="H213" s="42">
        <f t="shared" si="40"/>
        <v>1094.4189359999998</v>
      </c>
      <c r="I213" s="36"/>
      <c r="J213" s="36"/>
    </row>
    <row r="214" spans="1:10" s="37" customFormat="1" ht="15.75" customHeight="1" x14ac:dyDescent="0.25">
      <c r="A214" s="86">
        <f t="shared" ref="A214:A219" si="41">A213+1</f>
        <v>3</v>
      </c>
      <c r="B214" s="87"/>
      <c r="C214" s="42" t="s">
        <v>375</v>
      </c>
      <c r="D214" s="78">
        <f t="shared" si="37"/>
        <v>641.53440000000001</v>
      </c>
      <c r="E214" s="78">
        <f t="shared" si="38"/>
        <v>113.23727999999998</v>
      </c>
      <c r="F214" s="42">
        <f t="shared" si="39"/>
        <v>754.77167999999995</v>
      </c>
      <c r="G214" s="42">
        <v>0</v>
      </c>
      <c r="H214" s="42">
        <f t="shared" si="40"/>
        <v>1094.4189359999998</v>
      </c>
      <c r="I214" s="36"/>
    </row>
    <row r="215" spans="1:10" s="37" customFormat="1" ht="15.75" customHeight="1" x14ac:dyDescent="0.25">
      <c r="A215" s="86">
        <f t="shared" si="41"/>
        <v>4</v>
      </c>
      <c r="B215" s="87"/>
      <c r="C215" s="42" t="s">
        <v>375</v>
      </c>
      <c r="D215" s="78">
        <f t="shared" si="37"/>
        <v>641.53440000000001</v>
      </c>
      <c r="E215" s="78">
        <f t="shared" si="38"/>
        <v>113.23727999999998</v>
      </c>
      <c r="F215" s="42">
        <f t="shared" si="39"/>
        <v>754.77167999999995</v>
      </c>
      <c r="G215" s="42">
        <v>0</v>
      </c>
      <c r="H215" s="42">
        <f t="shared" si="40"/>
        <v>1094.4189359999998</v>
      </c>
      <c r="I215" s="36"/>
    </row>
    <row r="216" spans="1:10" s="37" customFormat="1" ht="15.75" customHeight="1" x14ac:dyDescent="0.25">
      <c r="A216" s="86">
        <f t="shared" si="41"/>
        <v>5</v>
      </c>
      <c r="B216" s="87"/>
      <c r="C216" s="42" t="s">
        <v>375</v>
      </c>
      <c r="D216" s="78">
        <f t="shared" si="37"/>
        <v>641.53440000000001</v>
      </c>
      <c r="E216" s="78">
        <f t="shared" si="38"/>
        <v>113.23727999999998</v>
      </c>
      <c r="F216" s="42">
        <f t="shared" si="39"/>
        <v>754.77167999999995</v>
      </c>
      <c r="G216" s="42">
        <v>0</v>
      </c>
      <c r="H216" s="42">
        <f t="shared" si="40"/>
        <v>1094.4189359999998</v>
      </c>
      <c r="I216" s="36"/>
    </row>
    <row r="217" spans="1:10" s="37" customFormat="1" ht="15.75" customHeight="1" x14ac:dyDescent="0.25">
      <c r="A217" s="86">
        <f t="shared" si="41"/>
        <v>6</v>
      </c>
      <c r="B217" s="87"/>
      <c r="C217" s="42" t="s">
        <v>375</v>
      </c>
      <c r="D217" s="78">
        <f t="shared" si="37"/>
        <v>641.53440000000001</v>
      </c>
      <c r="E217" s="78">
        <f t="shared" si="38"/>
        <v>113.23727999999998</v>
      </c>
      <c r="F217" s="42">
        <f t="shared" si="39"/>
        <v>754.77167999999995</v>
      </c>
      <c r="G217" s="42">
        <v>0</v>
      </c>
      <c r="H217" s="42">
        <f t="shared" si="40"/>
        <v>1094.4189359999998</v>
      </c>
      <c r="I217" s="36"/>
    </row>
    <row r="218" spans="1:10" s="37" customFormat="1" ht="15.75" customHeight="1" x14ac:dyDescent="0.25">
      <c r="A218" s="86">
        <f t="shared" si="41"/>
        <v>7</v>
      </c>
      <c r="B218" s="87"/>
      <c r="C218" s="42" t="s">
        <v>375</v>
      </c>
      <c r="D218" s="78">
        <f t="shared" si="37"/>
        <v>641.53440000000001</v>
      </c>
      <c r="E218" s="78">
        <f t="shared" si="38"/>
        <v>113.23727999999998</v>
      </c>
      <c r="F218" s="42">
        <f t="shared" si="39"/>
        <v>754.77167999999995</v>
      </c>
      <c r="G218" s="42">
        <v>0</v>
      </c>
      <c r="H218" s="42">
        <f t="shared" si="40"/>
        <v>1094.4189359999998</v>
      </c>
      <c r="I218" s="36"/>
    </row>
    <row r="219" spans="1:10" s="37" customFormat="1" ht="15.75" customHeight="1" x14ac:dyDescent="0.25">
      <c r="A219" s="86">
        <f t="shared" si="41"/>
        <v>8</v>
      </c>
      <c r="B219" s="87"/>
      <c r="C219" s="42" t="s">
        <v>375</v>
      </c>
      <c r="D219" s="78">
        <f t="shared" si="37"/>
        <v>641.53440000000001</v>
      </c>
      <c r="E219" s="78">
        <f t="shared" si="38"/>
        <v>113.23727999999998</v>
      </c>
      <c r="F219" s="42">
        <f t="shared" si="39"/>
        <v>754.77167999999995</v>
      </c>
      <c r="G219" s="42">
        <v>0</v>
      </c>
      <c r="H219" s="42">
        <f t="shared" si="40"/>
        <v>1094.4189359999998</v>
      </c>
      <c r="I219" s="36"/>
    </row>
    <row r="220" spans="1:10" s="37" customFormat="1" x14ac:dyDescent="0.25">
      <c r="A220" s="88" t="s">
        <v>372</v>
      </c>
      <c r="B220" s="89"/>
      <c r="C220" s="89"/>
      <c r="D220" s="89"/>
      <c r="E220" s="89"/>
      <c r="F220" s="89"/>
      <c r="G220" s="89"/>
      <c r="H220" s="90"/>
      <c r="J220" s="36"/>
    </row>
    <row r="221" spans="1:10" s="37" customFormat="1" x14ac:dyDescent="0.25">
      <c r="A221" s="88" t="s">
        <v>373</v>
      </c>
      <c r="B221" s="89"/>
      <c r="C221" s="89"/>
      <c r="D221" s="89"/>
      <c r="E221" s="89"/>
      <c r="F221" s="89"/>
      <c r="G221" s="89"/>
      <c r="H221" s="90"/>
      <c r="J221" s="36"/>
    </row>
    <row r="222" spans="1:10" s="37" customFormat="1" x14ac:dyDescent="0.25">
      <c r="A222" s="88" t="s">
        <v>380</v>
      </c>
      <c r="B222" s="89"/>
      <c r="C222" s="89"/>
      <c r="D222" s="89"/>
      <c r="E222" s="89"/>
      <c r="F222" s="89"/>
      <c r="G222" s="89"/>
      <c r="H222" s="90"/>
      <c r="J222" s="36"/>
    </row>
    <row r="223" spans="1:10" s="37" customFormat="1" ht="15.75" customHeight="1" x14ac:dyDescent="0.25">
      <c r="A223" s="88" t="s">
        <v>374</v>
      </c>
      <c r="B223" s="89"/>
      <c r="C223" s="89"/>
      <c r="D223" s="89"/>
      <c r="E223" s="89"/>
      <c r="F223" s="89"/>
      <c r="G223" s="89"/>
      <c r="H223" s="90"/>
      <c r="I223" s="36"/>
    </row>
    <row r="224" spans="1:10" s="37" customFormat="1" ht="15.75" customHeight="1" x14ac:dyDescent="0.25">
      <c r="A224" s="86">
        <v>1</v>
      </c>
      <c r="B224" s="87"/>
      <c r="C224" s="42" t="s">
        <v>375</v>
      </c>
      <c r="D224" s="78">
        <f t="shared" ref="D224:D231" si="42">(59.6)*(10.764)</f>
        <v>641.53440000000001</v>
      </c>
      <c r="E224" s="78">
        <f t="shared" ref="E224:E231" si="43">(10.52)*(10.764)</f>
        <v>113.23727999999998</v>
      </c>
      <c r="F224" s="42">
        <f t="shared" ref="F224:F231" si="44">D224+E224</f>
        <v>754.77167999999995</v>
      </c>
      <c r="G224" s="42">
        <v>0</v>
      </c>
      <c r="H224" s="42">
        <f t="shared" ref="H224:H231" si="45">F224*(($H$154)+1)+(IF(G224&lt;101,G224,IF(G224&lt;201,G224/2,IF(G224&lt;=301,G224/3,G224/4))))</f>
        <v>1094.4189359999998</v>
      </c>
      <c r="I224" s="36"/>
    </row>
    <row r="225" spans="1:10" s="37" customFormat="1" ht="15.75" customHeight="1" x14ac:dyDescent="0.25">
      <c r="A225" s="86">
        <f>A224+1</f>
        <v>2</v>
      </c>
      <c r="B225" s="87"/>
      <c r="C225" s="42" t="s">
        <v>375</v>
      </c>
      <c r="D225" s="78">
        <f t="shared" si="42"/>
        <v>641.53440000000001</v>
      </c>
      <c r="E225" s="78">
        <f t="shared" si="43"/>
        <v>113.23727999999998</v>
      </c>
      <c r="F225" s="42">
        <f t="shared" si="44"/>
        <v>754.77167999999995</v>
      </c>
      <c r="G225" s="42">
        <v>0</v>
      </c>
      <c r="H225" s="42">
        <f t="shared" si="45"/>
        <v>1094.4189359999998</v>
      </c>
      <c r="I225" s="36"/>
      <c r="J225" s="36"/>
    </row>
    <row r="226" spans="1:10" s="37" customFormat="1" ht="15.75" customHeight="1" x14ac:dyDescent="0.25">
      <c r="A226" s="86">
        <f t="shared" ref="A226:A231" si="46">A225+1</f>
        <v>3</v>
      </c>
      <c r="B226" s="87"/>
      <c r="C226" s="42" t="s">
        <v>375</v>
      </c>
      <c r="D226" s="78">
        <f t="shared" si="42"/>
        <v>641.53440000000001</v>
      </c>
      <c r="E226" s="78">
        <f t="shared" si="43"/>
        <v>113.23727999999998</v>
      </c>
      <c r="F226" s="42">
        <f t="shared" si="44"/>
        <v>754.77167999999995</v>
      </c>
      <c r="G226" s="42">
        <v>0</v>
      </c>
      <c r="H226" s="42">
        <f t="shared" si="45"/>
        <v>1094.4189359999998</v>
      </c>
      <c r="I226" s="36"/>
    </row>
    <row r="227" spans="1:10" s="37" customFormat="1" ht="15.75" customHeight="1" x14ac:dyDescent="0.25">
      <c r="A227" s="86">
        <f t="shared" si="46"/>
        <v>4</v>
      </c>
      <c r="B227" s="87"/>
      <c r="C227" s="42" t="s">
        <v>375</v>
      </c>
      <c r="D227" s="78">
        <f t="shared" si="42"/>
        <v>641.53440000000001</v>
      </c>
      <c r="E227" s="78">
        <f t="shared" si="43"/>
        <v>113.23727999999998</v>
      </c>
      <c r="F227" s="42">
        <f t="shared" si="44"/>
        <v>754.77167999999995</v>
      </c>
      <c r="G227" s="42">
        <v>0</v>
      </c>
      <c r="H227" s="42">
        <f t="shared" si="45"/>
        <v>1094.4189359999998</v>
      </c>
      <c r="I227" s="36"/>
    </row>
    <row r="228" spans="1:10" s="37" customFormat="1" ht="15.75" customHeight="1" x14ac:dyDescent="0.25">
      <c r="A228" s="86">
        <f t="shared" si="46"/>
        <v>5</v>
      </c>
      <c r="B228" s="87"/>
      <c r="C228" s="42" t="s">
        <v>375</v>
      </c>
      <c r="D228" s="78">
        <f t="shared" si="42"/>
        <v>641.53440000000001</v>
      </c>
      <c r="E228" s="78">
        <f t="shared" si="43"/>
        <v>113.23727999999998</v>
      </c>
      <c r="F228" s="42">
        <f t="shared" si="44"/>
        <v>754.77167999999995</v>
      </c>
      <c r="G228" s="42">
        <v>0</v>
      </c>
      <c r="H228" s="42">
        <f t="shared" si="45"/>
        <v>1094.4189359999998</v>
      </c>
      <c r="I228" s="36"/>
    </row>
    <row r="229" spans="1:10" s="37" customFormat="1" ht="15.75" customHeight="1" x14ac:dyDescent="0.25">
      <c r="A229" s="86">
        <f t="shared" si="46"/>
        <v>6</v>
      </c>
      <c r="B229" s="87"/>
      <c r="C229" s="42" t="s">
        <v>375</v>
      </c>
      <c r="D229" s="78">
        <f t="shared" si="42"/>
        <v>641.53440000000001</v>
      </c>
      <c r="E229" s="78">
        <f t="shared" si="43"/>
        <v>113.23727999999998</v>
      </c>
      <c r="F229" s="42">
        <f t="shared" si="44"/>
        <v>754.77167999999995</v>
      </c>
      <c r="G229" s="42">
        <v>0</v>
      </c>
      <c r="H229" s="42">
        <f t="shared" si="45"/>
        <v>1094.4189359999998</v>
      </c>
      <c r="I229" s="36"/>
    </row>
    <row r="230" spans="1:10" s="37" customFormat="1" ht="15.75" customHeight="1" x14ac:dyDescent="0.25">
      <c r="A230" s="86">
        <f t="shared" si="46"/>
        <v>7</v>
      </c>
      <c r="B230" s="87"/>
      <c r="C230" s="42" t="s">
        <v>375</v>
      </c>
      <c r="D230" s="78">
        <f t="shared" si="42"/>
        <v>641.53440000000001</v>
      </c>
      <c r="E230" s="78">
        <f t="shared" si="43"/>
        <v>113.23727999999998</v>
      </c>
      <c r="F230" s="42">
        <f t="shared" si="44"/>
        <v>754.77167999999995</v>
      </c>
      <c r="G230" s="42">
        <v>0</v>
      </c>
      <c r="H230" s="42">
        <f t="shared" si="45"/>
        <v>1094.4189359999998</v>
      </c>
      <c r="I230" s="36"/>
    </row>
    <row r="231" spans="1:10" s="37" customFormat="1" ht="15.75" customHeight="1" x14ac:dyDescent="0.25">
      <c r="A231" s="86">
        <f t="shared" si="46"/>
        <v>8</v>
      </c>
      <c r="B231" s="87"/>
      <c r="C231" s="42" t="s">
        <v>375</v>
      </c>
      <c r="D231" s="78">
        <f t="shared" si="42"/>
        <v>641.53440000000001</v>
      </c>
      <c r="E231" s="78">
        <f t="shared" si="43"/>
        <v>113.23727999999998</v>
      </c>
      <c r="F231" s="42">
        <f t="shared" si="44"/>
        <v>754.77167999999995</v>
      </c>
      <c r="G231" s="42">
        <v>0</v>
      </c>
      <c r="H231" s="42">
        <f t="shared" si="45"/>
        <v>1094.4189359999998</v>
      </c>
      <c r="I231" s="36"/>
    </row>
    <row r="232" spans="1:10" s="37" customFormat="1" ht="15.75" customHeight="1" x14ac:dyDescent="0.25">
      <c r="A232" s="94" t="s">
        <v>376</v>
      </c>
      <c r="B232" s="94"/>
      <c r="C232" s="94"/>
      <c r="D232" s="94"/>
      <c r="E232" s="94"/>
      <c r="F232" s="94"/>
      <c r="G232" s="94"/>
      <c r="H232" s="94"/>
      <c r="I232" s="36"/>
    </row>
    <row r="233" spans="1:10" s="37" customFormat="1" ht="15.75" customHeight="1" x14ac:dyDescent="0.25">
      <c r="A233" s="85">
        <v>1</v>
      </c>
      <c r="B233" s="85"/>
      <c r="C233" s="80" t="s">
        <v>375</v>
      </c>
      <c r="D233" s="78">
        <f t="shared" ref="D233:D240" si="47">(59.6)*(10.764)</f>
        <v>641.53440000000001</v>
      </c>
      <c r="E233" s="78">
        <f t="shared" ref="E233:E240" si="48">(10.52)*(10.764)</f>
        <v>113.23727999999998</v>
      </c>
      <c r="F233" s="80">
        <f t="shared" ref="F233:F240" si="49">D233+E233</f>
        <v>754.77167999999995</v>
      </c>
      <c r="G233" s="80">
        <v>0</v>
      </c>
      <c r="H233" s="80">
        <f t="shared" ref="H233:H240" si="50">F233*(($H$154)+1)+(IF(G233&lt;101,G233,IF(G233&lt;201,G233/2,IF(G233&lt;=301,G233/3,G233/4))))</f>
        <v>1094.4189359999998</v>
      </c>
      <c r="I233" s="36"/>
    </row>
    <row r="234" spans="1:10" s="37" customFormat="1" ht="15.75" customHeight="1" x14ac:dyDescent="0.25">
      <c r="A234" s="85">
        <f>A233+1</f>
        <v>2</v>
      </c>
      <c r="B234" s="85"/>
      <c r="C234" s="80" t="s">
        <v>375</v>
      </c>
      <c r="D234" s="78">
        <f t="shared" si="47"/>
        <v>641.53440000000001</v>
      </c>
      <c r="E234" s="78">
        <f t="shared" si="48"/>
        <v>113.23727999999998</v>
      </c>
      <c r="F234" s="80">
        <f t="shared" si="49"/>
        <v>754.77167999999995</v>
      </c>
      <c r="G234" s="80">
        <v>0</v>
      </c>
      <c r="H234" s="80">
        <f t="shared" si="50"/>
        <v>1094.4189359999998</v>
      </c>
      <c r="I234" s="36"/>
      <c r="J234" s="36"/>
    </row>
    <row r="235" spans="1:10" s="37" customFormat="1" ht="15.75" customHeight="1" x14ac:dyDescent="0.25">
      <c r="A235" s="85">
        <f t="shared" ref="A235:A240" si="51">A234+1</f>
        <v>3</v>
      </c>
      <c r="B235" s="85"/>
      <c r="C235" s="80" t="s">
        <v>375</v>
      </c>
      <c r="D235" s="78">
        <f t="shared" si="47"/>
        <v>641.53440000000001</v>
      </c>
      <c r="E235" s="78">
        <f t="shared" si="48"/>
        <v>113.23727999999998</v>
      </c>
      <c r="F235" s="80">
        <f t="shared" si="49"/>
        <v>754.77167999999995</v>
      </c>
      <c r="G235" s="80">
        <v>0</v>
      </c>
      <c r="H235" s="80">
        <f t="shared" si="50"/>
        <v>1094.4189359999998</v>
      </c>
      <c r="I235" s="36"/>
    </row>
    <row r="236" spans="1:10" s="37" customFormat="1" ht="15.75" customHeight="1" x14ac:dyDescent="0.25">
      <c r="A236" s="86">
        <f t="shared" si="51"/>
        <v>4</v>
      </c>
      <c r="B236" s="87"/>
      <c r="C236" s="42" t="s">
        <v>375</v>
      </c>
      <c r="D236" s="78">
        <f t="shared" si="47"/>
        <v>641.53440000000001</v>
      </c>
      <c r="E236" s="78">
        <f t="shared" si="48"/>
        <v>113.23727999999998</v>
      </c>
      <c r="F236" s="42">
        <f t="shared" si="49"/>
        <v>754.77167999999995</v>
      </c>
      <c r="G236" s="42">
        <v>0</v>
      </c>
      <c r="H236" s="42">
        <f t="shared" si="50"/>
        <v>1094.4189359999998</v>
      </c>
      <c r="I236" s="36"/>
    </row>
    <row r="237" spans="1:10" s="37" customFormat="1" ht="15.75" customHeight="1" x14ac:dyDescent="0.25">
      <c r="A237" s="86">
        <f t="shared" si="51"/>
        <v>5</v>
      </c>
      <c r="B237" s="87"/>
      <c r="C237" s="42" t="s">
        <v>375</v>
      </c>
      <c r="D237" s="78">
        <f t="shared" si="47"/>
        <v>641.53440000000001</v>
      </c>
      <c r="E237" s="78">
        <f t="shared" si="48"/>
        <v>113.23727999999998</v>
      </c>
      <c r="F237" s="42">
        <f t="shared" si="49"/>
        <v>754.77167999999995</v>
      </c>
      <c r="G237" s="42">
        <v>0</v>
      </c>
      <c r="H237" s="42">
        <f t="shared" si="50"/>
        <v>1094.4189359999998</v>
      </c>
      <c r="I237" s="36"/>
    </row>
    <row r="238" spans="1:10" s="37" customFormat="1" ht="15.75" customHeight="1" x14ac:dyDescent="0.25">
      <c r="A238" s="86">
        <f t="shared" si="51"/>
        <v>6</v>
      </c>
      <c r="B238" s="87"/>
      <c r="C238" s="42" t="s">
        <v>375</v>
      </c>
      <c r="D238" s="78">
        <f t="shared" si="47"/>
        <v>641.53440000000001</v>
      </c>
      <c r="E238" s="78">
        <f t="shared" si="48"/>
        <v>113.23727999999998</v>
      </c>
      <c r="F238" s="42">
        <f t="shared" si="49"/>
        <v>754.77167999999995</v>
      </c>
      <c r="G238" s="42">
        <v>0</v>
      </c>
      <c r="H238" s="42">
        <f t="shared" si="50"/>
        <v>1094.4189359999998</v>
      </c>
      <c r="I238" s="36"/>
    </row>
    <row r="239" spans="1:10" s="37" customFormat="1" ht="15.75" customHeight="1" x14ac:dyDescent="0.25">
      <c r="A239" s="86">
        <f t="shared" si="51"/>
        <v>7</v>
      </c>
      <c r="B239" s="87"/>
      <c r="C239" s="42" t="s">
        <v>375</v>
      </c>
      <c r="D239" s="78">
        <f t="shared" si="47"/>
        <v>641.53440000000001</v>
      </c>
      <c r="E239" s="78">
        <f t="shared" si="48"/>
        <v>113.23727999999998</v>
      </c>
      <c r="F239" s="42">
        <f t="shared" si="49"/>
        <v>754.77167999999995</v>
      </c>
      <c r="G239" s="42">
        <v>0</v>
      </c>
      <c r="H239" s="42">
        <f t="shared" si="50"/>
        <v>1094.4189359999998</v>
      </c>
      <c r="I239" s="36"/>
    </row>
    <row r="240" spans="1:10" s="37" customFormat="1" ht="15.75" customHeight="1" x14ac:dyDescent="0.25">
      <c r="A240" s="86">
        <f t="shared" si="51"/>
        <v>8</v>
      </c>
      <c r="B240" s="87"/>
      <c r="C240" s="42" t="s">
        <v>375</v>
      </c>
      <c r="D240" s="78">
        <f t="shared" si="47"/>
        <v>641.53440000000001</v>
      </c>
      <c r="E240" s="78">
        <f t="shared" si="48"/>
        <v>113.23727999999998</v>
      </c>
      <c r="F240" s="42">
        <f t="shared" si="49"/>
        <v>754.77167999999995</v>
      </c>
      <c r="G240" s="42">
        <v>0</v>
      </c>
      <c r="H240" s="42">
        <f t="shared" si="50"/>
        <v>1094.4189359999998</v>
      </c>
      <c r="I240" s="36"/>
    </row>
    <row r="241" spans="1:20" s="37" customFormat="1" hidden="1" x14ac:dyDescent="0.25">
      <c r="A241" s="88" t="s">
        <v>116</v>
      </c>
      <c r="B241" s="89"/>
      <c r="C241" s="89"/>
      <c r="D241" s="89"/>
      <c r="E241" s="89"/>
      <c r="F241" s="89"/>
      <c r="G241" s="89"/>
      <c r="H241" s="90"/>
      <c r="J241" s="36"/>
    </row>
    <row r="242" spans="1:20" s="37" customFormat="1" ht="15.75" hidden="1" customHeight="1" x14ac:dyDescent="0.25">
      <c r="A242" s="86">
        <v>1</v>
      </c>
      <c r="B242" s="87"/>
      <c r="C242" s="42"/>
      <c r="D242" s="42"/>
      <c r="E242" s="42">
        <v>0</v>
      </c>
      <c r="F242" s="42">
        <f>D242+E242</f>
        <v>0</v>
      </c>
      <c r="G242" s="42">
        <v>0</v>
      </c>
      <c r="H242" s="42">
        <f>F242*(($H$154)+1)+(IF(G242&lt;101,G242,IF(G242&lt;201,G242/2,IF(G242&lt;=301,G242/3,G242/4))))</f>
        <v>0</v>
      </c>
      <c r="I242" s="36"/>
      <c r="L242" s="134"/>
      <c r="M242" s="134"/>
      <c r="N242" s="36"/>
    </row>
    <row r="243" spans="1:20" s="37" customFormat="1" ht="15.75" hidden="1" customHeight="1" x14ac:dyDescent="0.25">
      <c r="A243" s="86">
        <f>A242+1</f>
        <v>2</v>
      </c>
      <c r="B243" s="87"/>
      <c r="C243" s="42"/>
      <c r="D243" s="42"/>
      <c r="E243" s="42">
        <v>0</v>
      </c>
      <c r="F243" s="42">
        <f>D243+E243</f>
        <v>0</v>
      </c>
      <c r="G243" s="42">
        <v>0</v>
      </c>
      <c r="H243" s="42">
        <f>F243*(($H$154)+1)+(IF(G243&lt;101,G243,IF(G243&lt;201,G243/2,IF(G243&lt;=301,G243/3,G243/4))))</f>
        <v>0</v>
      </c>
      <c r="I243" s="36"/>
      <c r="L243" s="134"/>
      <c r="M243" s="134"/>
      <c r="N243" s="36"/>
    </row>
    <row r="244" spans="1:20" s="37" customFormat="1" ht="15.75" hidden="1" customHeight="1" x14ac:dyDescent="0.25">
      <c r="A244" s="86">
        <f>A243+1</f>
        <v>3</v>
      </c>
      <c r="B244" s="87"/>
      <c r="C244" s="42"/>
      <c r="D244" s="42"/>
      <c r="E244" s="42">
        <v>0</v>
      </c>
      <c r="F244" s="42">
        <f>D244+E244</f>
        <v>0</v>
      </c>
      <c r="G244" s="42">
        <v>0</v>
      </c>
      <c r="H244" s="42">
        <f>F244*(($H$154)+1)+(IF(G244&lt;101,G244,IF(G244&lt;201,G244/2,IF(G244&lt;=301,G244/3,G244/4))))</f>
        <v>0</v>
      </c>
      <c r="I244" s="36"/>
      <c r="L244" s="134"/>
      <c r="M244" s="134"/>
      <c r="N244" s="36"/>
    </row>
    <row r="245" spans="1:20" s="37" customFormat="1" ht="15.75" hidden="1" customHeight="1" x14ac:dyDescent="0.25">
      <c r="A245" s="86">
        <f>A244+1</f>
        <v>4</v>
      </c>
      <c r="B245" s="87"/>
      <c r="C245" s="42"/>
      <c r="D245" s="42"/>
      <c r="E245" s="42">
        <v>0</v>
      </c>
      <c r="F245" s="42">
        <f>D245+E245</f>
        <v>0</v>
      </c>
      <c r="G245" s="42">
        <v>0</v>
      </c>
      <c r="H245" s="42">
        <f>F245*(($H$154)+1)+(IF(G245&lt;101,G245,IF(G245&lt;201,G245/2,IF(G245&lt;=301,G245/3,G245/4))))</f>
        <v>0</v>
      </c>
      <c r="I245" s="36"/>
      <c r="L245" s="134"/>
      <c r="M245" s="134"/>
      <c r="N245" s="36"/>
      <c r="T245" s="21"/>
    </row>
    <row r="246" spans="1:20" s="37" customFormat="1" hidden="1" x14ac:dyDescent="0.25">
      <c r="A246" s="94" t="s">
        <v>117</v>
      </c>
      <c r="B246" s="94"/>
      <c r="C246" s="94"/>
      <c r="D246" s="94"/>
      <c r="E246" s="94"/>
      <c r="F246" s="94"/>
      <c r="G246" s="94"/>
      <c r="H246" s="94"/>
      <c r="I246" s="36"/>
      <c r="L246" s="134"/>
      <c r="M246" s="134"/>
    </row>
    <row r="247" spans="1:20" s="37" customFormat="1" hidden="1" x14ac:dyDescent="0.25">
      <c r="A247" s="85">
        <f>LEFT(A246,SUM(LEN(A246)-LEN(SUBSTITUTE(A246,{"0","1","2","3","4","5","6","7","8","9"},""))))*100+1</f>
        <v>201</v>
      </c>
      <c r="B247" s="85"/>
      <c r="C247" s="42"/>
      <c r="D247" s="42"/>
      <c r="E247" s="42">
        <v>0</v>
      </c>
      <c r="F247" s="42">
        <f>D247+E247</f>
        <v>0</v>
      </c>
      <c r="G247" s="42">
        <v>0</v>
      </c>
      <c r="H247" s="42">
        <f>F247*(($H$154)+1)+(IF(G247&lt;101,G247,IF(G247&lt;201,G247/2,IF(G247&lt;=301,G247/3,G247/4))))</f>
        <v>0</v>
      </c>
      <c r="I247" s="36"/>
      <c r="N247" s="36"/>
    </row>
    <row r="248" spans="1:20" s="37" customFormat="1" hidden="1" x14ac:dyDescent="0.25">
      <c r="A248" s="85">
        <f>A247+1</f>
        <v>202</v>
      </c>
      <c r="B248" s="85"/>
      <c r="C248" s="42"/>
      <c r="D248" s="42"/>
      <c r="E248" s="42">
        <v>0</v>
      </c>
      <c r="F248" s="42">
        <f>D248+E248</f>
        <v>0</v>
      </c>
      <c r="G248" s="42">
        <v>0</v>
      </c>
      <c r="H248" s="42">
        <f>F248*(($H$154)+1)+(IF(G248&lt;101,G248,IF(G248&lt;201,G248/2,IF(G248&lt;=301,G248/3,G248/4))))</f>
        <v>0</v>
      </c>
      <c r="I248" s="36"/>
      <c r="N248" s="36"/>
    </row>
    <row r="249" spans="1:20" s="37" customFormat="1" hidden="1" x14ac:dyDescent="0.25">
      <c r="A249" s="85">
        <f>A248+1</f>
        <v>203</v>
      </c>
      <c r="B249" s="85"/>
      <c r="C249" s="42"/>
      <c r="D249" s="42"/>
      <c r="E249" s="42">
        <v>0</v>
      </c>
      <c r="F249" s="42">
        <f>D249+E249</f>
        <v>0</v>
      </c>
      <c r="G249" s="42">
        <v>0</v>
      </c>
      <c r="H249" s="42">
        <f>F249*(($H$154)+1)+(IF(G249&lt;101,G249,IF(G249&lt;201,G249/2,IF(G249&lt;=301,G249/3,G249/4))))</f>
        <v>0</v>
      </c>
      <c r="I249" s="36"/>
      <c r="N249" s="36"/>
    </row>
    <row r="250" spans="1:20" s="37" customFormat="1" hidden="1" x14ac:dyDescent="0.25">
      <c r="A250" s="85">
        <f>A249+1</f>
        <v>204</v>
      </c>
      <c r="B250" s="85"/>
      <c r="C250" s="42"/>
      <c r="D250" s="42"/>
      <c r="E250" s="42">
        <v>0</v>
      </c>
      <c r="F250" s="42">
        <f>D250+E250</f>
        <v>0</v>
      </c>
      <c r="G250" s="42">
        <v>0</v>
      </c>
      <c r="H250" s="42">
        <f>F250*(($H$154)+1)+(IF(G250&lt;101,G250,IF(G250&lt;201,G250/2,IF(G250&lt;=301,G250/3,G250/4))))</f>
        <v>0</v>
      </c>
      <c r="I250" s="36"/>
      <c r="N250" s="36"/>
    </row>
    <row r="251" spans="1:20" s="37" customFormat="1" hidden="1" x14ac:dyDescent="0.25">
      <c r="A251" s="85">
        <f>A250+1</f>
        <v>205</v>
      </c>
      <c r="B251" s="85"/>
      <c r="C251" s="42"/>
      <c r="D251" s="42"/>
      <c r="E251" s="42">
        <v>0</v>
      </c>
      <c r="F251" s="42">
        <f>D251+E251</f>
        <v>0</v>
      </c>
      <c r="G251" s="42">
        <v>0</v>
      </c>
      <c r="H251" s="42">
        <f>F251*(($H$154)+1)+(IF(G251&lt;101,G251,IF(G251&lt;201,G251/2,IF(G251&lt;=301,G251/3,G251/4))))</f>
        <v>0</v>
      </c>
      <c r="I251" s="36"/>
      <c r="N251" s="36"/>
    </row>
    <row r="252" spans="1:20" s="37" customFormat="1" ht="15.75" hidden="1" customHeight="1" x14ac:dyDescent="0.25">
      <c r="A252" s="88" t="s">
        <v>148</v>
      </c>
      <c r="B252" s="89"/>
      <c r="C252" s="89"/>
      <c r="D252" s="89"/>
      <c r="E252" s="89"/>
      <c r="F252" s="89"/>
      <c r="G252" s="89"/>
      <c r="H252" s="90"/>
      <c r="I252" s="36"/>
    </row>
    <row r="253" spans="1:20" s="37" customFormat="1" ht="15.75" hidden="1" customHeight="1" x14ac:dyDescent="0.25">
      <c r="A253" s="86" t="str">
        <f ca="1">(SUMPRODUCT(MID(0&amp;(LEFT(A252,SUM(LEN(A252)-LEN(SUBSTITUTE(A252,{"0","1","2"},""))))), LARGE(INDEX(ISNUMBER(--MID((LEFT(A252,SUM(LEN(A252)-LEN(SUBSTITUTE(A252,{"0","1","2"},""))))), ROW(INDIRECT("1:"&amp;LEN((LEFT(A252,SUM(LEN(A252)-LEN(SUBSTITUTE(A252,{"0","1","2"},"")))))))), 1)) * ROW(INDIRECT("1:"&amp;LEN((LEFT(A252,SUM(LEN(A252)-LEN(SUBSTITUTE(A252,{"0","1","2"},"")))))))), 0), ROW(INDIRECT("1:"&amp;LEN((LEFT(A252,SUM(LEN(A252)-LEN(SUBSTITUTE(A252,{"0","1","2"},"")))))))))+1, 1) * 10^ROW(INDIRECT("1:"&amp;LEN((LEFT(A252,SUM(LEN(A252)-LEN(SUBSTITUTE(A252,{"0","1","2"},""))))))))/10))*100+1&amp;""&amp;" ,.., "&amp;""&amp;(SUMPRODUCT(MID(0&amp;(--TRIM(RIGHT(SUBSTITUTE(LEFT(A252,_xlfn.AGGREGATE(16,6,FIND({0,1,2,3,4,5,6,7,8,9},A252,ROW(INDIRECT("1:"&amp;LEN(A252)))),1))," ",REPT(" ",LEN(A252))),LEN(A252)))), LARGE(INDEX(ISNUMBER(--MID((--TRIM(RIGHT(SUBSTITUTE(LEFT(A252,_xlfn.AGGREGATE(16,6,FIND({0,1,2,3,4,5,6,7,8,9},A252,ROW(INDIRECT("1:"&amp;LEN(A252)))),1))," ",REPT(" ",LEN(A252))),LEN(A252)))), ROW(INDIRECT("1:"&amp;LEN((--TRIM(RIGHT(SUBSTITUTE(LEFT(A252,_xlfn.AGGREGATE(16,6,FIND({0,1,2,3,4,5,6,7,8,9},A252,ROW(INDIRECT("1:"&amp;LEN(A252)))),1))," ",REPT(" ",LEN(A252))),LEN(A252))))))), 1)) * ROW(INDIRECT("1:"&amp;LEN((--TRIM(RIGHT(SUBSTITUTE(LEFT(A252,_xlfn.AGGREGATE(16,6,FIND({0,1,2,3,4,5,6,7,8,9},A252,ROW(INDIRECT("1:"&amp;LEN(A252)))),1))," ",REPT(" ",LEN(A252))),LEN(A252))))))), 0), ROW(INDIRECT("1:"&amp;LEN((--TRIM(RIGHT(SUBSTITUTE(LEFT(A252,_xlfn.AGGREGATE(16,6,FIND({0,1,2,3,4,5,6,7,8,9},A252,ROW(INDIRECT("1:"&amp;LEN(A252)))),1))," ",REPT(" ",LEN(A252))),LEN(A252))))))))+1, 1) * 10^ROW(INDIRECT("1:"&amp;LEN((--TRIM(RIGHT(SUBSTITUTE(LEFT(A252,_xlfn.AGGREGATE(16,6,FIND({0,1,2,3,4,5,6,7,8,9},A252,ROW(INDIRECT("1:"&amp;LEN(A252)))),1))," ",REPT(" ",LEN(A252))),LEN(A252)))))))/10))*100+1</f>
        <v>301 ,.., 1501</v>
      </c>
      <c r="B253" s="87"/>
      <c r="C253" s="42"/>
      <c r="D253" s="42"/>
      <c r="E253" s="42">
        <v>0</v>
      </c>
      <c r="F253" s="42">
        <f>D253+E253</f>
        <v>0</v>
      </c>
      <c r="G253" s="42">
        <v>0</v>
      </c>
      <c r="H253" s="42">
        <f>F253*(($H$154)+1)+(IF(G253&lt;101,G253,IF(G253&lt;201,G253/2,IF(G253&lt;=301,G253/3,G253/4))))</f>
        <v>0</v>
      </c>
      <c r="I253" s="36"/>
    </row>
    <row r="254" spans="1:20" s="37" customFormat="1" ht="15.75" hidden="1" customHeight="1" x14ac:dyDescent="0.25">
      <c r="A254" s="86" t="str">
        <f ca="1">(SUMPRODUCT(MID(0&amp;(LEFT(A253,SUM(LEN(A253)-LEN(SUBSTITUTE(A253,{"0","1","2"},""))))), LARGE(INDEX(ISNUMBER(--MID((LEFT(A253,SUM(LEN(A253)-LEN(SUBSTITUTE(A253,{"0","1","2"},""))))), ROW(INDIRECT("1:"&amp;LEN((LEFT(A253,SUM(LEN(A253)-LEN(SUBSTITUTE(A253,{"0","1","2"},"")))))))), 1)) * ROW(INDIRECT("1:"&amp;LEN((LEFT(A253,SUM(LEN(A253)-LEN(SUBSTITUTE(A253,{"0","1","2"},"")))))))), 0), ROW(INDIRECT("1:"&amp;LEN((LEFT(A253,SUM(LEN(A253)-LEN(SUBSTITUTE(A253,{"0","1","2"},"")))))))))+1, 1) * 10^ROW(INDIRECT("1:"&amp;LEN((LEFT(A253,SUM(LEN(A253)-LEN(SUBSTITUTE(A253,{"0","1","2"},""))))))))/10))*1+1&amp;""&amp;" ,.., "&amp;""&amp;(SUMPRODUCT(MID(0&amp;(--TRIM(RIGHT(SUBSTITUTE(LEFT(A253,_xlfn.AGGREGATE(16,6,FIND({0,1,2,3,4,5,6,7,8,9},A253,ROW(INDIRECT("1:"&amp;LEN(A253)))),1))," ",REPT(" ",LEN(A253))),LEN(A253)))), LARGE(INDEX(ISNUMBER(--MID((--TRIM(RIGHT(SUBSTITUTE(LEFT(A253,_xlfn.AGGREGATE(16,6,FIND({0,1,2,3,4,5,6,7,8,9},A253,ROW(INDIRECT("1:"&amp;LEN(A253)))),1))," ",REPT(" ",LEN(A253))),LEN(A253)))), ROW(INDIRECT("1:"&amp;LEN((--TRIM(RIGHT(SUBSTITUTE(LEFT(A253,_xlfn.AGGREGATE(16,6,FIND({0,1,2,3,4,5,6,7,8,9},A253,ROW(INDIRECT("1:"&amp;LEN(A253)))),1))," ",REPT(" ",LEN(A253))),LEN(A253))))))), 1)) * ROW(INDIRECT("1:"&amp;LEN((--TRIM(RIGHT(SUBSTITUTE(LEFT(A253,_xlfn.AGGREGATE(16,6,FIND({0,1,2,3,4,5,6,7,8,9},A253,ROW(INDIRECT("1:"&amp;LEN(A253)))),1))," ",REPT(" ",LEN(A253))),LEN(A253))))))), 0), ROW(INDIRECT("1:"&amp;LEN((--TRIM(RIGHT(SUBSTITUTE(LEFT(A253,_xlfn.AGGREGATE(16,6,FIND({0,1,2,3,4,5,6,7,8,9},A253,ROW(INDIRECT("1:"&amp;LEN(A253)))),1))," ",REPT(" ",LEN(A253))),LEN(A253))))))))+1, 1) * 10^ROW(INDIRECT("1:"&amp;LEN((--TRIM(RIGHT(SUBSTITUTE(LEFT(A253,_xlfn.AGGREGATE(16,6,FIND({0,1,2,3,4,5,6,7,8,9},A253,ROW(INDIRECT("1:"&amp;LEN(A253)))),1))," ",REPT(" ",LEN(A253))),LEN(A253)))))))/10))*1+1</f>
        <v>302 ,.., 1502</v>
      </c>
      <c r="B254" s="87"/>
      <c r="C254" s="42"/>
      <c r="D254" s="42"/>
      <c r="E254" s="42">
        <v>0</v>
      </c>
      <c r="F254" s="42">
        <f>D254+E254</f>
        <v>0</v>
      </c>
      <c r="G254" s="42">
        <v>0</v>
      </c>
      <c r="H254" s="42">
        <f>F254*(($H$154)+1)+(IF(G254&lt;101,G254,IF(G254&lt;201,G254/2,IF(G254&lt;=301,G254/3,G254/4))))</f>
        <v>0</v>
      </c>
      <c r="I254" s="36"/>
    </row>
    <row r="255" spans="1:20" s="37" customFormat="1" ht="15.75" hidden="1" customHeight="1" x14ac:dyDescent="0.25">
      <c r="A255" s="86" t="str">
        <f ca="1">(SUMPRODUCT(MID(0&amp;(LEFT(A254,SUM(LEN(A254)-LEN(SUBSTITUTE(A254,{"0","1","2"},""))))), LARGE(INDEX(ISNUMBER(--MID((LEFT(A254,SUM(LEN(A254)-LEN(SUBSTITUTE(A254,{"0","1","2"},""))))), ROW(INDIRECT("1:"&amp;LEN((LEFT(A254,SUM(LEN(A254)-LEN(SUBSTITUTE(A254,{"0","1","2"},"")))))))), 1)) * ROW(INDIRECT("1:"&amp;LEN((LEFT(A254,SUM(LEN(A254)-LEN(SUBSTITUTE(A254,{"0","1","2"},"")))))))), 0), ROW(INDIRECT("1:"&amp;LEN((LEFT(A254,SUM(LEN(A254)-LEN(SUBSTITUTE(A254,{"0","1","2"},"")))))))))+1, 1) * 10^ROW(INDIRECT("1:"&amp;LEN((LEFT(A254,SUM(LEN(A254)-LEN(SUBSTITUTE(A254,{"0","1","2"},""))))))))/10))*1+1&amp;""&amp;" ,.., "&amp;""&amp;(SUMPRODUCT(MID(0&amp;(--TRIM(RIGHT(SUBSTITUTE(LEFT(A254,_xlfn.AGGREGATE(16,6,FIND({0,1,2,3,4,5,6,7,8,9},A254,ROW(INDIRECT("1:"&amp;LEN(A254)))),1))," ",REPT(" ",LEN(A254))),LEN(A254)))), LARGE(INDEX(ISNUMBER(--MID((--TRIM(RIGHT(SUBSTITUTE(LEFT(A254,_xlfn.AGGREGATE(16,6,FIND({0,1,2,3,4,5,6,7,8,9},A254,ROW(INDIRECT("1:"&amp;LEN(A254)))),1))," ",REPT(" ",LEN(A254))),LEN(A254)))), ROW(INDIRECT("1:"&amp;LEN((--TRIM(RIGHT(SUBSTITUTE(LEFT(A254,_xlfn.AGGREGATE(16,6,FIND({0,1,2,3,4,5,6,7,8,9},A254,ROW(INDIRECT("1:"&amp;LEN(A254)))),1))," ",REPT(" ",LEN(A254))),LEN(A254))))))), 1)) * ROW(INDIRECT("1:"&amp;LEN((--TRIM(RIGHT(SUBSTITUTE(LEFT(A254,_xlfn.AGGREGATE(16,6,FIND({0,1,2,3,4,5,6,7,8,9},A254,ROW(INDIRECT("1:"&amp;LEN(A254)))),1))," ",REPT(" ",LEN(A254))),LEN(A254))))))), 0), ROW(INDIRECT("1:"&amp;LEN((--TRIM(RIGHT(SUBSTITUTE(LEFT(A254,_xlfn.AGGREGATE(16,6,FIND({0,1,2,3,4,5,6,7,8,9},A254,ROW(INDIRECT("1:"&amp;LEN(A254)))),1))," ",REPT(" ",LEN(A254))),LEN(A254))))))))+1, 1) * 10^ROW(INDIRECT("1:"&amp;LEN((--TRIM(RIGHT(SUBSTITUTE(LEFT(A254,_xlfn.AGGREGATE(16,6,FIND({0,1,2,3,4,5,6,7,8,9},A254,ROW(INDIRECT("1:"&amp;LEN(A254)))),1))," ",REPT(" ",LEN(A254))),LEN(A254)))))))/10))*1+1</f>
        <v>303 ,.., 1503</v>
      </c>
      <c r="B255" s="87"/>
      <c r="C255" s="42"/>
      <c r="D255" s="42"/>
      <c r="E255" s="42">
        <v>0</v>
      </c>
      <c r="F255" s="42">
        <f>D255+E255</f>
        <v>0</v>
      </c>
      <c r="G255" s="42">
        <v>0</v>
      </c>
      <c r="H255" s="42">
        <f>F255*(($H$154)+1)+(IF(G255&lt;101,G255,IF(G255&lt;201,G255/2,IF(G255&lt;=301,G255/3,G255/4))))</f>
        <v>0</v>
      </c>
      <c r="I255" s="36"/>
    </row>
    <row r="256" spans="1:20" s="37" customFormat="1" ht="15.75" hidden="1" customHeight="1" x14ac:dyDescent="0.25">
      <c r="A256" s="86" t="str">
        <f ca="1">(SUMPRODUCT(MID(0&amp;(LEFT(A255,SUM(LEN(A255)-LEN(SUBSTITUTE(A255,{"0","1","2"},""))))), LARGE(INDEX(ISNUMBER(--MID((LEFT(A255,SUM(LEN(A255)-LEN(SUBSTITUTE(A255,{"0","1","2"},""))))), ROW(INDIRECT("1:"&amp;LEN((LEFT(A255,SUM(LEN(A255)-LEN(SUBSTITUTE(A255,{"0","1","2"},"")))))))), 1)) * ROW(INDIRECT("1:"&amp;LEN((LEFT(A255,SUM(LEN(A255)-LEN(SUBSTITUTE(A255,{"0","1","2"},"")))))))), 0), ROW(INDIRECT("1:"&amp;LEN((LEFT(A255,SUM(LEN(A255)-LEN(SUBSTITUTE(A255,{"0","1","2"},"")))))))))+1, 1) * 10^ROW(INDIRECT("1:"&amp;LEN((LEFT(A255,SUM(LEN(A255)-LEN(SUBSTITUTE(A255,{"0","1","2"},""))))))))/10))*1+1&amp;""&amp;" ,.., "&amp;""&amp;(SUMPRODUCT(MID(0&amp;(--TRIM(RIGHT(SUBSTITUTE(LEFT(A255,_xlfn.AGGREGATE(16,6,FIND({0,1,2,3,4,5,6,7,8,9},A255,ROW(INDIRECT("1:"&amp;LEN(A255)))),1))," ",REPT(" ",LEN(A255))),LEN(A255)))), LARGE(INDEX(ISNUMBER(--MID((--TRIM(RIGHT(SUBSTITUTE(LEFT(A255,_xlfn.AGGREGATE(16,6,FIND({0,1,2,3,4,5,6,7,8,9},A255,ROW(INDIRECT("1:"&amp;LEN(A255)))),1))," ",REPT(" ",LEN(A255))),LEN(A255)))), ROW(INDIRECT("1:"&amp;LEN((--TRIM(RIGHT(SUBSTITUTE(LEFT(A255,_xlfn.AGGREGATE(16,6,FIND({0,1,2,3,4,5,6,7,8,9},A255,ROW(INDIRECT("1:"&amp;LEN(A255)))),1))," ",REPT(" ",LEN(A255))),LEN(A255))))))), 1)) * ROW(INDIRECT("1:"&amp;LEN((--TRIM(RIGHT(SUBSTITUTE(LEFT(A255,_xlfn.AGGREGATE(16,6,FIND({0,1,2,3,4,5,6,7,8,9},A255,ROW(INDIRECT("1:"&amp;LEN(A255)))),1))," ",REPT(" ",LEN(A255))),LEN(A255))))))), 0), ROW(INDIRECT("1:"&amp;LEN((--TRIM(RIGHT(SUBSTITUTE(LEFT(A255,_xlfn.AGGREGATE(16,6,FIND({0,1,2,3,4,5,6,7,8,9},A255,ROW(INDIRECT("1:"&amp;LEN(A255)))),1))," ",REPT(" ",LEN(A255))),LEN(A255))))))))+1, 1) * 10^ROW(INDIRECT("1:"&amp;LEN((--TRIM(RIGHT(SUBSTITUTE(LEFT(A255,_xlfn.AGGREGATE(16,6,FIND({0,1,2,3,4,5,6,7,8,9},A255,ROW(INDIRECT("1:"&amp;LEN(A255)))),1))," ",REPT(" ",LEN(A255))),LEN(A255)))))))/10))*1+1</f>
        <v>304 ,.., 1504</v>
      </c>
      <c r="B256" s="87"/>
      <c r="C256" s="42"/>
      <c r="D256" s="42"/>
      <c r="E256" s="42">
        <v>0</v>
      </c>
      <c r="F256" s="42">
        <f>D256+E256</f>
        <v>0</v>
      </c>
      <c r="G256" s="42">
        <v>0</v>
      </c>
      <c r="H256" s="42">
        <f>F256*(($H$154)+1)+(IF(G256&lt;101,G256,IF(G256&lt;201,G256/2,IF(G256&lt;=301,G256/3,G256/4))))</f>
        <v>0</v>
      </c>
      <c r="I256" s="36"/>
    </row>
    <row r="257" spans="1:20" s="37" customFormat="1" ht="15.75" hidden="1" customHeight="1" x14ac:dyDescent="0.25">
      <c r="A257" s="86" t="str">
        <f ca="1">(SUMPRODUCT(MID(0&amp;(LEFT(A256,SUM(LEN(A256)-LEN(SUBSTITUTE(A256,{"0","1","2"},""))))), LARGE(INDEX(ISNUMBER(--MID((LEFT(A256,SUM(LEN(A256)-LEN(SUBSTITUTE(A256,{"0","1","2"},""))))), ROW(INDIRECT("1:"&amp;LEN((LEFT(A256,SUM(LEN(A256)-LEN(SUBSTITUTE(A256,{"0","1","2"},"")))))))), 1)) * ROW(INDIRECT("1:"&amp;LEN((LEFT(A256,SUM(LEN(A256)-LEN(SUBSTITUTE(A256,{"0","1","2"},"")))))))), 0), ROW(INDIRECT("1:"&amp;LEN((LEFT(A256,SUM(LEN(A256)-LEN(SUBSTITUTE(A256,{"0","1","2"},"")))))))))+1, 1) * 10^ROW(INDIRECT("1:"&amp;LEN((LEFT(A256,SUM(LEN(A256)-LEN(SUBSTITUTE(A256,{"0","1","2"},""))))))))/10))*1+1&amp;""&amp;" ,.., "&amp;""&amp;(SUMPRODUCT(MID(0&amp;(--TRIM(RIGHT(SUBSTITUTE(LEFT(A256,_xlfn.AGGREGATE(16,6,FIND({0,1,2,3,4,5,6,7,8,9},A256,ROW(INDIRECT("1:"&amp;LEN(A256)))),1)),"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",LEN(A256))),LEN(A256)))))))/10))*1+1</f>
        <v>305 ,.., 1505</v>
      </c>
      <c r="B257" s="87"/>
      <c r="C257" s="42"/>
      <c r="D257" s="42"/>
      <c r="E257" s="42">
        <v>0</v>
      </c>
      <c r="F257" s="42">
        <f>D257+E257</f>
        <v>0</v>
      </c>
      <c r="G257" s="42">
        <v>0</v>
      </c>
      <c r="H257" s="42">
        <f>F257*(($H$154)+1)+(IF(G257&lt;101,G257,IF(G257&lt;201,G257/2,IF(G257&lt;=301,G257/3,G257/4))))</f>
        <v>0</v>
      </c>
      <c r="I257" s="36"/>
    </row>
    <row r="258" spans="1:20" s="37" customFormat="1" hidden="1" x14ac:dyDescent="0.25">
      <c r="A258" s="88" t="s">
        <v>142</v>
      </c>
      <c r="B258" s="89"/>
      <c r="C258" s="89"/>
      <c r="D258" s="89"/>
      <c r="E258" s="89"/>
      <c r="F258" s="89"/>
      <c r="G258" s="89"/>
      <c r="H258" s="90"/>
      <c r="I258" s="36"/>
    </row>
    <row r="259" spans="1:20" s="37" customFormat="1" ht="15.75" hidden="1" customHeight="1" x14ac:dyDescent="0.25">
      <c r="A259" s="86" t="str">
        <f ca="1">(SUMPRODUCT(MID(0&amp;(LEFT(A258,SUM(LEN(A258)-LEN(SUBSTITUTE(A258,{"0","1","2"},""))))), LARGE(INDEX(ISNUMBER(--MID((LEFT(A258,SUM(LEN(A258)-LEN(SUBSTITUTE(A258,{"0","1","2"},""))))), ROW(INDIRECT("1:"&amp;LEN((LEFT(A258,SUM(LEN(A258)-LEN(SUBSTITUTE(A258,{"0","1","2"},"")))))))), 1)) * ROW(INDIRECT("1:"&amp;LEN((LEFT(A258,SUM(LEN(A258)-LEN(SUBSTITUTE(A258,{"0","1","2"},"")))))))), 0), ROW(INDIRECT("1:"&amp;LEN((LEFT(A258,SUM(LEN(A258)-LEN(SUBSTITUTE(A258,{"0","1","2"},"")))))))))+1, 1) * 10^ROW(INDIRECT("1:"&amp;LEN((LEFT(A258,SUM(LEN(A258)-LEN(SUBSTITUTE(A258,{"0","1","2"},""))))))))/10))*100+1&amp;""&amp;" to "&amp;""&amp;(SUMPRODUCT(MID(0&amp;(--TRIM(RIGHT(SUBSTITUTE(LEFT(A258,_xlfn.AGGREGATE(16,6,FIND({0,1,2,3,4,5,6,7,8,9},A258,ROW(INDIRECT("1:"&amp;LEN(A258)))),1))," ",REPT(" ",LEN(A258))),LEN(A258)))), LARGE(INDEX(ISNUMBER(--MID((--TRIM(RIGHT(SUBSTITUTE(LEFT(A258,_xlfn.AGGREGATE(16,6,FIND({0,1,2,3,4,5,6,7,8,9},A258,ROW(INDIRECT("1:"&amp;LEN(A258)))),1))," ",REPT(" ",LEN(A258))),LEN(A258)))), ROW(INDIRECT("1:"&amp;LEN((--TRIM(RIGHT(SUBSTITUTE(LEFT(A258,_xlfn.AGGREGATE(16,6,FIND({0,1,2,3,4,5,6,7,8,9},A258,ROW(INDIRECT("1:"&amp;LEN(A258)))),1))," ",REPT(" ",LEN(A258))),LEN(A258))))))), 1)) * ROW(INDIRECT("1:"&amp;LEN((--TRIM(RIGHT(SUBSTITUTE(LEFT(A258,_xlfn.AGGREGATE(16,6,FIND({0,1,2,3,4,5,6,7,8,9},A258,ROW(INDIRECT("1:"&amp;LEN(A258)))),1))," ",REPT(" ",LEN(A258))),LEN(A258))))))), 0), ROW(INDIRECT("1:"&amp;LEN((--TRIM(RIGHT(SUBSTITUTE(LEFT(A258,_xlfn.AGGREGATE(16,6,FIND({0,1,2,3,4,5,6,7,8,9},A258,ROW(INDIRECT("1:"&amp;LEN(A258)))),1))," ",REPT(" ",LEN(A258))),LEN(A258))))))))+1, 1) * 10^ROW(INDIRECT("1:"&amp;LEN((--TRIM(RIGHT(SUBSTITUTE(LEFT(A258,_xlfn.AGGREGATE(16,6,FIND({0,1,2,3,4,5,6,7,8,9},A258,ROW(INDIRECT("1:"&amp;LEN(A258)))),1))," ",REPT(" ",LEN(A258))),LEN(A258)))))))/10))*100+1</f>
        <v>201 to 501</v>
      </c>
      <c r="B259" s="87"/>
      <c r="C259" s="42"/>
      <c r="D259" s="42"/>
      <c r="E259" s="42">
        <v>0</v>
      </c>
      <c r="F259" s="42">
        <f>D259+E259</f>
        <v>0</v>
      </c>
      <c r="G259" s="42">
        <v>0</v>
      </c>
      <c r="H259" s="42">
        <f>F259*(($H$154)+1)+(IF(G259&lt;101,G259,IF(G259&lt;201,G259/2,IF(G259&lt;=301,G259/3,G259/4))))</f>
        <v>0</v>
      </c>
      <c r="I259" s="36"/>
    </row>
    <row r="260" spans="1:20" s="37" customFormat="1" ht="15.75" hidden="1" customHeight="1" x14ac:dyDescent="0.25">
      <c r="A260" s="86" t="str">
        <f ca="1">(SUMPRODUCT(MID(0&amp;(LEFT(A259,SUM(LEN(A259)-LEN(SUBSTITUTE(A259,{"0","1","2"},""))))), LARGE(INDEX(ISNUMBER(--MID((LEFT(A259,SUM(LEN(A259)-LEN(SUBSTITUTE(A259,{"0","1","2"},""))))), ROW(INDIRECT("1:"&amp;LEN((LEFT(A259,SUM(LEN(A259)-LEN(SUBSTITUTE(A259,{"0","1","2"},"")))))))), 1)) * ROW(INDIRECT("1:"&amp;LEN((LEFT(A259,SUM(LEN(A259)-LEN(SUBSTITUTE(A259,{"0","1","2"},"")))))))), 0), ROW(INDIRECT("1:"&amp;LEN((LEFT(A259,SUM(LEN(A259)-LEN(SUBSTITUTE(A259,{"0","1","2"},"")))))))))+1, 1) * 10^ROW(INDIRECT("1:"&amp;LEN((LEFT(A259,SUM(LEN(A259)-LEN(SUBSTITUTE(A259,{"0","1","2"},""))))))))/10))*1+1&amp;""&amp;" to "&amp;""&amp;(SUMPRODUCT(MID(0&amp;(--TRIM(RIGHT(SUBSTITUTE(LEFT(A259,_xlfn.AGGREGATE(16,6,FIND({0,1,2,3,4,5,6,7,8,9},A259,ROW(INDIRECT("1:"&amp;LEN(A259)))),1)),"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",LEN(A259))),LEN(A259)))))))/10))*1+1</f>
        <v>202 to 502</v>
      </c>
      <c r="B260" s="87"/>
      <c r="C260" s="42"/>
      <c r="D260" s="42"/>
      <c r="E260" s="42">
        <v>0</v>
      </c>
      <c r="F260" s="42">
        <f>D260+E260</f>
        <v>0</v>
      </c>
      <c r="G260" s="42">
        <v>0</v>
      </c>
      <c r="H260" s="42">
        <f>F260*(($H$154)+1)+(IF(G260&lt;101,G260,IF(G260&lt;201,G260/2,IF(G260&lt;=301,G260/3,G260/4))))</f>
        <v>0</v>
      </c>
      <c r="I260" s="36"/>
    </row>
    <row r="261" spans="1:20" s="37" customFormat="1" ht="15.75" hidden="1" customHeight="1" x14ac:dyDescent="0.25">
      <c r="A261" s="86" t="str">
        <f ca="1">(SUMPRODUCT(MID(0&amp;(LEFT(A260,SUM(LEN(A260)-LEN(SUBSTITUTE(A260,{"0","1","2"},""))))), LARGE(INDEX(ISNUMBER(--MID((LEFT(A260,SUM(LEN(A260)-LEN(SUBSTITUTE(A260,{"0","1","2"},""))))), ROW(INDIRECT("1:"&amp;LEN((LEFT(A260,SUM(LEN(A260)-LEN(SUBSTITUTE(A260,{"0","1","2"},"")))))))), 1)) * ROW(INDIRECT("1:"&amp;LEN((LEFT(A260,SUM(LEN(A260)-LEN(SUBSTITUTE(A260,{"0","1","2"},"")))))))), 0), ROW(INDIRECT("1:"&amp;LEN((LEFT(A260,SUM(LEN(A260)-LEN(SUBSTITUTE(A260,{"0","1","2"},"")))))))))+1, 1) * 10^ROW(INDIRECT("1:"&amp;LEN((LEFT(A260,SUM(LEN(A260)-LEN(SUBSTITUTE(A260,{"0","1","2"},""))))))))/10))*1+1&amp;""&amp;" to "&amp;""&amp;(SUMPRODUCT(MID(0&amp;(--TRIM(RIGHT(SUBSTITUTE(LEFT(A260,_xlfn.AGGREGATE(16,6,FIND({0,1,2,3,4,5,6,7,8,9},A260,ROW(INDIRECT("1:"&amp;LEN(A260)))),1))," ",REPT(" ",LEN(A260))),LEN(A260)))), LARGE(INDEX(ISNUMBER(--MID((--TRIM(RIGHT(SUBSTITUTE(LEFT(A260,_xlfn.AGGREGATE(16,6,FIND({0,1,2,3,4,5,6,7,8,9},A260,ROW(INDIRECT("1:"&amp;LEN(A260)))),1))," ",REPT(" ",LEN(A260))),LEN(A260)))), ROW(INDIRECT("1:"&amp;LEN((--TRIM(RIGHT(SUBSTITUTE(LEFT(A260,_xlfn.AGGREGATE(16,6,FIND({0,1,2,3,4,5,6,7,8,9},A260,ROW(INDIRECT("1:"&amp;LEN(A260)))),1))," ",REPT(" ",LEN(A260))),LEN(A260))))))), 1)) * ROW(INDIRECT("1:"&amp;LEN((--TRIM(RIGHT(SUBSTITUTE(LEFT(A260,_xlfn.AGGREGATE(16,6,FIND({0,1,2,3,4,5,6,7,8,9},A260,ROW(INDIRECT("1:"&amp;LEN(A260)))),1))," ",REPT(" ",LEN(A260))),LEN(A260))))))), 0), ROW(INDIRECT("1:"&amp;LEN((--TRIM(RIGHT(SUBSTITUTE(LEFT(A260,_xlfn.AGGREGATE(16,6,FIND({0,1,2,3,4,5,6,7,8,9},A260,ROW(INDIRECT("1:"&amp;LEN(A260)))),1))," ",REPT(" ",LEN(A260))),LEN(A260))))))))+1, 1) * 10^ROW(INDIRECT("1:"&amp;LEN((--TRIM(RIGHT(SUBSTITUTE(LEFT(A260,_xlfn.AGGREGATE(16,6,FIND({0,1,2,3,4,5,6,7,8,9},A260,ROW(INDIRECT("1:"&amp;LEN(A260)))),1))," ",REPT(" ",LEN(A260))),LEN(A260)))))))/10))*1+1</f>
        <v>203 to 503</v>
      </c>
      <c r="B261" s="87"/>
      <c r="C261" s="42"/>
      <c r="D261" s="42"/>
      <c r="E261" s="42">
        <v>0</v>
      </c>
      <c r="F261" s="42">
        <f>D261+E261</f>
        <v>0</v>
      </c>
      <c r="G261" s="42">
        <v>0</v>
      </c>
      <c r="H261" s="42">
        <f>F261*(($H$154)+1)+(IF(G261&lt;101,G261,IF(G261&lt;201,G261/2,IF(G261&lt;=301,G261/3,G261/4))))</f>
        <v>0</v>
      </c>
      <c r="I261" s="36"/>
    </row>
    <row r="262" spans="1:20" s="37" customFormat="1" ht="15.75" hidden="1" customHeight="1" x14ac:dyDescent="0.25">
      <c r="A262" s="86" t="str">
        <f ca="1">(SUMPRODUCT(MID(0&amp;(LEFT(A261,SUM(LEN(A261)-LEN(SUBSTITUTE(A261,{"0","1","2"},""))))), LARGE(INDEX(ISNUMBER(--MID((LEFT(A261,SUM(LEN(A261)-LEN(SUBSTITUTE(A261,{"0","1","2"},""))))), ROW(INDIRECT("1:"&amp;LEN((LEFT(A261,SUM(LEN(A261)-LEN(SUBSTITUTE(A261,{"0","1","2"},"")))))))), 1)) * ROW(INDIRECT("1:"&amp;LEN((LEFT(A261,SUM(LEN(A261)-LEN(SUBSTITUTE(A261,{"0","1","2"},"")))))))), 0), ROW(INDIRECT("1:"&amp;LEN((LEFT(A261,SUM(LEN(A261)-LEN(SUBSTITUTE(A261,{"0","1","2"},"")))))))))+1, 1) * 10^ROW(INDIRECT("1:"&amp;LEN((LEFT(A261,SUM(LEN(A261)-LEN(SUBSTITUTE(A261,{"0","1","2"},""))))))))/10))*1+1&amp;""&amp;" to "&amp;""&amp;(SUMPRODUCT(MID(0&amp;(--TRIM(RIGHT(SUBSTITUTE(LEFT(A261,_xlfn.AGGREGATE(16,6,FIND({0,1,2,3,4,5,6,7,8,9},A261,ROW(INDIRECT("1:"&amp;LEN(A261)))),1))," ",REPT(" ",LEN(A261))),LEN(A261)))), LARGE(INDEX(ISNUMBER(--MID((--TRIM(RIGHT(SUBSTITUTE(LEFT(A261,_xlfn.AGGREGATE(16,6,FIND({0,1,2,3,4,5,6,7,8,9},A261,ROW(INDIRECT("1:"&amp;LEN(A261)))),1))," ",REPT(" ",LEN(A261))),LEN(A261)))), ROW(INDIRECT("1:"&amp;LEN((--TRIM(RIGHT(SUBSTITUTE(LEFT(A261,_xlfn.AGGREGATE(16,6,FIND({0,1,2,3,4,5,6,7,8,9},A261,ROW(INDIRECT("1:"&amp;LEN(A261)))),1))," ",REPT(" ",LEN(A261))),LEN(A261))))))), 1)) * ROW(INDIRECT("1:"&amp;LEN((--TRIM(RIGHT(SUBSTITUTE(LEFT(A261,_xlfn.AGGREGATE(16,6,FIND({0,1,2,3,4,5,6,7,8,9},A261,ROW(INDIRECT("1:"&amp;LEN(A261)))),1))," ",REPT(" ",LEN(A261))),LEN(A261))))))), 0), ROW(INDIRECT("1:"&amp;LEN((--TRIM(RIGHT(SUBSTITUTE(LEFT(A261,_xlfn.AGGREGATE(16,6,FIND({0,1,2,3,4,5,6,7,8,9},A261,ROW(INDIRECT("1:"&amp;LEN(A261)))),1))," ",REPT(" ",LEN(A261))),LEN(A261))))))))+1, 1) * 10^ROW(INDIRECT("1:"&amp;LEN((--TRIM(RIGHT(SUBSTITUTE(LEFT(A261,_xlfn.AGGREGATE(16,6,FIND({0,1,2,3,4,5,6,7,8,9},A261,ROW(INDIRECT("1:"&amp;LEN(A261)))),1))," ",REPT(" ",LEN(A261))),LEN(A261)))))))/10))*1+1</f>
        <v>204 to 504</v>
      </c>
      <c r="B262" s="87"/>
      <c r="C262" s="42"/>
      <c r="D262" s="42"/>
      <c r="E262" s="42">
        <v>0</v>
      </c>
      <c r="F262" s="42">
        <f>D262+E262</f>
        <v>0</v>
      </c>
      <c r="G262" s="42">
        <v>0</v>
      </c>
      <c r="H262" s="42">
        <f>F262*(($H$154)+1)+(IF(G262&lt;101,G262,IF(G262&lt;201,G262/2,IF(G262&lt;=301,G262/3,G262/4))))</f>
        <v>0</v>
      </c>
      <c r="I262" s="36"/>
    </row>
    <row r="263" spans="1:20" s="37" customFormat="1" ht="15.75" hidden="1" customHeight="1" x14ac:dyDescent="0.25">
      <c r="A263" s="86" t="str">
        <f ca="1">(SUMPRODUCT(MID(0&amp;(LEFT(A262,SUM(LEN(A262)-LEN(SUBSTITUTE(A262,{"0","1","2"},""))))), LARGE(INDEX(ISNUMBER(--MID((LEFT(A262,SUM(LEN(A262)-LEN(SUBSTITUTE(A262,{"0","1","2"},""))))), ROW(INDIRECT("1:"&amp;LEN((LEFT(A262,SUM(LEN(A262)-LEN(SUBSTITUTE(A262,{"0","1","2"},"")))))))), 1)) * ROW(INDIRECT("1:"&amp;LEN((LEFT(A262,SUM(LEN(A262)-LEN(SUBSTITUTE(A262,{"0","1","2"},"")))))))), 0), ROW(INDIRECT("1:"&amp;LEN((LEFT(A262,SUM(LEN(A262)-LEN(SUBSTITUTE(A262,{"0","1","2"},"")))))))))+1, 1) * 10^ROW(INDIRECT("1:"&amp;LEN((LEFT(A262,SUM(LEN(A262)-LEN(SUBSTITUTE(A262,{"0","1","2"},""))))))))/10))*1+1&amp;""&amp;" to "&amp;""&amp;(SUMPRODUCT(MID(0&amp;(--TRIM(RIGHT(SUBSTITUTE(LEFT(A262,_xlfn.AGGREGATE(16,6,FIND({0,1,2,3,4,5,6,7,8,9},A262,ROW(INDIRECT("1:"&amp;LEN(A262)))),1))," ",REPT(" ",LEN(A262))),LEN(A262)))), LARGE(INDEX(ISNUMBER(--MID((--TRIM(RIGHT(SUBSTITUTE(LEFT(A262,_xlfn.AGGREGATE(16,6,FIND({0,1,2,3,4,5,6,7,8,9},A262,ROW(INDIRECT("1:"&amp;LEN(A262)))),1))," ",REPT(" ",LEN(A262))),LEN(A262)))), ROW(INDIRECT("1:"&amp;LEN((--TRIM(RIGHT(SUBSTITUTE(LEFT(A262,_xlfn.AGGREGATE(16,6,FIND({0,1,2,3,4,5,6,7,8,9},A262,ROW(INDIRECT("1:"&amp;LEN(A262)))),1))," ",REPT(" ",LEN(A262))),LEN(A262))))))), 1)) * ROW(INDIRECT("1:"&amp;LEN((--TRIM(RIGHT(SUBSTITUTE(LEFT(A262,_xlfn.AGGREGATE(16,6,FIND({0,1,2,3,4,5,6,7,8,9},A262,ROW(INDIRECT("1:"&amp;LEN(A262)))),1))," ",REPT(" ",LEN(A262))),LEN(A262))))))), 0), ROW(INDIRECT("1:"&amp;LEN((--TRIM(RIGHT(SUBSTITUTE(LEFT(A262,_xlfn.AGGREGATE(16,6,FIND({0,1,2,3,4,5,6,7,8,9},A262,ROW(INDIRECT("1:"&amp;LEN(A262)))),1))," ",REPT(" ",LEN(A262))),LEN(A262))))))))+1, 1) * 10^ROW(INDIRECT("1:"&amp;LEN((--TRIM(RIGHT(SUBSTITUTE(LEFT(A262,_xlfn.AGGREGATE(16,6,FIND({0,1,2,3,4,5,6,7,8,9},A262,ROW(INDIRECT("1:"&amp;LEN(A262)))),1))," ",REPT(" ",LEN(A262))),LEN(A262)))))))/10))*1+1</f>
        <v>205 to 505</v>
      </c>
      <c r="B263" s="87"/>
      <c r="C263" s="42"/>
      <c r="D263" s="42"/>
      <c r="E263" s="42">
        <v>0</v>
      </c>
      <c r="F263" s="42">
        <f>D263+E263</f>
        <v>0</v>
      </c>
      <c r="G263" s="42">
        <v>0</v>
      </c>
      <c r="H263" s="42">
        <f>F263*(($H$154)+1)+(IF(G263&lt;101,G263,IF(G263&lt;201,G263/2,IF(G263&lt;=301,G263/3,G263/4))))</f>
        <v>0</v>
      </c>
      <c r="I263" s="36"/>
    </row>
    <row r="264" spans="1:20" s="37" customFormat="1" hidden="1" x14ac:dyDescent="0.25">
      <c r="A264" s="88" t="s">
        <v>143</v>
      </c>
      <c r="B264" s="89"/>
      <c r="C264" s="89"/>
      <c r="D264" s="89"/>
      <c r="E264" s="89"/>
      <c r="F264" s="89"/>
      <c r="G264" s="89"/>
      <c r="H264" s="90"/>
      <c r="I264" s="36"/>
    </row>
    <row r="265" spans="1:20" s="37" customFormat="1" ht="15.75" hidden="1" customHeight="1" x14ac:dyDescent="0.25">
      <c r="A265" s="86" t="str">
        <f ca="1">(SUMPRODUCT(MID(0&amp;(LEFT(A264,SUM(LEN(A264)-LEN(SUBSTITUTE(A264,{"0","1","2"},""))))), LARGE(INDEX(ISNUMBER(--MID((LEFT(A264,SUM(LEN(A264)-LEN(SUBSTITUTE(A264,{"0","1","2"},""))))), ROW(INDIRECT("1:"&amp;LEN((LEFT(A264,SUM(LEN(A264)-LEN(SUBSTITUTE(A264,{"0","1","2"},"")))))))), 1)) * ROW(INDIRECT("1:"&amp;LEN((LEFT(A264,SUM(LEN(A264)-LEN(SUBSTITUTE(A264,{"0","1","2"},"")))))))), 0), ROW(INDIRECT("1:"&amp;LEN((LEFT(A264,SUM(LEN(A264)-LEN(SUBSTITUTE(A264,{"0","1","2"},"")))))))))+1, 1) * 10^ROW(INDIRECT("1:"&amp;LEN((LEFT(A264,SUM(LEN(A264)-LEN(SUBSTITUTE(A264,{"0","1","2"},""))))))))/10))*100+1&amp;""&amp;" &amp; "&amp;""&amp;(SUMPRODUCT(MID(0&amp;(--TRIM(RIGHT(SUBSTITUTE(LEFT(A264,_xlfn.AGGREGATE(16,6,FIND({0,1,2,3,4,5,6,7,8,9},A264,ROW(INDIRECT("1:"&amp;LEN(A264)))),1))," ",REPT(" ",LEN(A264))),LEN(A264)))), LARGE(INDEX(ISNUMBER(--MID((--TRIM(RIGHT(SUBSTITUTE(LEFT(A264,_xlfn.AGGREGATE(16,6,FIND({0,1,2,3,4,5,6,7,8,9},A264,ROW(INDIRECT("1:"&amp;LEN(A264)))),1))," ",REPT(" ",LEN(A264))),LEN(A264)))), ROW(INDIRECT("1:"&amp;LEN((--TRIM(RIGHT(SUBSTITUTE(LEFT(A264,_xlfn.AGGREGATE(16,6,FIND({0,1,2,3,4,5,6,7,8,9},A264,ROW(INDIRECT("1:"&amp;LEN(A264)))),1))," ",REPT(" ",LEN(A264))),LEN(A264))))))), 1)) * ROW(INDIRECT("1:"&amp;LEN((--TRIM(RIGHT(SUBSTITUTE(LEFT(A264,_xlfn.AGGREGATE(16,6,FIND({0,1,2,3,4,5,6,7,8,9},A264,ROW(INDIRECT("1:"&amp;LEN(A264)))),1))," ",REPT(" ",LEN(A264))),LEN(A264))))))), 0), ROW(INDIRECT("1:"&amp;LEN((--TRIM(RIGHT(SUBSTITUTE(LEFT(A264,_xlfn.AGGREGATE(16,6,FIND({0,1,2,3,4,5,6,7,8,9},A264,ROW(INDIRECT("1:"&amp;LEN(A264)))),1))," ",REPT(" ",LEN(A264))),LEN(A264))))))))+1, 1) * 10^ROW(INDIRECT("1:"&amp;LEN((--TRIM(RIGHT(SUBSTITUTE(LEFT(A264,_xlfn.AGGREGATE(16,6,FIND({0,1,2,3,4,5,6,7,8,9},A264,ROW(INDIRECT("1:"&amp;LEN(A264)))),1))," ",REPT(" ",LEN(A264))),LEN(A264)))))))/10))*100+1</f>
        <v>201 &amp; 501</v>
      </c>
      <c r="B265" s="87"/>
      <c r="C265" s="42"/>
      <c r="D265" s="42"/>
      <c r="E265" s="42">
        <v>0</v>
      </c>
      <c r="F265" s="42">
        <f>D265+E265</f>
        <v>0</v>
      </c>
      <c r="G265" s="42">
        <v>0</v>
      </c>
      <c r="H265" s="42">
        <f>F265*(($H$154)+1)+(IF(G265&lt;101,G265,IF(G265&lt;201,G265/2,IF(G265&lt;=301,G265/3,G265/4))))</f>
        <v>0</v>
      </c>
      <c r="I265" s="36"/>
    </row>
    <row r="266" spans="1:20" s="37" customFormat="1" ht="15.75" hidden="1" customHeight="1" x14ac:dyDescent="0.25">
      <c r="A266" s="86" t="str">
        <f ca="1">(SUMPRODUCT(MID(0&amp;(LEFT(A265,SUM(LEN(A265)-LEN(SUBSTITUTE(A265,{"0","1","2"},""))))), LARGE(INDEX(ISNUMBER(--MID((LEFT(A265,SUM(LEN(A265)-LEN(SUBSTITUTE(A265,{"0","1","2"},""))))), ROW(INDIRECT("1:"&amp;LEN((LEFT(A265,SUM(LEN(A265)-LEN(SUBSTITUTE(A265,{"0","1","2"},"")))))))), 1)) * ROW(INDIRECT("1:"&amp;LEN((LEFT(A265,SUM(LEN(A265)-LEN(SUBSTITUTE(A265,{"0","1","2"},"")))))))), 0), ROW(INDIRECT("1:"&amp;LEN((LEFT(A265,SUM(LEN(A265)-LEN(SUBSTITUTE(A265,{"0","1","2"},"")))))))))+1, 1) * 10^ROW(INDIRECT("1:"&amp;LEN((LEFT(A265,SUM(LEN(A265)-LEN(SUBSTITUTE(A265,{"0","1","2"},""))))))))/10))*1+1&amp;""&amp;" &amp; "&amp;""&amp;(SUMPRODUCT(MID(0&amp;(--TRIM(RIGHT(SUBSTITUTE(LEFT(A265,_xlfn.AGGREGATE(16,6,FIND({0,1,2,3,4,5,6,7,8,9},A265,ROW(INDIRECT("1:"&amp;LEN(A265)))),1))," ",REPT(" ",LEN(A265))),LEN(A265)))), LARGE(INDEX(ISNUMBER(--MID((--TRIM(RIGHT(SUBSTITUTE(LEFT(A265,_xlfn.AGGREGATE(16,6,FIND({0,1,2,3,4,5,6,7,8,9},A265,ROW(INDIRECT("1:"&amp;LEN(A265)))),1))," ",REPT(" ",LEN(A265))),LEN(A265)))), ROW(INDIRECT("1:"&amp;LEN((--TRIM(RIGHT(SUBSTITUTE(LEFT(A265,_xlfn.AGGREGATE(16,6,FIND({0,1,2,3,4,5,6,7,8,9},A265,ROW(INDIRECT("1:"&amp;LEN(A265)))),1))," ",REPT(" ",LEN(A265))),LEN(A265))))))), 1)) * ROW(INDIRECT("1:"&amp;LEN((--TRIM(RIGHT(SUBSTITUTE(LEFT(A265,_xlfn.AGGREGATE(16,6,FIND({0,1,2,3,4,5,6,7,8,9},A265,ROW(INDIRECT("1:"&amp;LEN(A265)))),1))," ",REPT(" ",LEN(A265))),LEN(A265))))))), 0), ROW(INDIRECT("1:"&amp;LEN((--TRIM(RIGHT(SUBSTITUTE(LEFT(A265,_xlfn.AGGREGATE(16,6,FIND({0,1,2,3,4,5,6,7,8,9},A265,ROW(INDIRECT("1:"&amp;LEN(A265)))),1))," ",REPT(" ",LEN(A265))),LEN(A265))))))))+1, 1) * 10^ROW(INDIRECT("1:"&amp;LEN((--TRIM(RIGHT(SUBSTITUTE(LEFT(A265,_xlfn.AGGREGATE(16,6,FIND({0,1,2,3,4,5,6,7,8,9},A265,ROW(INDIRECT("1:"&amp;LEN(A265)))),1))," ",REPT(" ",LEN(A265))),LEN(A265)))))))/10))*1+1</f>
        <v>202 &amp; 502</v>
      </c>
      <c r="B266" s="87"/>
      <c r="C266" s="42"/>
      <c r="D266" s="42"/>
      <c r="E266" s="42">
        <v>0</v>
      </c>
      <c r="F266" s="42">
        <f>D266+E266</f>
        <v>0</v>
      </c>
      <c r="G266" s="42">
        <v>0</v>
      </c>
      <c r="H266" s="42">
        <f>F266*(($H$154)+1)+(IF(G266&lt;101,G266,IF(G266&lt;201,G266/2,IF(G266&lt;=301,G266/3,G266/4))))</f>
        <v>0</v>
      </c>
      <c r="I266" s="36"/>
    </row>
    <row r="267" spans="1:20" s="37" customFormat="1" ht="15.75" hidden="1" customHeight="1" x14ac:dyDescent="0.25">
      <c r="A267" s="86" t="str">
        <f ca="1">(SUMPRODUCT(MID(0&amp;(LEFT(A266,SUM(LEN(A266)-LEN(SUBSTITUTE(A266,{"0","1","2"},""))))), LARGE(INDEX(ISNUMBER(--MID((LEFT(A266,SUM(LEN(A266)-LEN(SUBSTITUTE(A266,{"0","1","2"},""))))), ROW(INDIRECT("1:"&amp;LEN((LEFT(A266,SUM(LEN(A266)-LEN(SUBSTITUTE(A266,{"0","1","2"},"")))))))), 1)) * ROW(INDIRECT("1:"&amp;LEN((LEFT(A266,SUM(LEN(A266)-LEN(SUBSTITUTE(A266,{"0","1","2"},"")))))))), 0), ROW(INDIRECT("1:"&amp;LEN((LEFT(A266,SUM(LEN(A266)-LEN(SUBSTITUTE(A266,{"0","1","2"},"")))))))))+1, 1) * 10^ROW(INDIRECT("1:"&amp;LEN((LEFT(A266,SUM(LEN(A266)-LEN(SUBSTITUTE(A266,{"0","1","2"},""))))))))/10))*1+1&amp;""&amp;" &amp; "&amp;""&amp;(SUMPRODUCT(MID(0&amp;(--TRIM(RIGHT(SUBSTITUTE(LEFT(A266,_xlfn.AGGREGATE(16,6,FIND({0,1,2,3,4,5,6,7,8,9},A266,ROW(INDIRECT("1:"&amp;LEN(A266)))),1))," ",REPT(" ",LEN(A266))),LEN(A266)))), LARGE(INDEX(ISNUMBER(--MID((--TRIM(RIGHT(SUBSTITUTE(LEFT(A266,_xlfn.AGGREGATE(16,6,FIND({0,1,2,3,4,5,6,7,8,9},A266,ROW(INDIRECT("1:"&amp;LEN(A266)))),1))," ",REPT(" ",LEN(A266))),LEN(A266)))), ROW(INDIRECT("1:"&amp;LEN((--TRIM(RIGHT(SUBSTITUTE(LEFT(A266,_xlfn.AGGREGATE(16,6,FIND({0,1,2,3,4,5,6,7,8,9},A266,ROW(INDIRECT("1:"&amp;LEN(A266)))),1))," ",REPT(" ",LEN(A266))),LEN(A266))))))), 1)) * ROW(INDIRECT("1:"&amp;LEN((--TRIM(RIGHT(SUBSTITUTE(LEFT(A266,_xlfn.AGGREGATE(16,6,FIND({0,1,2,3,4,5,6,7,8,9},A266,ROW(INDIRECT("1:"&amp;LEN(A266)))),1))," ",REPT(" ",LEN(A266))),LEN(A266))))))), 0), ROW(INDIRECT("1:"&amp;LEN((--TRIM(RIGHT(SUBSTITUTE(LEFT(A266,_xlfn.AGGREGATE(16,6,FIND({0,1,2,3,4,5,6,7,8,9},A266,ROW(INDIRECT("1:"&amp;LEN(A266)))),1))," ",REPT(" ",LEN(A266))),LEN(A266))))))))+1, 1) * 10^ROW(INDIRECT("1:"&amp;LEN((--TRIM(RIGHT(SUBSTITUTE(LEFT(A266,_xlfn.AGGREGATE(16,6,FIND({0,1,2,3,4,5,6,7,8,9},A266,ROW(INDIRECT("1:"&amp;LEN(A266)))),1))," ",REPT(" ",LEN(A266))),LEN(A266)))))))/10))*1+1</f>
        <v>203 &amp; 503</v>
      </c>
      <c r="B267" s="87"/>
      <c r="C267" s="42"/>
      <c r="D267" s="42"/>
      <c r="E267" s="42">
        <v>0</v>
      </c>
      <c r="F267" s="42">
        <f>D267+E267</f>
        <v>0</v>
      </c>
      <c r="G267" s="42">
        <v>0</v>
      </c>
      <c r="H267" s="42">
        <f>F267*(($H$154)+1)+(IF(G267&lt;101,G267,IF(G267&lt;201,G267/2,IF(G267&lt;=301,G267/3,G267/4))))</f>
        <v>0</v>
      </c>
      <c r="I267" s="36"/>
    </row>
    <row r="268" spans="1:20" s="37" customFormat="1" ht="15.75" hidden="1" customHeight="1" x14ac:dyDescent="0.25">
      <c r="A268" s="86" t="str">
        <f ca="1">(SUMPRODUCT(MID(0&amp;(LEFT(A267,SUM(LEN(A267)-LEN(SUBSTITUTE(A267,{"0","1","2"},""))))), LARGE(INDEX(ISNUMBER(--MID((LEFT(A267,SUM(LEN(A267)-LEN(SUBSTITUTE(A267,{"0","1","2"},""))))), ROW(INDIRECT("1:"&amp;LEN((LEFT(A267,SUM(LEN(A267)-LEN(SUBSTITUTE(A267,{"0","1","2"},"")))))))), 1)) * ROW(INDIRECT("1:"&amp;LEN((LEFT(A267,SUM(LEN(A267)-LEN(SUBSTITUTE(A267,{"0","1","2"},"")))))))), 0), ROW(INDIRECT("1:"&amp;LEN((LEFT(A267,SUM(LEN(A267)-LEN(SUBSTITUTE(A267,{"0","1","2"},"")))))))))+1, 1) * 10^ROW(INDIRECT("1:"&amp;LEN((LEFT(A267,SUM(LEN(A267)-LEN(SUBSTITUTE(A267,{"0","1","2"},""))))))))/10))*1+1&amp;""&amp;" &amp; "&amp;""&amp;(SUMPRODUCT(MID(0&amp;(--TRIM(RIGHT(SUBSTITUTE(LEFT(A267,_xlfn.AGGREGATE(16,6,FIND({0,1,2,3,4,5,6,7,8,9},A267,ROW(INDIRECT("1:"&amp;LEN(A267)))),1))," ",REPT(" ",LEN(A267))),LEN(A267)))), LARGE(INDEX(ISNUMBER(--MID((--TRIM(RIGHT(SUBSTITUTE(LEFT(A267,_xlfn.AGGREGATE(16,6,FIND({0,1,2,3,4,5,6,7,8,9},A267,ROW(INDIRECT("1:"&amp;LEN(A267)))),1))," ",REPT(" ",LEN(A267))),LEN(A267)))), ROW(INDIRECT("1:"&amp;LEN((--TRIM(RIGHT(SUBSTITUTE(LEFT(A267,_xlfn.AGGREGATE(16,6,FIND({0,1,2,3,4,5,6,7,8,9},A267,ROW(INDIRECT("1:"&amp;LEN(A267)))),1))," ",REPT(" ",LEN(A267))),LEN(A267))))))), 1)) * ROW(INDIRECT("1:"&amp;LEN((--TRIM(RIGHT(SUBSTITUTE(LEFT(A267,_xlfn.AGGREGATE(16,6,FIND({0,1,2,3,4,5,6,7,8,9},A267,ROW(INDIRECT("1:"&amp;LEN(A267)))),1))," ",REPT(" ",LEN(A267))),LEN(A267))))))), 0), ROW(INDIRECT("1:"&amp;LEN((--TRIM(RIGHT(SUBSTITUTE(LEFT(A267,_xlfn.AGGREGATE(16,6,FIND({0,1,2,3,4,5,6,7,8,9},A267,ROW(INDIRECT("1:"&amp;LEN(A267)))),1))," ",REPT(" ",LEN(A267))),LEN(A267))))))))+1, 1) * 10^ROW(INDIRECT("1:"&amp;LEN((--TRIM(RIGHT(SUBSTITUTE(LEFT(A267,_xlfn.AGGREGATE(16,6,FIND({0,1,2,3,4,5,6,7,8,9},A267,ROW(INDIRECT("1:"&amp;LEN(A267)))),1))," ",REPT(" ",LEN(A267))),LEN(A267)))))))/10))*1+1</f>
        <v>204 &amp; 504</v>
      </c>
      <c r="B268" s="87"/>
      <c r="C268" s="42"/>
      <c r="D268" s="42"/>
      <c r="E268" s="42">
        <v>0</v>
      </c>
      <c r="F268" s="42">
        <f>D268+E268</f>
        <v>0</v>
      </c>
      <c r="G268" s="42">
        <v>0</v>
      </c>
      <c r="H268" s="42">
        <f>F268*(($H$154)+1)+(IF(G268&lt;101,G268,IF(G268&lt;201,G268/2,IF(G268&lt;=301,G268/3,G268/4))))</f>
        <v>0</v>
      </c>
      <c r="I268" s="36"/>
    </row>
    <row r="269" spans="1:20" s="37" customFormat="1" ht="15.75" hidden="1" customHeight="1" x14ac:dyDescent="0.25">
      <c r="A269" s="86" t="str">
        <f ca="1">(SUMPRODUCT(MID(0&amp;(LEFT(A268,SUM(LEN(A268)-LEN(SUBSTITUTE(A268,{"0","1","2"},""))))), LARGE(INDEX(ISNUMBER(--MID((LEFT(A268,SUM(LEN(A268)-LEN(SUBSTITUTE(A268,{"0","1","2"},""))))), ROW(INDIRECT("1:"&amp;LEN((LEFT(A268,SUM(LEN(A268)-LEN(SUBSTITUTE(A268,{"0","1","2"},"")))))))), 1)) * ROW(INDIRECT("1:"&amp;LEN((LEFT(A268,SUM(LEN(A268)-LEN(SUBSTITUTE(A268,{"0","1","2"},"")))))))), 0), ROW(INDIRECT("1:"&amp;LEN((LEFT(A268,SUM(LEN(A268)-LEN(SUBSTITUTE(A268,{"0","1","2"},"")))))))))+1, 1) * 10^ROW(INDIRECT("1:"&amp;LEN((LEFT(A268,SUM(LEN(A268)-LEN(SUBSTITUTE(A268,{"0","1","2"},""))))))))/10))*1+1&amp;""&amp;" &amp; "&amp;""&amp;(SUMPRODUCT(MID(0&amp;(--TRIM(RIGHT(SUBSTITUTE(LEFT(A268,_xlfn.AGGREGATE(16,6,FIND({0,1,2,3,4,5,6,7,8,9},A268,ROW(INDIRECT("1:"&amp;LEN(A268)))),1))," ",REPT(" ",LEN(A268))),LEN(A268)))), LARGE(INDEX(ISNUMBER(--MID((--TRIM(RIGHT(SUBSTITUTE(LEFT(A268,_xlfn.AGGREGATE(16,6,FIND({0,1,2,3,4,5,6,7,8,9},A268,ROW(INDIRECT("1:"&amp;LEN(A268)))),1))," ",REPT(" ",LEN(A268))),LEN(A268)))), ROW(INDIRECT("1:"&amp;LEN((--TRIM(RIGHT(SUBSTITUTE(LEFT(A268,_xlfn.AGGREGATE(16,6,FIND({0,1,2,3,4,5,6,7,8,9},A268,ROW(INDIRECT("1:"&amp;LEN(A268)))),1))," ",REPT(" ",LEN(A268))),LEN(A268))))))), 1)) * ROW(INDIRECT("1:"&amp;LEN((--TRIM(RIGHT(SUBSTITUTE(LEFT(A268,_xlfn.AGGREGATE(16,6,FIND({0,1,2,3,4,5,6,7,8,9},A268,ROW(INDIRECT("1:"&amp;LEN(A268)))),1))," ",REPT(" ",LEN(A268))),LEN(A268))))))), 0), ROW(INDIRECT("1:"&amp;LEN((--TRIM(RIGHT(SUBSTITUTE(LEFT(A268,_xlfn.AGGREGATE(16,6,FIND({0,1,2,3,4,5,6,7,8,9},A268,ROW(INDIRECT("1:"&amp;LEN(A268)))),1))," ",REPT(" ",LEN(A268))),LEN(A268))))))))+1, 1) * 10^ROW(INDIRECT("1:"&amp;LEN((--TRIM(RIGHT(SUBSTITUTE(LEFT(A268,_xlfn.AGGREGATE(16,6,FIND({0,1,2,3,4,5,6,7,8,9},A268,ROW(INDIRECT("1:"&amp;LEN(A268)))),1))," ",REPT(" ",LEN(A268))),LEN(A268)))))))/10))*1+1</f>
        <v>205 &amp; 505</v>
      </c>
      <c r="B269" s="87"/>
      <c r="C269" s="42"/>
      <c r="D269" s="42"/>
      <c r="E269" s="42">
        <v>0</v>
      </c>
      <c r="F269" s="42">
        <f>D269+E269</f>
        <v>0</v>
      </c>
      <c r="G269" s="42">
        <v>0</v>
      </c>
      <c r="H269" s="42">
        <f>F269*(($H$154)+1)+(IF(G269&lt;101,G269,IF(G269&lt;201,G269/2,IF(G269&lt;=301,G269/3,G269/4))))</f>
        <v>0</v>
      </c>
      <c r="I269" s="36"/>
    </row>
    <row r="270" spans="1:20" s="35" customFormat="1" x14ac:dyDescent="0.25">
      <c r="A270" s="211" t="s">
        <v>64</v>
      </c>
      <c r="B270" s="211"/>
      <c r="C270" s="211"/>
      <c r="D270" s="211"/>
      <c r="E270" s="211"/>
      <c r="F270" s="211"/>
      <c r="G270" s="211"/>
      <c r="H270" s="211"/>
      <c r="T270" s="37"/>
    </row>
    <row r="271" spans="1:20" s="35" customFormat="1" ht="30.95" customHeight="1" x14ac:dyDescent="0.25">
      <c r="A271" s="46" t="s">
        <v>152</v>
      </c>
      <c r="B271" s="91" t="s">
        <v>403</v>
      </c>
      <c r="C271" s="92"/>
      <c r="D271" s="92"/>
      <c r="E271" s="92"/>
      <c r="F271" s="92"/>
      <c r="G271" s="92"/>
      <c r="H271" s="93"/>
      <c r="T271" s="37"/>
    </row>
    <row r="272" spans="1:20" s="35" customFormat="1" x14ac:dyDescent="0.25">
      <c r="A272" s="46" t="s">
        <v>152</v>
      </c>
      <c r="B272" s="91" t="str">
        <f>(IF(H153="Saleable area Loading :","We have considered Saleable area of Flats as per our Calculation.","We considered Saleable area of Flat as per Builder area Sheet."))</f>
        <v>We have considered Saleable area of Flats as per our Calculation.</v>
      </c>
      <c r="C272" s="92"/>
      <c r="D272" s="92"/>
      <c r="E272" s="92"/>
      <c r="F272" s="92"/>
      <c r="G272" s="92"/>
      <c r="H272" s="93"/>
      <c r="T272" s="37"/>
    </row>
    <row r="273" spans="1:20" s="35" customFormat="1" x14ac:dyDescent="0.25">
      <c r="A273" s="46" t="s">
        <v>152</v>
      </c>
      <c r="B273" s="91" t="str">
        <f>(IF(H145="Saleable area Loading :","We have considered Saleable area of Commercial as per our Calculation.","We considered Saleable area of Commercial as per Builder area Sheet."))</f>
        <v>We have considered Saleable area of Commercial as per our Calculation.</v>
      </c>
      <c r="C273" s="92"/>
      <c r="D273" s="92"/>
      <c r="E273" s="92"/>
      <c r="F273" s="92"/>
      <c r="G273" s="92"/>
      <c r="H273" s="93"/>
      <c r="T273" s="37"/>
    </row>
    <row r="274" spans="1:20" s="35" customFormat="1" x14ac:dyDescent="0.25">
      <c r="A274" s="46" t="s">
        <v>152</v>
      </c>
      <c r="B274" s="129" t="s">
        <v>119</v>
      </c>
      <c r="C274" s="130"/>
      <c r="D274" s="130"/>
      <c r="E274" s="130"/>
      <c r="F274" s="130"/>
      <c r="G274" s="130"/>
      <c r="H274" s="131"/>
      <c r="T274" s="37"/>
    </row>
    <row r="275" spans="1:20" s="35" customFormat="1" x14ac:dyDescent="0.25">
      <c r="A275" s="46" t="s">
        <v>152</v>
      </c>
      <c r="B275" s="129" t="s">
        <v>387</v>
      </c>
      <c r="C275" s="130"/>
      <c r="D275" s="130"/>
      <c r="E275" s="130"/>
      <c r="F275" s="130"/>
      <c r="G275" s="130"/>
      <c r="H275" s="131"/>
      <c r="T275" s="37"/>
    </row>
    <row r="276" spans="1:20" s="35" customFormat="1" x14ac:dyDescent="0.25">
      <c r="A276" s="46" t="s">
        <v>152</v>
      </c>
      <c r="B276" s="129" t="s">
        <v>151</v>
      </c>
      <c r="C276" s="130"/>
      <c r="D276" s="130"/>
      <c r="E276" s="130"/>
      <c r="F276" s="130"/>
      <c r="G276" s="130"/>
      <c r="H276" s="131"/>
    </row>
    <row r="277" spans="1:20" s="35" customFormat="1" x14ac:dyDescent="0.25">
      <c r="A277" s="46" t="s">
        <v>152</v>
      </c>
      <c r="B277" s="129" t="s">
        <v>120</v>
      </c>
      <c r="C277" s="130"/>
      <c r="D277" s="130"/>
      <c r="E277" s="130"/>
      <c r="F277" s="130"/>
      <c r="G277" s="130"/>
      <c r="H277" s="131"/>
    </row>
    <row r="278" spans="1:20" s="35" customFormat="1" ht="34.5" customHeight="1" x14ac:dyDescent="0.25">
      <c r="A278" s="46" t="s">
        <v>152</v>
      </c>
      <c r="B278" s="129" t="s">
        <v>153</v>
      </c>
      <c r="C278" s="130"/>
      <c r="D278" s="130"/>
      <c r="E278" s="130"/>
      <c r="F278" s="130"/>
      <c r="G278" s="130"/>
      <c r="H278" s="131"/>
    </row>
    <row r="279" spans="1:20" s="35" customFormat="1" x14ac:dyDescent="0.25">
      <c r="A279" s="46" t="s">
        <v>152</v>
      </c>
      <c r="B279" s="129" t="s">
        <v>121</v>
      </c>
      <c r="C279" s="130"/>
      <c r="D279" s="130"/>
      <c r="E279" s="130"/>
      <c r="F279" s="130"/>
      <c r="G279" s="130"/>
      <c r="H279" s="131"/>
    </row>
    <row r="280" spans="1:20" s="35" customFormat="1" ht="32.25" hidden="1" customHeight="1" x14ac:dyDescent="0.25">
      <c r="A280" s="46" t="s">
        <v>152</v>
      </c>
      <c r="B280" s="195" t="s">
        <v>177</v>
      </c>
      <c r="C280" s="196"/>
      <c r="D280" s="196"/>
      <c r="E280" s="196"/>
      <c r="F280" s="196"/>
      <c r="G280" s="196"/>
      <c r="H280" s="197"/>
    </row>
    <row r="281" spans="1:20" s="35" customFormat="1" ht="33" customHeight="1" x14ac:dyDescent="0.25">
      <c r="A281" s="46" t="s">
        <v>152</v>
      </c>
      <c r="B281" s="91" t="s">
        <v>395</v>
      </c>
      <c r="C281" s="92"/>
      <c r="D281" s="92"/>
      <c r="E281" s="92"/>
      <c r="F281" s="92"/>
      <c r="G281" s="92"/>
      <c r="H281" s="93"/>
    </row>
    <row r="282" spans="1:20" s="35" customFormat="1" x14ac:dyDescent="0.25">
      <c r="A282" s="46" t="s">
        <v>152</v>
      </c>
      <c r="B282" s="91" t="s">
        <v>400</v>
      </c>
      <c r="C282" s="92"/>
      <c r="D282" s="92"/>
      <c r="E282" s="92"/>
      <c r="F282" s="92"/>
      <c r="G282" s="92"/>
      <c r="H282" s="93"/>
    </row>
    <row r="283" spans="1:20" s="35" customFormat="1" x14ac:dyDescent="0.25">
      <c r="A283" s="46" t="s">
        <v>152</v>
      </c>
      <c r="B283" s="91" t="s">
        <v>402</v>
      </c>
      <c r="C283" s="92"/>
      <c r="D283" s="92"/>
      <c r="E283" s="92"/>
      <c r="F283" s="92"/>
      <c r="G283" s="92"/>
      <c r="H283" s="93"/>
    </row>
    <row r="284" spans="1:20" x14ac:dyDescent="0.25">
      <c r="A284" s="183" t="s">
        <v>57</v>
      </c>
      <c r="B284" s="183"/>
      <c r="C284" s="183"/>
      <c r="D284" s="183"/>
      <c r="E284" s="183"/>
      <c r="F284" s="183"/>
      <c r="G284" s="183"/>
      <c r="H284" s="183"/>
      <c r="T284" s="35"/>
    </row>
    <row r="285" spans="1:20" x14ac:dyDescent="0.25">
      <c r="A285" s="128" t="s">
        <v>58</v>
      </c>
      <c r="B285" s="128"/>
      <c r="C285" s="128"/>
      <c r="D285" s="128"/>
      <c r="E285" s="128"/>
      <c r="F285" s="128"/>
      <c r="G285" s="128"/>
      <c r="H285" s="128"/>
      <c r="T285" s="35"/>
    </row>
    <row r="286" spans="1:20" ht="15.75" customHeight="1" x14ac:dyDescent="0.25">
      <c r="A286" s="198" t="s">
        <v>59</v>
      </c>
      <c r="B286" s="198"/>
      <c r="C286" s="198"/>
      <c r="D286" s="198"/>
      <c r="E286" s="198"/>
      <c r="F286" s="198"/>
      <c r="G286" s="198"/>
      <c r="H286" s="198"/>
      <c r="T286" s="35"/>
    </row>
    <row r="287" spans="1:20" x14ac:dyDescent="0.25">
      <c r="A287" s="128" t="s">
        <v>60</v>
      </c>
      <c r="B287" s="128"/>
      <c r="C287" s="128"/>
      <c r="D287" s="128"/>
      <c r="E287" s="128"/>
      <c r="F287" s="128"/>
      <c r="G287" s="128"/>
      <c r="H287" s="128"/>
      <c r="T287" s="35"/>
    </row>
    <row r="288" spans="1:20" x14ac:dyDescent="0.25">
      <c r="A288" s="128" t="s">
        <v>61</v>
      </c>
      <c r="B288" s="128"/>
      <c r="C288" s="128"/>
      <c r="D288" s="128"/>
      <c r="E288" s="128"/>
      <c r="F288" s="128"/>
      <c r="G288" s="128"/>
      <c r="H288" s="128"/>
      <c r="T288" s="35"/>
    </row>
    <row r="289" spans="1:20" x14ac:dyDescent="0.25">
      <c r="A289" s="128" t="s">
        <v>122</v>
      </c>
      <c r="B289" s="128"/>
      <c r="C289" s="128"/>
      <c r="D289" s="128"/>
      <c r="E289" s="128"/>
      <c r="F289" s="128"/>
      <c r="G289" s="128"/>
      <c r="H289" s="128"/>
      <c r="T289" s="35"/>
    </row>
    <row r="290" spans="1:20" ht="33.950000000000003" customHeight="1" x14ac:dyDescent="0.25">
      <c r="A290" s="184" t="s">
        <v>123</v>
      </c>
      <c r="B290" s="184"/>
      <c r="C290" s="184"/>
      <c r="D290" s="184"/>
      <c r="E290" s="184"/>
      <c r="F290" s="184"/>
      <c r="G290" s="184"/>
      <c r="H290" s="184"/>
    </row>
    <row r="291" spans="1:20" x14ac:dyDescent="0.25">
      <c r="A291" s="194" t="s">
        <v>73</v>
      </c>
      <c r="B291" s="194"/>
      <c r="C291" s="194" t="s">
        <v>407</v>
      </c>
      <c r="D291" s="194"/>
      <c r="E291" s="194" t="s">
        <v>103</v>
      </c>
      <c r="F291" s="194"/>
      <c r="G291" s="194" t="s">
        <v>406</v>
      </c>
      <c r="H291" s="194"/>
    </row>
    <row r="292" spans="1:20" x14ac:dyDescent="0.25">
      <c r="A292" s="193" t="s">
        <v>75</v>
      </c>
      <c r="B292" s="193"/>
      <c r="C292" s="193"/>
      <c r="D292" s="193"/>
      <c r="E292" s="193"/>
      <c r="F292" s="193"/>
      <c r="G292" s="193"/>
      <c r="H292" s="193"/>
    </row>
    <row r="293" spans="1:20" x14ac:dyDescent="0.25">
      <c r="A293" s="193"/>
      <c r="B293" s="193"/>
      <c r="C293" s="193"/>
      <c r="D293" s="193"/>
      <c r="E293" s="193"/>
      <c r="F293" s="193"/>
      <c r="G293" s="193"/>
      <c r="H293" s="193"/>
    </row>
    <row r="294" spans="1:20" x14ac:dyDescent="0.25">
      <c r="A294" s="193"/>
      <c r="B294" s="193"/>
      <c r="C294" s="193"/>
      <c r="D294" s="193"/>
      <c r="E294" s="193"/>
      <c r="F294" s="193"/>
      <c r="G294" s="193"/>
      <c r="H294" s="193"/>
    </row>
    <row r="295" spans="1:20" x14ac:dyDescent="0.25">
      <c r="A295" s="193"/>
      <c r="B295" s="193"/>
      <c r="C295" s="193"/>
      <c r="D295" s="193"/>
      <c r="E295" s="193"/>
      <c r="F295" s="193"/>
      <c r="G295" s="193"/>
      <c r="H295" s="193"/>
    </row>
    <row r="296" spans="1:20" x14ac:dyDescent="0.25">
      <c r="A296" s="38" t="s">
        <v>62</v>
      </c>
      <c r="B296" s="39"/>
      <c r="C296" s="39"/>
      <c r="D296" s="38" t="str">
        <f>E9</f>
        <v>Regency Anantam Nxt Phase I</v>
      </c>
      <c r="F296" s="39"/>
      <c r="G296" s="39"/>
      <c r="H296" s="39"/>
    </row>
    <row r="297" spans="1:20" x14ac:dyDescent="0.25">
      <c r="A297" s="39"/>
      <c r="B297" s="39"/>
      <c r="C297" s="39"/>
      <c r="D297" s="39"/>
      <c r="E297" s="39"/>
      <c r="F297" s="39"/>
      <c r="G297" s="39"/>
      <c r="H297" s="39"/>
    </row>
    <row r="298" spans="1:20" x14ac:dyDescent="0.25">
      <c r="A298" s="39"/>
      <c r="B298" s="39"/>
      <c r="C298" s="39"/>
      <c r="D298" s="39"/>
      <c r="E298" s="39"/>
      <c r="F298" s="39"/>
      <c r="G298" s="39"/>
      <c r="H298" s="39"/>
    </row>
    <row r="299" spans="1:20" ht="15" customHeight="1" x14ac:dyDescent="0.25"/>
    <row r="339" spans="1:1" x14ac:dyDescent="0.25">
      <c r="A339" s="41" t="s">
        <v>163</v>
      </c>
    </row>
    <row r="382" spans="1:1" x14ac:dyDescent="0.25">
      <c r="A382" s="41" t="s">
        <v>63</v>
      </c>
    </row>
  </sheetData>
  <mergeCells count="457">
    <mergeCell ref="B283:H283"/>
    <mergeCell ref="E43:H43"/>
    <mergeCell ref="A43:D43"/>
    <mergeCell ref="A84:B84"/>
    <mergeCell ref="A50:B50"/>
    <mergeCell ref="D67:H67"/>
    <mergeCell ref="C52:E52"/>
    <mergeCell ref="A270:H270"/>
    <mergeCell ref="A262:B262"/>
    <mergeCell ref="A263:B263"/>
    <mergeCell ref="A258:H258"/>
    <mergeCell ref="A252:H252"/>
    <mergeCell ref="A267:B267"/>
    <mergeCell ref="A264:H264"/>
    <mergeCell ref="A72:C72"/>
    <mergeCell ref="D73:H73"/>
    <mergeCell ref="A79:B79"/>
    <mergeCell ref="G78:H78"/>
    <mergeCell ref="A87:B87"/>
    <mergeCell ref="A88:B88"/>
    <mergeCell ref="A83:B83"/>
    <mergeCell ref="A80:B80"/>
    <mergeCell ref="A82:B82"/>
    <mergeCell ref="E78:F78"/>
    <mergeCell ref="A85:B85"/>
    <mergeCell ref="A117:E117"/>
    <mergeCell ref="F121:H121"/>
    <mergeCell ref="I15:P15"/>
    <mergeCell ref="F127:H127"/>
    <mergeCell ref="F125:H125"/>
    <mergeCell ref="A254:B254"/>
    <mergeCell ref="A144:H144"/>
    <mergeCell ref="G131:H131"/>
    <mergeCell ref="A126:E126"/>
    <mergeCell ref="A149:B149"/>
    <mergeCell ref="A60:B60"/>
    <mergeCell ref="C60:E60"/>
    <mergeCell ref="D62:H62"/>
    <mergeCell ref="F126:H126"/>
    <mergeCell ref="E131:F131"/>
    <mergeCell ref="A131:B131"/>
    <mergeCell ref="A133:B133"/>
    <mergeCell ref="C136:D136"/>
    <mergeCell ref="D72:H72"/>
    <mergeCell ref="D63:H63"/>
    <mergeCell ref="G60:H60"/>
    <mergeCell ref="A54:B55"/>
    <mergeCell ref="C54:E54"/>
    <mergeCell ref="G54:H54"/>
    <mergeCell ref="A124:E124"/>
    <mergeCell ref="A152:H152"/>
    <mergeCell ref="E136:F136"/>
    <mergeCell ref="A143:H143"/>
    <mergeCell ref="A153:A154"/>
    <mergeCell ref="F153:F154"/>
    <mergeCell ref="A136:B136"/>
    <mergeCell ref="A120:E120"/>
    <mergeCell ref="A122:E122"/>
    <mergeCell ref="A141:B141"/>
    <mergeCell ref="E141:F141"/>
    <mergeCell ref="A127:E127"/>
    <mergeCell ref="G141:H141"/>
    <mergeCell ref="C133:D133"/>
    <mergeCell ref="E133:F133"/>
    <mergeCell ref="G133:H133"/>
    <mergeCell ref="A134:B134"/>
    <mergeCell ref="C134:D134"/>
    <mergeCell ref="E134:F134"/>
    <mergeCell ref="G134:H134"/>
    <mergeCell ref="A140:B140"/>
    <mergeCell ref="C140:D140"/>
    <mergeCell ref="E140:F140"/>
    <mergeCell ref="A289:H289"/>
    <mergeCell ref="A286:H286"/>
    <mergeCell ref="A247:B247"/>
    <mergeCell ref="D153:D154"/>
    <mergeCell ref="E153:E154"/>
    <mergeCell ref="A256:B256"/>
    <mergeCell ref="B275:H275"/>
    <mergeCell ref="A265:B265"/>
    <mergeCell ref="A266:B266"/>
    <mergeCell ref="A269:B269"/>
    <mergeCell ref="A268:B268"/>
    <mergeCell ref="B271:H271"/>
    <mergeCell ref="B272:H272"/>
    <mergeCell ref="B274:H274"/>
    <mergeCell ref="A242:B242"/>
    <mergeCell ref="A250:B250"/>
    <mergeCell ref="A257:B257"/>
    <mergeCell ref="A241:H241"/>
    <mergeCell ref="B282:H282"/>
    <mergeCell ref="A237:B237"/>
    <mergeCell ref="A238:B238"/>
    <mergeCell ref="A239:B239"/>
    <mergeCell ref="A240:B240"/>
    <mergeCell ref="A223:H223"/>
    <mergeCell ref="A292:H295"/>
    <mergeCell ref="A291:B291"/>
    <mergeCell ref="E291:F291"/>
    <mergeCell ref="C291:D291"/>
    <mergeCell ref="G291:H291"/>
    <mergeCell ref="A130:H130"/>
    <mergeCell ref="A128:E128"/>
    <mergeCell ref="F128:H128"/>
    <mergeCell ref="A129:E129"/>
    <mergeCell ref="F129:H129"/>
    <mergeCell ref="A246:H246"/>
    <mergeCell ref="A139:B139"/>
    <mergeCell ref="A255:B255"/>
    <mergeCell ref="A132:B132"/>
    <mergeCell ref="A287:H287"/>
    <mergeCell ref="A135:H135"/>
    <mergeCell ref="A290:H290"/>
    <mergeCell ref="A288:H288"/>
    <mergeCell ref="A285:H285"/>
    <mergeCell ref="A284:H284"/>
    <mergeCell ref="G136:H136"/>
    <mergeCell ref="B276:H276"/>
    <mergeCell ref="A261:B261"/>
    <mergeCell ref="B280:H28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77:B77"/>
    <mergeCell ref="A75:B75"/>
    <mergeCell ref="C75:H75"/>
    <mergeCell ref="A70:C70"/>
    <mergeCell ref="D70:H70"/>
    <mergeCell ref="C77:H77"/>
    <mergeCell ref="A71:C71"/>
    <mergeCell ref="D71:H71"/>
    <mergeCell ref="A74:C74"/>
    <mergeCell ref="D74:H74"/>
    <mergeCell ref="A73:C73"/>
    <mergeCell ref="D69:H69"/>
    <mergeCell ref="A44:D44"/>
    <mergeCell ref="E44:H44"/>
    <mergeCell ref="E45:H45"/>
    <mergeCell ref="E46:H46"/>
    <mergeCell ref="E47:H47"/>
    <mergeCell ref="C57:H57"/>
    <mergeCell ref="C59:H59"/>
    <mergeCell ref="A48:H48"/>
    <mergeCell ref="D64:H64"/>
    <mergeCell ref="A64:C64"/>
    <mergeCell ref="A45:D45"/>
    <mergeCell ref="A49:B49"/>
    <mergeCell ref="C49:H49"/>
    <mergeCell ref="A65:C67"/>
    <mergeCell ref="D65:H65"/>
    <mergeCell ref="D66:H66"/>
    <mergeCell ref="G52:H52"/>
    <mergeCell ref="A61:H61"/>
    <mergeCell ref="A62:C62"/>
    <mergeCell ref="A63:C63"/>
    <mergeCell ref="C53:H53"/>
    <mergeCell ref="A56:B57"/>
    <mergeCell ref="C56:E56"/>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L151:M151"/>
    <mergeCell ref="L150:M150"/>
    <mergeCell ref="L149:M149"/>
    <mergeCell ref="L148:M148"/>
    <mergeCell ref="A86:B86"/>
    <mergeCell ref="C139:D139"/>
    <mergeCell ref="E139:F139"/>
    <mergeCell ref="G139:H139"/>
    <mergeCell ref="A118:E118"/>
    <mergeCell ref="A89:B89"/>
    <mergeCell ref="C89:H89"/>
    <mergeCell ref="A147:H147"/>
    <mergeCell ref="E145:E146"/>
    <mergeCell ref="A93:B93"/>
    <mergeCell ref="C91:H91"/>
    <mergeCell ref="A94:B94"/>
    <mergeCell ref="A95:B95"/>
    <mergeCell ref="G93:H102"/>
    <mergeCell ref="A96:B96"/>
    <mergeCell ref="F119:H119"/>
    <mergeCell ref="A119:E119"/>
    <mergeCell ref="D145:D146"/>
    <mergeCell ref="A121:E121"/>
    <mergeCell ref="A98:B98"/>
    <mergeCell ref="L246:M246"/>
    <mergeCell ref="A251:B251"/>
    <mergeCell ref="A248:B248"/>
    <mergeCell ref="A249:B249"/>
    <mergeCell ref="A259:B259"/>
    <mergeCell ref="A40:B40"/>
    <mergeCell ref="C40:H40"/>
    <mergeCell ref="F145:F146"/>
    <mergeCell ref="C132:D132"/>
    <mergeCell ref="E132:F132"/>
    <mergeCell ref="B145:B146"/>
    <mergeCell ref="A145:A146"/>
    <mergeCell ref="C153:C154"/>
    <mergeCell ref="G153:G154"/>
    <mergeCell ref="L245:M245"/>
    <mergeCell ref="L242:M242"/>
    <mergeCell ref="A243:B243"/>
    <mergeCell ref="G142:H142"/>
    <mergeCell ref="L243:M243"/>
    <mergeCell ref="A244:B244"/>
    <mergeCell ref="L244:M244"/>
    <mergeCell ref="C55:H55"/>
    <mergeCell ref="A245:B245"/>
    <mergeCell ref="A78:B78"/>
    <mergeCell ref="B278:H278"/>
    <mergeCell ref="A142:B142"/>
    <mergeCell ref="C142:D142"/>
    <mergeCell ref="E142:F142"/>
    <mergeCell ref="B279:H279"/>
    <mergeCell ref="B277:H277"/>
    <mergeCell ref="A151:B151"/>
    <mergeCell ref="A112:B112"/>
    <mergeCell ref="A113:B113"/>
    <mergeCell ref="A114:B114"/>
    <mergeCell ref="A115:B115"/>
    <mergeCell ref="A116:B116"/>
    <mergeCell ref="B273:H273"/>
    <mergeCell ref="A213:B213"/>
    <mergeCell ref="A214:B214"/>
    <mergeCell ref="A215:B215"/>
    <mergeCell ref="A216:B216"/>
    <mergeCell ref="A217:B217"/>
    <mergeCell ref="A218:B218"/>
    <mergeCell ref="A219:B219"/>
    <mergeCell ref="A234:B234"/>
    <mergeCell ref="A235:B235"/>
    <mergeCell ref="A236:B236"/>
    <mergeCell ref="F120:H120"/>
    <mergeCell ref="A91:B91"/>
    <mergeCell ref="G145:G146"/>
    <mergeCell ref="A260:B260"/>
    <mergeCell ref="A81:B81"/>
    <mergeCell ref="E79:F88"/>
    <mergeCell ref="G79:H88"/>
    <mergeCell ref="G92:H92"/>
    <mergeCell ref="F118:H118"/>
    <mergeCell ref="G132:H132"/>
    <mergeCell ref="A102:B102"/>
    <mergeCell ref="F124:H124"/>
    <mergeCell ref="C131:D131"/>
    <mergeCell ref="C141:D141"/>
    <mergeCell ref="F117:H117"/>
    <mergeCell ref="F122:H122"/>
    <mergeCell ref="A150:B150"/>
    <mergeCell ref="A123:E123"/>
    <mergeCell ref="F123:H123"/>
    <mergeCell ref="A125:E125"/>
    <mergeCell ref="B153:B154"/>
    <mergeCell ref="A253:B253"/>
    <mergeCell ref="A92:B92"/>
    <mergeCell ref="E92:F92"/>
    <mergeCell ref="E93:F102"/>
    <mergeCell ref="A103:B103"/>
    <mergeCell ref="C103:H103"/>
    <mergeCell ref="A105:B105"/>
    <mergeCell ref="C105:H105"/>
    <mergeCell ref="A106:B106"/>
    <mergeCell ref="E106:F106"/>
    <mergeCell ref="G106:H106"/>
    <mergeCell ref="A100:B100"/>
    <mergeCell ref="A97:B97"/>
    <mergeCell ref="A99:B99"/>
    <mergeCell ref="A101:B101"/>
    <mergeCell ref="A110:B110"/>
    <mergeCell ref="A111:B111"/>
    <mergeCell ref="A174:B174"/>
    <mergeCell ref="A175:B175"/>
    <mergeCell ref="C137:D137"/>
    <mergeCell ref="E137:F137"/>
    <mergeCell ref="G137:H137"/>
    <mergeCell ref="A157:H157"/>
    <mergeCell ref="A148:B148"/>
    <mergeCell ref="A138:B138"/>
    <mergeCell ref="C138:D138"/>
    <mergeCell ref="E138:F138"/>
    <mergeCell ref="G138:H138"/>
    <mergeCell ref="A156:H156"/>
    <mergeCell ref="A158:H158"/>
    <mergeCell ref="A159:H159"/>
    <mergeCell ref="A160:B160"/>
    <mergeCell ref="C145:C146"/>
    <mergeCell ref="G140:H140"/>
    <mergeCell ref="A224:B224"/>
    <mergeCell ref="A225:B225"/>
    <mergeCell ref="A226:B226"/>
    <mergeCell ref="A227:B227"/>
    <mergeCell ref="A228:B228"/>
    <mergeCell ref="A229:B229"/>
    <mergeCell ref="A230:B230"/>
    <mergeCell ref="A231:B231"/>
    <mergeCell ref="A137:B137"/>
    <mergeCell ref="A186:B186"/>
    <mergeCell ref="A187:B187"/>
    <mergeCell ref="A188:B188"/>
    <mergeCell ref="A189:B189"/>
    <mergeCell ref="A190:H190"/>
    <mergeCell ref="A177:H177"/>
    <mergeCell ref="A178:H178"/>
    <mergeCell ref="A179:H179"/>
    <mergeCell ref="A180:H180"/>
    <mergeCell ref="A181:H181"/>
    <mergeCell ref="A182:B182"/>
    <mergeCell ref="A183:B183"/>
    <mergeCell ref="A184:B184"/>
    <mergeCell ref="A185:B185"/>
    <mergeCell ref="A155:H155"/>
    <mergeCell ref="B281:H281"/>
    <mergeCell ref="A195:B195"/>
    <mergeCell ref="A196:B196"/>
    <mergeCell ref="A197:B197"/>
    <mergeCell ref="A198:B198"/>
    <mergeCell ref="A222:H222"/>
    <mergeCell ref="A176:B176"/>
    <mergeCell ref="A232:H232"/>
    <mergeCell ref="A233:B233"/>
    <mergeCell ref="A221:H221"/>
    <mergeCell ref="A199:H199"/>
    <mergeCell ref="A200:H200"/>
    <mergeCell ref="A220:H220"/>
    <mergeCell ref="A202:H202"/>
    <mergeCell ref="A203:B203"/>
    <mergeCell ref="A204:B204"/>
    <mergeCell ref="A205:B205"/>
    <mergeCell ref="A206:B206"/>
    <mergeCell ref="A207:B207"/>
    <mergeCell ref="A208:B208"/>
    <mergeCell ref="A209:B209"/>
    <mergeCell ref="A210:B210"/>
    <mergeCell ref="A211:H211"/>
    <mergeCell ref="A212:B212"/>
    <mergeCell ref="I11:L11"/>
    <mergeCell ref="A191:B191"/>
    <mergeCell ref="A192:B192"/>
    <mergeCell ref="A193:B193"/>
    <mergeCell ref="A194:B194"/>
    <mergeCell ref="A201:H201"/>
    <mergeCell ref="A161:B161"/>
    <mergeCell ref="A162:B162"/>
    <mergeCell ref="A163:B163"/>
    <mergeCell ref="A164:B164"/>
    <mergeCell ref="A165:B165"/>
    <mergeCell ref="A166:B166"/>
    <mergeCell ref="A167:B167"/>
    <mergeCell ref="A168:H168"/>
    <mergeCell ref="A169:B169"/>
    <mergeCell ref="A170:B170"/>
    <mergeCell ref="A171:B171"/>
    <mergeCell ref="A172:B172"/>
    <mergeCell ref="A173:B173"/>
    <mergeCell ref="A107:B107"/>
    <mergeCell ref="E107:F116"/>
    <mergeCell ref="G107:H116"/>
    <mergeCell ref="A108:B108"/>
    <mergeCell ref="A109:B109"/>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5:E146">
      <formula1>"Attached Loft area,Attached Otla area,Attached Mezzanine area"</formula1>
    </dataValidation>
    <dataValidation type="list" allowBlank="1" showInputMessage="1" showErrorMessage="1" sqref="G291:H291">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B145:B146">
      <formula1>"Shop No. (Sale Plan),Sale / Rehab,Sale / Mhada"</formula1>
    </dataValidation>
    <dataValidation type="list" allowBlank="1" showInputMessage="1" showErrorMessage="1" sqref="B153:B15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3:E154">
      <formula1>"Fungible area,Balcony Area,Chajja Area,Cornice Area,AP Area,WS Area"</formula1>
    </dataValidation>
    <dataValidation type="list" allowBlank="1" showInputMessage="1" showErrorMessage="1" sqref="H146 H154">
      <formula1>".45,.50,.55,.60"</formula1>
    </dataValidation>
    <dataValidation type="list" allowBlank="1" showInputMessage="1" showErrorMessage="1" sqref="E4:H4">
      <formula1>$L$3:$P$3</formula1>
    </dataValidation>
    <dataValidation type="list" allowBlank="1" showInputMessage="1" showErrorMessage="1" sqref="H145 H153">
      <formula1>"Saleable area Loading :,Builder Saleable Area"</formula1>
    </dataValidation>
    <dataValidation type="list" allowBlank="1" showInputMessage="1" showErrorMessage="1" sqref="D145:D146 D153:D154">
      <formula1>"Carpet area,RERA Carpet area"</formula1>
    </dataValidation>
    <dataValidation type="list" allowBlank="1" showInputMessage="1" showErrorMessage="1" sqref="F128:H128">
      <formula1>OFFSET($S$117,1,MATCH($G20,$S$117:$W$117,0)-1,15,1)</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4" max="16383" man="1"/>
    <brk id="142" max="16383" man="1"/>
    <brk id="295" max="16383" man="1"/>
    <brk id="338" max="16383" man="1"/>
    <brk id="38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2" t="s">
        <v>104</v>
      </c>
      <c r="C3" s="212"/>
      <c r="D3" s="212"/>
      <c r="E3" s="212"/>
      <c r="F3" s="212"/>
      <c r="G3" s="212"/>
      <c r="H3" s="212"/>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3"/>
      <c r="C4" s="53" t="s">
        <v>11</v>
      </c>
      <c r="D4" s="54" t="s">
        <v>178</v>
      </c>
      <c r="E4" s="54" t="s">
        <v>188</v>
      </c>
      <c r="F4" s="54" t="s">
        <v>172</v>
      </c>
      <c r="G4" s="54" t="s">
        <v>193</v>
      </c>
      <c r="H4" s="54" t="s">
        <v>211</v>
      </c>
      <c r="J4" t="s">
        <v>193</v>
      </c>
      <c r="K4" t="s">
        <v>209</v>
      </c>
    </row>
    <row r="5" spans="2:11" x14ac:dyDescent="0.25">
      <c r="B5" s="53"/>
      <c r="C5" s="53"/>
      <c r="D5" s="54" t="s">
        <v>179</v>
      </c>
      <c r="E5" s="54" t="s">
        <v>186</v>
      </c>
      <c r="F5" s="54" t="s">
        <v>208</v>
      </c>
      <c r="G5" s="54" t="s">
        <v>194</v>
      </c>
      <c r="H5" s="54" t="s">
        <v>212</v>
      </c>
    </row>
    <row r="6" spans="2:11" x14ac:dyDescent="0.25">
      <c r="B6" s="53"/>
      <c r="C6" s="53"/>
      <c r="D6" s="54" t="s">
        <v>180</v>
      </c>
      <c r="E6" s="54" t="s">
        <v>187</v>
      </c>
      <c r="F6" s="54" t="s">
        <v>209</v>
      </c>
      <c r="G6" s="54" t="s">
        <v>195</v>
      </c>
      <c r="H6" s="54" t="s">
        <v>225</v>
      </c>
    </row>
    <row r="7" spans="2:11" x14ac:dyDescent="0.25">
      <c r="B7" s="53"/>
      <c r="C7" s="53"/>
      <c r="D7" s="54" t="s">
        <v>181</v>
      </c>
      <c r="E7" s="54" t="s">
        <v>189</v>
      </c>
      <c r="F7" s="54" t="s">
        <v>210</v>
      </c>
      <c r="G7" s="54" t="s">
        <v>196</v>
      </c>
      <c r="H7" s="54" t="s">
        <v>213</v>
      </c>
    </row>
    <row r="8" spans="2:11" x14ac:dyDescent="0.25">
      <c r="B8" s="53"/>
      <c r="C8" s="53"/>
      <c r="D8" s="54" t="s">
        <v>182</v>
      </c>
      <c r="E8" s="54" t="s">
        <v>190</v>
      </c>
      <c r="F8" s="54"/>
      <c r="G8" s="54" t="s">
        <v>197</v>
      </c>
      <c r="H8" s="54" t="s">
        <v>214</v>
      </c>
    </row>
    <row r="9" spans="2:11" x14ac:dyDescent="0.25">
      <c r="B9" s="53"/>
      <c r="C9" s="53"/>
      <c r="D9" s="54" t="s">
        <v>183</v>
      </c>
      <c r="E9" s="54" t="s">
        <v>188</v>
      </c>
      <c r="F9" s="54"/>
      <c r="G9" s="54" t="s">
        <v>198</v>
      </c>
      <c r="H9" s="54" t="s">
        <v>215</v>
      </c>
    </row>
    <row r="10" spans="2:11" x14ac:dyDescent="0.25">
      <c r="B10" s="53"/>
      <c r="C10" s="53"/>
      <c r="D10" s="54" t="s">
        <v>184</v>
      </c>
      <c r="E10" s="54" t="s">
        <v>191</v>
      </c>
      <c r="F10" s="54"/>
      <c r="G10" s="54" t="s">
        <v>199</v>
      </c>
      <c r="H10" s="54" t="s">
        <v>216</v>
      </c>
    </row>
    <row r="11" spans="2:11" x14ac:dyDescent="0.25">
      <c r="B11" s="53"/>
      <c r="C11" s="53"/>
      <c r="D11" s="54" t="s">
        <v>185</v>
      </c>
      <c r="E11" s="54" t="s">
        <v>192</v>
      </c>
      <c r="F11" s="54"/>
      <c r="G11" s="54" t="s">
        <v>200</v>
      </c>
      <c r="H11" s="54" t="s">
        <v>217</v>
      </c>
    </row>
    <row r="12" spans="2:11" x14ac:dyDescent="0.25">
      <c r="B12" s="53"/>
      <c r="C12" s="53"/>
      <c r="D12" s="54"/>
      <c r="E12" s="54"/>
      <c r="F12" s="54"/>
      <c r="G12" s="54" t="s">
        <v>201</v>
      </c>
      <c r="H12" s="54" t="s">
        <v>218</v>
      </c>
    </row>
    <row r="13" spans="2:11" x14ac:dyDescent="0.25">
      <c r="B13" s="53"/>
      <c r="C13" s="53"/>
      <c r="D13" s="54"/>
      <c r="E13" s="54"/>
      <c r="F13" s="54"/>
      <c r="G13" s="54" t="s">
        <v>202</v>
      </c>
      <c r="H13" s="54" t="s">
        <v>219</v>
      </c>
    </row>
    <row r="14" spans="2:11" x14ac:dyDescent="0.25">
      <c r="B14" s="53"/>
      <c r="C14" s="53"/>
      <c r="D14" s="54"/>
      <c r="E14" s="54"/>
      <c r="F14" s="54"/>
      <c r="G14" s="54" t="s">
        <v>203</v>
      </c>
      <c r="H14" s="54" t="s">
        <v>220</v>
      </c>
    </row>
    <row r="15" spans="2:11" x14ac:dyDescent="0.25">
      <c r="B15" s="53"/>
      <c r="C15" s="53"/>
      <c r="D15" s="54"/>
      <c r="E15" s="54"/>
      <c r="F15" s="54"/>
      <c r="G15" s="54" t="s">
        <v>204</v>
      </c>
      <c r="H15" s="54" t="s">
        <v>221</v>
      </c>
    </row>
    <row r="16" spans="2:11" x14ac:dyDescent="0.25">
      <c r="B16" s="53"/>
      <c r="C16" s="53"/>
      <c r="D16" s="54"/>
      <c r="E16" s="54"/>
      <c r="F16" s="54"/>
      <c r="G16" s="54" t="s">
        <v>205</v>
      </c>
      <c r="H16" s="54" t="s">
        <v>222</v>
      </c>
    </row>
    <row r="17" spans="2:8" x14ac:dyDescent="0.25">
      <c r="B17" s="53"/>
      <c r="C17" s="53"/>
      <c r="D17" s="54"/>
      <c r="E17" s="54"/>
      <c r="F17" s="54"/>
      <c r="G17" s="54" t="s">
        <v>206</v>
      </c>
      <c r="H17" s="54" t="s">
        <v>223</v>
      </c>
    </row>
    <row r="18" spans="2:8" x14ac:dyDescent="0.25">
      <c r="B18" s="53"/>
      <c r="C18" s="53"/>
      <c r="D18" s="54"/>
      <c r="E18" s="54"/>
      <c r="F18" s="54"/>
      <c r="G18" s="54" t="s">
        <v>207</v>
      </c>
      <c r="H18" s="54" t="s">
        <v>224</v>
      </c>
    </row>
    <row r="24" spans="2:8" x14ac:dyDescent="0.25">
      <c r="C24" t="s">
        <v>169</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169</v>
      </c>
    </row>
    <row r="33" spans="3:11" x14ac:dyDescent="0.25">
      <c r="J33">
        <v>1</v>
      </c>
      <c r="K33">
        <v>2</v>
      </c>
    </row>
    <row r="34" spans="3:11" x14ac:dyDescent="0.25">
      <c r="C34" s="55" t="s">
        <v>236</v>
      </c>
      <c r="D34" s="54" t="s">
        <v>234</v>
      </c>
      <c r="E34" s="54" t="s">
        <v>239</v>
      </c>
      <c r="F34" s="54" t="s">
        <v>237</v>
      </c>
      <c r="G34" s="54" t="s">
        <v>238</v>
      </c>
      <c r="H34" s="54" t="s">
        <v>240</v>
      </c>
      <c r="J34" t="s">
        <v>193</v>
      </c>
      <c r="K34" t="s">
        <v>209</v>
      </c>
    </row>
    <row r="35" spans="3:11" x14ac:dyDescent="0.25">
      <c r="C35" s="53" t="s">
        <v>235</v>
      </c>
      <c r="D35" s="54" t="s">
        <v>170</v>
      </c>
      <c r="E35" s="54" t="s">
        <v>244</v>
      </c>
      <c r="F35" s="54" t="s">
        <v>246</v>
      </c>
      <c r="G35" s="54" t="s">
        <v>248</v>
      </c>
      <c r="H35" s="54"/>
    </row>
    <row r="36" spans="3:11" x14ac:dyDescent="0.25">
      <c r="C36" s="53"/>
      <c r="D36" s="54" t="s">
        <v>241</v>
      </c>
      <c r="E36" s="54" t="s">
        <v>245</v>
      </c>
      <c r="F36" s="54" t="s">
        <v>247</v>
      </c>
      <c r="G36" s="54" t="s">
        <v>249</v>
      </c>
      <c r="H36" s="54"/>
    </row>
    <row r="37" spans="3:11" x14ac:dyDescent="0.25">
      <c r="C37" s="53"/>
      <c r="D37" s="54" t="s">
        <v>242</v>
      </c>
      <c r="E37" s="54"/>
      <c r="F37" s="54"/>
      <c r="G37" s="54" t="s">
        <v>250</v>
      </c>
      <c r="H37" s="54"/>
    </row>
    <row r="38" spans="3:11" x14ac:dyDescent="0.25">
      <c r="C38" s="53"/>
      <c r="D38" s="54" t="s">
        <v>243</v>
      </c>
      <c r="E38" s="54"/>
      <c r="F38" s="54"/>
      <c r="G38" s="54" t="s">
        <v>250</v>
      </c>
      <c r="H38" s="54"/>
    </row>
    <row r="39" spans="3:11" x14ac:dyDescent="0.25">
      <c r="C39" s="53"/>
      <c r="D39" s="54"/>
      <c r="E39" s="54"/>
      <c r="F39" s="54"/>
      <c r="G39" s="54" t="s">
        <v>251</v>
      </c>
      <c r="H39" s="54"/>
    </row>
    <row r="40" spans="3:11" x14ac:dyDescent="0.25">
      <c r="C40" s="53"/>
      <c r="D40" s="54"/>
      <c r="E40" s="54"/>
      <c r="F40" s="54"/>
      <c r="G40" s="54" t="s">
        <v>252</v>
      </c>
      <c r="H40" s="54"/>
    </row>
    <row r="41" spans="3:11" x14ac:dyDescent="0.25">
      <c r="C41" s="53"/>
      <c r="D41" s="54"/>
      <c r="E41" s="54"/>
      <c r="F41" s="54"/>
      <c r="G41" s="54"/>
      <c r="H41" s="54"/>
    </row>
    <row r="43" spans="3:11" x14ac:dyDescent="0.25">
      <c r="C43" t="s">
        <v>253</v>
      </c>
    </row>
    <row r="44" spans="3:11" x14ac:dyDescent="0.25">
      <c r="C44" t="s">
        <v>172</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activeCell="C31" sqref="C31"/>
    </sheetView>
  </sheetViews>
  <sheetFormatPr defaultRowHeight="15" x14ac:dyDescent="0.25"/>
  <cols>
    <col min="2" max="2" width="3" bestFit="1" customWidth="1"/>
    <col min="3" max="3" width="155.28515625" customWidth="1"/>
  </cols>
  <sheetData>
    <row r="2" spans="2:3" ht="15" customHeight="1" x14ac:dyDescent="0.25">
      <c r="B2" s="56">
        <v>1</v>
      </c>
      <c r="C2" s="58" t="s">
        <v>284</v>
      </c>
    </row>
    <row r="3" spans="2:3" x14ac:dyDescent="0.25">
      <c r="B3" s="56">
        <v>2</v>
      </c>
      <c r="C3" s="57" t="s">
        <v>285</v>
      </c>
    </row>
    <row r="4" spans="2:3" x14ac:dyDescent="0.25">
      <c r="B4" s="56">
        <v>3</v>
      </c>
      <c r="C4" s="56" t="s">
        <v>286</v>
      </c>
    </row>
    <row r="5" spans="2:3" x14ac:dyDescent="0.25">
      <c r="B5" s="56">
        <v>4</v>
      </c>
      <c r="C5" s="57" t="s">
        <v>287</v>
      </c>
    </row>
    <row r="6" spans="2:3" x14ac:dyDescent="0.25">
      <c r="B6" s="56">
        <v>5</v>
      </c>
      <c r="C6" s="56" t="s">
        <v>288</v>
      </c>
    </row>
    <row r="7" spans="2:3" ht="30" x14ac:dyDescent="0.25">
      <c r="B7" s="56">
        <v>6</v>
      </c>
      <c r="C7" s="57" t="s">
        <v>289</v>
      </c>
    </row>
    <row r="8" spans="2:3" ht="75" x14ac:dyDescent="0.25">
      <c r="B8" s="56">
        <v>7</v>
      </c>
      <c r="C8" s="57" t="s">
        <v>290</v>
      </c>
    </row>
    <row r="9" spans="2:3" x14ac:dyDescent="0.25">
      <c r="B9" s="56">
        <v>8</v>
      </c>
      <c r="C9" s="56" t="s">
        <v>291</v>
      </c>
    </row>
    <row r="10" spans="2:3" x14ac:dyDescent="0.25">
      <c r="B10" s="56">
        <v>9</v>
      </c>
      <c r="C10" s="56" t="s">
        <v>292</v>
      </c>
    </row>
    <row r="11" spans="2:3" x14ac:dyDescent="0.25">
      <c r="B11" s="56">
        <v>10</v>
      </c>
      <c r="C11" s="56" t="s">
        <v>293</v>
      </c>
    </row>
    <row r="12" spans="2:3" x14ac:dyDescent="0.25">
      <c r="B12" s="56">
        <v>11</v>
      </c>
      <c r="C12" s="56" t="s">
        <v>294</v>
      </c>
    </row>
    <row r="13" spans="2:3" x14ac:dyDescent="0.25">
      <c r="B13" s="56">
        <v>12</v>
      </c>
      <c r="C13" s="56" t="s">
        <v>295</v>
      </c>
    </row>
    <row r="14" spans="2:3" x14ac:dyDescent="0.25">
      <c r="B14" s="56">
        <v>13</v>
      </c>
      <c r="C14" s="56" t="s">
        <v>296</v>
      </c>
    </row>
    <row r="15" spans="2:3" x14ac:dyDescent="0.25">
      <c r="B15" s="56">
        <v>14</v>
      </c>
      <c r="C15" s="56" t="s">
        <v>286</v>
      </c>
    </row>
    <row r="16" spans="2:3" x14ac:dyDescent="0.25">
      <c r="B16" s="56">
        <v>15</v>
      </c>
      <c r="C16" s="56" t="s">
        <v>298</v>
      </c>
    </row>
    <row r="17" spans="2:3" x14ac:dyDescent="0.25">
      <c r="B17" s="75">
        <v>16</v>
      </c>
      <c r="C17" s="62" t="s">
        <v>299</v>
      </c>
    </row>
    <row r="18" spans="2:3" x14ac:dyDescent="0.25">
      <c r="B18" s="61">
        <v>17</v>
      </c>
      <c r="C18" s="62" t="s">
        <v>300</v>
      </c>
    </row>
    <row r="19" spans="2:3" x14ac:dyDescent="0.25">
      <c r="B19" s="60">
        <v>18</v>
      </c>
      <c r="C19" s="56" t="s">
        <v>301</v>
      </c>
    </row>
    <row r="20" spans="2:3" x14ac:dyDescent="0.25">
      <c r="B20" s="61">
        <v>19</v>
      </c>
      <c r="C20" s="56" t="s">
        <v>337</v>
      </c>
    </row>
    <row r="21" spans="2:3" x14ac:dyDescent="0.25">
      <c r="B21" s="56">
        <v>20</v>
      </c>
      <c r="C21" s="56" t="s">
        <v>302</v>
      </c>
    </row>
    <row r="22" spans="2:3" x14ac:dyDescent="0.25">
      <c r="B22" s="61">
        <v>21</v>
      </c>
      <c r="C22" s="56" t="s">
        <v>301</v>
      </c>
    </row>
    <row r="23" spans="2:3" s="70" customFormat="1" ht="29.25" customHeight="1" x14ac:dyDescent="0.25">
      <c r="B23" s="69">
        <v>22</v>
      </c>
      <c r="C23" s="58" t="s">
        <v>329</v>
      </c>
    </row>
    <row r="24" spans="2:3" s="70" customFormat="1" ht="30.75" customHeight="1" x14ac:dyDescent="0.25">
      <c r="B24" s="71">
        <v>23</v>
      </c>
      <c r="C24" s="58" t="s">
        <v>330</v>
      </c>
    </row>
    <row r="25" spans="2:3" x14ac:dyDescent="0.25">
      <c r="B25" s="56">
        <v>24</v>
      </c>
      <c r="C25" s="56" t="s">
        <v>333</v>
      </c>
    </row>
    <row r="26" spans="2:3" x14ac:dyDescent="0.25">
      <c r="B26" s="61">
        <v>25</v>
      </c>
      <c r="C26" s="56" t="s">
        <v>331</v>
      </c>
    </row>
    <row r="27" spans="2:3" x14ac:dyDescent="0.25">
      <c r="B27" s="71">
        <v>26</v>
      </c>
      <c r="C27" s="56" t="s">
        <v>332</v>
      </c>
    </row>
    <row r="28" spans="2:3" x14ac:dyDescent="0.25">
      <c r="B28" s="61">
        <v>27</v>
      </c>
      <c r="C28" s="56" t="s">
        <v>334</v>
      </c>
    </row>
    <row r="29" spans="2:3" ht="60" x14ac:dyDescent="0.25">
      <c r="B29" s="74">
        <v>28</v>
      </c>
      <c r="C29" s="57" t="s">
        <v>335</v>
      </c>
    </row>
    <row r="30" spans="2:3" x14ac:dyDescent="0.25">
      <c r="B30" s="71">
        <v>29</v>
      </c>
      <c r="C30" s="56" t="s">
        <v>336</v>
      </c>
    </row>
    <row r="31" spans="2:3" ht="30" x14ac:dyDescent="0.25">
      <c r="B31" s="71">
        <v>30</v>
      </c>
      <c r="C31" s="57" t="s">
        <v>338</v>
      </c>
    </row>
    <row r="32" spans="2:3" x14ac:dyDescent="0.25">
      <c r="B32" s="71">
        <v>31</v>
      </c>
      <c r="C32" s="56" t="s">
        <v>339</v>
      </c>
    </row>
    <row r="33" spans="2:3" x14ac:dyDescent="0.25">
      <c r="B33" s="71">
        <v>32</v>
      </c>
      <c r="C33" s="56" t="s">
        <v>340</v>
      </c>
    </row>
    <row r="34" spans="2:3" ht="36.75" customHeight="1" x14ac:dyDescent="0.25">
      <c r="B34" s="71">
        <v>33</v>
      </c>
      <c r="C34" s="62" t="s">
        <v>341</v>
      </c>
    </row>
    <row r="35" spans="2:3" x14ac:dyDescent="0.25">
      <c r="B35" s="71">
        <v>34</v>
      </c>
      <c r="C35" s="56"/>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3"/>
    <col min="2" max="2" width="12.28515625" style="53" customWidth="1"/>
    <col min="3" max="16384" width="9.140625" style="53"/>
  </cols>
  <sheetData>
    <row r="2" spans="1:12" x14ac:dyDescent="0.25">
      <c r="B2" s="63" t="s">
        <v>303</v>
      </c>
      <c r="C2" s="213"/>
      <c r="D2" s="213"/>
    </row>
    <row r="3" spans="1:12" x14ac:dyDescent="0.25">
      <c r="D3" s="64"/>
      <c r="E3" s="64"/>
      <c r="F3" s="64"/>
      <c r="G3" s="64"/>
      <c r="H3" s="64"/>
      <c r="I3" s="64"/>
    </row>
    <row r="4" spans="1:12" x14ac:dyDescent="0.25">
      <c r="A4" s="63" t="s">
        <v>65</v>
      </c>
      <c r="B4" s="65" t="s">
        <v>304</v>
      </c>
      <c r="C4" s="214" t="s">
        <v>305</v>
      </c>
      <c r="D4" s="214"/>
      <c r="E4" s="214"/>
      <c r="F4" s="65"/>
      <c r="G4" s="215" t="s">
        <v>306</v>
      </c>
      <c r="H4" s="215"/>
      <c r="I4" s="215"/>
      <c r="J4" s="216" t="s">
        <v>307</v>
      </c>
      <c r="K4" s="216"/>
      <c r="L4" s="216"/>
    </row>
    <row r="5" spans="1:12" x14ac:dyDescent="0.25">
      <c r="A5" s="63"/>
      <c r="B5" s="65"/>
      <c r="C5" s="65" t="s">
        <v>308</v>
      </c>
      <c r="D5" s="65" t="s">
        <v>309</v>
      </c>
      <c r="E5" s="65" t="s">
        <v>310</v>
      </c>
      <c r="F5" s="65"/>
      <c r="G5" s="65" t="s">
        <v>308</v>
      </c>
      <c r="H5" s="65" t="s">
        <v>309</v>
      </c>
      <c r="I5" s="65" t="s">
        <v>310</v>
      </c>
      <c r="J5" s="65" t="s">
        <v>308</v>
      </c>
      <c r="K5" s="65" t="s">
        <v>309</v>
      </c>
      <c r="L5" s="65" t="s">
        <v>310</v>
      </c>
    </row>
    <row r="6" spans="1:12" x14ac:dyDescent="0.25">
      <c r="B6" s="54" t="s">
        <v>311</v>
      </c>
      <c r="C6" s="54"/>
      <c r="D6" s="54"/>
      <c r="E6" s="54">
        <f>C6*D6</f>
        <v>0</v>
      </c>
      <c r="F6" s="54" t="s">
        <v>328</v>
      </c>
      <c r="G6" s="54"/>
      <c r="H6" s="54"/>
      <c r="I6" s="54">
        <f>G6*H6</f>
        <v>0</v>
      </c>
      <c r="J6" s="54"/>
      <c r="K6" s="54"/>
      <c r="L6" s="54">
        <f>J6*K6</f>
        <v>0</v>
      </c>
    </row>
    <row r="7" spans="1:12" x14ac:dyDescent="0.25">
      <c r="B7" s="54"/>
      <c r="C7" s="54"/>
      <c r="D7" s="54"/>
      <c r="E7" s="54">
        <f t="shared" ref="E7:E41" si="0">C7*D7</f>
        <v>0</v>
      </c>
      <c r="F7" s="54" t="s">
        <v>328</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312</v>
      </c>
      <c r="G9" s="54"/>
      <c r="H9" s="54"/>
      <c r="I9" s="54">
        <f t="shared" si="1"/>
        <v>0</v>
      </c>
      <c r="J9" s="54"/>
      <c r="K9" s="54"/>
      <c r="L9" s="54">
        <f t="shared" si="2"/>
        <v>0</v>
      </c>
    </row>
    <row r="10" spans="1:12" x14ac:dyDescent="0.25">
      <c r="B10" s="54" t="s">
        <v>313</v>
      </c>
      <c r="C10" s="54"/>
      <c r="D10" s="54"/>
      <c r="E10" s="54">
        <f t="shared" si="0"/>
        <v>0</v>
      </c>
      <c r="F10" s="54" t="s">
        <v>312</v>
      </c>
      <c r="G10" s="54"/>
      <c r="H10" s="54"/>
      <c r="I10" s="54">
        <f t="shared" si="1"/>
        <v>0</v>
      </c>
      <c r="J10" s="54"/>
      <c r="K10" s="54"/>
      <c r="L10" s="54">
        <f t="shared" si="2"/>
        <v>0</v>
      </c>
    </row>
    <row r="11" spans="1:12" x14ac:dyDescent="0.25">
      <c r="B11" s="54"/>
      <c r="C11" s="54"/>
      <c r="D11" s="54"/>
      <c r="E11" s="54">
        <f t="shared" si="0"/>
        <v>0</v>
      </c>
      <c r="F11" s="54" t="s">
        <v>314</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315</v>
      </c>
      <c r="C14" s="54"/>
      <c r="D14" s="54"/>
      <c r="E14" s="54">
        <f t="shared" si="0"/>
        <v>0</v>
      </c>
      <c r="F14" s="54" t="s">
        <v>312</v>
      </c>
      <c r="G14" s="54"/>
      <c r="H14" s="54"/>
      <c r="I14" s="54">
        <f t="shared" si="1"/>
        <v>0</v>
      </c>
      <c r="J14" s="54"/>
      <c r="K14" s="54"/>
      <c r="L14" s="54">
        <f t="shared" si="2"/>
        <v>0</v>
      </c>
    </row>
    <row r="15" spans="1:12" x14ac:dyDescent="0.25">
      <c r="B15" s="54"/>
      <c r="C15" s="54"/>
      <c r="D15" s="54"/>
      <c r="E15" s="54">
        <f t="shared" si="0"/>
        <v>0</v>
      </c>
      <c r="F15" s="54" t="s">
        <v>314</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316</v>
      </c>
      <c r="C18" s="54"/>
      <c r="D18" s="54"/>
      <c r="E18" s="54">
        <f t="shared" si="0"/>
        <v>0</v>
      </c>
      <c r="F18" s="54" t="s">
        <v>312</v>
      </c>
      <c r="G18" s="54"/>
      <c r="H18" s="54"/>
      <c r="I18" s="54">
        <f t="shared" si="1"/>
        <v>0</v>
      </c>
      <c r="J18" s="54"/>
      <c r="K18" s="54"/>
      <c r="L18" s="54">
        <f t="shared" si="2"/>
        <v>0</v>
      </c>
    </row>
    <row r="19" spans="2:12" x14ac:dyDescent="0.25">
      <c r="B19" s="54"/>
      <c r="C19" s="54"/>
      <c r="D19" s="54"/>
      <c r="E19" s="54">
        <f t="shared" si="0"/>
        <v>0</v>
      </c>
      <c r="F19" s="54" t="s">
        <v>314</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317</v>
      </c>
      <c r="C21" s="54"/>
      <c r="D21" s="54"/>
      <c r="E21" s="54">
        <f t="shared" si="0"/>
        <v>0</v>
      </c>
      <c r="F21" s="54" t="s">
        <v>312</v>
      </c>
      <c r="G21" s="54"/>
      <c r="H21" s="54"/>
      <c r="I21" s="54">
        <f t="shared" si="1"/>
        <v>0</v>
      </c>
      <c r="J21" s="54"/>
      <c r="K21" s="54"/>
      <c r="L21" s="54">
        <f t="shared" si="2"/>
        <v>0</v>
      </c>
    </row>
    <row r="22" spans="2:12" x14ac:dyDescent="0.25">
      <c r="B22" s="54"/>
      <c r="C22" s="54"/>
      <c r="D22" s="54"/>
      <c r="E22" s="54">
        <f t="shared" si="0"/>
        <v>0</v>
      </c>
      <c r="F22" s="54" t="s">
        <v>314</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318</v>
      </c>
      <c r="C24" s="54"/>
      <c r="D24" s="54"/>
      <c r="E24" s="54">
        <f t="shared" si="0"/>
        <v>0</v>
      </c>
      <c r="F24" s="54" t="s">
        <v>319</v>
      </c>
      <c r="G24" s="54"/>
      <c r="H24" s="54"/>
      <c r="I24" s="54">
        <f t="shared" si="1"/>
        <v>0</v>
      </c>
      <c r="J24" s="54"/>
      <c r="K24" s="54"/>
      <c r="L24" s="54">
        <f t="shared" si="2"/>
        <v>0</v>
      </c>
    </row>
    <row r="25" spans="2:12" x14ac:dyDescent="0.25">
      <c r="B25" s="54"/>
      <c r="C25" s="54"/>
      <c r="D25" s="54"/>
      <c r="E25" s="54">
        <f t="shared" ref="E25:E27" si="3">C25*D25</f>
        <v>0</v>
      </c>
      <c r="F25" s="54" t="s">
        <v>319</v>
      </c>
      <c r="G25" s="54"/>
      <c r="H25" s="54"/>
      <c r="I25" s="54">
        <f t="shared" ref="I25:I27" si="4">G25*H25</f>
        <v>0</v>
      </c>
      <c r="J25" s="54"/>
      <c r="K25" s="54"/>
      <c r="L25" s="54">
        <f t="shared" ref="L25:L27" si="5">J25*K25</f>
        <v>0</v>
      </c>
    </row>
    <row r="26" spans="2:12" x14ac:dyDescent="0.25">
      <c r="B26" s="54"/>
      <c r="C26" s="54"/>
      <c r="D26" s="54"/>
      <c r="E26" s="54">
        <f t="shared" si="3"/>
        <v>0</v>
      </c>
      <c r="F26" s="54" t="s">
        <v>319</v>
      </c>
      <c r="G26" s="54"/>
      <c r="H26" s="54"/>
      <c r="I26" s="54">
        <f t="shared" si="4"/>
        <v>0</v>
      </c>
      <c r="J26" s="54"/>
      <c r="K26" s="54"/>
      <c r="L26" s="54">
        <f t="shared" si="5"/>
        <v>0</v>
      </c>
    </row>
    <row r="27" spans="2:12" x14ac:dyDescent="0.25">
      <c r="B27" s="54"/>
      <c r="C27" s="54"/>
      <c r="D27" s="54"/>
      <c r="E27" s="54">
        <f t="shared" si="3"/>
        <v>0</v>
      </c>
      <c r="F27" s="54" t="s">
        <v>319</v>
      </c>
      <c r="G27" s="54"/>
      <c r="H27" s="54"/>
      <c r="I27" s="54">
        <f t="shared" si="4"/>
        <v>0</v>
      </c>
      <c r="J27" s="54"/>
      <c r="K27" s="54"/>
      <c r="L27" s="54">
        <f t="shared" si="5"/>
        <v>0</v>
      </c>
    </row>
    <row r="28" spans="2:12" x14ac:dyDescent="0.25">
      <c r="B28" s="54" t="s">
        <v>320</v>
      </c>
      <c r="C28" s="54"/>
      <c r="D28" s="54"/>
      <c r="E28" s="54">
        <f t="shared" si="0"/>
        <v>0</v>
      </c>
      <c r="F28" s="54" t="s">
        <v>319</v>
      </c>
      <c r="G28" s="54"/>
      <c r="H28" s="54"/>
      <c r="I28" s="54">
        <f t="shared" si="1"/>
        <v>0</v>
      </c>
      <c r="J28" s="54"/>
      <c r="K28" s="54"/>
      <c r="L28" s="54">
        <f t="shared" si="2"/>
        <v>0</v>
      </c>
    </row>
    <row r="29" spans="2:12" x14ac:dyDescent="0.25">
      <c r="B29" s="54" t="s">
        <v>321</v>
      </c>
      <c r="C29" s="54"/>
      <c r="D29" s="54"/>
      <c r="E29" s="54">
        <f t="shared" si="0"/>
        <v>0</v>
      </c>
      <c r="F29" s="54" t="s">
        <v>319</v>
      </c>
      <c r="G29" s="54"/>
      <c r="H29" s="54"/>
      <c r="I29" s="54">
        <f t="shared" si="1"/>
        <v>0</v>
      </c>
      <c r="J29" s="54"/>
      <c r="K29" s="54"/>
      <c r="L29" s="54">
        <f t="shared" si="2"/>
        <v>0</v>
      </c>
    </row>
    <row r="30" spans="2:12" x14ac:dyDescent="0.25">
      <c r="B30" s="54" t="s">
        <v>325</v>
      </c>
      <c r="C30" s="54"/>
      <c r="D30" s="54"/>
      <c r="E30" s="54">
        <f t="shared" si="0"/>
        <v>0</v>
      </c>
      <c r="F30" s="54"/>
      <c r="G30" s="54"/>
      <c r="H30" s="54"/>
      <c r="I30" s="54">
        <f t="shared" si="1"/>
        <v>0</v>
      </c>
      <c r="J30" s="54"/>
      <c r="K30" s="54"/>
      <c r="L30" s="54">
        <f t="shared" si="2"/>
        <v>0</v>
      </c>
    </row>
    <row r="31" spans="2:12" x14ac:dyDescent="0.25">
      <c r="B31" s="54"/>
      <c r="C31" s="54"/>
      <c r="D31" s="54"/>
      <c r="E31" s="54">
        <f t="shared" ref="E31:E32" si="6">C31*D31</f>
        <v>0</v>
      </c>
      <c r="F31" s="54"/>
      <c r="G31" s="54"/>
      <c r="H31" s="54"/>
      <c r="I31" s="54">
        <f t="shared" ref="I31:I32" si="7">G31*H31</f>
        <v>0</v>
      </c>
      <c r="J31" s="54"/>
      <c r="K31" s="54"/>
      <c r="L31" s="54">
        <f t="shared" ref="L31:L32" si="8">J31*K31</f>
        <v>0</v>
      </c>
    </row>
    <row r="32" spans="2:12" x14ac:dyDescent="0.25">
      <c r="B32" s="54"/>
      <c r="C32" s="54"/>
      <c r="D32" s="54"/>
      <c r="E32" s="54">
        <f t="shared" si="6"/>
        <v>0</v>
      </c>
      <c r="F32" s="54"/>
      <c r="G32" s="54"/>
      <c r="H32" s="54"/>
      <c r="I32" s="54">
        <f t="shared" si="7"/>
        <v>0</v>
      </c>
      <c r="J32" s="54"/>
      <c r="K32" s="54"/>
      <c r="L32" s="54">
        <f t="shared" si="8"/>
        <v>0</v>
      </c>
    </row>
    <row r="33" spans="2:12" x14ac:dyDescent="0.25">
      <c r="B33" s="54" t="s">
        <v>322</v>
      </c>
      <c r="C33" s="54"/>
      <c r="D33" s="54"/>
      <c r="E33" s="54">
        <f t="shared" si="0"/>
        <v>0</v>
      </c>
      <c r="F33" s="54"/>
      <c r="G33" s="54"/>
      <c r="H33" s="54"/>
      <c r="I33" s="54">
        <f t="shared" si="1"/>
        <v>0</v>
      </c>
      <c r="J33" s="54"/>
      <c r="K33" s="54"/>
      <c r="L33" s="54">
        <f t="shared" si="2"/>
        <v>0</v>
      </c>
    </row>
    <row r="34" spans="2:12" x14ac:dyDescent="0.25">
      <c r="B34" s="54" t="s">
        <v>326</v>
      </c>
      <c r="C34" s="54"/>
      <c r="D34" s="54"/>
      <c r="E34" s="54">
        <f t="shared" si="0"/>
        <v>0</v>
      </c>
      <c r="F34" s="54"/>
      <c r="G34" s="54"/>
      <c r="H34" s="54"/>
      <c r="I34" s="54">
        <f t="shared" si="1"/>
        <v>0</v>
      </c>
      <c r="J34" s="54"/>
      <c r="K34" s="54"/>
      <c r="L34" s="54">
        <f t="shared" si="2"/>
        <v>0</v>
      </c>
    </row>
    <row r="35" spans="2:12" x14ac:dyDescent="0.25">
      <c r="B35" s="54" t="s">
        <v>323</v>
      </c>
      <c r="C35" s="54"/>
      <c r="D35" s="54"/>
      <c r="E35" s="54">
        <f t="shared" si="0"/>
        <v>0</v>
      </c>
      <c r="F35" s="54"/>
      <c r="G35" s="54"/>
      <c r="H35" s="54"/>
      <c r="I35" s="54">
        <f t="shared" si="1"/>
        <v>0</v>
      </c>
      <c r="J35" s="54"/>
      <c r="K35" s="54"/>
      <c r="L35" s="54">
        <f t="shared" si="2"/>
        <v>0</v>
      </c>
    </row>
    <row r="36" spans="2:12" x14ac:dyDescent="0.25">
      <c r="B36" s="54" t="s">
        <v>324</v>
      </c>
      <c r="C36" s="54"/>
      <c r="D36" s="54"/>
      <c r="E36" s="54">
        <f t="shared" si="0"/>
        <v>0</v>
      </c>
      <c r="F36" s="54"/>
      <c r="G36" s="54"/>
      <c r="H36" s="54"/>
      <c r="I36" s="54">
        <f>G36*H36</f>
        <v>0</v>
      </c>
      <c r="J36" s="54"/>
      <c r="K36" s="54"/>
      <c r="L36" s="54">
        <f>J36*K36</f>
        <v>0</v>
      </c>
    </row>
    <row r="37" spans="2:12" x14ac:dyDescent="0.25">
      <c r="B37" s="54"/>
      <c r="C37" s="54"/>
      <c r="D37" s="54"/>
      <c r="E37" s="54">
        <f t="shared" ref="E37:E38" si="9">C37*D37</f>
        <v>0</v>
      </c>
      <c r="F37" s="54"/>
      <c r="G37" s="54"/>
      <c r="H37" s="54"/>
      <c r="I37" s="54">
        <f t="shared" ref="I37:I38" si="10">G37*H37</f>
        <v>0</v>
      </c>
      <c r="J37" s="54"/>
      <c r="K37" s="54"/>
      <c r="L37" s="54">
        <f t="shared" ref="L37:L38" si="11">J37*K37</f>
        <v>0</v>
      </c>
    </row>
    <row r="38" spans="2:12" x14ac:dyDescent="0.25">
      <c r="B38" s="54" t="s">
        <v>327</v>
      </c>
      <c r="C38" s="54"/>
      <c r="D38" s="54"/>
      <c r="E38" s="54">
        <f t="shared" si="9"/>
        <v>0</v>
      </c>
      <c r="F38" s="54"/>
      <c r="G38" s="54"/>
      <c r="H38" s="54"/>
      <c r="I38" s="54">
        <f t="shared" si="10"/>
        <v>0</v>
      </c>
      <c r="J38" s="54"/>
      <c r="K38" s="54"/>
      <c r="L38" s="54">
        <f t="shared" si="11"/>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149</v>
      </c>
      <c r="C42" s="54"/>
      <c r="D42" s="54">
        <f>E42*10.764</f>
        <v>0</v>
      </c>
      <c r="E42" s="68">
        <f>SUM(E6:E41)</f>
        <v>0</v>
      </c>
      <c r="F42" s="54"/>
      <c r="G42" s="54"/>
      <c r="H42" s="54">
        <f>I42*10.764</f>
        <v>0</v>
      </c>
      <c r="I42" s="67">
        <f>SUM(I6:I41)</f>
        <v>0</v>
      </c>
      <c r="J42" s="54"/>
      <c r="K42" s="54">
        <f>L42*10.764</f>
        <v>0</v>
      </c>
      <c r="L42" s="66">
        <f>SUM(L6:L41)</f>
        <v>0</v>
      </c>
    </row>
    <row r="44" spans="2:12" x14ac:dyDescent="0.25">
      <c r="D44" s="53">
        <f>D42+H42</f>
        <v>0</v>
      </c>
      <c r="E44" s="5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2025-07-14T07:15:20Z</cp:lastPrinted>
  <dcterms:created xsi:type="dcterms:W3CDTF">2019-07-16T09:29:46Z</dcterms:created>
  <dcterms:modified xsi:type="dcterms:W3CDTF">2025-09-10T11:42:27Z</dcterms:modified>
</cp:coreProperties>
</file>