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1" l="1"/>
  <c r="C71" i="1" l="1"/>
  <c r="G12" i="5" l="1"/>
  <c r="F11" i="5"/>
  <c r="G11" i="5" s="1"/>
  <c r="F10" i="5"/>
  <c r="G10" i="5" s="1"/>
  <c r="G9" i="5"/>
  <c r="F9" i="5"/>
  <c r="G8" i="5"/>
  <c r="F8" i="5"/>
  <c r="F7" i="5"/>
  <c r="G7" i="5" s="1"/>
  <c r="F6" i="5"/>
  <c r="G6" i="5" s="1"/>
  <c r="G5" i="5"/>
  <c r="F5" i="5"/>
  <c r="D369" i="1"/>
  <c r="B346" i="1"/>
  <c r="D343" i="1"/>
  <c r="F343" i="1" s="1"/>
  <c r="D342" i="1"/>
  <c r="F342" i="1" s="1"/>
  <c r="F341" i="1"/>
  <c r="D341" i="1"/>
  <c r="F340" i="1"/>
  <c r="D340" i="1"/>
  <c r="F338" i="1"/>
  <c r="D338" i="1"/>
  <c r="D337" i="1"/>
  <c r="F337" i="1" s="1"/>
  <c r="F336" i="1"/>
  <c r="D336" i="1"/>
  <c r="F335" i="1"/>
  <c r="D335" i="1"/>
  <c r="F334" i="1"/>
  <c r="D334" i="1"/>
  <c r="D333" i="1"/>
  <c r="F333" i="1" s="1"/>
  <c r="I332" i="1"/>
  <c r="G332" i="1"/>
  <c r="F332" i="1"/>
  <c r="D332" i="1"/>
  <c r="F330" i="1"/>
  <c r="D330" i="1"/>
  <c r="D329" i="1"/>
  <c r="F329" i="1" s="1"/>
  <c r="F328" i="1"/>
  <c r="D328" i="1"/>
  <c r="F327" i="1"/>
  <c r="D327" i="1"/>
  <c r="F325" i="1"/>
  <c r="D325" i="1"/>
  <c r="D324" i="1"/>
  <c r="F324" i="1" s="1"/>
  <c r="F323" i="1"/>
  <c r="D323" i="1"/>
  <c r="F322" i="1"/>
  <c r="D322" i="1"/>
  <c r="F321" i="1"/>
  <c r="D321" i="1"/>
  <c r="D320" i="1"/>
  <c r="F320" i="1" s="1"/>
  <c r="I319" i="1"/>
  <c r="G319" i="1"/>
  <c r="F319" i="1"/>
  <c r="D319" i="1"/>
  <c r="F317" i="1"/>
  <c r="D317" i="1"/>
  <c r="D316" i="1"/>
  <c r="F316" i="1" s="1"/>
  <c r="F315" i="1"/>
  <c r="D315" i="1"/>
  <c r="F314" i="1"/>
  <c r="D314" i="1"/>
  <c r="F313" i="1"/>
  <c r="D313" i="1"/>
  <c r="D312" i="1"/>
  <c r="F312" i="1" s="1"/>
  <c r="F311" i="1"/>
  <c r="D311" i="1"/>
  <c r="F310" i="1"/>
  <c r="D310" i="1"/>
  <c r="F309" i="1"/>
  <c r="D309" i="1"/>
  <c r="D308" i="1"/>
  <c r="F308" i="1" s="1"/>
  <c r="F307" i="1"/>
  <c r="D307" i="1"/>
  <c r="I306" i="1"/>
  <c r="G306" i="1"/>
  <c r="F306" i="1"/>
  <c r="D306" i="1"/>
  <c r="D304" i="1"/>
  <c r="F304" i="1" s="1"/>
  <c r="F303" i="1"/>
  <c r="D303" i="1"/>
  <c r="F302" i="1"/>
  <c r="D302" i="1"/>
  <c r="F301" i="1"/>
  <c r="D301" i="1"/>
  <c r="G300" i="1"/>
  <c r="D300" i="1"/>
  <c r="F300" i="1" s="1"/>
  <c r="D296" i="1"/>
  <c r="F296" i="1" s="1"/>
  <c r="F295" i="1"/>
  <c r="D295" i="1"/>
  <c r="D294" i="1"/>
  <c r="F294" i="1" s="1"/>
  <c r="D293" i="1"/>
  <c r="F293" i="1" s="1"/>
  <c r="D292" i="1"/>
  <c r="F292" i="1" s="1"/>
  <c r="F291" i="1"/>
  <c r="D291" i="1"/>
  <c r="D290" i="1"/>
  <c r="F290" i="1" s="1"/>
  <c r="D288" i="1"/>
  <c r="F288" i="1" s="1"/>
  <c r="D287" i="1"/>
  <c r="F287" i="1" s="1"/>
  <c r="F286" i="1"/>
  <c r="D286" i="1"/>
  <c r="D285" i="1"/>
  <c r="F285" i="1" s="1"/>
  <c r="D284" i="1"/>
  <c r="F284" i="1" s="1"/>
  <c r="I283" i="1"/>
  <c r="G283" i="1"/>
  <c r="F283" i="1"/>
  <c r="D283" i="1"/>
  <c r="D281" i="1"/>
  <c r="F281" i="1" s="1"/>
  <c r="D280" i="1"/>
  <c r="F280" i="1" s="1"/>
  <c r="D279" i="1"/>
  <c r="F279" i="1" s="1"/>
  <c r="F278" i="1"/>
  <c r="D278" i="1"/>
  <c r="D277" i="1"/>
  <c r="F277" i="1" s="1"/>
  <c r="D276" i="1"/>
  <c r="F276" i="1" s="1"/>
  <c r="D275" i="1"/>
  <c r="F275" i="1" s="1"/>
  <c r="F274" i="1"/>
  <c r="D274" i="1"/>
  <c r="D273" i="1"/>
  <c r="F273" i="1" s="1"/>
  <c r="D272" i="1"/>
  <c r="F272" i="1" s="1"/>
  <c r="D271" i="1"/>
  <c r="F271" i="1" s="1"/>
  <c r="F270" i="1"/>
  <c r="D270" i="1"/>
  <c r="D269" i="1"/>
  <c r="F269" i="1" s="1"/>
  <c r="I268" i="1"/>
  <c r="G268" i="1"/>
  <c r="D268" i="1"/>
  <c r="F268" i="1" s="1"/>
  <c r="F266" i="1"/>
  <c r="D266" i="1"/>
  <c r="F265" i="1"/>
  <c r="D265" i="1"/>
  <c r="D264" i="1"/>
  <c r="F264" i="1" s="1"/>
  <c r="D263" i="1"/>
  <c r="E139" i="1" s="1"/>
  <c r="D262" i="1"/>
  <c r="F262" i="1" s="1"/>
  <c r="D261" i="1"/>
  <c r="F261" i="1" s="1"/>
  <c r="A261" i="1"/>
  <c r="A262" i="1" s="1"/>
  <c r="A263" i="1" s="1"/>
  <c r="G260" i="1"/>
  <c r="F260" i="1"/>
  <c r="D260" i="1"/>
  <c r="F256" i="1"/>
  <c r="D256" i="1"/>
  <c r="D255" i="1"/>
  <c r="F255" i="1" s="1"/>
  <c r="D254" i="1"/>
  <c r="F254" i="1" s="1"/>
  <c r="F253" i="1"/>
  <c r="D253" i="1"/>
  <c r="F252" i="1"/>
  <c r="D252" i="1"/>
  <c r="D251" i="1"/>
  <c r="F251" i="1" s="1"/>
  <c r="D250" i="1"/>
  <c r="F250" i="1" s="1"/>
  <c r="F248" i="1"/>
  <c r="D248" i="1"/>
  <c r="F247" i="1"/>
  <c r="D247" i="1"/>
  <c r="D246" i="1"/>
  <c r="F246" i="1" s="1"/>
  <c r="D245" i="1"/>
  <c r="F245" i="1" s="1"/>
  <c r="F244" i="1"/>
  <c r="D244" i="1"/>
  <c r="I243" i="1"/>
  <c r="G243" i="1"/>
  <c r="D243" i="1"/>
  <c r="F243" i="1" s="1"/>
  <c r="D241" i="1"/>
  <c r="F241" i="1" s="1"/>
  <c r="F240" i="1"/>
  <c r="D240" i="1"/>
  <c r="D239" i="1"/>
  <c r="F239" i="1" s="1"/>
  <c r="D238" i="1"/>
  <c r="F238" i="1" s="1"/>
  <c r="D237" i="1"/>
  <c r="F237" i="1" s="1"/>
  <c r="F236" i="1"/>
  <c r="D236" i="1"/>
  <c r="D235" i="1"/>
  <c r="F235" i="1" s="1"/>
  <c r="D234" i="1"/>
  <c r="F234" i="1" s="1"/>
  <c r="D233" i="1"/>
  <c r="F233" i="1" s="1"/>
  <c r="F232" i="1"/>
  <c r="D232" i="1"/>
  <c r="F231" i="1"/>
  <c r="D231" i="1"/>
  <c r="D230" i="1"/>
  <c r="F230" i="1" s="1"/>
  <c r="D229" i="1"/>
  <c r="F229" i="1" s="1"/>
  <c r="I228" i="1"/>
  <c r="G228" i="1"/>
  <c r="F228" i="1"/>
  <c r="D228" i="1"/>
  <c r="D226" i="1"/>
  <c r="F226" i="1" s="1"/>
  <c r="D225" i="1"/>
  <c r="F225" i="1" s="1"/>
  <c r="F224" i="1"/>
  <c r="D224" i="1"/>
  <c r="F223" i="1"/>
  <c r="D223" i="1"/>
  <c r="F222" i="1"/>
  <c r="D222" i="1"/>
  <c r="A222" i="1"/>
  <c r="A223" i="1" s="1"/>
  <c r="F221" i="1"/>
  <c r="D221" i="1"/>
  <c r="A221" i="1"/>
  <c r="G220" i="1"/>
  <c r="D220" i="1"/>
  <c r="F220" i="1" s="1"/>
  <c r="D216" i="1"/>
  <c r="F216" i="1" s="1"/>
  <c r="F215" i="1"/>
  <c r="D215" i="1"/>
  <c r="F214" i="1"/>
  <c r="D214" i="1"/>
  <c r="D213" i="1"/>
  <c r="F213" i="1" s="1"/>
  <c r="D212" i="1"/>
  <c r="F212" i="1" s="1"/>
  <c r="F211" i="1"/>
  <c r="D211" i="1"/>
  <c r="F210" i="1"/>
  <c r="D210" i="1"/>
  <c r="D209" i="1"/>
  <c r="F209" i="1" s="1"/>
  <c r="D208" i="1"/>
  <c r="F208" i="1" s="1"/>
  <c r="F207" i="1"/>
  <c r="D207" i="1"/>
  <c r="F206" i="1"/>
  <c r="D206" i="1"/>
  <c r="D205" i="1"/>
  <c r="F205" i="1" s="1"/>
  <c r="D204" i="1"/>
  <c r="F204" i="1" s="1"/>
  <c r="F202" i="1"/>
  <c r="D202" i="1"/>
  <c r="F201" i="1"/>
  <c r="D201" i="1"/>
  <c r="D200" i="1"/>
  <c r="F200" i="1" s="1"/>
  <c r="D199" i="1"/>
  <c r="F199" i="1" s="1"/>
  <c r="I198" i="1"/>
  <c r="G198" i="1"/>
  <c r="F198" i="1"/>
  <c r="D198" i="1"/>
  <c r="F196" i="1"/>
  <c r="D196" i="1"/>
  <c r="D195" i="1"/>
  <c r="F195" i="1" s="1"/>
  <c r="F194" i="1"/>
  <c r="D194" i="1"/>
  <c r="F193" i="1"/>
  <c r="D193" i="1"/>
  <c r="F192" i="1"/>
  <c r="D192" i="1"/>
  <c r="D191" i="1"/>
  <c r="F191" i="1" s="1"/>
  <c r="F190" i="1"/>
  <c r="D190" i="1"/>
  <c r="F189" i="1"/>
  <c r="D189" i="1"/>
  <c r="F188" i="1"/>
  <c r="D188" i="1"/>
  <c r="D187" i="1"/>
  <c r="F187" i="1" s="1"/>
  <c r="F186" i="1"/>
  <c r="D186" i="1"/>
  <c r="F185" i="1"/>
  <c r="D185" i="1"/>
  <c r="F184" i="1"/>
  <c r="D184" i="1"/>
  <c r="D182" i="1"/>
  <c r="F182" i="1" s="1"/>
  <c r="F181" i="1"/>
  <c r="D181" i="1"/>
  <c r="F180" i="1"/>
  <c r="D180" i="1"/>
  <c r="F179" i="1"/>
  <c r="D179" i="1"/>
  <c r="I178" i="1"/>
  <c r="G178" i="1"/>
  <c r="F178" i="1"/>
  <c r="D178" i="1"/>
  <c r="F176" i="1"/>
  <c r="D176" i="1"/>
  <c r="F175" i="1"/>
  <c r="D175" i="1"/>
  <c r="D174" i="1"/>
  <c r="F174" i="1" s="1"/>
  <c r="F173" i="1"/>
  <c r="D173" i="1"/>
  <c r="F172" i="1"/>
  <c r="D172" i="1"/>
  <c r="F171" i="1"/>
  <c r="D171" i="1"/>
  <c r="D170" i="1"/>
  <c r="F170" i="1" s="1"/>
  <c r="F169" i="1"/>
  <c r="D169" i="1"/>
  <c r="F168" i="1"/>
  <c r="D168" i="1"/>
  <c r="F167" i="1"/>
  <c r="D167" i="1"/>
  <c r="D166" i="1"/>
  <c r="F166" i="1" s="1"/>
  <c r="F165" i="1"/>
  <c r="D165" i="1"/>
  <c r="F164" i="1"/>
  <c r="D164" i="1"/>
  <c r="F163" i="1"/>
  <c r="D163" i="1"/>
  <c r="D162" i="1"/>
  <c r="F162" i="1" s="1"/>
  <c r="F161" i="1"/>
  <c r="D161" i="1"/>
  <c r="F160" i="1"/>
  <c r="D160" i="1"/>
  <c r="F159" i="1"/>
  <c r="D159" i="1"/>
  <c r="I158" i="1"/>
  <c r="G158" i="1"/>
  <c r="F158" i="1"/>
  <c r="D158" i="1"/>
  <c r="F156" i="1"/>
  <c r="D156" i="1"/>
  <c r="F155" i="1"/>
  <c r="D155" i="1"/>
  <c r="D154" i="1"/>
  <c r="F154" i="1" s="1"/>
  <c r="F153" i="1"/>
  <c r="D153" i="1"/>
  <c r="D152" i="1"/>
  <c r="F152" i="1" s="1"/>
  <c r="D151" i="1"/>
  <c r="E137" i="1" s="1"/>
  <c r="A151" i="1"/>
  <c r="A152" i="1" s="1"/>
  <c r="A153" i="1" s="1"/>
  <c r="G150" i="1"/>
  <c r="F150" i="1"/>
  <c r="D150" i="1"/>
  <c r="E140" i="1"/>
  <c r="C140" i="1"/>
  <c r="C138" i="1"/>
  <c r="J119" i="1"/>
  <c r="J118" i="1"/>
  <c r="J117" i="1"/>
  <c r="J116" i="1"/>
  <c r="C114" i="1"/>
  <c r="C113" i="1"/>
  <c r="J105" i="1"/>
  <c r="J104" i="1"/>
  <c r="J103" i="1"/>
  <c r="J102" i="1"/>
  <c r="J91" i="1"/>
  <c r="J90" i="1"/>
  <c r="J89" i="1"/>
  <c r="J88" i="1"/>
  <c r="C86" i="1"/>
  <c r="J77" i="1"/>
  <c r="J76" i="1"/>
  <c r="J75" i="1"/>
  <c r="J74" i="1"/>
  <c r="C72" i="1"/>
  <c r="D59" i="1"/>
  <c r="D53" i="1"/>
  <c r="G48" i="1"/>
  <c r="C48" i="1"/>
  <c r="E42" i="1"/>
  <c r="E41" i="1"/>
  <c r="E28" i="1"/>
  <c r="E25" i="1"/>
  <c r="E23" i="1"/>
  <c r="C14" i="1"/>
  <c r="E7" i="1"/>
  <c r="E3" i="1"/>
  <c r="H66" i="1"/>
  <c r="H80" i="1"/>
  <c r="H94" i="1"/>
  <c r="H108" i="1"/>
  <c r="G138" i="1" l="1"/>
  <c r="G140" i="1"/>
  <c r="G139" i="1"/>
  <c r="E138" i="1"/>
  <c r="E141" i="1" s="1"/>
  <c r="F151" i="1"/>
  <c r="G137" i="1" s="1"/>
  <c r="F263" i="1"/>
  <c r="C139" i="1"/>
  <c r="C88" i="1"/>
  <c r="D88" i="1" s="1"/>
  <c r="C87" i="1"/>
  <c r="C137" i="1"/>
  <c r="C74" i="1"/>
  <c r="D74" i="1" s="1"/>
  <c r="C73" i="1"/>
  <c r="D73" i="1" s="1"/>
  <c r="C115" i="1"/>
  <c r="C116" i="1"/>
  <c r="D76" i="1"/>
  <c r="D70" i="1"/>
  <c r="J69" i="1"/>
  <c r="D75" i="1"/>
  <c r="D72" i="1"/>
  <c r="G69" i="1"/>
  <c r="D63" i="1" s="1"/>
  <c r="D78" i="1"/>
  <c r="D69" i="1"/>
  <c r="D77" i="1"/>
  <c r="J71" i="1"/>
  <c r="J72" i="1" s="1"/>
  <c r="D71" i="1"/>
  <c r="J68" i="1"/>
  <c r="J70" i="1"/>
  <c r="D104" i="1"/>
  <c r="D100" i="1"/>
  <c r="J99" i="1"/>
  <c r="J100" i="1" s="1"/>
  <c r="J101" i="1" s="1"/>
  <c r="J106" i="1" s="1"/>
  <c r="C98" i="1" s="1"/>
  <c r="D97" i="1"/>
  <c r="D103" i="1"/>
  <c r="D99" i="1"/>
  <c r="J96" i="1"/>
  <c r="J98" i="1"/>
  <c r="D105" i="1"/>
  <c r="J97" i="1"/>
  <c r="D106" i="1"/>
  <c r="D102" i="1"/>
  <c r="D101" i="1"/>
  <c r="D115" i="1"/>
  <c r="J112" i="1"/>
  <c r="D118" i="1"/>
  <c r="D117" i="1"/>
  <c r="D114" i="1"/>
  <c r="J111" i="1"/>
  <c r="D111" i="1"/>
  <c r="D113" i="1"/>
  <c r="D120" i="1"/>
  <c r="D116" i="1"/>
  <c r="J113" i="1"/>
  <c r="J114" i="1" s="1"/>
  <c r="J115" i="1" s="1"/>
  <c r="J120" i="1" s="1"/>
  <c r="C112" i="1" s="1"/>
  <c r="D119" i="1"/>
  <c r="J110" i="1"/>
  <c r="D85" i="1"/>
  <c r="D91" i="1"/>
  <c r="J84" i="1"/>
  <c r="D87" i="1"/>
  <c r="D84" i="1"/>
  <c r="D90" i="1"/>
  <c r="J83" i="1"/>
  <c r="D83" i="1"/>
  <c r="D89" i="1"/>
  <c r="D86" i="1"/>
  <c r="D92" i="1"/>
  <c r="J85" i="1"/>
  <c r="J86" i="1" s="1"/>
  <c r="J82" i="1"/>
  <c r="G83" i="1" l="1"/>
  <c r="E83" i="1"/>
  <c r="E69" i="1"/>
  <c r="G141" i="1"/>
  <c r="C141" i="1"/>
  <c r="E97" i="1"/>
  <c r="I93" i="1" s="1"/>
  <c r="C95" i="1" s="1"/>
  <c r="D98" i="1"/>
  <c r="G97" i="1"/>
  <c r="E111" i="1"/>
  <c r="I107" i="1" s="1"/>
  <c r="C109" i="1" s="1"/>
  <c r="D112" i="1"/>
  <c r="G111" i="1"/>
  <c r="J87" i="1"/>
  <c r="J92" i="1" s="1"/>
  <c r="J73" i="1"/>
  <c r="J78" i="1" s="1"/>
  <c r="F64" i="1"/>
  <c r="D64" i="1"/>
  <c r="I65" i="1" l="1"/>
  <c r="C67" i="1" s="1"/>
  <c r="I79" i="1"/>
  <c r="C81" i="1" s="1"/>
</calcChain>
</file>

<file path=xl/sharedStrings.xml><?xml version="1.0" encoding="utf-8"?>
<sst xmlns="http://schemas.openxmlformats.org/spreadsheetml/2006/main" count="571" uniqueCount="232">
  <si>
    <t>Office No. 1031, Wing J, Akshar Business Park, Plot No. 03 Sector 25, Near APMC Market, 
Vashi, Navi Mumbai, Maharashtra 400703 TEL: 022-46090378/79/80
Email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</si>
  <si>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</si>
  <si>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</si>
  <si>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</si>
  <si>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</si>
  <si>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</si>
  <si>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</si>
  <si>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 Runwal Residency Private Limited</t>
  </si>
  <si>
    <t>Name of the builder company</t>
  </si>
  <si>
    <t>Name of the Project</t>
  </si>
  <si>
    <t>Runwal Gardens Phase V</t>
  </si>
  <si>
    <t>Contact Details ( Name &amp; Contact No.)</t>
  </si>
  <si>
    <t>Mr.Atul Manusare 9029015131</t>
  </si>
  <si>
    <t>Site Person - Contact Details ( Name &amp; Contact No.)</t>
  </si>
  <si>
    <t>Mr. Ankit 9892585821</t>
  </si>
  <si>
    <t>Miss. Sonali 9324908227</t>
  </si>
  <si>
    <t>Name / No of the Building</t>
  </si>
  <si>
    <t>Building No. 39 to 42</t>
  </si>
  <si>
    <t>Docouments Provided</t>
  </si>
  <si>
    <t>Approved Plans, CC.</t>
  </si>
  <si>
    <t>RERA No.</t>
  </si>
  <si>
    <t>P51700031609</t>
  </si>
  <si>
    <t xml:space="preserve">Project location details       </t>
  </si>
  <si>
    <t>Survey No</t>
  </si>
  <si>
    <t>Road</t>
  </si>
  <si>
    <t>Kalyan - Shilphata Road</t>
  </si>
  <si>
    <t>Locality/Village</t>
  </si>
  <si>
    <t>Sagoan</t>
  </si>
  <si>
    <t>City</t>
  </si>
  <si>
    <t>Nilaje</t>
  </si>
  <si>
    <t>District</t>
  </si>
  <si>
    <t>Thane</t>
  </si>
  <si>
    <t>Taluka</t>
  </si>
  <si>
    <t>Kalyan</t>
  </si>
  <si>
    <t>Pin Code</t>
  </si>
  <si>
    <t>Nearby Landmark</t>
  </si>
  <si>
    <t>Premiere colony ground</t>
  </si>
  <si>
    <t xml:space="preserve">Distance from city centre: </t>
  </si>
  <si>
    <t>4.1Km from Nilaje
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</si>
  <si>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</si>
  <si>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</si>
  <si>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</si>
  <si>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</si>
  <si>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</si>
  <si>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</si>
  <si>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</si>
  <si>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</si>
  <si>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</si>
  <si>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</si>
  <si>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</si>
  <si>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</si>
  <si>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</si>
  <si>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</si>
  <si>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</si>
  <si>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</si>
  <si>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</si>
  <si>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</si>
  <si>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</si>
  <si>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</si>
  <si>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West</t>
  </si>
  <si>
    <t>Building U/C</t>
  </si>
  <si>
    <t>North</t>
  </si>
  <si>
    <t>Open Plot</t>
  </si>
  <si>
    <t>South</t>
  </si>
  <si>
    <t>Does the boundaries at site match, as mentioned in the Docoumentation: NA</t>
  </si>
  <si>
    <t>Latitude,Longitude</t>
  </si>
  <si>
    <t>19.1844451,73.084122</t>
  </si>
  <si>
    <t xml:space="preserve">Location Link </t>
  </si>
  <si>
    <t>https://goo.gl/maps/bC8EwrBvwB2TgHeR6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</si>
  <si>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</si>
  <si>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</si>
  <si>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</si>
  <si>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</si>
  <si>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</si>
  <si>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</si>
  <si>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</si>
  <si>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 xml:space="preserve">Approval Detail : Plan approval </t>
  </si>
  <si>
    <t>Name of Municipal Corporation/Authority</t>
  </si>
  <si>
    <t>Mumbai Metropolitan Region Development Authority (MMRDA)</t>
  </si>
  <si>
    <t xml:space="preserve">Layout Approval No     </t>
  </si>
  <si>
    <t>SROT/Growth Center/2401/BP/ITPUsarghar-Gharivali-Sagaon 01/SiteA/Vol.XXIX/1086/2021</t>
  </si>
  <si>
    <t>Dated</t>
  </si>
  <si>
    <t xml:space="preserve">Approved Floor plan No.  </t>
  </si>
  <si>
    <t xml:space="preserve">Commencement Certificate No.
Valid Up to:  
</t>
  </si>
  <si>
    <t>SROT/Growth Center/2401/BP/ITP-Usarghar-Gharivali-01/Amended CC Phase 8 B.No. 43, 44 &amp; 45/Vol-46/527/2024</t>
  </si>
  <si>
    <t>Building No. 39 to 42 = B2+ B1+ Ground + Stilt (Podium Top) + 1st to 27th Floor.</t>
  </si>
  <si>
    <t xml:space="preserve">O. Certificate No.: </t>
  </si>
  <si>
    <t>NA
Approved upto : NA</t>
  </si>
  <si>
    <t xml:space="preserve">Date of approval: </t>
  </si>
  <si>
    <t>Building wise Construction details</t>
  </si>
  <si>
    <t>Approved area of building (Sq.Mt)</t>
  </si>
  <si>
    <t>Approved no of units</t>
  </si>
  <si>
    <t>Flats - 1599</t>
  </si>
  <si>
    <t>Approved no of Floors</t>
  </si>
  <si>
    <t>Proposed no of Floors</t>
  </si>
  <si>
    <t>Building No. 39 &amp; 40 = B2+ B1+ Ground + Stilt (Podium Top) + 1st to 27th Floor.</t>
  </si>
  <si>
    <t>Building No. 41 &amp; 42 = B2+ B1+ Ground + Stilt (Podium Top) + 1st to 27th Floor.</t>
  </si>
  <si>
    <t>Expected Completion</t>
  </si>
  <si>
    <t>As per RERA - 31/12/2025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</si>
  <si>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</si>
  <si>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</si>
  <si>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</si>
  <si>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1.Vitrified tiles flooring 2. Granite Kitchen Platform  3. Decorative Enternace  etc. 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</si>
  <si>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</si>
  <si>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</si>
  <si>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</si>
  <si>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</si>
  <si>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Building No. 39  = B2+ B1+ Ground + Stilt (Podium Top) + 1st to 27th Floor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</si>
  <si>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</si>
  <si>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</si>
  <si>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</si>
  <si>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</si>
  <si>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</si>
  <si>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</si>
  <si>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</si>
  <si>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</si>
  <si>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</si>
  <si>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</si>
  <si>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</si>
  <si>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</si>
  <si>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</si>
  <si>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</si>
  <si>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</si>
  <si>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</si>
  <si>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</si>
  <si>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</si>
  <si>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</si>
  <si>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</si>
  <si>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</si>
  <si>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</si>
  <si>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</si>
  <si>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</si>
  <si>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</si>
  <si>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</si>
  <si>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</si>
  <si>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</si>
  <si>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</si>
  <si>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</si>
  <si>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</si>
  <si>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</si>
  <si>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</si>
  <si>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</si>
  <si>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Building No. 40 = B2+ B1+ Ground + Stilt (Podium Top) + 1st to 27th Floor</t>
  </si>
  <si>
    <t>Building No. 41 = B2+ B1+ Ground + Stilt (Podium Top) + 1st to 27th Floor.</t>
  </si>
  <si>
    <t>Building No. 42 = B2+ B1+ Ground + Stilt (Podium Top) + 1st to 27th Floor.</t>
  </si>
  <si>
    <t>Recommended Rates of the Property :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</si>
  <si>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</si>
  <si>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</si>
  <si>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</si>
  <si>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Floor Rise Rate Per Sq.ft</t>
  </si>
  <si>
    <t>Development Charges</t>
  </si>
  <si>
    <t>Other Charges (Only For 1BHK)</t>
  </si>
  <si>
    <t>40000/-</t>
  </si>
  <si>
    <t>500000 to 40000</t>
  </si>
  <si>
    <t>rushikesh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</si>
  <si>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</si>
  <si>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</si>
  <si>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</si>
  <si>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</si>
  <si>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</si>
  <si>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</si>
  <si>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3,50,000/-</t>
  </si>
  <si>
    <t>Distressed valuation of the Property</t>
  </si>
  <si>
    <t>Residential Area Details :</t>
  </si>
  <si>
    <t>Building &amp; Wing</t>
  </si>
  <si>
    <t>No. of Units</t>
  </si>
  <si>
    <t>Total Carpet Area</t>
  </si>
  <si>
    <t>Total Saleable Area</t>
  </si>
  <si>
    <t>Building No. 39</t>
  </si>
  <si>
    <t>Building No. 40</t>
  </si>
  <si>
    <t>Building No. 41</t>
  </si>
  <si>
    <t>Building No. 42</t>
  </si>
  <si>
    <t>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</si>
  <si>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</si>
  <si>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</si>
  <si>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</si>
  <si>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</si>
  <si>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Description</t>
  </si>
  <si>
    <t>Gross Carpet area</t>
  </si>
  <si>
    <t>Attached Terrace area</t>
  </si>
  <si>
    <t>Saleable area Loading :</t>
  </si>
  <si>
    <t>Floor</t>
  </si>
  <si>
    <t>Ground Floor for Parking</t>
  </si>
  <si>
    <t>Stilt Floor for Residential</t>
  </si>
  <si>
    <t>1BHK</t>
  </si>
  <si>
    <t>1st to 6th, 8th to 11th, 13th to 16th, 18th to 21st, 23rd to 26th Floor for Residential</t>
  </si>
  <si>
    <t>7th, 12th, 17th &amp; 22nd Floor (Part Refuge Area)</t>
  </si>
  <si>
    <t>Refuge Area</t>
  </si>
  <si>
    <t>27th Floor (Part Refuge Area)</t>
  </si>
  <si>
    <t>7th, 12th, 17th, 22nd &amp; 27th Floor (Part Refuge Area)</t>
  </si>
  <si>
    <t xml:space="preserve">Remarks:  </t>
  </si>
  <si>
    <t>*</t>
  </si>
  <si>
    <t>We considered Carpet area as per Approved Plan.</t>
  </si>
  <si>
    <t>We considered Gross carpet area = Net carpet.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</si>
  <si>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</si>
  <si>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</si>
  <si>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</si>
  <si>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</si>
  <si>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Constrution details are collected from Ms. Sonali - 9324908227</t>
  </si>
  <si>
    <t>Please provide basement floor plan of Building No. 39 to 42.</t>
  </si>
  <si>
    <t>We have updated CC from RERA site on 21/03/2025.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</si>
  <si>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</si>
  <si>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</si>
  <si>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</si>
  <si>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</si>
  <si>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</si>
  <si>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</si>
  <si>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</si>
  <si>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</si>
  <si>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Gangaram Lambore</t>
  </si>
  <si>
    <t>Report By :</t>
  </si>
  <si>
    <t>Authorized Signatory
Name &amp; Seal of the agency</t>
  </si>
  <si>
    <t xml:space="preserve">PHOTOGRAPHS OF PROPERTY : 
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</si>
  <si>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</si>
  <si>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</si>
  <si>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</si>
  <si>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</si>
  <si>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</si>
  <si>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</si>
  <si>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</si>
  <si>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</si>
  <si>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</si>
  <si>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</si>
  <si>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</si>
  <si>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</si>
  <si>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</si>
  <si>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rate 8000 by akash mote verbal on 12/08/2025</t>
  </si>
  <si>
    <t>Recommended Rates/Other Charges of the Property have been revised on 28/12/2023 &amp; 12/08/2025.</t>
  </si>
  <si>
    <t>4/1, 4/2, 4/3, 4/4, 4/5, 4/6, 4/9, 4/10, 4/11, 5/1, 5/2, 5/3, 5/4, 5/5, 5/6, 6/1, 6/2, 6/3, 7/1, 7/2A, 7/2B, 7/2C, 7/3A, 7/3B, 8/1, 8/2, 8/3, 8/4, 8/5, 8/6, 8/7, 8/8, 8/9, 9/1, 9/2, 9/3, 9/4, 9/5, 9/6, 9/7, 9/8, 10, 11, 12/1, 12/2, 12/3, 12/4, 12/5, 12/6, 12/7, 12/8, 12/9, 12/10, 12/11, 12/12, 12/13, 12/14, 13, 14/1, 14/2A, 14/2B, 14/3, 14/4, 14/5, 15, 17/1, 17/2, 17/3, 17/4, 17/5, 17/6, 17/7, 17/8, 17/9, 17/10, 17/11, 18, 19, 22, 23/1, 23/2, 23/3, 23/10, 37/1, 37/2B, 37/2C, 37/2D, 37/3, 37/4, 37/21, 38/1, 38/2, 39/1, 39/2, 39/3, 40, 41/1A, 41/1B, 41/2, 41/3, 41/4, 44/1, 44/4,44/5A, 44/5B, 44/6A, 44/6B, 44/7, 44/8, 44/9, 44/10, 44/11, 44/12, 44/13, 44/14, 44/15, 44/16, 44/17, 44/18, 44/19, 49, 50/1, 50/2, 50/3 at Village Gharivali and bearing S. Nos. 44/1, 44/2, 44/3, 44/4, 44/5, 44/6, 44/7, 44/8, 44/9, 44/10, 44/11, 44/12, 45/1, 45/2, 45/3, 45/4, 45/5A, 45/5B, 45/6, 46/1, 46/2A, 46/2B, 46/3, 47, 49, 50, 51(pt), 52/1, 52/2, 53/1A, 53/1B, 53/2A, 53/2B, 53/3A, 53/3B, 94(pt), at Village Usarghar</t>
  </si>
  <si>
    <t>4 Buildings</t>
  </si>
  <si>
    <t>Shruti Tathare</t>
  </si>
  <si>
    <t>Building No. 39, 40 &amp; 42 = Construction work is same as last visit (07/03/2025) but work is in process (Slow Speed).
Building No. 41 = Work is same as last visit (07/03/2025).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</si>
</sst>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dd\/mm\/yyyy"/>
    <numFmt numFmtId="167" formatCode="0.0"/>
  </numFmts>
  <fonts count="24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/>
      <sz val="11"/>
      <color rgb="FF800080"/>
      <name val="Calibri"/>
      <family val="2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1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1" fillId="0" borderId="0"/>
    <xf numFmtId="0" fontId="2" fillId="0" borderId="0"/>
  </cellStyleXfs>
  <cellXfs count="188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left" vertical="top"/>
      <protection locked="0"/>
    </xf>
    <xf numFmtId="0" fontId="7" fillId="2" borderId="1" xfId="8" applyFont="1" applyFill="1" applyBorder="1" applyAlignment="1" applyProtection="1">
      <alignment vertical="top"/>
      <protection locked="0"/>
    </xf>
    <xf numFmtId="0" fontId="13" fillId="2" borderId="1" xfId="8" applyFont="1" applyFill="1" applyBorder="1" applyAlignment="1" applyProtection="1">
      <alignment horizontal="left"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6" fillId="0" borderId="0" xfId="8" applyFont="1"/>
    <xf numFmtId="0" fontId="7" fillId="0" borderId="17" xfId="8" applyFont="1" applyBorder="1" applyAlignment="1" applyProtection="1">
      <alignment horizontal="center" vertical="top"/>
      <protection locked="0"/>
    </xf>
    <xf numFmtId="0" fontId="7" fillId="0" borderId="18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8" applyNumberFormat="1" applyFont="1" applyBorder="1" applyAlignment="1" applyProtection="1">
      <alignment horizontal="center" wrapText="1"/>
      <protection locked="0"/>
    </xf>
    <xf numFmtId="0" fontId="7" fillId="0" borderId="20" xfId="8" applyFont="1" applyBorder="1" applyAlignment="1" applyProtection="1">
      <alignment horizontal="center" wrapText="1"/>
      <protection locked="0"/>
    </xf>
    <xf numFmtId="9" fontId="7" fillId="2" borderId="20" xfId="8" applyNumberFormat="1" applyFont="1" applyFill="1" applyBorder="1" applyAlignment="1" applyProtection="1">
      <alignment horizontal="center" vertical="center" wrapText="1"/>
      <protection hidden="1"/>
    </xf>
    <xf numFmtId="0" fontId="10" fillId="0" borderId="22" xfId="8" applyFont="1" applyBorder="1" applyProtection="1">
      <protection hidden="1"/>
    </xf>
    <xf numFmtId="0" fontId="10" fillId="0" borderId="23" xfId="8" applyFont="1" applyBorder="1" applyProtection="1">
      <protection hidden="1"/>
    </xf>
    <xf numFmtId="0" fontId="10" fillId="0" borderId="24" xfId="8" applyFont="1" applyBorder="1" applyProtection="1">
      <protection hidden="1"/>
    </xf>
    <xf numFmtId="0" fontId="17" fillId="0" borderId="0" xfId="0" applyFont="1" applyProtection="1">
      <protection hidden="1"/>
    </xf>
    <xf numFmtId="0" fontId="10" fillId="0" borderId="24" xfId="8" applyFont="1" applyBorder="1"/>
    <xf numFmtId="0" fontId="17" fillId="0" borderId="24" xfId="0" applyFont="1" applyBorder="1" applyProtection="1">
      <protection hidden="1"/>
    </xf>
    <xf numFmtId="1" fontId="0" fillId="0" borderId="24" xfId="0" applyNumberFormat="1" applyBorder="1"/>
    <xf numFmtId="1" fontId="0" fillId="0" borderId="24" xfId="0" applyNumberFormat="1" applyBorder="1" applyAlignment="1">
      <alignment horizontal="right"/>
    </xf>
    <xf numFmtId="0" fontId="17" fillId="0" borderId="25" xfId="0" applyFont="1" applyBorder="1" applyProtection="1">
      <protection hidden="1"/>
    </xf>
    <xf numFmtId="1" fontId="0" fillId="0" borderId="26" xfId="0" applyNumberFormat="1" applyBorder="1"/>
    <xf numFmtId="14" fontId="8" fillId="0" borderId="0" xfId="8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9" fontId="12" fillId="0" borderId="27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0" xfId="8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4" fillId="0" borderId="0" xfId="8" applyFont="1" applyProtection="1"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8" applyFont="1" applyBorder="1" applyAlignment="1" applyProtection="1">
      <alignment horizontal="center" vertical="top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166" fontId="7" fillId="0" borderId="1" xfId="8" applyNumberFormat="1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center" wrapText="1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9" fillId="2" borderId="1" xfId="8" applyFont="1" applyFill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4" fillId="0" borderId="2" xfId="8" applyFont="1" applyBorder="1" applyAlignment="1" applyProtection="1">
      <alignment horizontal="left"/>
      <protection locked="0"/>
    </xf>
    <xf numFmtId="0" fontId="14" fillId="0" borderId="3" xfId="8" applyFont="1" applyBorder="1" applyAlignment="1" applyProtection="1">
      <alignment horizontal="left"/>
      <protection locked="0"/>
    </xf>
    <xf numFmtId="0" fontId="14" fillId="0" borderId="4" xfId="8" applyFont="1" applyBorder="1" applyAlignment="1" applyProtection="1">
      <alignment horizontal="left"/>
      <protection locked="0"/>
    </xf>
    <xf numFmtId="0" fontId="15" fillId="0" borderId="2" xfId="3" applyFont="1" applyBorder="1" applyAlignment="1" applyProtection="1">
      <alignment horizontal="left"/>
      <protection locked="0"/>
    </xf>
    <xf numFmtId="0" fontId="10" fillId="0" borderId="3" xfId="8" applyFont="1" applyBorder="1" applyAlignment="1" applyProtection="1">
      <alignment horizontal="left"/>
      <protection locked="0"/>
    </xf>
    <xf numFmtId="0" fontId="10" fillId="0" borderId="4" xfId="8" applyFont="1" applyBorder="1" applyAlignment="1" applyProtection="1">
      <alignment horizontal="left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167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7" fillId="2" borderId="1" xfId="8" applyFont="1" applyFill="1" applyBorder="1" applyAlignment="1" applyProtection="1">
      <alignment horizontal="left" vertical="top" wrapText="1"/>
      <protection locked="0"/>
    </xf>
    <xf numFmtId="166" fontId="7" fillId="0" borderId="1" xfId="8" applyNumberFormat="1" applyFont="1" applyBorder="1" applyAlignment="1" applyProtection="1">
      <alignment horizontal="left" vertical="top" wrapText="1"/>
      <protection locked="0"/>
    </xf>
    <xf numFmtId="0" fontId="7" fillId="2" borderId="2" xfId="8" applyFont="1" applyFill="1" applyBorder="1" applyAlignment="1" applyProtection="1">
      <alignment horizontal="left" vertical="top" wrapText="1"/>
      <protection locked="0"/>
    </xf>
    <xf numFmtId="0" fontId="7" fillId="2" borderId="3" xfId="8" applyFont="1" applyFill="1" applyBorder="1" applyAlignment="1" applyProtection="1">
      <alignment horizontal="left" vertical="top" wrapText="1"/>
      <protection locked="0"/>
    </xf>
    <xf numFmtId="0" fontId="7" fillId="2" borderId="4" xfId="8" applyFont="1" applyFill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2" borderId="1" xfId="8" applyFont="1" applyFill="1" applyBorder="1" applyAlignment="1" applyProtection="1">
      <alignment horizontal="left" vertical="top" wrapText="1"/>
      <protection locked="0"/>
    </xf>
    <xf numFmtId="0" fontId="13" fillId="2" borderId="1" xfId="8" applyFont="1" applyFill="1" applyBorder="1" applyAlignment="1" applyProtection="1">
      <alignment horizontal="left" vertical="top"/>
      <protection locked="0"/>
    </xf>
    <xf numFmtId="166" fontId="13" fillId="0" borderId="1" xfId="8" applyNumberFormat="1" applyFont="1" applyBorder="1" applyAlignment="1" applyProtection="1">
      <alignment horizontal="left"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1" fontId="7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8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9" fillId="0" borderId="11" xfId="8" applyFont="1" applyBorder="1" applyAlignment="1" applyProtection="1">
      <alignment horizontal="left" vertical="top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9" fillId="0" borderId="11" xfId="8" applyFont="1" applyBorder="1" applyAlignment="1" applyProtection="1">
      <alignment horizontal="left" vertical="top" wrapText="1"/>
      <protection locked="0"/>
    </xf>
    <xf numFmtId="0" fontId="13" fillId="0" borderId="12" xfId="8" applyFont="1" applyBorder="1" applyAlignment="1" applyProtection="1">
      <alignment horizontal="left" vertical="top" wrapText="1"/>
      <protection locked="0"/>
    </xf>
    <xf numFmtId="0" fontId="13" fillId="0" borderId="13" xfId="8" applyFont="1" applyBorder="1" applyAlignment="1" applyProtection="1">
      <alignment horizontal="left" vertical="top" wrapText="1"/>
      <protection locked="0"/>
    </xf>
    <xf numFmtId="0" fontId="13" fillId="0" borderId="14" xfId="8" applyFont="1" applyBorder="1" applyAlignment="1" applyProtection="1">
      <alignment horizontal="left" vertical="top" wrapText="1"/>
      <protection locked="0"/>
    </xf>
    <xf numFmtId="0" fontId="13" fillId="0" borderId="15" xfId="8" applyFont="1" applyBorder="1" applyAlignment="1" applyProtection="1">
      <alignment horizontal="left" vertical="top" wrapText="1"/>
      <protection locked="0"/>
    </xf>
    <xf numFmtId="0" fontId="13" fillId="0" borderId="1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/>
      <protection locked="0"/>
    </xf>
    <xf numFmtId="0" fontId="13" fillId="0" borderId="18" xfId="8" applyFont="1" applyBorder="1" applyAlignment="1" applyProtection="1">
      <alignment horizontal="left" vertical="top" wrapText="1"/>
      <protection locked="0"/>
    </xf>
    <xf numFmtId="0" fontId="7" fillId="0" borderId="17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18" xfId="8" applyFont="1" applyBorder="1" applyAlignment="1" applyProtection="1">
      <alignment horizontal="center" vertical="top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0" fontId="13" fillId="0" borderId="30" xfId="8" applyFont="1" applyBorder="1" applyAlignment="1" applyProtection="1">
      <alignment horizontal="left" vertical="top" wrapText="1"/>
      <protection locked="0"/>
    </xf>
    <xf numFmtId="0" fontId="13" fillId="0" borderId="10" xfId="8" applyFont="1" applyBorder="1" applyAlignment="1" applyProtection="1">
      <alignment horizontal="left" vertical="top" wrapText="1"/>
      <protection locked="0"/>
    </xf>
    <xf numFmtId="0" fontId="13" fillId="0" borderId="8" xfId="8" applyFont="1" applyBorder="1" applyAlignment="1" applyProtection="1">
      <alignment horizontal="left" vertical="top" wrapText="1"/>
      <protection locked="0"/>
    </xf>
    <xf numFmtId="0" fontId="13" fillId="0" borderId="9" xfId="8" applyFont="1" applyBorder="1" applyAlignment="1" applyProtection="1">
      <alignment horizontal="left" vertical="top" wrapText="1"/>
      <protection locked="0"/>
    </xf>
    <xf numFmtId="0" fontId="13" fillId="0" borderId="31" xfId="8" applyFont="1" applyBorder="1" applyAlignment="1" applyProtection="1">
      <alignment horizontal="left" vertical="top" wrapText="1"/>
      <protection locked="0"/>
    </xf>
    <xf numFmtId="9" fontId="7" fillId="2" borderId="20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18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21" xfId="8" applyNumberFormat="1" applyFont="1" applyFill="1" applyBorder="1" applyAlignment="1" applyProtection="1">
      <alignment horizontal="center" vertical="center" wrapText="1"/>
      <protection hidden="1"/>
    </xf>
    <xf numFmtId="0" fontId="7" fillId="0" borderId="19" xfId="8" applyFont="1" applyBorder="1" applyAlignment="1" applyProtection="1">
      <alignment horizontal="center" vertical="top" wrapText="1"/>
      <protection locked="0"/>
    </xf>
    <xf numFmtId="0" fontId="7" fillId="0" borderId="20" xfId="8" applyFont="1" applyBorder="1" applyAlignment="1" applyProtection="1">
      <alignment horizontal="center" vertical="top" wrapText="1"/>
      <protection locked="0"/>
    </xf>
    <xf numFmtId="0" fontId="12" fillId="0" borderId="27" xfId="8" applyFont="1" applyBorder="1" applyAlignment="1" applyProtection="1">
      <alignment horizontal="left" vertical="top"/>
      <protection locked="0"/>
    </xf>
    <xf numFmtId="0" fontId="13" fillId="2" borderId="1" xfId="1" applyNumberFormat="1" applyFont="1" applyFill="1" applyBorder="1" applyAlignment="1" applyProtection="1">
      <alignment horizontal="left" vertical="top"/>
      <protection locked="0"/>
    </xf>
    <xf numFmtId="0" fontId="7" fillId="2" borderId="1" xfId="1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 applyProtection="1">
      <alignment horizontal="center" vertical="top" wrapText="1"/>
      <protection locked="0"/>
    </xf>
    <xf numFmtId="1" fontId="12" fillId="0" borderId="2" xfId="0" applyNumberFormat="1" applyFont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 applyProtection="1">
      <alignment horizontal="center" vertical="top" wrapText="1"/>
      <protection locked="0"/>
    </xf>
    <xf numFmtId="1" fontId="12" fillId="0" borderId="2" xfId="0" applyNumberFormat="1" applyFont="1" applyBorder="1" applyAlignment="1" applyProtection="1">
      <alignment horizontal="center" vertical="top" wrapText="1"/>
      <protection locked="0"/>
    </xf>
    <xf numFmtId="1" fontId="12" fillId="0" borderId="4" xfId="0" applyNumberFormat="1" applyFont="1" applyBorder="1" applyAlignment="1" applyProtection="1">
      <alignment horizontal="center"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1" fontId="12" fillId="0" borderId="27" xfId="8" applyNumberFormat="1" applyFont="1" applyBorder="1" applyAlignment="1" applyProtection="1">
      <alignment horizontal="center" vertical="top" wrapText="1"/>
      <protection locked="0"/>
    </xf>
    <xf numFmtId="1" fontId="18" fillId="0" borderId="11" xfId="8" applyNumberFormat="1" applyFont="1" applyBorder="1" applyAlignment="1" applyProtection="1">
      <alignment horizontal="center" vertical="top" wrapText="1"/>
      <protection locked="0"/>
    </xf>
    <xf numFmtId="1" fontId="18" fillId="0" borderId="27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28" xfId="8" applyNumberFormat="1" applyFont="1" applyBorder="1" applyAlignment="1" applyProtection="1">
      <alignment horizontal="center" vertical="center" wrapText="1"/>
      <protection locked="0"/>
    </xf>
    <xf numFmtId="1" fontId="9" fillId="0" borderId="29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" fontId="9" fillId="0" borderId="10" xfId="8" applyNumberFormat="1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0" fontId="13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19" fillId="0" borderId="1" xfId="8" applyFont="1" applyBorder="1" applyAlignment="1" applyProtection="1">
      <alignment horizontal="center" vertical="top" wrapText="1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408</xdr:row>
      <xdr:rowOff>66675</xdr:rowOff>
    </xdr:from>
    <xdr:to>
      <xdr:col>6</xdr:col>
      <xdr:colOff>581026</xdr:colOff>
      <xdr:row>427</xdr:row>
      <xdr:rowOff>64476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0125" y="90111580"/>
          <a:ext cx="4495800" cy="37979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238126</xdr:colOff>
      <xdr:row>428</xdr:row>
      <xdr:rowOff>10379</xdr:rowOff>
    </xdr:from>
    <xdr:to>
      <xdr:col>6</xdr:col>
      <xdr:colOff>581026</xdr:colOff>
      <xdr:row>446</xdr:row>
      <xdr:rowOff>190620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00125" y="94055565"/>
          <a:ext cx="4495800" cy="37807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271990</xdr:colOff>
      <xdr:row>371</xdr:row>
      <xdr:rowOff>66675</xdr:rowOff>
    </xdr:from>
    <xdr:ext cx="327654" cy="264560"/>
    <xdr:sp macro="" textlink="">
      <xdr:nvSpPr>
        <xdr:cNvPr id="22" name="TextBox 21"/>
        <xdr:cNvSpPr txBox="1"/>
      </xdr:nvSpPr>
      <xdr:spPr>
        <a:xfrm>
          <a:off x="7958455" y="82720180"/>
          <a:ext cx="327660" cy="2641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39</a:t>
          </a:r>
        </a:p>
      </xdr:txBody>
    </xdr:sp>
    <xdr:clientData/>
  </xdr:oneCellAnchor>
  <xdr:twoCellAnchor editAs="oneCell">
    <xdr:from>
      <xdr:col>9</xdr:col>
      <xdr:colOff>66675</xdr:colOff>
      <xdr:row>46</xdr:row>
      <xdr:rowOff>464820</xdr:rowOff>
    </xdr:from>
    <xdr:to>
      <xdr:col>14</xdr:col>
      <xdr:colOff>314325</xdr:colOff>
      <xdr:row>54</xdr:row>
      <xdr:rowOff>342900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53350" y="15342870"/>
          <a:ext cx="4048125" cy="270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952500</xdr:colOff>
      <xdr:row>38</xdr:row>
      <xdr:rowOff>152400</xdr:rowOff>
    </xdr:from>
    <xdr:to>
      <xdr:col>18</xdr:col>
      <xdr:colOff>190500</xdr:colOff>
      <xdr:row>46</xdr:row>
      <xdr:rowOff>381000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77125" y="13230225"/>
          <a:ext cx="6858000" cy="202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714375</xdr:colOff>
      <xdr:row>369</xdr:row>
      <xdr:rowOff>47624</xdr:rowOff>
    </xdr:from>
    <xdr:to>
      <xdr:col>7</xdr:col>
      <xdr:colOff>94313</xdr:colOff>
      <xdr:row>406</xdr:row>
      <xdr:rowOff>45449</xdr:rowOff>
    </xdr:to>
    <xdr:grpSp>
      <xdr:nvGrpSpPr>
        <xdr:cNvPr id="5" name="Group 4"/>
        <xdr:cNvGrpSpPr/>
      </xdr:nvGrpSpPr>
      <xdr:grpSpPr>
        <a:xfrm>
          <a:off x="714375" y="82448399"/>
          <a:ext cx="5075888" cy="7389225"/>
          <a:chOff x="714375" y="82448399"/>
          <a:chExt cx="5075888" cy="7389225"/>
        </a:xfrm>
      </xdr:grpSpPr>
      <xdr:pic>
        <xdr:nvPicPr>
          <xdr:cNvPr id="21" name="Picture 20" descr="https://vsjcllp.vsjadon.com/upload/insp-24661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10026" y="88087199"/>
            <a:ext cx="1311452" cy="17504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619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14375" y="85599587"/>
            <a:ext cx="3182514" cy="23887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619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04875" y="82448399"/>
            <a:ext cx="2295525" cy="30638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619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00542" y="85601175"/>
            <a:ext cx="1789721" cy="23887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619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5650" y="82448399"/>
            <a:ext cx="2295525" cy="30638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619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90801" y="88087199"/>
            <a:ext cx="1316922" cy="17504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619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81101" y="88087199"/>
            <a:ext cx="1311452" cy="17504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C8EwrBvwB2TgHeR6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08"/>
  <sheetViews>
    <sheetView tabSelected="1" view="pageBreakPreview" zoomScaleNormal="100" zoomScaleSheetLayoutView="100" workbookViewId="0">
      <selection activeCell="J380" sqref="J380"/>
    </sheetView>
  </sheetViews>
  <sheetFormatPr defaultColWidth="9.140625" defaultRowHeight="15.75"/>
  <cols>
    <col min="1" max="1" width="11.42578125" style="19" customWidth="1"/>
    <col min="2" max="2" width="12" style="19" customWidth="1"/>
    <col min="3" max="3" width="12.7109375" style="19" customWidth="1"/>
    <col min="4" max="4" width="14.140625" style="19" customWidth="1"/>
    <col min="5" max="7" width="11.7109375" style="19" customWidth="1"/>
    <col min="8" max="8" width="12.42578125" style="19" customWidth="1"/>
    <col min="9" max="9" width="17.42578125" style="20" customWidth="1"/>
    <col min="10" max="10" width="11.42578125" style="20" customWidth="1"/>
    <col min="11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2" ht="46.5" customHeight="1">
      <c r="A1" s="60" t="s">
        <v>0</v>
      </c>
      <c r="B1" s="60"/>
      <c r="C1" s="60"/>
      <c r="D1" s="60"/>
      <c r="E1" s="60"/>
      <c r="F1" s="60"/>
      <c r="G1" s="60"/>
      <c r="H1" s="60"/>
    </row>
    <row r="2" spans="1:12" ht="16.5" customHeight="1">
      <c r="A2" s="61" t="s">
        <v>1</v>
      </c>
      <c r="B2" s="61"/>
      <c r="C2" s="61"/>
      <c r="D2" s="61"/>
      <c r="E2" s="61"/>
      <c r="F2" s="61"/>
      <c r="G2" s="61"/>
      <c r="H2" s="61"/>
    </row>
    <row r="3" spans="1:12">
      <c r="A3" s="62" t="s">
        <v>2</v>
      </c>
      <c r="B3" s="62"/>
      <c r="C3" s="62"/>
      <c r="D3" s="62"/>
      <c r="E3" s="63" t="str">
        <f ca="1">TEXT(TODAY(),"DD/MM/YYYY")</f>
        <v>08/09/2025</v>
      </c>
      <c r="F3" s="63"/>
      <c r="G3" s="63"/>
      <c r="H3" s="63"/>
    </row>
    <row r="4" spans="1:12" ht="15" customHeight="1">
      <c r="A4" s="62" t="s">
        <v>3</v>
      </c>
      <c r="B4" s="62"/>
      <c r="C4" s="62"/>
      <c r="D4" s="62"/>
      <c r="E4" s="64" t="s">
        <v>4</v>
      </c>
      <c r="F4" s="64"/>
      <c r="G4" s="64"/>
      <c r="H4" s="64"/>
    </row>
    <row r="5" spans="1:12">
      <c r="A5" s="62" t="s">
        <v>5</v>
      </c>
      <c r="B5" s="62"/>
      <c r="C5" s="62"/>
      <c r="D5" s="62"/>
      <c r="E5" s="63">
        <v>45907</v>
      </c>
      <c r="F5" s="63"/>
      <c r="G5" s="63"/>
      <c r="H5" s="63"/>
    </row>
    <row r="6" spans="1:12" ht="16.5" customHeight="1">
      <c r="A6" s="62" t="s">
        <v>6</v>
      </c>
      <c r="B6" s="62"/>
      <c r="C6" s="62"/>
      <c r="D6" s="62"/>
      <c r="E6" s="65" t="s">
        <v>7</v>
      </c>
      <c r="F6" s="65"/>
      <c r="G6" s="65"/>
      <c r="H6" s="65"/>
    </row>
    <row r="7" spans="1:12" ht="15" customHeight="1">
      <c r="A7" s="62" t="s">
        <v>8</v>
      </c>
      <c r="B7" s="62"/>
      <c r="C7" s="62"/>
      <c r="D7" s="62"/>
      <c r="E7" s="65" t="str">
        <f>E6</f>
        <v>M/s. Runwal Residency Private Limited</v>
      </c>
      <c r="F7" s="65"/>
      <c r="G7" s="65"/>
      <c r="H7" s="65"/>
    </row>
    <row r="8" spans="1:12">
      <c r="A8" s="62" t="s">
        <v>9</v>
      </c>
      <c r="B8" s="62"/>
      <c r="C8" s="62"/>
      <c r="D8" s="62"/>
      <c r="E8" s="66" t="s">
        <v>10</v>
      </c>
      <c r="F8" s="66"/>
      <c r="G8" s="66"/>
      <c r="H8" s="66"/>
    </row>
    <row r="9" spans="1:12">
      <c r="A9" s="62" t="s">
        <v>11</v>
      </c>
      <c r="B9" s="62"/>
      <c r="C9" s="62"/>
      <c r="D9" s="62"/>
      <c r="E9" s="62" t="s">
        <v>12</v>
      </c>
      <c r="F9" s="62"/>
      <c r="G9" s="62"/>
      <c r="H9" s="62"/>
    </row>
    <row r="10" spans="1:12" hidden="1">
      <c r="A10" s="62" t="s">
        <v>13</v>
      </c>
      <c r="B10" s="62"/>
      <c r="C10" s="62"/>
      <c r="D10" s="62"/>
      <c r="E10" s="62" t="s">
        <v>14</v>
      </c>
      <c r="F10" s="62"/>
      <c r="G10" s="62"/>
      <c r="H10" s="62"/>
      <c r="I10" s="62" t="s">
        <v>15</v>
      </c>
      <c r="J10" s="62"/>
      <c r="K10" s="62"/>
      <c r="L10" s="62"/>
    </row>
    <row r="11" spans="1:12">
      <c r="A11" s="67" t="s">
        <v>16</v>
      </c>
      <c r="B11" s="67"/>
      <c r="C11" s="67"/>
      <c r="D11" s="67"/>
      <c r="E11" s="67" t="s">
        <v>17</v>
      </c>
      <c r="F11" s="67"/>
      <c r="G11" s="67"/>
      <c r="H11" s="67"/>
    </row>
    <row r="12" spans="1:12">
      <c r="A12" s="67" t="s">
        <v>18</v>
      </c>
      <c r="B12" s="67"/>
      <c r="C12" s="67"/>
      <c r="D12" s="67"/>
      <c r="E12" s="68" t="s">
        <v>19</v>
      </c>
      <c r="F12" s="68"/>
      <c r="G12" s="68"/>
      <c r="H12" s="68"/>
    </row>
    <row r="13" spans="1:12">
      <c r="A13" s="67" t="s">
        <v>20</v>
      </c>
      <c r="B13" s="67"/>
      <c r="C13" s="67"/>
      <c r="D13" s="67"/>
      <c r="E13" s="68" t="s">
        <v>21</v>
      </c>
      <c r="F13" s="67"/>
      <c r="G13" s="67"/>
      <c r="H13" s="67"/>
    </row>
    <row r="14" spans="1:12" ht="223.5" customHeight="1">
      <c r="A14" s="68" t="s">
        <v>22</v>
      </c>
      <c r="B14" s="68"/>
      <c r="C14" s="6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Runwal Gardens Phase V, Survey No.4/1, 4/2, 4/3, 4/4, 4/5, 4/6, 4/9, 4/10, 4/11, 5/1, 5/2, 5/3, 5/4, 5/5, 5/6, 6/1, 6/2, 6/3, 7/1, 7/2A, 7/2B, 7/2C, 7/3A, 7/3B, 8/1, 8/2, 8/3, 8/4, 8/5, 8/6, 8/7, 8/8, 8/9, 9/1, 9/2, 9/3, 9/4, 9/5, 9/6, 9/7, 9/8, 10, 11, 12/1, 12/2, 12/3, 12/4, 12/5, 12/6, 12/7, 12/8, 12/9, 12/10, 12/11, 12/12, 12/13, 12/14, 13, 14/1, 14/2A, 14/2B, 14/3, 14/4, 14/5, 15, 17/1, 17/2, 17/3, 17/4, 17/5, 17/6, 17/7, 17/8, 17/9, 17/10, 17/11, 18, 19, 22, 23/1, 23/2, 23/3, 23/10, 37/1, 37/2B, 37/2C, 37/2D, 37/3, 37/4, 37/21, 38/1, 38/2, 39/1, 39/2, 39/3, 40, 41/1A, 41/1B, 41/2, 41/3, 41/4, 44/1, 44/4,44/5A, 44/5B, 44/6A, 44/6B, 44/7, 44/8, 44/9, 44/10, 44/11, 44/12, 44/13, 44/14, 44/15, 44/16, 44/17, 44/18, 44/19, 49, 50/1, 50/2, 50/3 at Village Gharivali and bearing S. Nos. 44/1, 44/2, 44/3, 44/4, 44/5, 44/6, 44/7, 44/8, 44/9, 44/10, 44/11, 44/12, 45/1, 45/2, 45/3, 45/4, 45/5A, 45/5B, 45/6, 46/1, 46/2A, 46/2B, 46/3, 47, 49, 50, 51(pt), 52/1, 52/2, 53/1A, 53/1B, 53/2A, 53/2B, 53/3A, 53/3B, 94(pt), at Village Usarghar, near Premiere colony ground, Kalyan - Shilphata Road, Sagoan, Nilaje, Kalyan, Thane - 421201.</v>
      </c>
      <c r="D14" s="68"/>
      <c r="E14" s="68"/>
      <c r="F14" s="68"/>
      <c r="G14" s="68"/>
      <c r="H14" s="68"/>
    </row>
    <row r="15" spans="1:12" ht="192" customHeight="1">
      <c r="A15" s="68" t="s">
        <v>23</v>
      </c>
      <c r="B15" s="68"/>
      <c r="C15" s="68" t="s">
        <v>228</v>
      </c>
      <c r="D15" s="68"/>
      <c r="E15" s="68"/>
      <c r="F15" s="68"/>
      <c r="G15" s="68"/>
      <c r="H15" s="68"/>
    </row>
    <row r="16" spans="1:12" ht="15.75" customHeight="1">
      <c r="A16" s="65" t="s">
        <v>24</v>
      </c>
      <c r="B16" s="65"/>
      <c r="C16" s="67" t="s">
        <v>25</v>
      </c>
      <c r="D16" s="67"/>
      <c r="E16" s="65" t="s">
        <v>26</v>
      </c>
      <c r="F16" s="65"/>
      <c r="G16" s="68" t="s">
        <v>27</v>
      </c>
      <c r="H16" s="68"/>
    </row>
    <row r="17" spans="1:8">
      <c r="A17" s="62" t="s">
        <v>28</v>
      </c>
      <c r="B17" s="62"/>
      <c r="C17" s="68" t="s">
        <v>29</v>
      </c>
      <c r="D17" s="68"/>
      <c r="E17" s="65" t="s">
        <v>30</v>
      </c>
      <c r="F17" s="65"/>
      <c r="G17" s="69" t="s">
        <v>31</v>
      </c>
      <c r="H17" s="69"/>
    </row>
    <row r="18" spans="1:8">
      <c r="A18" s="62" t="s">
        <v>32</v>
      </c>
      <c r="B18" s="62"/>
      <c r="C18" s="68" t="s">
        <v>33</v>
      </c>
      <c r="D18" s="68"/>
      <c r="E18" s="65" t="s">
        <v>34</v>
      </c>
      <c r="F18" s="65"/>
      <c r="G18" s="68">
        <v>421201</v>
      </c>
      <c r="H18" s="68"/>
    </row>
    <row r="19" spans="1:8" ht="32.25" customHeight="1">
      <c r="A19" s="62" t="s">
        <v>35</v>
      </c>
      <c r="B19" s="62"/>
      <c r="C19" s="70" t="s">
        <v>36</v>
      </c>
      <c r="D19" s="70"/>
      <c r="E19" s="65" t="s">
        <v>37</v>
      </c>
      <c r="F19" s="65"/>
      <c r="G19" s="68" t="s">
        <v>38</v>
      </c>
      <c r="H19" s="68"/>
    </row>
    <row r="20" spans="1:8" ht="15" customHeight="1">
      <c r="A20" s="65" t="s">
        <v>39</v>
      </c>
      <c r="B20" s="65"/>
      <c r="C20" s="65"/>
      <c r="D20" s="65"/>
      <c r="E20" s="67" t="s">
        <v>40</v>
      </c>
      <c r="F20" s="67"/>
      <c r="G20" s="67"/>
      <c r="H20" s="67"/>
    </row>
    <row r="21" spans="1:8" ht="18.75" customHeight="1">
      <c r="A21" s="65"/>
      <c r="B21" s="65"/>
      <c r="C21" s="65"/>
      <c r="D21" s="65"/>
      <c r="E21" s="67"/>
      <c r="F21" s="67"/>
      <c r="G21" s="67"/>
      <c r="H21" s="67"/>
    </row>
    <row r="22" spans="1:8" ht="15" customHeight="1">
      <c r="A22" s="65" t="s">
        <v>41</v>
      </c>
      <c r="B22" s="65"/>
      <c r="C22" s="65"/>
      <c r="D22" s="65"/>
      <c r="E22" s="68" t="s">
        <v>42</v>
      </c>
      <c r="F22" s="68"/>
      <c r="G22" s="68"/>
      <c r="H22" s="68"/>
    </row>
    <row r="23" spans="1:8" ht="15" customHeight="1">
      <c r="A23" s="62" t="s">
        <v>43</v>
      </c>
      <c r="B23" s="62"/>
      <c r="C23" s="62"/>
      <c r="D23" s="62"/>
      <c r="E23" s="68" t="str">
        <f>IF(AND(G17="Mumbai"),"Upper Class","Middle Class")</f>
        <v>Middle Class</v>
      </c>
      <c r="F23" s="68"/>
      <c r="G23" s="68"/>
      <c r="H23" s="68"/>
    </row>
    <row r="24" spans="1:8">
      <c r="A24" s="62" t="s">
        <v>44</v>
      </c>
      <c r="B24" s="62"/>
      <c r="C24" s="62"/>
      <c r="D24" s="62"/>
      <c r="E24" s="68" t="s">
        <v>45</v>
      </c>
      <c r="F24" s="68"/>
      <c r="G24" s="68"/>
      <c r="H24" s="68"/>
    </row>
    <row r="25" spans="1:8" ht="15.75" customHeight="1">
      <c r="A25" s="62" t="s">
        <v>46</v>
      </c>
      <c r="B25" s="62"/>
      <c r="C25" s="62"/>
      <c r="D25" s="62"/>
      <c r="E25" s="68" t="str">
        <f>IF(AND(G17="Mumbai"),"Developed","Developing")</f>
        <v>Developing</v>
      </c>
      <c r="F25" s="68"/>
      <c r="G25" s="68"/>
      <c r="H25" s="68"/>
    </row>
    <row r="26" spans="1:8">
      <c r="A26" s="62" t="s">
        <v>47</v>
      </c>
      <c r="B26" s="62"/>
      <c r="C26" s="62"/>
      <c r="D26" s="62"/>
      <c r="E26" s="68" t="s">
        <v>48</v>
      </c>
      <c r="F26" s="68"/>
      <c r="G26" s="68"/>
      <c r="H26" s="68"/>
    </row>
    <row r="27" spans="1:8">
      <c r="A27" s="62" t="s">
        <v>49</v>
      </c>
      <c r="B27" s="62"/>
      <c r="C27" s="62"/>
      <c r="D27" s="62"/>
      <c r="E27" s="68" t="s">
        <v>50</v>
      </c>
      <c r="F27" s="68"/>
      <c r="G27" s="68"/>
      <c r="H27" s="68"/>
    </row>
    <row r="28" spans="1:8" ht="15" customHeight="1">
      <c r="A28" s="65" t="s">
        <v>51</v>
      </c>
      <c r="B28" s="65"/>
      <c r="C28" s="65"/>
      <c r="D28" s="65"/>
      <c r="E28" s="64" t="str">
        <f>IF(ISNUMBER(SEARCH("Shop",D54)),"Residential + Commercial",IF(ISNUMBER(SEARCH("Office",D54)),"Residential + Commercial",IF(SEARCH("Flats",D54),"Residential","")))</f>
        <v>Residential</v>
      </c>
      <c r="F28" s="64"/>
      <c r="G28" s="64"/>
      <c r="H28" s="64"/>
    </row>
    <row r="29" spans="1:8">
      <c r="A29" s="65" t="s">
        <v>52</v>
      </c>
      <c r="B29" s="65"/>
      <c r="C29" s="65"/>
      <c r="D29" s="65"/>
      <c r="E29" s="65" t="s">
        <v>53</v>
      </c>
      <c r="F29" s="65"/>
      <c r="G29" s="65"/>
      <c r="H29" s="65"/>
    </row>
    <row r="30" spans="1:8" s="13" customFormat="1">
      <c r="A30" s="71" t="s">
        <v>54</v>
      </c>
      <c r="B30" s="71"/>
      <c r="C30" s="72" t="s">
        <v>55</v>
      </c>
      <c r="D30" s="72"/>
      <c r="E30" s="72"/>
      <c r="F30" s="72" t="s">
        <v>56</v>
      </c>
      <c r="G30" s="72"/>
      <c r="H30" s="72"/>
    </row>
    <row r="31" spans="1:8" s="13" customFormat="1">
      <c r="A31" s="73" t="s">
        <v>57</v>
      </c>
      <c r="B31" s="73" t="s">
        <v>58</v>
      </c>
      <c r="C31" s="74" t="s">
        <v>58</v>
      </c>
      <c r="D31" s="74"/>
      <c r="E31" s="74"/>
      <c r="F31" s="74" t="s">
        <v>24</v>
      </c>
      <c r="G31" s="74"/>
      <c r="H31" s="74"/>
    </row>
    <row r="32" spans="1:8">
      <c r="A32" s="73" t="s">
        <v>59</v>
      </c>
      <c r="B32" s="73" t="s">
        <v>58</v>
      </c>
      <c r="C32" s="74" t="s">
        <v>58</v>
      </c>
      <c r="D32" s="74"/>
      <c r="E32" s="74"/>
      <c r="F32" s="74" t="s">
        <v>60</v>
      </c>
      <c r="G32" s="74"/>
      <c r="H32" s="74"/>
    </row>
    <row r="33" spans="1:8" s="13" customFormat="1">
      <c r="A33" s="73" t="s">
        <v>61</v>
      </c>
      <c r="B33" s="73" t="s">
        <v>58</v>
      </c>
      <c r="C33" s="74" t="s">
        <v>58</v>
      </c>
      <c r="D33" s="74"/>
      <c r="E33" s="74"/>
      <c r="F33" s="74" t="s">
        <v>62</v>
      </c>
      <c r="G33" s="74"/>
      <c r="H33" s="74"/>
    </row>
    <row r="34" spans="1:8">
      <c r="A34" s="73" t="s">
        <v>63</v>
      </c>
      <c r="B34" s="73" t="s">
        <v>58</v>
      </c>
      <c r="C34" s="74" t="s">
        <v>58</v>
      </c>
      <c r="D34" s="74"/>
      <c r="E34" s="74"/>
      <c r="F34" s="74" t="s">
        <v>62</v>
      </c>
      <c r="G34" s="74"/>
      <c r="H34" s="74"/>
    </row>
    <row r="35" spans="1:8">
      <c r="A35" s="62" t="s">
        <v>64</v>
      </c>
      <c r="B35" s="62"/>
      <c r="C35" s="62"/>
      <c r="D35" s="62"/>
      <c r="E35" s="62"/>
      <c r="F35" s="62"/>
      <c r="G35" s="62"/>
      <c r="H35" s="62"/>
    </row>
    <row r="36" spans="1:8" ht="15.75" customHeight="1">
      <c r="A36" s="62" t="s">
        <v>65</v>
      </c>
      <c r="B36" s="62"/>
      <c r="C36" s="75" t="s">
        <v>66</v>
      </c>
      <c r="D36" s="76"/>
      <c r="E36" s="76"/>
      <c r="F36" s="76"/>
      <c r="G36" s="76"/>
      <c r="H36" s="77"/>
    </row>
    <row r="37" spans="1:8" ht="15.75" customHeight="1">
      <c r="A37" s="62" t="s">
        <v>67</v>
      </c>
      <c r="B37" s="62"/>
      <c r="C37" s="78" t="s">
        <v>68</v>
      </c>
      <c r="D37" s="79"/>
      <c r="E37" s="79"/>
      <c r="F37" s="79"/>
      <c r="G37" s="79"/>
      <c r="H37" s="80"/>
    </row>
    <row r="38" spans="1:8">
      <c r="A38" s="66" t="s">
        <v>69</v>
      </c>
      <c r="B38" s="66"/>
      <c r="C38" s="66"/>
      <c r="D38" s="66"/>
      <c r="E38" s="66"/>
      <c r="F38" s="66"/>
      <c r="G38" s="66"/>
      <c r="H38" s="66"/>
    </row>
    <row r="39" spans="1:8">
      <c r="A39" s="62" t="s">
        <v>70</v>
      </c>
      <c r="B39" s="62"/>
      <c r="C39" s="62"/>
      <c r="D39" s="62"/>
      <c r="E39" s="81">
        <v>533750</v>
      </c>
      <c r="F39" s="81"/>
      <c r="G39" s="81"/>
      <c r="H39" s="81"/>
    </row>
    <row r="40" spans="1:8">
      <c r="A40" s="62" t="s">
        <v>71</v>
      </c>
      <c r="B40" s="62"/>
      <c r="C40" s="62"/>
      <c r="D40" s="62"/>
      <c r="E40" s="82">
        <v>1</v>
      </c>
      <c r="F40" s="82"/>
      <c r="G40" s="82"/>
      <c r="H40" s="82"/>
    </row>
    <row r="41" spans="1:8">
      <c r="A41" s="62" t="s">
        <v>72</v>
      </c>
      <c r="B41" s="62"/>
      <c r="C41" s="62"/>
      <c r="D41" s="62"/>
      <c r="E41" s="82">
        <f>E43/E39-E40</f>
        <v>0.68599999999999994</v>
      </c>
      <c r="F41" s="82"/>
      <c r="G41" s="82"/>
      <c r="H41" s="82"/>
    </row>
    <row r="42" spans="1:8">
      <c r="A42" s="62" t="s">
        <v>73</v>
      </c>
      <c r="B42" s="62"/>
      <c r="C42" s="62"/>
      <c r="D42" s="62"/>
      <c r="E42" s="82">
        <f>E40+E41</f>
        <v>1.6859999999999999</v>
      </c>
      <c r="F42" s="82"/>
      <c r="G42" s="82"/>
      <c r="H42" s="82"/>
    </row>
    <row r="43" spans="1:8">
      <c r="A43" s="62" t="s">
        <v>74</v>
      </c>
      <c r="B43" s="62"/>
      <c r="C43" s="62"/>
      <c r="D43" s="62"/>
      <c r="E43" s="83">
        <v>899902.5</v>
      </c>
      <c r="F43" s="83"/>
      <c r="G43" s="83"/>
      <c r="H43" s="83"/>
    </row>
    <row r="44" spans="1:8">
      <c r="A44" s="67" t="s">
        <v>75</v>
      </c>
      <c r="B44" s="67"/>
      <c r="C44" s="67"/>
      <c r="D44" s="67"/>
      <c r="E44" s="67" t="s">
        <v>229</v>
      </c>
      <c r="F44" s="67"/>
      <c r="G44" s="67"/>
      <c r="H44" s="67"/>
    </row>
    <row r="45" spans="1:8">
      <c r="A45" s="84" t="s">
        <v>76</v>
      </c>
      <c r="B45" s="84"/>
      <c r="C45" s="84"/>
      <c r="D45" s="84"/>
      <c r="E45" s="84"/>
      <c r="F45" s="84"/>
      <c r="G45" s="84"/>
      <c r="H45" s="84"/>
    </row>
    <row r="46" spans="1:8" ht="31.5" customHeight="1">
      <c r="A46" s="85" t="s">
        <v>77</v>
      </c>
      <c r="B46" s="86"/>
      <c r="C46" s="87" t="s">
        <v>78</v>
      </c>
      <c r="D46" s="88"/>
      <c r="E46" s="88"/>
      <c r="F46" s="88"/>
      <c r="G46" s="88"/>
      <c r="H46" s="89"/>
    </row>
    <row r="47" spans="1:8" ht="48.75" customHeight="1">
      <c r="A47" s="68" t="s">
        <v>79</v>
      </c>
      <c r="B47" s="68"/>
      <c r="C47" s="90" t="s">
        <v>80</v>
      </c>
      <c r="D47" s="90"/>
      <c r="E47" s="90"/>
      <c r="F47" s="22" t="s">
        <v>81</v>
      </c>
      <c r="G47" s="91">
        <v>44498</v>
      </c>
      <c r="H47" s="91"/>
    </row>
    <row r="48" spans="1:8" ht="47.25" customHeight="1">
      <c r="A48" s="67" t="s">
        <v>82</v>
      </c>
      <c r="B48" s="67"/>
      <c r="C48" s="90" t="str">
        <f>C47</f>
        <v>SROT/Growth Center/2401/BP/ITPUsarghar-Gharivali-Sagaon 01/SiteA/Vol.XXIX/1086/2021</v>
      </c>
      <c r="D48" s="90"/>
      <c r="E48" s="90"/>
      <c r="F48" s="22" t="s">
        <v>81</v>
      </c>
      <c r="G48" s="91">
        <f>G47</f>
        <v>44498</v>
      </c>
      <c r="H48" s="91"/>
    </row>
    <row r="49" spans="1:14" s="14" customFormat="1" ht="48" customHeight="1">
      <c r="A49" s="68" t="s">
        <v>83</v>
      </c>
      <c r="B49" s="68"/>
      <c r="C49" s="90" t="s">
        <v>84</v>
      </c>
      <c r="D49" s="90"/>
      <c r="E49" s="90"/>
      <c r="F49" s="23" t="s">
        <v>81</v>
      </c>
      <c r="G49" s="91">
        <v>45426</v>
      </c>
      <c r="H49" s="91"/>
    </row>
    <row r="50" spans="1:14" s="14" customFormat="1">
      <c r="A50" s="68"/>
      <c r="B50" s="68"/>
      <c r="C50" s="92" t="s">
        <v>85</v>
      </c>
      <c r="D50" s="93"/>
      <c r="E50" s="93"/>
      <c r="F50" s="93"/>
      <c r="G50" s="93"/>
      <c r="H50" s="94"/>
    </row>
    <row r="51" spans="1:14">
      <c r="A51" s="95" t="s">
        <v>86</v>
      </c>
      <c r="B51" s="95"/>
      <c r="C51" s="96" t="s">
        <v>87</v>
      </c>
      <c r="D51" s="97"/>
      <c r="E51" s="97" t="s">
        <v>88</v>
      </c>
      <c r="F51" s="24" t="s">
        <v>81</v>
      </c>
      <c r="G51" s="98" t="s">
        <v>58</v>
      </c>
      <c r="H51" s="98"/>
    </row>
    <row r="52" spans="1:14">
      <c r="A52" s="99" t="s">
        <v>89</v>
      </c>
      <c r="B52" s="99"/>
      <c r="C52" s="99"/>
      <c r="D52" s="99"/>
      <c r="E52" s="99"/>
      <c r="F52" s="99"/>
      <c r="G52" s="99"/>
      <c r="H52" s="99"/>
    </row>
    <row r="53" spans="1:14">
      <c r="A53" s="65" t="s">
        <v>90</v>
      </c>
      <c r="B53" s="65"/>
      <c r="C53" s="65"/>
      <c r="D53" s="62">
        <f>E43</f>
        <v>899902.5</v>
      </c>
      <c r="E53" s="62"/>
      <c r="F53" s="62"/>
      <c r="G53" s="62"/>
      <c r="H53" s="62"/>
    </row>
    <row r="54" spans="1:14">
      <c r="A54" s="68" t="s">
        <v>91</v>
      </c>
      <c r="B54" s="67"/>
      <c r="C54" s="67"/>
      <c r="D54" s="67" t="s">
        <v>92</v>
      </c>
      <c r="E54" s="67"/>
      <c r="F54" s="67"/>
      <c r="G54" s="67"/>
      <c r="H54" s="67"/>
      <c r="I54" s="25"/>
    </row>
    <row r="55" spans="1:14" ht="31.5" customHeight="1">
      <c r="A55" s="100" t="s">
        <v>93</v>
      </c>
      <c r="B55" s="101"/>
      <c r="C55" s="102"/>
      <c r="D55" s="68" t="s">
        <v>85</v>
      </c>
      <c r="E55" s="68"/>
      <c r="F55" s="68"/>
      <c r="G55" s="68"/>
      <c r="H55" s="68"/>
    </row>
    <row r="56" spans="1:14" ht="30" customHeight="1">
      <c r="A56" s="100" t="s">
        <v>94</v>
      </c>
      <c r="B56" s="101"/>
      <c r="C56" s="102"/>
      <c r="D56" s="68" t="s">
        <v>95</v>
      </c>
      <c r="E56" s="68"/>
      <c r="F56" s="68"/>
      <c r="G56" s="68"/>
      <c r="H56" s="68"/>
    </row>
    <row r="57" spans="1:14" ht="30" customHeight="1">
      <c r="A57" s="104"/>
      <c r="B57" s="105"/>
      <c r="C57" s="106"/>
      <c r="D57" s="68" t="s">
        <v>96</v>
      </c>
      <c r="E57" s="68"/>
      <c r="F57" s="68"/>
      <c r="G57" s="68"/>
      <c r="H57" s="68"/>
    </row>
    <row r="58" spans="1:14" ht="15.75" customHeight="1">
      <c r="A58" s="62" t="s">
        <v>97</v>
      </c>
      <c r="B58" s="62"/>
      <c r="C58" s="62"/>
      <c r="D58" s="68" t="s">
        <v>98</v>
      </c>
      <c r="E58" s="68"/>
      <c r="F58" s="68"/>
      <c r="G58" s="68"/>
      <c r="H58" s="68"/>
      <c r="J58" s="26"/>
      <c r="K58" s="25"/>
      <c r="N58" s="25"/>
    </row>
    <row r="59" spans="1:14" ht="15.75" customHeight="1">
      <c r="A59" s="62" t="s">
        <v>99</v>
      </c>
      <c r="B59" s="62"/>
      <c r="C59" s="62"/>
      <c r="D59" s="103" t="str">
        <f>(IF(G51="NA","60 Years After Completion",IF(G51&lt;&gt;"NA",""&amp;60-ROUNDDOWN((E3-G51)/360,0)&amp;" Years"," ")))</f>
        <v>60 Years After Completion</v>
      </c>
      <c r="E59" s="103"/>
      <c r="F59" s="103"/>
      <c r="G59" s="103"/>
      <c r="H59" s="103"/>
      <c r="N59" s="25"/>
    </row>
    <row r="60" spans="1:14" ht="15.75" customHeight="1">
      <c r="A60" s="62" t="s">
        <v>100</v>
      </c>
      <c r="B60" s="62"/>
      <c r="C60" s="62"/>
      <c r="D60" s="65" t="s">
        <v>48</v>
      </c>
      <c r="E60" s="65"/>
      <c r="F60" s="65"/>
      <c r="G60" s="65"/>
      <c r="H60" s="65"/>
      <c r="J60" s="27"/>
      <c r="K60" s="27"/>
    </row>
    <row r="61" spans="1:14" ht="31.5" customHeight="1">
      <c r="A61" s="62" t="s">
        <v>101</v>
      </c>
      <c r="B61" s="62"/>
      <c r="C61" s="62"/>
      <c r="D61" s="68" t="s">
        <v>102</v>
      </c>
      <c r="E61" s="65"/>
      <c r="F61" s="65"/>
      <c r="G61" s="65"/>
      <c r="H61" s="65"/>
    </row>
    <row r="62" spans="1:14">
      <c r="A62" s="65" t="s">
        <v>103</v>
      </c>
      <c r="B62" s="65"/>
      <c r="C62" s="65"/>
      <c r="D62" s="65" t="s">
        <v>58</v>
      </c>
      <c r="E62" s="65"/>
      <c r="F62" s="65"/>
      <c r="G62" s="65"/>
      <c r="H62" s="65"/>
      <c r="I62" s="28"/>
      <c r="J62" s="28"/>
      <c r="K62" s="28"/>
      <c r="L62" s="28"/>
      <c r="M62" s="28"/>
      <c r="N62" s="28"/>
    </row>
    <row r="63" spans="1:14" ht="15.75" customHeight="1">
      <c r="A63" s="107" t="s">
        <v>104</v>
      </c>
      <c r="B63" s="107"/>
      <c r="C63" s="107"/>
      <c r="D63" s="108" t="str">
        <f ca="1">(IF(G69&gt;95%,"Nothing",IF(G69&gt;0%,"Cement, Aggregate, Steel, etc",IF(G69=0%,"Work not yet Started"))))</f>
        <v>Cement, Aggregate, Steel, etc</v>
      </c>
      <c r="E63" s="108"/>
      <c r="F63" s="108"/>
      <c r="G63" s="108"/>
      <c r="H63" s="108"/>
      <c r="J63" s="27"/>
    </row>
    <row r="64" spans="1:14" ht="33.75" customHeight="1">
      <c r="A64" s="109" t="s">
        <v>105</v>
      </c>
      <c r="B64" s="109"/>
      <c r="C64" s="109"/>
      <c r="D64" s="108" t="str">
        <f ca="1">(IF(D63="Nothing","Yes",IF(D63="Cement, Aggregate, Steel, etc","Under Construction",IF(D63="Work not yet Started","Work not yet Started"))))</f>
        <v>Under Construction</v>
      </c>
      <c r="E64" s="108"/>
      <c r="F64" s="108" t="str">
        <f ca="1">(IF(D63="Nothing","Yes",IF(D63="Cement, Aggregate, Steel, etc","Under Construction",IF(D63="Work not yet Started","Work not yet Started"))))</f>
        <v>Under Construction</v>
      </c>
      <c r="G64" s="108"/>
      <c r="H64" s="108"/>
    </row>
    <row r="65" spans="1:10">
      <c r="A65" s="110" t="s">
        <v>106</v>
      </c>
      <c r="B65" s="111"/>
      <c r="C65" s="112" t="s">
        <v>107</v>
      </c>
      <c r="D65" s="113"/>
      <c r="E65" s="113"/>
      <c r="F65" s="113"/>
      <c r="G65" s="113"/>
      <c r="H65" s="114"/>
      <c r="I65" s="37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completed, RCC upto 22 Slab Completed, Brickwork upto 20 Floor Completed, Internal Plaster upto 17 Floor Completed, External Plaster upto 15 Floor Completed.</v>
      </c>
      <c r="J65" s="38"/>
    </row>
    <row r="66" spans="1:10">
      <c r="A66" s="29" t="s">
        <v>108</v>
      </c>
      <c r="B66" s="21">
        <v>2</v>
      </c>
      <c r="C66" s="21" t="s">
        <v>109</v>
      </c>
      <c r="D66" s="21">
        <v>1</v>
      </c>
      <c r="E66" s="21" t="s">
        <v>110</v>
      </c>
      <c r="F66" s="21">
        <v>1</v>
      </c>
      <c r="G66" s="21" t="s">
        <v>111</v>
      </c>
      <c r="H66" s="30">
        <f ca="1">--TRIM(RIGHT(SUBSTITUTE(LEFT(C65,_xlfn.AGGREGATE(16,6,FIND({0,1,2,3,4,5,6,7,8,9},C65,ROW(INDIRECT("1:"&amp;LEN(C65)))),1))," ",REPT(" ",LEN(C65))),LEN(C65)))</f>
        <v>27</v>
      </c>
      <c r="I66" s="27"/>
      <c r="J66" s="39"/>
    </row>
    <row r="67" spans="1:10" ht="48" customHeight="1">
      <c r="A67" s="115" t="s">
        <v>112</v>
      </c>
      <c r="B67" s="84"/>
      <c r="C67" s="95" t="str">
        <f ca="1">(IF($G$51="NA",I65,"All work Completed. OC Received."))</f>
        <v>Excavation work Completed. Plinth work completed, RCC upto 22 Slab Completed, Brickwork upto 20 Floor Completed, Internal Plaster upto 17 Floor Completed, External Plaster upto 15 Floor Completed.</v>
      </c>
      <c r="D67" s="95"/>
      <c r="E67" s="95"/>
      <c r="F67" s="95"/>
      <c r="G67" s="95"/>
      <c r="H67" s="116"/>
      <c r="I67" s="27" t="s">
        <v>113</v>
      </c>
      <c r="J67" s="39"/>
    </row>
    <row r="68" spans="1:10" ht="15.75" customHeight="1">
      <c r="A68" s="117" t="s">
        <v>114</v>
      </c>
      <c r="B68" s="118"/>
      <c r="C68" s="31" t="s">
        <v>115</v>
      </c>
      <c r="D68" s="31" t="s">
        <v>116</v>
      </c>
      <c r="E68" s="118" t="s">
        <v>117</v>
      </c>
      <c r="F68" s="118"/>
      <c r="G68" s="118" t="s">
        <v>118</v>
      </c>
      <c r="H68" s="119"/>
      <c r="I68" s="40" t="s">
        <v>119</v>
      </c>
      <c r="J68" s="41">
        <f ca="1">H66*25%</f>
        <v>6.75</v>
      </c>
    </row>
    <row r="69" spans="1:10">
      <c r="A69" s="118" t="s">
        <v>120</v>
      </c>
      <c r="B69" s="118"/>
      <c r="C69" s="32">
        <v>27</v>
      </c>
      <c r="D69" s="58">
        <f ca="1">((100/H66)*C69)/100</f>
        <v>1</v>
      </c>
      <c r="E69" s="120">
        <f ca="1">(((C70/H66*10)+(40/(D66+F66+H66)*C71)+(7.5/(H66)*C72)+(7.5/(H66)*C73)+(10/H66*C74)+(10/H66*C75)+(5/H66*C76)+(5/H66*C77)+(5/H66*C78))/100)</f>
        <v>0.56178160919540232</v>
      </c>
      <c r="F69" s="120"/>
      <c r="G69" s="120">
        <f ca="1">((((C69/H66)*20)+((C70/H66)*25)+(30/(H66+F66+D66)*C71)+(5/H66*C72)+(5/H66*C73)+(5/H66*C74)+(5/H66*C75)+(0/H66*C76)+(0/H66*C77)+(5/H66*C78))/100)</f>
        <v>0.77388250319284813</v>
      </c>
      <c r="H69" s="120"/>
      <c r="I69" s="40" t="s">
        <v>121</v>
      </c>
      <c r="J69" s="42">
        <f ca="1">H66*50%</f>
        <v>13.5</v>
      </c>
    </row>
    <row r="70" spans="1:10">
      <c r="A70" s="118" t="s">
        <v>122</v>
      </c>
      <c r="B70" s="118"/>
      <c r="C70" s="34">
        <v>27</v>
      </c>
      <c r="D70" s="58">
        <f ca="1">((100/H66)*C70)/100</f>
        <v>1</v>
      </c>
      <c r="E70" s="120"/>
      <c r="F70" s="120"/>
      <c r="G70" s="120"/>
      <c r="H70" s="120"/>
      <c r="I70" s="40" t="s">
        <v>123</v>
      </c>
      <c r="J70" s="42">
        <f ca="1">H66</f>
        <v>27</v>
      </c>
    </row>
    <row r="71" spans="1:10" ht="15.75" customHeight="1">
      <c r="A71" s="118" t="s">
        <v>124</v>
      </c>
      <c r="B71" s="118"/>
      <c r="C71" s="34">
        <f>D66+F66+20</f>
        <v>22</v>
      </c>
      <c r="D71" s="58">
        <f ca="1">((100/(D66+F66+H66))*C71)/100</f>
        <v>0.75862068965517238</v>
      </c>
      <c r="E71" s="120"/>
      <c r="F71" s="120"/>
      <c r="G71" s="120"/>
      <c r="H71" s="120"/>
      <c r="I71" s="40" t="s">
        <v>125</v>
      </c>
      <c r="J71" s="43">
        <f ca="1">(IF(B66&gt;1,(H66/(B66+2)),H66/4))</f>
        <v>6.75</v>
      </c>
    </row>
    <row r="72" spans="1:10" ht="15.75" customHeight="1">
      <c r="A72" s="118" t="s">
        <v>126</v>
      </c>
      <c r="B72" s="118" t="s">
        <v>127</v>
      </c>
      <c r="C72" s="34">
        <f>C71-F66-1</f>
        <v>20</v>
      </c>
      <c r="D72" s="58">
        <f ca="1">((100/H66)*C72)/100</f>
        <v>0.74074074074074081</v>
      </c>
      <c r="E72" s="120"/>
      <c r="F72" s="120"/>
      <c r="G72" s="120"/>
      <c r="H72" s="120"/>
      <c r="I72" s="40" t="s">
        <v>128</v>
      </c>
      <c r="J72" s="43">
        <f ca="1">(IF(B66&gt;1,(H66/(B66+2)+J71),H66/4+J71))</f>
        <v>13.5</v>
      </c>
    </row>
    <row r="73" spans="1:10" ht="15.75" customHeight="1">
      <c r="A73" s="118" t="s">
        <v>129</v>
      </c>
      <c r="B73" s="118" t="s">
        <v>127</v>
      </c>
      <c r="C73" s="34">
        <f>C72*0.85</f>
        <v>17</v>
      </c>
      <c r="D73" s="58">
        <f ca="1">((100/H66)*C73)/100</f>
        <v>0.62962962962962965</v>
      </c>
      <c r="E73" s="120"/>
      <c r="F73" s="120"/>
      <c r="G73" s="120"/>
      <c r="H73" s="120"/>
      <c r="I73" s="40" t="s">
        <v>130</v>
      </c>
      <c r="J73" s="43">
        <f ca="1">(IF(B66&gt;1,(H66/(B66+2)+J72),0))</f>
        <v>20.25</v>
      </c>
    </row>
    <row r="74" spans="1:10" ht="15" customHeight="1">
      <c r="A74" s="118" t="s">
        <v>131</v>
      </c>
      <c r="B74" s="118" t="s">
        <v>132</v>
      </c>
      <c r="C74" s="34">
        <f>C72*0.75</f>
        <v>15</v>
      </c>
      <c r="D74" s="58">
        <f ca="1">((100/(H66))*C74)/100</f>
        <v>0.55555555555555558</v>
      </c>
      <c r="E74" s="120"/>
      <c r="F74" s="120"/>
      <c r="G74" s="120"/>
      <c r="H74" s="120"/>
      <c r="I74" s="40" t="s">
        <v>133</v>
      </c>
      <c r="J74" s="43">
        <f>(IF(B66&gt;2,(H66/(B66+2)+J73),0))</f>
        <v>0</v>
      </c>
    </row>
    <row r="75" spans="1:10" ht="15.75" customHeight="1">
      <c r="A75" s="118" t="s">
        <v>134</v>
      </c>
      <c r="B75" s="118" t="s">
        <v>134</v>
      </c>
      <c r="C75" s="32">
        <v>0</v>
      </c>
      <c r="D75" s="58">
        <f ca="1">((100/H66)*C75)/100</f>
        <v>0</v>
      </c>
      <c r="E75" s="120"/>
      <c r="F75" s="120"/>
      <c r="G75" s="120"/>
      <c r="H75" s="120"/>
      <c r="I75" s="40" t="s">
        <v>135</v>
      </c>
      <c r="J75" s="44">
        <f>(IF(B66&gt;3,(H66/(B66+2)+J74),0))</f>
        <v>0</v>
      </c>
    </row>
    <row r="76" spans="1:10" ht="15.75" customHeight="1">
      <c r="A76" s="118" t="s">
        <v>136</v>
      </c>
      <c r="B76" s="118"/>
      <c r="C76" s="32">
        <v>0</v>
      </c>
      <c r="D76" s="58">
        <f ca="1">((100/H66)*C76)/100</f>
        <v>0</v>
      </c>
      <c r="E76" s="120"/>
      <c r="F76" s="120"/>
      <c r="G76" s="120"/>
      <c r="H76" s="120"/>
      <c r="I76" s="40" t="s">
        <v>137</v>
      </c>
      <c r="J76" s="43">
        <f>(IF(B66&gt;4,(H66/(B66+2)+J75),0))</f>
        <v>0</v>
      </c>
    </row>
    <row r="77" spans="1:10" ht="15.75" customHeight="1">
      <c r="A77" s="118" t="s">
        <v>138</v>
      </c>
      <c r="B77" s="118" t="s">
        <v>138</v>
      </c>
      <c r="C77" s="32">
        <v>0</v>
      </c>
      <c r="D77" s="58">
        <f ca="1">((100/(H66))*C77)/100</f>
        <v>0</v>
      </c>
      <c r="E77" s="120"/>
      <c r="F77" s="120"/>
      <c r="G77" s="120"/>
      <c r="H77" s="120"/>
      <c r="I77" s="40" t="s">
        <v>139</v>
      </c>
      <c r="J77" s="43">
        <f>(IF(B66=1,(H66/(B66+3)+J72),IF(B66=0,(H66/4+J72),IF(B66&gt;1,0))))</f>
        <v>0</v>
      </c>
    </row>
    <row r="78" spans="1:10">
      <c r="A78" s="118" t="s">
        <v>140</v>
      </c>
      <c r="B78" s="118"/>
      <c r="C78" s="32">
        <v>0</v>
      </c>
      <c r="D78" s="58">
        <f ca="1">((100/(H66))*C78)/100</f>
        <v>0</v>
      </c>
      <c r="E78" s="120"/>
      <c r="F78" s="120"/>
      <c r="G78" s="120"/>
      <c r="H78" s="120"/>
      <c r="I78" s="45" t="s">
        <v>141</v>
      </c>
      <c r="J78" s="46">
        <f ca="1">(IF(B66&gt;1.5,(H66/(B66+2)+J72+MAX(0,J73-J72)+MAX(0,J74-J73)+MAX(0,J75-J74)+MAX(0,J76-J75)+MAX(0,J77-J76)),IF(B66=1,(H66/(B66+3)+J77),IF(B66=0,H66/4+J77))))</f>
        <v>27</v>
      </c>
    </row>
    <row r="79" spans="1:10">
      <c r="A79" s="95" t="s">
        <v>106</v>
      </c>
      <c r="B79" s="95"/>
      <c r="C79" s="95" t="s">
        <v>142</v>
      </c>
      <c r="D79" s="95"/>
      <c r="E79" s="95"/>
      <c r="F79" s="95"/>
      <c r="G79" s="95"/>
      <c r="H79" s="95"/>
      <c r="I79" s="37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Excavation work Completed. Plinth work completed, RCC upto 18 Slab Completed, Brickwork upto 16 Floor Completed, Internal Plaster upto 13.6 Floor Completed, External Plaster upto 12 Floor Completed.</v>
      </c>
      <c r="J79" s="38"/>
    </row>
    <row r="80" spans="1:10">
      <c r="A80" s="59" t="s">
        <v>108</v>
      </c>
      <c r="B80" s="59">
        <v>2</v>
      </c>
      <c r="C80" s="59" t="s">
        <v>109</v>
      </c>
      <c r="D80" s="59">
        <v>1</v>
      </c>
      <c r="E80" s="59" t="s">
        <v>110</v>
      </c>
      <c r="F80" s="59">
        <v>1</v>
      </c>
      <c r="G80" s="59" t="s">
        <v>111</v>
      </c>
      <c r="H80" s="59">
        <f ca="1">--TRIM(RIGHT(SUBSTITUTE(LEFT(C79,_xlfn.AGGREGATE(16,6,FIND({0,1,2,3,4,5,6,7,8,9},C79,ROW(INDIRECT("1:"&amp;LEN(C79)))),1))," ",REPT(" ",LEN(C79))),LEN(C79)))</f>
        <v>27</v>
      </c>
      <c r="I80" s="27"/>
      <c r="J80" s="39"/>
    </row>
    <row r="81" spans="1:10" ht="48.95" customHeight="1">
      <c r="A81" s="84" t="s">
        <v>112</v>
      </c>
      <c r="B81" s="84"/>
      <c r="C81" s="95" t="str">
        <f ca="1">(IF($G$51="NA",I79,"All work Completed. OC Received."))</f>
        <v>Excavation work Completed. Plinth work completed, RCC upto 18 Slab Completed, Brickwork upto 16 Floor Completed, Internal Plaster upto 13.6 Floor Completed, External Plaster upto 12 Floor Completed.</v>
      </c>
      <c r="D81" s="95"/>
      <c r="E81" s="95"/>
      <c r="F81" s="95"/>
      <c r="G81" s="95"/>
      <c r="H81" s="95"/>
      <c r="I81" s="27" t="s">
        <v>113</v>
      </c>
      <c r="J81" s="39"/>
    </row>
    <row r="82" spans="1:10" ht="15.75" customHeight="1">
      <c r="A82" s="118" t="s">
        <v>114</v>
      </c>
      <c r="B82" s="118"/>
      <c r="C82" s="57" t="s">
        <v>115</v>
      </c>
      <c r="D82" s="57" t="s">
        <v>116</v>
      </c>
      <c r="E82" s="118" t="s">
        <v>117</v>
      </c>
      <c r="F82" s="118"/>
      <c r="G82" s="118" t="s">
        <v>118</v>
      </c>
      <c r="H82" s="118"/>
      <c r="I82" s="40" t="s">
        <v>119</v>
      </c>
      <c r="J82" s="41">
        <f ca="1">H80*25%</f>
        <v>6.75</v>
      </c>
    </row>
    <row r="83" spans="1:10">
      <c r="A83" s="118" t="s">
        <v>120</v>
      </c>
      <c r="B83" s="118"/>
      <c r="C83" s="32">
        <v>27</v>
      </c>
      <c r="D83" s="58">
        <f ca="1">((100/H80)*C83)/100</f>
        <v>1</v>
      </c>
      <c r="E83" s="120">
        <f ca="1">(((C84/H80*10)+(40/(D80+F80+H80)*C85)+(7.5/(H80)*C86)+(7.5/(H80)*C87)+(10/H80*C88)+(10/H80*C89)+(5/H80*C90)+(5/H80*C91)+(5/H80*C92))/100)</f>
        <v>0.4749425287356322</v>
      </c>
      <c r="F83" s="120"/>
      <c r="G83" s="120">
        <f ca="1">((((C83/H80)*20)+((C84/H80)*25)+(30/(H80+F80+D80)*C85)+(5/H80*C86)+(5/H80*C87)+(5/H80*C88)+(5/H80*C89)+(0/H80*C90)+(0/H80*C91)+(5/H80*C92))/100)</f>
        <v>0.71324393358876126</v>
      </c>
      <c r="H83" s="120"/>
      <c r="I83" s="40" t="s">
        <v>121</v>
      </c>
      <c r="J83" s="42">
        <f ca="1">H80*50%</f>
        <v>13.5</v>
      </c>
    </row>
    <row r="84" spans="1:10">
      <c r="A84" s="118" t="s">
        <v>122</v>
      </c>
      <c r="B84" s="118"/>
      <c r="C84" s="34">
        <v>27</v>
      </c>
      <c r="D84" s="58">
        <f ca="1">((100/H80)*C84)/100</f>
        <v>1</v>
      </c>
      <c r="E84" s="120"/>
      <c r="F84" s="120"/>
      <c r="G84" s="120"/>
      <c r="H84" s="120"/>
      <c r="I84" s="40" t="s">
        <v>123</v>
      </c>
      <c r="J84" s="42">
        <f ca="1">H80</f>
        <v>27</v>
      </c>
    </row>
    <row r="85" spans="1:10" ht="15.75" customHeight="1">
      <c r="A85" s="118" t="s">
        <v>124</v>
      </c>
      <c r="B85" s="118"/>
      <c r="C85" s="34">
        <v>18</v>
      </c>
      <c r="D85" s="58">
        <f ca="1">((100/(D80+F80+H80))*C85)/100</f>
        <v>0.6206896551724137</v>
      </c>
      <c r="E85" s="120"/>
      <c r="F85" s="120"/>
      <c r="G85" s="120"/>
      <c r="H85" s="120"/>
      <c r="I85" s="40" t="s">
        <v>125</v>
      </c>
      <c r="J85" s="43">
        <f ca="1">(IF(B80&gt;1,(H80/(B80+2)),H80/4))</f>
        <v>6.75</v>
      </c>
    </row>
    <row r="86" spans="1:10" ht="15.75" customHeight="1">
      <c r="A86" s="118" t="s">
        <v>126</v>
      </c>
      <c r="B86" s="118" t="s">
        <v>127</v>
      </c>
      <c r="C86" s="34">
        <f>C85-F80-1</f>
        <v>16</v>
      </c>
      <c r="D86" s="58">
        <f ca="1">((100/H80)*C86)/100</f>
        <v>0.59259259259259256</v>
      </c>
      <c r="E86" s="120"/>
      <c r="F86" s="120"/>
      <c r="G86" s="120"/>
      <c r="H86" s="120"/>
      <c r="I86" s="40" t="s">
        <v>128</v>
      </c>
      <c r="J86" s="43">
        <f ca="1">(IF(B80&gt;1,(H80/(B80+2)+J85),H80/4+J85))</f>
        <v>13.5</v>
      </c>
    </row>
    <row r="87" spans="1:10" ht="15.75" customHeight="1">
      <c r="A87" s="118" t="s">
        <v>129</v>
      </c>
      <c r="B87" s="118" t="s">
        <v>127</v>
      </c>
      <c r="C87" s="34">
        <f>C86*0.85</f>
        <v>13.6</v>
      </c>
      <c r="D87" s="58">
        <f ca="1">((100/H80)*C87)/100</f>
        <v>0.50370370370370365</v>
      </c>
      <c r="E87" s="120"/>
      <c r="F87" s="120"/>
      <c r="G87" s="120"/>
      <c r="H87" s="120"/>
      <c r="I87" s="40" t="s">
        <v>130</v>
      </c>
      <c r="J87" s="43">
        <f ca="1">(IF(B80&gt;1,(H80/(B80+2)+J86),0))</f>
        <v>20.25</v>
      </c>
    </row>
    <row r="88" spans="1:10" ht="15" customHeight="1">
      <c r="A88" s="118" t="s">
        <v>131</v>
      </c>
      <c r="B88" s="118" t="s">
        <v>132</v>
      </c>
      <c r="C88" s="34">
        <f>C86*0.75</f>
        <v>12</v>
      </c>
      <c r="D88" s="58">
        <f ca="1">((100/(H80))*C88)/100</f>
        <v>0.44444444444444442</v>
      </c>
      <c r="E88" s="120"/>
      <c r="F88" s="120"/>
      <c r="G88" s="120"/>
      <c r="H88" s="120"/>
      <c r="I88" s="40" t="s">
        <v>133</v>
      </c>
      <c r="J88" s="43">
        <f>(IF(B80&gt;2,(H80/(B80+2)+J87),0))</f>
        <v>0</v>
      </c>
    </row>
    <row r="89" spans="1:10" ht="15.75" customHeight="1">
      <c r="A89" s="118" t="s">
        <v>134</v>
      </c>
      <c r="B89" s="118" t="s">
        <v>134</v>
      </c>
      <c r="C89" s="32">
        <v>0</v>
      </c>
      <c r="D89" s="58">
        <f ca="1">((100/H80)*C89)/100</f>
        <v>0</v>
      </c>
      <c r="E89" s="120"/>
      <c r="F89" s="120"/>
      <c r="G89" s="120"/>
      <c r="H89" s="120"/>
      <c r="I89" s="40" t="s">
        <v>135</v>
      </c>
      <c r="J89" s="44">
        <f>(IF(B80&gt;3,(H80/(B80+2)+J88),0))</f>
        <v>0</v>
      </c>
    </row>
    <row r="90" spans="1:10" ht="15.75" customHeight="1">
      <c r="A90" s="118" t="s">
        <v>136</v>
      </c>
      <c r="B90" s="118"/>
      <c r="C90" s="32">
        <v>0</v>
      </c>
      <c r="D90" s="58">
        <f ca="1">((100/H80)*C90)/100</f>
        <v>0</v>
      </c>
      <c r="E90" s="120"/>
      <c r="F90" s="120"/>
      <c r="G90" s="120"/>
      <c r="H90" s="120"/>
      <c r="I90" s="40" t="s">
        <v>137</v>
      </c>
      <c r="J90" s="43">
        <f>(IF(B80&gt;4,(H80/(B80+2)+J89),0))</f>
        <v>0</v>
      </c>
    </row>
    <row r="91" spans="1:10" ht="15.75" customHeight="1">
      <c r="A91" s="118" t="s">
        <v>138</v>
      </c>
      <c r="B91" s="118" t="s">
        <v>138</v>
      </c>
      <c r="C91" s="32">
        <v>0</v>
      </c>
      <c r="D91" s="58">
        <f ca="1">((100/(H80))*C91)/100</f>
        <v>0</v>
      </c>
      <c r="E91" s="120"/>
      <c r="F91" s="120"/>
      <c r="G91" s="120"/>
      <c r="H91" s="120"/>
      <c r="I91" s="40" t="s">
        <v>139</v>
      </c>
      <c r="J91" s="43">
        <f>(IF(B80=1,(H80/(B80+3)+J86),IF(B80=0,(H80/4+J86),IF(B80&gt;1,0))))</f>
        <v>0</v>
      </c>
    </row>
    <row r="92" spans="1:10">
      <c r="A92" s="118" t="s">
        <v>140</v>
      </c>
      <c r="B92" s="118"/>
      <c r="C92" s="32">
        <v>0</v>
      </c>
      <c r="D92" s="58">
        <f ca="1">((100/(H80))*C92)/100</f>
        <v>0</v>
      </c>
      <c r="E92" s="120"/>
      <c r="F92" s="120"/>
      <c r="G92" s="120"/>
      <c r="H92" s="120"/>
      <c r="I92" s="45" t="s">
        <v>141</v>
      </c>
      <c r="J92" s="46">
        <f ca="1">(IF(B80&gt;1.5,(H80/(B80+2)+J86+MAX(0,J87-J86)+MAX(0,J88-J87)+MAX(0,J89-J88)+MAX(0,J90-J89)+MAX(0,J91-J90)),IF(B80=1,(H80/(B80+3)+J91),IF(B80=0,H80/4+J91))))</f>
        <v>27</v>
      </c>
    </row>
    <row r="93" spans="1:10" ht="15.75" customHeight="1">
      <c r="A93" s="121" t="s">
        <v>106</v>
      </c>
      <c r="B93" s="122"/>
      <c r="C93" s="123" t="s">
        <v>143</v>
      </c>
      <c r="D93" s="124"/>
      <c r="E93" s="124"/>
      <c r="F93" s="124"/>
      <c r="G93" s="124"/>
      <c r="H93" s="125"/>
      <c r="I93" s="37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Excavation work Completed. Plinth work completed, RCC upto 1 Slab Completed.</v>
      </c>
      <c r="J93" s="38"/>
    </row>
    <row r="94" spans="1:10">
      <c r="A94" s="29" t="s">
        <v>108</v>
      </c>
      <c r="B94" s="21">
        <v>2</v>
      </c>
      <c r="C94" s="21" t="s">
        <v>109</v>
      </c>
      <c r="D94" s="21">
        <v>1</v>
      </c>
      <c r="E94" s="21" t="s">
        <v>110</v>
      </c>
      <c r="F94" s="21">
        <v>1</v>
      </c>
      <c r="G94" s="21" t="s">
        <v>111</v>
      </c>
      <c r="H94" s="30">
        <f ca="1">--TRIM(RIGHT(SUBSTITUTE(LEFT(C93,_xlfn.AGGREGATE(16,6,FIND({0,1,2,3,4,5,6,7,8,9},C93,ROW(INDIRECT("1:"&amp;LEN(C93)))),1))," ",REPT(" ",LEN(C93))),LEN(C93)))</f>
        <v>27</v>
      </c>
      <c r="I94" s="27"/>
      <c r="J94" s="39"/>
    </row>
    <row r="95" spans="1:10" ht="30.95" customHeight="1">
      <c r="A95" s="115" t="s">
        <v>112</v>
      </c>
      <c r="B95" s="84"/>
      <c r="C95" s="95" t="str">
        <f ca="1">(IF($G$51="NA",I93,"All work Completed. OC Received."))</f>
        <v>Excavation work Completed. Plinth work completed, RCC upto 1 Slab Completed.</v>
      </c>
      <c r="D95" s="95"/>
      <c r="E95" s="95"/>
      <c r="F95" s="95"/>
      <c r="G95" s="95"/>
      <c r="H95" s="116"/>
      <c r="I95" s="27" t="s">
        <v>113</v>
      </c>
      <c r="J95" s="39"/>
    </row>
    <row r="96" spans="1:10" ht="15.75" customHeight="1">
      <c r="A96" s="117" t="s">
        <v>114</v>
      </c>
      <c r="B96" s="118"/>
      <c r="C96" s="31" t="s">
        <v>115</v>
      </c>
      <c r="D96" s="31" t="s">
        <v>116</v>
      </c>
      <c r="E96" s="118" t="s">
        <v>117</v>
      </c>
      <c r="F96" s="118"/>
      <c r="G96" s="118" t="s">
        <v>118</v>
      </c>
      <c r="H96" s="119"/>
      <c r="I96" s="40" t="s">
        <v>119</v>
      </c>
      <c r="J96" s="41">
        <f ca="1">H94*25%</f>
        <v>6.75</v>
      </c>
    </row>
    <row r="97" spans="1:10">
      <c r="A97" s="117" t="s">
        <v>120</v>
      </c>
      <c r="B97" s="118"/>
      <c r="C97" s="32">
        <v>27</v>
      </c>
      <c r="D97" s="33">
        <f ca="1">((100/H94)*C97)/100</f>
        <v>1</v>
      </c>
      <c r="E97" s="120">
        <f ca="1">(((C98/H94*10)+(40/(D94+F94+H94)*C99)+(7.5/(H94)*C100)+(7.5/(H94)*C101)+(10/H94*C102)+(10/H94*C103)+(5/H94*C104)+(5/H94*C105)+(5/H94*C106))/100)</f>
        <v>0.11379310344827587</v>
      </c>
      <c r="F97" s="120"/>
      <c r="G97" s="120">
        <f ca="1">((((C97/H94)*20)+((C98/H94)*25)+(30/(H94+F94+D94)*C99)+(5/H94*C100)+(5/H94*C101)+(5/H94*C102)+(5/H94*C103)+(0/H94*C104)+(0/H94*C105)+(5/H94*C106))/100)</f>
        <v>0.46034482758620693</v>
      </c>
      <c r="H97" s="127"/>
      <c r="I97" s="40" t="s">
        <v>121</v>
      </c>
      <c r="J97" s="42">
        <f ca="1">H94*50%</f>
        <v>13.5</v>
      </c>
    </row>
    <row r="98" spans="1:10">
      <c r="A98" s="117" t="s">
        <v>122</v>
      </c>
      <c r="B98" s="118"/>
      <c r="C98" s="34">
        <f ca="1">J106</f>
        <v>27</v>
      </c>
      <c r="D98" s="33">
        <f ca="1">((100/H94)*C98)/100</f>
        <v>1</v>
      </c>
      <c r="E98" s="120"/>
      <c r="F98" s="120"/>
      <c r="G98" s="120"/>
      <c r="H98" s="127"/>
      <c r="I98" s="40" t="s">
        <v>123</v>
      </c>
      <c r="J98" s="42">
        <f ca="1">H94</f>
        <v>27</v>
      </c>
    </row>
    <row r="99" spans="1:10" ht="15.75" customHeight="1">
      <c r="A99" s="117" t="s">
        <v>124</v>
      </c>
      <c r="B99" s="118"/>
      <c r="C99" s="34">
        <v>1</v>
      </c>
      <c r="D99" s="33">
        <f ca="1">((100/(D94+F94+H94))*C99)/100</f>
        <v>3.4482758620689655E-2</v>
      </c>
      <c r="E99" s="120"/>
      <c r="F99" s="120"/>
      <c r="G99" s="120"/>
      <c r="H99" s="127"/>
      <c r="I99" s="40" t="s">
        <v>125</v>
      </c>
      <c r="J99" s="43">
        <f ca="1">(IF(B94&gt;1,(H94/(B94+2)),H94/4))</f>
        <v>6.75</v>
      </c>
    </row>
    <row r="100" spans="1:10" ht="15.75" customHeight="1">
      <c r="A100" s="117" t="s">
        <v>126</v>
      </c>
      <c r="B100" s="118" t="s">
        <v>127</v>
      </c>
      <c r="C100" s="32">
        <v>0</v>
      </c>
      <c r="D100" s="33">
        <f ca="1">((100/H94)*C100)/100</f>
        <v>0</v>
      </c>
      <c r="E100" s="120"/>
      <c r="F100" s="120"/>
      <c r="G100" s="120"/>
      <c r="H100" s="127"/>
      <c r="I100" s="40" t="s">
        <v>128</v>
      </c>
      <c r="J100" s="43">
        <f ca="1">(IF(B94&gt;1,(H94/(B94+2)+J99),H94/4+J99))</f>
        <v>13.5</v>
      </c>
    </row>
    <row r="101" spans="1:10" ht="15.75" customHeight="1">
      <c r="A101" s="117" t="s">
        <v>129</v>
      </c>
      <c r="B101" s="118" t="s">
        <v>127</v>
      </c>
      <c r="C101" s="32">
        <v>0</v>
      </c>
      <c r="D101" s="33">
        <f ca="1">((100/H94)*C101)/100</f>
        <v>0</v>
      </c>
      <c r="E101" s="120"/>
      <c r="F101" s="120"/>
      <c r="G101" s="120"/>
      <c r="H101" s="127"/>
      <c r="I101" s="40" t="s">
        <v>130</v>
      </c>
      <c r="J101" s="43">
        <f ca="1">(IF(B94&gt;1,(H94/(B94+2)+J100),0))</f>
        <v>20.25</v>
      </c>
    </row>
    <row r="102" spans="1:10" ht="15" customHeight="1">
      <c r="A102" s="117" t="s">
        <v>131</v>
      </c>
      <c r="B102" s="118" t="s">
        <v>132</v>
      </c>
      <c r="C102" s="32">
        <v>0</v>
      </c>
      <c r="D102" s="33">
        <f ca="1">((100/(H94))*C102)/100</f>
        <v>0</v>
      </c>
      <c r="E102" s="120"/>
      <c r="F102" s="120"/>
      <c r="G102" s="120"/>
      <c r="H102" s="127"/>
      <c r="I102" s="40" t="s">
        <v>133</v>
      </c>
      <c r="J102" s="43">
        <f>(IF(B94&gt;2,(H94/(B94+2)+J101),0))</f>
        <v>0</v>
      </c>
    </row>
    <row r="103" spans="1:10" ht="15.75" customHeight="1">
      <c r="A103" s="117" t="s">
        <v>134</v>
      </c>
      <c r="B103" s="118" t="s">
        <v>134</v>
      </c>
      <c r="C103" s="32">
        <v>0</v>
      </c>
      <c r="D103" s="33">
        <f ca="1">((100/H94)*C103)/100</f>
        <v>0</v>
      </c>
      <c r="E103" s="120"/>
      <c r="F103" s="120"/>
      <c r="G103" s="120"/>
      <c r="H103" s="127"/>
      <c r="I103" s="40" t="s">
        <v>135</v>
      </c>
      <c r="J103" s="44">
        <f>(IF(B94&gt;3,(H94/(B94+2)+J102),0))</f>
        <v>0</v>
      </c>
    </row>
    <row r="104" spans="1:10" ht="15.75" customHeight="1">
      <c r="A104" s="117" t="s">
        <v>136</v>
      </c>
      <c r="B104" s="118"/>
      <c r="C104" s="32">
        <v>0</v>
      </c>
      <c r="D104" s="33">
        <f ca="1">((100/H94)*C104)/100</f>
        <v>0</v>
      </c>
      <c r="E104" s="120"/>
      <c r="F104" s="120"/>
      <c r="G104" s="120"/>
      <c r="H104" s="127"/>
      <c r="I104" s="40" t="s">
        <v>137</v>
      </c>
      <c r="J104" s="43">
        <f>(IF(B94&gt;4,(H94/(B94+2)+J103),0))</f>
        <v>0</v>
      </c>
    </row>
    <row r="105" spans="1:10" ht="15.75" customHeight="1">
      <c r="A105" s="117" t="s">
        <v>138</v>
      </c>
      <c r="B105" s="118" t="s">
        <v>138</v>
      </c>
      <c r="C105" s="32">
        <v>0</v>
      </c>
      <c r="D105" s="33">
        <f ca="1">((100/(H94))*C105)/100</f>
        <v>0</v>
      </c>
      <c r="E105" s="120"/>
      <c r="F105" s="120"/>
      <c r="G105" s="120"/>
      <c r="H105" s="127"/>
      <c r="I105" s="40" t="s">
        <v>139</v>
      </c>
      <c r="J105" s="43">
        <f>(IF(B94=1,(H94/(B94+3)+J100),IF(B94=0,(H94/4+J100),IF(B94&gt;1,0))))</f>
        <v>0</v>
      </c>
    </row>
    <row r="106" spans="1:10">
      <c r="A106" s="129" t="s">
        <v>140</v>
      </c>
      <c r="B106" s="130"/>
      <c r="C106" s="35">
        <v>0</v>
      </c>
      <c r="D106" s="36">
        <f ca="1">((100/(H94))*C106)/100</f>
        <v>0</v>
      </c>
      <c r="E106" s="126"/>
      <c r="F106" s="126"/>
      <c r="G106" s="126"/>
      <c r="H106" s="128"/>
      <c r="I106" s="45" t="s">
        <v>141</v>
      </c>
      <c r="J106" s="46">
        <f ca="1">(IF(B94&gt;1.5,(H94/(B94+2)+J100+MAX(0,J101-J100)+MAX(0,J102-J101)+MAX(0,J103-J102)+MAX(0,J104-J103)+MAX(0,J105-J104)),IF(B94=1,(H94/(B94+3)+J105),IF(B94=0,H94/4+J105))))</f>
        <v>27</v>
      </c>
    </row>
    <row r="107" spans="1:10" ht="15.75" customHeight="1">
      <c r="A107" s="110" t="s">
        <v>106</v>
      </c>
      <c r="B107" s="111"/>
      <c r="C107" s="112" t="s">
        <v>144</v>
      </c>
      <c r="D107" s="113"/>
      <c r="E107" s="113"/>
      <c r="F107" s="113"/>
      <c r="G107" s="113"/>
      <c r="H107" s="114"/>
      <c r="I107" s="37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 Completed",IF(C113&gt;0,", RCC upto "&amp;C113&amp;" Slab Completed",""))&amp;(IF(C114=H108,", Brickwork Completed",IF(C114&gt;0,", Brickwork upto "&amp;C114&amp;" Floor Completed",""))&amp;(IF(C115=H108,", Internal Plaster Completed",IF(C115&gt;0,", Internal Plaster upto "&amp;C115&amp;" Floor Completed",""))&amp;(IF(C116=H108,", External Plaster Completed",IF(C116&gt;0,", External Plaster upto "&amp;C116&amp;" Floor Completed",""))&amp;(IF(C117=H108,", Flooring Completed",IF(C117&gt;0,", Flooring upto "&amp;C117&amp;" Floor Completed",""))&amp;(IF(C118=H108,", Painting Completed",IF(C118&gt;0,", Painting upto "&amp;C118&amp;" Floor Completed",""))&amp;(IF(C119&gt;0,", Finishing upto "&amp;C119&amp;" Floor Completed","")&amp;(IF(C113&gt;0.5,".",""))))))))))))))</f>
        <v>Excavation work Completed. Plinth work completed, RCC upto 7 Slab Completed, Brickwork upto 5 Floor Completed, Internal Plaster upto 4 Floor Completed, External Plaster upto 3.75 Floor Completed.</v>
      </c>
      <c r="J107" s="38"/>
    </row>
    <row r="108" spans="1:10">
      <c r="A108" s="29" t="s">
        <v>108</v>
      </c>
      <c r="B108" s="21">
        <v>2</v>
      </c>
      <c r="C108" s="21" t="s">
        <v>109</v>
      </c>
      <c r="D108" s="21">
        <v>1</v>
      </c>
      <c r="E108" s="21" t="s">
        <v>110</v>
      </c>
      <c r="F108" s="21">
        <v>1</v>
      </c>
      <c r="G108" s="21" t="s">
        <v>111</v>
      </c>
      <c r="H108" s="30">
        <f ca="1">--TRIM(RIGHT(SUBSTITUTE(LEFT(C107,_xlfn.AGGREGATE(16,6,FIND({0,1,2,3,4,5,6,7,8,9},C107,ROW(INDIRECT("1:"&amp;LEN(C107)))),1))," ",REPT(" ",LEN(C107))),LEN(C107)))</f>
        <v>27</v>
      </c>
      <c r="I108" s="27"/>
      <c r="J108" s="39"/>
    </row>
    <row r="109" spans="1:10" ht="48.75" customHeight="1">
      <c r="A109" s="84" t="s">
        <v>112</v>
      </c>
      <c r="B109" s="84"/>
      <c r="C109" s="95" t="str">
        <f ca="1">(IF($G$51="NA",I107,"All work Completed. OC Received."))</f>
        <v>Excavation work Completed. Plinth work completed, RCC upto 7 Slab Completed, Brickwork upto 5 Floor Completed, Internal Plaster upto 4 Floor Completed, External Plaster upto 3.75 Floor Completed.</v>
      </c>
      <c r="D109" s="95"/>
      <c r="E109" s="95"/>
      <c r="F109" s="95"/>
      <c r="G109" s="95"/>
      <c r="H109" s="95"/>
      <c r="I109" s="27" t="s">
        <v>113</v>
      </c>
      <c r="J109" s="39"/>
    </row>
    <row r="110" spans="1:10" ht="15.75" customHeight="1">
      <c r="A110" s="118" t="s">
        <v>114</v>
      </c>
      <c r="B110" s="118"/>
      <c r="C110" s="57" t="s">
        <v>115</v>
      </c>
      <c r="D110" s="57" t="s">
        <v>116</v>
      </c>
      <c r="E110" s="118" t="s">
        <v>117</v>
      </c>
      <c r="F110" s="118"/>
      <c r="G110" s="118" t="s">
        <v>118</v>
      </c>
      <c r="H110" s="118"/>
      <c r="I110" s="40" t="s">
        <v>119</v>
      </c>
      <c r="J110" s="41">
        <f ca="1">H108*25%</f>
        <v>6.75</v>
      </c>
    </row>
    <row r="111" spans="1:10">
      <c r="A111" s="118" t="s">
        <v>120</v>
      </c>
      <c r="B111" s="118"/>
      <c r="C111" s="32">
        <v>27</v>
      </c>
      <c r="D111" s="58">
        <f ca="1">((100/H108)*C111)/100</f>
        <v>1</v>
      </c>
      <c r="E111" s="120">
        <f ca="1">(((C112/H108*10)+(40/(D108+F108+H108)*C113)+(7.5/(H108)*C114)+(7.5/(H108)*C115)+(10/H108*C116)+(10/H108*C117)+(5/H108*C118)+(5/H108*C119)+(5/H108*C120))/100)</f>
        <v>0.23544061302681993</v>
      </c>
      <c r="F111" s="120"/>
      <c r="G111" s="120">
        <f ca="1">((((C111/H108)*20)+((C112/H108)*25)+(30/(H108+F108+D108)*C113)+(5/H108*C114)+(5/H108*C115)+(5/H108*C116)+(5/H108*C117)+(0/H108*C118)+(0/H108*C119)+(5/H108*C120))/100)</f>
        <v>0.54602490421455929</v>
      </c>
      <c r="H111" s="120"/>
      <c r="I111" s="40" t="s">
        <v>121</v>
      </c>
      <c r="J111" s="42">
        <f ca="1">H108*50%</f>
        <v>13.5</v>
      </c>
    </row>
    <row r="112" spans="1:10">
      <c r="A112" s="118" t="s">
        <v>122</v>
      </c>
      <c r="B112" s="118"/>
      <c r="C112" s="34">
        <f ca="1">J120</f>
        <v>27</v>
      </c>
      <c r="D112" s="58">
        <f ca="1">((100/H108)*C112)/100</f>
        <v>1</v>
      </c>
      <c r="E112" s="120"/>
      <c r="F112" s="120"/>
      <c r="G112" s="120"/>
      <c r="H112" s="120"/>
      <c r="I112" s="40" t="s">
        <v>123</v>
      </c>
      <c r="J112" s="42">
        <f ca="1">H108</f>
        <v>27</v>
      </c>
    </row>
    <row r="113" spans="1:11" ht="15.75" customHeight="1">
      <c r="A113" s="118" t="s">
        <v>124</v>
      </c>
      <c r="B113" s="118"/>
      <c r="C113" s="34">
        <f>D108+F108+5</f>
        <v>7</v>
      </c>
      <c r="D113" s="58">
        <f ca="1">((100/(D108+F108+H108))*C113)/100</f>
        <v>0.24137931034482757</v>
      </c>
      <c r="E113" s="120"/>
      <c r="F113" s="120"/>
      <c r="G113" s="120"/>
      <c r="H113" s="120"/>
      <c r="I113" s="40" t="s">
        <v>125</v>
      </c>
      <c r="J113" s="43">
        <f ca="1">(IF(B108&gt;1,(H108/(B108+2)),H108/4))</f>
        <v>6.75</v>
      </c>
    </row>
    <row r="114" spans="1:11" ht="15.75" customHeight="1">
      <c r="A114" s="118" t="s">
        <v>126</v>
      </c>
      <c r="B114" s="118" t="s">
        <v>127</v>
      </c>
      <c r="C114" s="34">
        <f>C113-F108-1</f>
        <v>5</v>
      </c>
      <c r="D114" s="58">
        <f ca="1">((100/H108)*C114)/100</f>
        <v>0.1851851851851852</v>
      </c>
      <c r="E114" s="120"/>
      <c r="F114" s="120"/>
      <c r="G114" s="120"/>
      <c r="H114" s="120"/>
      <c r="I114" s="40" t="s">
        <v>128</v>
      </c>
      <c r="J114" s="43">
        <f ca="1">(IF(B108&gt;1,(H108/(B108+2)+J113),H108/4+J113))</f>
        <v>13.5</v>
      </c>
    </row>
    <row r="115" spans="1:11" ht="15.75" customHeight="1">
      <c r="A115" s="118" t="s">
        <v>129</v>
      </c>
      <c r="B115" s="118" t="s">
        <v>127</v>
      </c>
      <c r="C115" s="34">
        <f>C114*0.8</f>
        <v>4</v>
      </c>
      <c r="D115" s="58">
        <f ca="1">((100/H108)*C115)/100</f>
        <v>0.14814814814814814</v>
      </c>
      <c r="E115" s="120"/>
      <c r="F115" s="120"/>
      <c r="G115" s="120"/>
      <c r="H115" s="120"/>
      <c r="I115" s="40" t="s">
        <v>130</v>
      </c>
      <c r="J115" s="43">
        <f ca="1">(IF(B108&gt;1,(H108/(B108+2)+J114),0))</f>
        <v>20.25</v>
      </c>
    </row>
    <row r="116" spans="1:11" ht="15" customHeight="1">
      <c r="A116" s="118" t="s">
        <v>131</v>
      </c>
      <c r="B116" s="118" t="s">
        <v>132</v>
      </c>
      <c r="C116" s="34">
        <f>C114*0.75</f>
        <v>3.75</v>
      </c>
      <c r="D116" s="58">
        <f ca="1">((100/(H108))*C116)/100</f>
        <v>0.1388888888888889</v>
      </c>
      <c r="E116" s="120"/>
      <c r="F116" s="120"/>
      <c r="G116" s="120"/>
      <c r="H116" s="120"/>
      <c r="I116" s="40" t="s">
        <v>133</v>
      </c>
      <c r="J116" s="43">
        <f>(IF(B108&gt;2,(H108/(B108+2)+J115),0))</f>
        <v>0</v>
      </c>
    </row>
    <row r="117" spans="1:11" ht="15.75" customHeight="1">
      <c r="A117" s="118" t="s">
        <v>134</v>
      </c>
      <c r="B117" s="118" t="s">
        <v>134</v>
      </c>
      <c r="C117" s="32">
        <v>0</v>
      </c>
      <c r="D117" s="58">
        <f ca="1">((100/H108)*C117)/100</f>
        <v>0</v>
      </c>
      <c r="E117" s="120"/>
      <c r="F117" s="120"/>
      <c r="G117" s="120"/>
      <c r="H117" s="120"/>
      <c r="I117" s="40" t="s">
        <v>135</v>
      </c>
      <c r="J117" s="44">
        <f>(IF(B108&gt;3,(H108/(B108+2)+J116),0))</f>
        <v>0</v>
      </c>
    </row>
    <row r="118" spans="1:11" ht="15.75" customHeight="1">
      <c r="A118" s="118" t="s">
        <v>136</v>
      </c>
      <c r="B118" s="118"/>
      <c r="C118" s="32">
        <v>0</v>
      </c>
      <c r="D118" s="58">
        <f ca="1">((100/H108)*C118)/100</f>
        <v>0</v>
      </c>
      <c r="E118" s="120"/>
      <c r="F118" s="120"/>
      <c r="G118" s="120"/>
      <c r="H118" s="120"/>
      <c r="I118" s="40" t="s">
        <v>137</v>
      </c>
      <c r="J118" s="43">
        <f>(IF(B108&gt;4,(H108/(B108+2)+J117),0))</f>
        <v>0</v>
      </c>
    </row>
    <row r="119" spans="1:11" ht="15.75" customHeight="1">
      <c r="A119" s="118" t="s">
        <v>138</v>
      </c>
      <c r="B119" s="118" t="s">
        <v>138</v>
      </c>
      <c r="C119" s="32">
        <v>0</v>
      </c>
      <c r="D119" s="58">
        <f ca="1">((100/(H108))*C119)/100</f>
        <v>0</v>
      </c>
      <c r="E119" s="120"/>
      <c r="F119" s="120"/>
      <c r="G119" s="120"/>
      <c r="H119" s="120"/>
      <c r="I119" s="40" t="s">
        <v>139</v>
      </c>
      <c r="J119" s="43">
        <f>(IF(B108=1,(H108/(B108+3)+J114),IF(B108=0,(H108/4+J114),IF(B108&gt;1,0))))</f>
        <v>0</v>
      </c>
    </row>
    <row r="120" spans="1:11">
      <c r="A120" s="118" t="s">
        <v>140</v>
      </c>
      <c r="B120" s="118"/>
      <c r="C120" s="32">
        <v>0</v>
      </c>
      <c r="D120" s="58">
        <f ca="1">((100/(H108))*C120)/100</f>
        <v>0</v>
      </c>
      <c r="E120" s="120"/>
      <c r="F120" s="120"/>
      <c r="G120" s="120"/>
      <c r="H120" s="120"/>
      <c r="I120" s="45" t="s">
        <v>141</v>
      </c>
      <c r="J120" s="46">
        <f ca="1">(IF(B108&gt;1.5,(H108/(B108+2)+J114+MAX(0,J115-J114)+MAX(0,J116-J115)+MAX(0,J117-J116)+MAX(0,J118-J117)+MAX(0,J119-J118)),IF(B108=1,(H108/(B108+3)+J119),IF(B108=0,H108/4+J119))))</f>
        <v>27</v>
      </c>
    </row>
    <row r="121" spans="1:11">
      <c r="A121" s="131" t="s">
        <v>145</v>
      </c>
      <c r="B121" s="131"/>
      <c r="C121" s="131"/>
      <c r="D121" s="131"/>
      <c r="E121" s="131"/>
      <c r="F121" s="131"/>
      <c r="G121" s="131"/>
      <c r="H121" s="131"/>
    </row>
    <row r="122" spans="1:11">
      <c r="A122" s="62" t="s">
        <v>146</v>
      </c>
      <c r="B122" s="62"/>
      <c r="C122" s="62"/>
      <c r="D122" s="62"/>
      <c r="E122" s="62"/>
      <c r="F122" s="132">
        <v>8000</v>
      </c>
      <c r="G122" s="132"/>
      <c r="H122" s="132"/>
      <c r="I122" s="20" t="s">
        <v>226</v>
      </c>
    </row>
    <row r="123" spans="1:11" hidden="1">
      <c r="A123" s="62" t="s">
        <v>147</v>
      </c>
      <c r="B123" s="62"/>
      <c r="C123" s="62"/>
      <c r="D123" s="62"/>
      <c r="E123" s="62"/>
      <c r="F123" s="133"/>
      <c r="G123" s="133"/>
      <c r="H123" s="133"/>
    </row>
    <row r="124" spans="1:11" hidden="1">
      <c r="A124" s="62" t="s">
        <v>148</v>
      </c>
      <c r="B124" s="62"/>
      <c r="C124" s="62"/>
      <c r="D124" s="62"/>
      <c r="E124" s="62"/>
      <c r="F124" s="133"/>
      <c r="G124" s="133"/>
      <c r="H124" s="133"/>
    </row>
    <row r="125" spans="1:11" s="15" customFormat="1" hidden="1">
      <c r="A125" s="62" t="s">
        <v>149</v>
      </c>
      <c r="B125" s="62"/>
      <c r="C125" s="62"/>
      <c r="D125" s="62"/>
      <c r="E125" s="62"/>
      <c r="F125" s="133"/>
      <c r="G125" s="133"/>
      <c r="H125" s="133"/>
    </row>
    <row r="126" spans="1:11" s="15" customFormat="1" hidden="1">
      <c r="A126" s="62" t="s">
        <v>150</v>
      </c>
      <c r="B126" s="62"/>
      <c r="C126" s="62"/>
      <c r="D126" s="62"/>
      <c r="E126" s="62"/>
      <c r="F126" s="133"/>
      <c r="G126" s="133"/>
      <c r="H126" s="133"/>
    </row>
    <row r="127" spans="1:11" s="15" customFormat="1">
      <c r="A127" s="65" t="s">
        <v>151</v>
      </c>
      <c r="B127" s="62"/>
      <c r="C127" s="62"/>
      <c r="D127" s="62"/>
      <c r="E127" s="62"/>
      <c r="F127" s="133" t="s">
        <v>152</v>
      </c>
      <c r="G127" s="133"/>
      <c r="H127" s="133"/>
      <c r="I127" s="15" t="s">
        <v>153</v>
      </c>
      <c r="J127" s="15" t="s">
        <v>154</v>
      </c>
      <c r="K127" s="47">
        <v>45288</v>
      </c>
    </row>
    <row r="128" spans="1:11" s="15" customFormat="1" hidden="1">
      <c r="A128" s="62" t="s">
        <v>155</v>
      </c>
      <c r="B128" s="62"/>
      <c r="C128" s="62"/>
      <c r="D128" s="62"/>
      <c r="E128" s="62"/>
      <c r="F128" s="133"/>
      <c r="G128" s="133"/>
      <c r="H128" s="133"/>
    </row>
    <row r="129" spans="1:14" s="15" customFormat="1" hidden="1">
      <c r="A129" s="62" t="s">
        <v>156</v>
      </c>
      <c r="B129" s="62"/>
      <c r="C129" s="62"/>
      <c r="D129" s="62"/>
      <c r="E129" s="62"/>
      <c r="F129" s="133"/>
      <c r="G129" s="133"/>
      <c r="H129" s="133"/>
    </row>
    <row r="130" spans="1:14" s="15" customFormat="1" hidden="1">
      <c r="A130" s="62" t="s">
        <v>157</v>
      </c>
      <c r="B130" s="62"/>
      <c r="C130" s="62"/>
      <c r="D130" s="62"/>
      <c r="E130" s="62"/>
      <c r="F130" s="133"/>
      <c r="G130" s="133"/>
      <c r="H130" s="133"/>
    </row>
    <row r="131" spans="1:14" s="15" customFormat="1" hidden="1">
      <c r="A131" s="62" t="s">
        <v>158</v>
      </c>
      <c r="B131" s="62"/>
      <c r="C131" s="62"/>
      <c r="D131" s="62"/>
      <c r="E131" s="62"/>
      <c r="F131" s="133"/>
      <c r="G131" s="133"/>
      <c r="H131" s="133"/>
    </row>
    <row r="132" spans="1:14" s="15" customFormat="1" hidden="1">
      <c r="A132" s="62" t="s">
        <v>159</v>
      </c>
      <c r="B132" s="62"/>
      <c r="C132" s="62"/>
      <c r="D132" s="62"/>
      <c r="E132" s="62"/>
      <c r="F132" s="133"/>
      <c r="G132" s="133"/>
      <c r="H132" s="133"/>
    </row>
    <row r="133" spans="1:14">
      <c r="A133" s="62" t="s">
        <v>160</v>
      </c>
      <c r="B133" s="62"/>
      <c r="C133" s="62"/>
      <c r="D133" s="62"/>
      <c r="E133" s="62"/>
      <c r="F133" s="133" t="s">
        <v>161</v>
      </c>
      <c r="G133" s="133"/>
      <c r="H133" s="133"/>
    </row>
    <row r="134" spans="1:14" s="16" customFormat="1">
      <c r="A134" s="66" t="s">
        <v>162</v>
      </c>
      <c r="B134" s="66"/>
      <c r="C134" s="66"/>
      <c r="D134" s="66"/>
      <c r="E134" s="66"/>
      <c r="F134" s="133">
        <f>F122*0.8</f>
        <v>6400</v>
      </c>
      <c r="G134" s="133"/>
      <c r="H134" s="133"/>
    </row>
    <row r="135" spans="1:14" s="17" customFormat="1">
      <c r="A135" s="134" t="s">
        <v>163</v>
      </c>
      <c r="B135" s="134"/>
      <c r="C135" s="134"/>
      <c r="D135" s="134"/>
      <c r="E135" s="134"/>
      <c r="F135" s="134"/>
      <c r="G135" s="134"/>
      <c r="H135" s="134"/>
    </row>
    <row r="136" spans="1:14" s="17" customFormat="1" ht="15.75" customHeight="1">
      <c r="A136" s="135" t="s">
        <v>164</v>
      </c>
      <c r="B136" s="135"/>
      <c r="C136" s="136" t="s">
        <v>165</v>
      </c>
      <c r="D136" s="136"/>
      <c r="E136" s="137" t="s">
        <v>166</v>
      </c>
      <c r="F136" s="137"/>
      <c r="G136" s="135" t="s">
        <v>167</v>
      </c>
      <c r="H136" s="135"/>
    </row>
    <row r="137" spans="1:14" s="17" customFormat="1">
      <c r="A137" s="138" t="s">
        <v>168</v>
      </c>
      <c r="B137" s="138"/>
      <c r="C137" s="139">
        <f>COUNT(D150:D156)+COUNT(D158:D176)*22+COUNT(D178:D182,D184:D196)*4+COUNT(D198:D202,D204:D216)</f>
        <v>515</v>
      </c>
      <c r="D137" s="139"/>
      <c r="E137" s="140">
        <f>SUM(D150:D156)+SUM(D158:D176)*22+SUM(D178:D182,D184:D196)*4+SUM(D198:D202,D204:D216)</f>
        <v>166192.9308</v>
      </c>
      <c r="F137" s="140"/>
      <c r="G137" s="140">
        <f>SUM(F150:F156)+SUM(F158:F176)*22+SUM(F178:F182,F184:F196)*4+SUM(F198:F202,F204:F216)</f>
        <v>265908.68928000005</v>
      </c>
      <c r="H137" s="140"/>
    </row>
    <row r="138" spans="1:14" s="17" customFormat="1">
      <c r="A138" s="138" t="s">
        <v>169</v>
      </c>
      <c r="B138" s="138"/>
      <c r="C138" s="141">
        <f>COUNT(D220:D226)+COUNT(D228:D241)*22+COUNT(D243:D248,D250:D256)*5</f>
        <v>380</v>
      </c>
      <c r="D138" s="142"/>
      <c r="E138" s="143">
        <f>SUM(D220:D226)+SUM(D228:D241)*22+SUM(D243:D248,D250:D256)*5</f>
        <v>132158.23920000004</v>
      </c>
      <c r="F138" s="144"/>
      <c r="G138" s="143">
        <f>SUM(F220:F226)+SUM(F228:F241)*22+SUM(F243:F248,F250:F256)*5</f>
        <v>211453.18271999995</v>
      </c>
      <c r="H138" s="144"/>
    </row>
    <row r="139" spans="1:14" s="17" customFormat="1">
      <c r="A139" s="138" t="s">
        <v>170</v>
      </c>
      <c r="B139" s="138"/>
      <c r="C139" s="139">
        <f>COUNT(D260:D266)+COUNT(D268:D281)*22+COUNT(D283:D288,D290:D296)*5</f>
        <v>380</v>
      </c>
      <c r="D139" s="139"/>
      <c r="E139" s="140">
        <f>SUM(D260:D266)+SUM(D268:D281)*22+SUM(D283:D288,D290:D296)*5</f>
        <v>132158.23920000004</v>
      </c>
      <c r="F139" s="140"/>
      <c r="G139" s="140">
        <f>SUM(F260:F266)+SUM(F268:F281)*22+SUM(F283:F288,F290:F296)*5</f>
        <v>211453.18271999995</v>
      </c>
      <c r="H139" s="140"/>
    </row>
    <row r="140" spans="1:14" s="17" customFormat="1">
      <c r="A140" s="138" t="s">
        <v>171</v>
      </c>
      <c r="B140" s="138"/>
      <c r="C140" s="141">
        <f>COUNT(D300:D304)+COUNT(D306:D317)*22+COUNT(D319:D325,D327:D330)*4+COUNT(D332:D338,D340:D343)</f>
        <v>324</v>
      </c>
      <c r="D140" s="142"/>
      <c r="E140" s="143">
        <f>SUM(D300:D304)+SUM(D306:D317)*22+SUM(D319:D325,D327:D330)*4+SUM(D332:D338,D340:D343)</f>
        <v>105935.73588000002</v>
      </c>
      <c r="F140" s="144"/>
      <c r="G140" s="143">
        <f>SUM(F300:F304)+SUM(F306:F317)*22+SUM(F319:F325,F327:F330)*4+SUM(F332:F338,F340:F343)</f>
        <v>169497.17740800002</v>
      </c>
      <c r="H140" s="144"/>
    </row>
    <row r="141" spans="1:14" s="17" customFormat="1">
      <c r="A141" s="145" t="s">
        <v>172</v>
      </c>
      <c r="B141" s="146"/>
      <c r="C141" s="147">
        <f>SUM(C137:D140)</f>
        <v>1599</v>
      </c>
      <c r="D141" s="148"/>
      <c r="E141" s="149">
        <f>SUM(E137:F140)</f>
        <v>536445.14508000016</v>
      </c>
      <c r="F141" s="150"/>
      <c r="G141" s="151">
        <f>SUM(G137:H140)</f>
        <v>858312.23212799989</v>
      </c>
      <c r="H141" s="152"/>
    </row>
    <row r="142" spans="1:14" s="16" customFormat="1">
      <c r="A142" s="61" t="s">
        <v>173</v>
      </c>
      <c r="B142" s="61"/>
      <c r="C142" s="61"/>
      <c r="D142" s="61"/>
      <c r="E142" s="61"/>
      <c r="F142" s="61"/>
      <c r="G142" s="61"/>
      <c r="H142" s="61"/>
    </row>
    <row r="143" spans="1:14">
      <c r="A143" s="61" t="s">
        <v>174</v>
      </c>
      <c r="B143" s="61"/>
      <c r="C143" s="61"/>
      <c r="D143" s="61"/>
      <c r="E143" s="61"/>
      <c r="F143" s="61"/>
      <c r="G143" s="61"/>
      <c r="H143" s="61"/>
    </row>
    <row r="144" spans="1:14" s="18" customFormat="1">
      <c r="A144" s="153"/>
      <c r="B144" s="154"/>
      <c r="C144" s="154"/>
      <c r="D144" s="154"/>
      <c r="E144" s="154"/>
      <c r="F144" s="154"/>
      <c r="G144" s="154"/>
      <c r="H144" s="155"/>
      <c r="I144" s="52"/>
      <c r="N144" s="52"/>
    </row>
    <row r="145" spans="1:14" ht="47.25" customHeight="1">
      <c r="A145" s="159" t="s">
        <v>175</v>
      </c>
      <c r="B145" s="159" t="s">
        <v>176</v>
      </c>
      <c r="C145" s="161" t="s">
        <v>177</v>
      </c>
      <c r="D145" s="161" t="s">
        <v>178</v>
      </c>
      <c r="E145" s="163" t="s">
        <v>179</v>
      </c>
      <c r="F145" s="49" t="s">
        <v>180</v>
      </c>
      <c r="G145" s="159" t="s">
        <v>181</v>
      </c>
      <c r="H145" s="165"/>
      <c r="I145" s="52"/>
    </row>
    <row r="146" spans="1:14" s="18" customFormat="1">
      <c r="A146" s="160"/>
      <c r="B146" s="160"/>
      <c r="C146" s="162"/>
      <c r="D146" s="162"/>
      <c r="E146" s="164"/>
      <c r="F146" s="50">
        <v>0.6</v>
      </c>
      <c r="G146" s="160"/>
      <c r="H146" s="166"/>
      <c r="I146" s="52"/>
    </row>
    <row r="147" spans="1:14">
      <c r="A147" s="61" t="s">
        <v>168</v>
      </c>
      <c r="B147" s="61"/>
      <c r="C147" s="61"/>
      <c r="D147" s="61"/>
      <c r="E147" s="61"/>
      <c r="F147" s="61"/>
      <c r="G147" s="61"/>
      <c r="H147" s="61"/>
    </row>
    <row r="148" spans="1:14">
      <c r="A148" s="61" t="s">
        <v>182</v>
      </c>
      <c r="B148" s="61"/>
      <c r="C148" s="61"/>
      <c r="D148" s="61"/>
      <c r="E148" s="61"/>
      <c r="F148" s="61"/>
      <c r="G148" s="61"/>
      <c r="H148" s="61"/>
    </row>
    <row r="149" spans="1:14" s="18" customFormat="1">
      <c r="A149" s="156" t="s">
        <v>183</v>
      </c>
      <c r="B149" s="156"/>
      <c r="C149" s="156"/>
      <c r="D149" s="156"/>
      <c r="E149" s="156"/>
      <c r="F149" s="156"/>
      <c r="G149" s="156"/>
      <c r="H149" s="156"/>
      <c r="I149" s="52"/>
      <c r="L149" s="157"/>
      <c r="M149" s="157"/>
    </row>
    <row r="150" spans="1:14" s="18" customFormat="1" ht="15.75" customHeight="1">
      <c r="A150" s="158">
        <v>3</v>
      </c>
      <c r="B150" s="158"/>
      <c r="C150" s="51" t="s">
        <v>184</v>
      </c>
      <c r="D150" s="51">
        <f>(29.98)*10.764</f>
        <v>322.70472000000001</v>
      </c>
      <c r="E150" s="51">
        <v>0</v>
      </c>
      <c r="F150" s="51">
        <f>D150*(($F$146)+1)+(IF(E150&lt;101,E150,IF(E150&lt;201,E150/2,IF(E150&lt;=301,E150/3,E150/4))))</f>
        <v>516.32755200000008</v>
      </c>
      <c r="G150" s="170" t="str">
        <f>A149</f>
        <v>Stilt Floor for Residential</v>
      </c>
      <c r="H150" s="171"/>
      <c r="I150" s="52"/>
      <c r="N150" s="52"/>
    </row>
    <row r="151" spans="1:14" s="18" customFormat="1">
      <c r="A151" s="158">
        <f>A150+1</f>
        <v>4</v>
      </c>
      <c r="B151" s="158"/>
      <c r="C151" s="51" t="s">
        <v>184</v>
      </c>
      <c r="D151" s="51">
        <f t="shared" ref="D151:D156" si="0">(29.98)*10.764</f>
        <v>322.70472000000001</v>
      </c>
      <c r="E151" s="51">
        <v>0</v>
      </c>
      <c r="F151" s="51">
        <f t="shared" ref="F151:F156" si="1">D151*(($F$146)+1)+(IF(E151&lt;101,E151,IF(E151&lt;201,E151/2,IF(E151&lt;=301,E151/3,E151/4))))</f>
        <v>516.32755200000008</v>
      </c>
      <c r="G151" s="172"/>
      <c r="H151" s="173"/>
      <c r="I151" s="52"/>
      <c r="N151" s="52"/>
    </row>
    <row r="152" spans="1:14" s="18" customFormat="1">
      <c r="A152" s="158">
        <f>A151+1</f>
        <v>5</v>
      </c>
      <c r="B152" s="158"/>
      <c r="C152" s="51" t="s">
        <v>184</v>
      </c>
      <c r="D152" s="51">
        <f t="shared" si="0"/>
        <v>322.70472000000001</v>
      </c>
      <c r="E152" s="51">
        <v>0</v>
      </c>
      <c r="F152" s="51">
        <f t="shared" si="1"/>
        <v>516.32755200000008</v>
      </c>
      <c r="G152" s="172"/>
      <c r="H152" s="173"/>
      <c r="I152" s="52"/>
      <c r="N152" s="52"/>
    </row>
    <row r="153" spans="1:14" s="18" customFormat="1">
      <c r="A153" s="158">
        <f>A152+1</f>
        <v>6</v>
      </c>
      <c r="B153" s="158"/>
      <c r="C153" s="51" t="s">
        <v>184</v>
      </c>
      <c r="D153" s="51">
        <f t="shared" si="0"/>
        <v>322.70472000000001</v>
      </c>
      <c r="E153" s="51">
        <v>0</v>
      </c>
      <c r="F153" s="51">
        <f t="shared" si="1"/>
        <v>516.32755200000008</v>
      </c>
      <c r="G153" s="172"/>
      <c r="H153" s="173"/>
      <c r="I153" s="52"/>
      <c r="N153" s="52"/>
    </row>
    <row r="154" spans="1:14" s="18" customFormat="1">
      <c r="A154" s="158">
        <v>9</v>
      </c>
      <c r="B154" s="158"/>
      <c r="C154" s="51" t="s">
        <v>184</v>
      </c>
      <c r="D154" s="51">
        <f t="shared" si="0"/>
        <v>322.70472000000001</v>
      </c>
      <c r="E154" s="51">
        <v>0</v>
      </c>
      <c r="F154" s="51">
        <f t="shared" si="1"/>
        <v>516.32755200000008</v>
      </c>
      <c r="G154" s="172"/>
      <c r="H154" s="173"/>
      <c r="I154" s="52"/>
      <c r="N154" s="52"/>
    </row>
    <row r="155" spans="1:14" s="18" customFormat="1">
      <c r="A155" s="158">
        <v>10</v>
      </c>
      <c r="B155" s="158"/>
      <c r="C155" s="51" t="s">
        <v>184</v>
      </c>
      <c r="D155" s="51">
        <f t="shared" si="0"/>
        <v>322.70472000000001</v>
      </c>
      <c r="E155" s="51">
        <v>0</v>
      </c>
      <c r="F155" s="51">
        <f t="shared" si="1"/>
        <v>516.32755200000008</v>
      </c>
      <c r="G155" s="172"/>
      <c r="H155" s="173"/>
      <c r="I155" s="52"/>
      <c r="N155" s="52"/>
    </row>
    <row r="156" spans="1:14" s="18" customFormat="1">
      <c r="A156" s="158">
        <v>13</v>
      </c>
      <c r="B156" s="158"/>
      <c r="C156" s="51" t="s">
        <v>184</v>
      </c>
      <c r="D156" s="51">
        <f t="shared" si="0"/>
        <v>322.70472000000001</v>
      </c>
      <c r="E156" s="51">
        <v>0</v>
      </c>
      <c r="F156" s="51">
        <f t="shared" si="1"/>
        <v>516.32755200000008</v>
      </c>
      <c r="G156" s="174"/>
      <c r="H156" s="175"/>
      <c r="I156" s="52"/>
      <c r="N156" s="52"/>
    </row>
    <row r="157" spans="1:14" s="18" customFormat="1" ht="15.75" customHeight="1">
      <c r="A157" s="167" t="s">
        <v>185</v>
      </c>
      <c r="B157" s="168"/>
      <c r="C157" s="168"/>
      <c r="D157" s="168"/>
      <c r="E157" s="168"/>
      <c r="F157" s="168"/>
      <c r="G157" s="168"/>
      <c r="H157" s="169"/>
      <c r="I157" s="52"/>
    </row>
    <row r="158" spans="1:14" s="18" customFormat="1" ht="15.75" customHeight="1">
      <c r="A158" s="153">
        <v>1</v>
      </c>
      <c r="B158" s="155"/>
      <c r="C158" s="51" t="s">
        <v>184</v>
      </c>
      <c r="D158" s="51">
        <f>(29.98)*10.764</f>
        <v>322.70472000000001</v>
      </c>
      <c r="E158" s="51">
        <v>0</v>
      </c>
      <c r="F158" s="51">
        <f t="shared" ref="F158:F163" si="2">D158*(($F$146)+1)+(IF(E158&lt;101,E158,IF(E158&lt;201,E158/2,IF(E158&lt;=301,E158/3,E158/4))))</f>
        <v>516.32755200000008</v>
      </c>
      <c r="G158" s="170" t="str">
        <f>A157</f>
        <v>1st to 6th, 8th to 11th, 13th to 16th, 18th to 21st, 23rd to 26th Floor for Residential</v>
      </c>
      <c r="H158" s="171"/>
      <c r="I158" s="52">
        <f>(3.95*2.75+2.825*1.736+2.9*2.75+1.05*1.8+1.8*1.05+0.9*1.16)*10.764</f>
        <v>307.48119480000003</v>
      </c>
    </row>
    <row r="159" spans="1:14" s="18" customFormat="1">
      <c r="A159" s="153">
        <v>2</v>
      </c>
      <c r="B159" s="155"/>
      <c r="C159" s="51" t="s">
        <v>184</v>
      </c>
      <c r="D159" s="51">
        <f t="shared" ref="D159:D176" si="3">(29.98)*10.764</f>
        <v>322.70472000000001</v>
      </c>
      <c r="E159" s="51">
        <v>0</v>
      </c>
      <c r="F159" s="51">
        <f t="shared" si="2"/>
        <v>516.32755200000008</v>
      </c>
      <c r="G159" s="172"/>
      <c r="H159" s="173"/>
      <c r="I159" s="52"/>
    </row>
    <row r="160" spans="1:14" s="18" customFormat="1" ht="15.75" customHeight="1">
      <c r="A160" s="153">
        <v>3</v>
      </c>
      <c r="B160" s="155"/>
      <c r="C160" s="51" t="s">
        <v>184</v>
      </c>
      <c r="D160" s="51">
        <f t="shared" si="3"/>
        <v>322.70472000000001</v>
      </c>
      <c r="E160" s="51">
        <v>0</v>
      </c>
      <c r="F160" s="51">
        <f t="shared" si="2"/>
        <v>516.32755200000008</v>
      </c>
      <c r="G160" s="172"/>
      <c r="H160" s="173"/>
      <c r="I160" s="52"/>
    </row>
    <row r="161" spans="1:9" s="18" customFormat="1" ht="15.75" customHeight="1">
      <c r="A161" s="153">
        <v>4</v>
      </c>
      <c r="B161" s="155"/>
      <c r="C161" s="51" t="s">
        <v>184</v>
      </c>
      <c r="D161" s="51">
        <f t="shared" si="3"/>
        <v>322.70472000000001</v>
      </c>
      <c r="E161" s="51">
        <v>0</v>
      </c>
      <c r="F161" s="51">
        <f t="shared" si="2"/>
        <v>516.32755200000008</v>
      </c>
      <c r="G161" s="172"/>
      <c r="H161" s="173"/>
      <c r="I161" s="52"/>
    </row>
    <row r="162" spans="1:9" s="18" customFormat="1" ht="15.75" customHeight="1">
      <c r="A162" s="153">
        <v>5</v>
      </c>
      <c r="B162" s="155"/>
      <c r="C162" s="51" t="s">
        <v>184</v>
      </c>
      <c r="D162" s="51">
        <f t="shared" si="3"/>
        <v>322.70472000000001</v>
      </c>
      <c r="E162" s="51">
        <v>0</v>
      </c>
      <c r="F162" s="51">
        <f t="shared" si="2"/>
        <v>516.32755200000008</v>
      </c>
      <c r="G162" s="172"/>
      <c r="H162" s="173"/>
      <c r="I162" s="52"/>
    </row>
    <row r="163" spans="1:9" s="18" customFormat="1" ht="15.75" customHeight="1">
      <c r="A163" s="153">
        <v>6</v>
      </c>
      <c r="B163" s="155"/>
      <c r="C163" s="51" t="s">
        <v>184</v>
      </c>
      <c r="D163" s="51">
        <f t="shared" si="3"/>
        <v>322.70472000000001</v>
      </c>
      <c r="E163" s="51">
        <v>0</v>
      </c>
      <c r="F163" s="51">
        <f t="shared" si="2"/>
        <v>516.32755200000008</v>
      </c>
      <c r="G163" s="172"/>
      <c r="H163" s="173"/>
      <c r="I163" s="52"/>
    </row>
    <row r="164" spans="1:9" s="18" customFormat="1" ht="15.75" customHeight="1">
      <c r="A164" s="153">
        <v>7</v>
      </c>
      <c r="B164" s="155"/>
      <c r="C164" s="51" t="s">
        <v>184</v>
      </c>
      <c r="D164" s="51">
        <f t="shared" si="3"/>
        <v>322.70472000000001</v>
      </c>
      <c r="E164" s="51">
        <v>0</v>
      </c>
      <c r="F164" s="51">
        <f t="shared" ref="F164:F172" si="4">D164*(($F$146)+1)+(IF(E164&lt;101,E164,IF(E164&lt;201,E164/2,IF(E164&lt;=301,E164/3,E164/4))))</f>
        <v>516.32755200000008</v>
      </c>
      <c r="G164" s="172"/>
      <c r="H164" s="173"/>
      <c r="I164" s="52"/>
    </row>
    <row r="165" spans="1:9" s="18" customFormat="1" ht="15.75" customHeight="1">
      <c r="A165" s="153">
        <v>8</v>
      </c>
      <c r="B165" s="155"/>
      <c r="C165" s="51" t="s">
        <v>184</v>
      </c>
      <c r="D165" s="51">
        <f t="shared" si="3"/>
        <v>322.70472000000001</v>
      </c>
      <c r="E165" s="51">
        <v>0</v>
      </c>
      <c r="F165" s="51">
        <f t="shared" si="4"/>
        <v>516.32755200000008</v>
      </c>
      <c r="G165" s="172"/>
      <c r="H165" s="173"/>
      <c r="I165" s="52"/>
    </row>
    <row r="166" spans="1:9" s="18" customFormat="1" ht="15.75" customHeight="1">
      <c r="A166" s="153">
        <v>9</v>
      </c>
      <c r="B166" s="155"/>
      <c r="C166" s="51" t="s">
        <v>184</v>
      </c>
      <c r="D166" s="51">
        <f t="shared" si="3"/>
        <v>322.70472000000001</v>
      </c>
      <c r="E166" s="51">
        <v>0</v>
      </c>
      <c r="F166" s="51">
        <f t="shared" si="4"/>
        <v>516.32755200000008</v>
      </c>
      <c r="G166" s="172"/>
      <c r="H166" s="173"/>
      <c r="I166" s="52"/>
    </row>
    <row r="167" spans="1:9" s="18" customFormat="1" ht="15.75" customHeight="1">
      <c r="A167" s="153">
        <v>10</v>
      </c>
      <c r="B167" s="155"/>
      <c r="C167" s="51" t="s">
        <v>184</v>
      </c>
      <c r="D167" s="51">
        <f t="shared" si="3"/>
        <v>322.70472000000001</v>
      </c>
      <c r="E167" s="51">
        <v>0</v>
      </c>
      <c r="F167" s="51">
        <f t="shared" si="4"/>
        <v>516.32755200000008</v>
      </c>
      <c r="G167" s="172"/>
      <c r="H167" s="173"/>
      <c r="I167" s="52"/>
    </row>
    <row r="168" spans="1:9" s="18" customFormat="1">
      <c r="A168" s="153">
        <v>11</v>
      </c>
      <c r="B168" s="155"/>
      <c r="C168" s="51" t="s">
        <v>184</v>
      </c>
      <c r="D168" s="51">
        <f t="shared" si="3"/>
        <v>322.70472000000001</v>
      </c>
      <c r="E168" s="51">
        <v>0</v>
      </c>
      <c r="F168" s="51">
        <f t="shared" si="4"/>
        <v>516.32755200000008</v>
      </c>
      <c r="G168" s="172"/>
      <c r="H168" s="173"/>
      <c r="I168" s="52"/>
    </row>
    <row r="169" spans="1:9" s="18" customFormat="1" ht="15.75" customHeight="1">
      <c r="A169" s="153">
        <v>12</v>
      </c>
      <c r="B169" s="155"/>
      <c r="C169" s="51" t="s">
        <v>184</v>
      </c>
      <c r="D169" s="51">
        <f t="shared" si="3"/>
        <v>322.70472000000001</v>
      </c>
      <c r="E169" s="51">
        <v>0</v>
      </c>
      <c r="F169" s="51">
        <f t="shared" si="4"/>
        <v>516.32755200000008</v>
      </c>
      <c r="G169" s="172"/>
      <c r="H169" s="173"/>
      <c r="I169" s="52"/>
    </row>
    <row r="170" spans="1:9" s="18" customFormat="1" ht="15.75" customHeight="1">
      <c r="A170" s="153">
        <v>13</v>
      </c>
      <c r="B170" s="155"/>
      <c r="C170" s="51" t="s">
        <v>184</v>
      </c>
      <c r="D170" s="51">
        <f t="shared" si="3"/>
        <v>322.70472000000001</v>
      </c>
      <c r="E170" s="51">
        <v>0</v>
      </c>
      <c r="F170" s="51">
        <f t="shared" si="4"/>
        <v>516.32755200000008</v>
      </c>
      <c r="G170" s="172"/>
      <c r="H170" s="173"/>
      <c r="I170" s="52"/>
    </row>
    <row r="171" spans="1:9" s="18" customFormat="1" ht="15.75" customHeight="1">
      <c r="A171" s="153">
        <v>14</v>
      </c>
      <c r="B171" s="155"/>
      <c r="C171" s="51" t="s">
        <v>184</v>
      </c>
      <c r="D171" s="51">
        <f t="shared" si="3"/>
        <v>322.70472000000001</v>
      </c>
      <c r="E171" s="51">
        <v>0</v>
      </c>
      <c r="F171" s="51">
        <f t="shared" si="4"/>
        <v>516.32755200000008</v>
      </c>
      <c r="G171" s="172"/>
      <c r="H171" s="173"/>
      <c r="I171" s="52"/>
    </row>
    <row r="172" spans="1:9" s="18" customFormat="1" ht="15.75" customHeight="1">
      <c r="A172" s="153">
        <v>15</v>
      </c>
      <c r="B172" s="155"/>
      <c r="C172" s="51" t="s">
        <v>184</v>
      </c>
      <c r="D172" s="51">
        <f t="shared" si="3"/>
        <v>322.70472000000001</v>
      </c>
      <c r="E172" s="51">
        <v>0</v>
      </c>
      <c r="F172" s="51">
        <f t="shared" si="4"/>
        <v>516.32755200000008</v>
      </c>
      <c r="G172" s="172"/>
      <c r="H172" s="173"/>
      <c r="I172" s="52"/>
    </row>
    <row r="173" spans="1:9" s="18" customFormat="1" ht="15.75" customHeight="1">
      <c r="A173" s="153">
        <v>16</v>
      </c>
      <c r="B173" s="155"/>
      <c r="C173" s="51" t="s">
        <v>184</v>
      </c>
      <c r="D173" s="51">
        <f t="shared" si="3"/>
        <v>322.70472000000001</v>
      </c>
      <c r="E173" s="51">
        <v>0</v>
      </c>
      <c r="F173" s="51">
        <f t="shared" ref="F173:F176" si="5">D173*(($F$146)+1)+(IF(E173&lt;101,E173,IF(E173&lt;201,E173/2,IF(E173&lt;=301,E173/3,E173/4))))</f>
        <v>516.32755200000008</v>
      </c>
      <c r="G173" s="172"/>
      <c r="H173" s="173"/>
      <c r="I173" s="52"/>
    </row>
    <row r="174" spans="1:9" s="18" customFormat="1" ht="15.75" customHeight="1">
      <c r="A174" s="153">
        <v>17</v>
      </c>
      <c r="B174" s="155"/>
      <c r="C174" s="51" t="s">
        <v>184</v>
      </c>
      <c r="D174" s="51">
        <f t="shared" si="3"/>
        <v>322.70472000000001</v>
      </c>
      <c r="E174" s="51">
        <v>0</v>
      </c>
      <c r="F174" s="51">
        <f t="shared" si="5"/>
        <v>516.32755200000008</v>
      </c>
      <c r="G174" s="172"/>
      <c r="H174" s="173"/>
      <c r="I174" s="52"/>
    </row>
    <row r="175" spans="1:9" s="18" customFormat="1" ht="15.75" customHeight="1">
      <c r="A175" s="153">
        <v>18</v>
      </c>
      <c r="B175" s="155"/>
      <c r="C175" s="51" t="s">
        <v>184</v>
      </c>
      <c r="D175" s="51">
        <f t="shared" si="3"/>
        <v>322.70472000000001</v>
      </c>
      <c r="E175" s="51">
        <v>0</v>
      </c>
      <c r="F175" s="51">
        <f t="shared" si="5"/>
        <v>516.32755200000008</v>
      </c>
      <c r="G175" s="172"/>
      <c r="H175" s="173"/>
      <c r="I175" s="52"/>
    </row>
    <row r="176" spans="1:9" s="18" customFormat="1" ht="15.75" customHeight="1">
      <c r="A176" s="153">
        <v>19</v>
      </c>
      <c r="B176" s="155"/>
      <c r="C176" s="51" t="s">
        <v>184</v>
      </c>
      <c r="D176" s="51">
        <f t="shared" si="3"/>
        <v>322.70472000000001</v>
      </c>
      <c r="E176" s="51">
        <v>0</v>
      </c>
      <c r="F176" s="51">
        <f t="shared" si="5"/>
        <v>516.32755200000008</v>
      </c>
      <c r="G176" s="174"/>
      <c r="H176" s="175"/>
      <c r="I176" s="52"/>
    </row>
    <row r="177" spans="1:9" s="18" customFormat="1" ht="15.75" customHeight="1">
      <c r="A177" s="167" t="s">
        <v>186</v>
      </c>
      <c r="B177" s="168"/>
      <c r="C177" s="168"/>
      <c r="D177" s="168"/>
      <c r="E177" s="168"/>
      <c r="F177" s="168"/>
      <c r="G177" s="168"/>
      <c r="H177" s="169"/>
      <c r="I177" s="52"/>
    </row>
    <row r="178" spans="1:9" s="18" customFormat="1" ht="15.75" customHeight="1">
      <c r="A178" s="153">
        <v>1</v>
      </c>
      <c r="B178" s="155"/>
      <c r="C178" s="51" t="s">
        <v>184</v>
      </c>
      <c r="D178" s="51">
        <f>(29.98)*10.764</f>
        <v>322.70472000000001</v>
      </c>
      <c r="E178" s="51">
        <v>0</v>
      </c>
      <c r="F178" s="51">
        <f>D178*(($F$146)+1)+(IF(E178&lt;101,E178,IF(E178&lt;201,E178/2,IF(E178&lt;=301,E178/3,E178/4))))</f>
        <v>516.32755200000008</v>
      </c>
      <c r="G178" s="170" t="str">
        <f>A177</f>
        <v>7th, 12th, 17th &amp; 22nd Floor (Part Refuge Area)</v>
      </c>
      <c r="H178" s="171"/>
      <c r="I178" s="52">
        <f>(3.95*2.75+2.825*1.736+2.9*2.75+1.05*1.8+1.8*1.05+0.9*1.16)*10.764</f>
        <v>307.48119480000003</v>
      </c>
    </row>
    <row r="179" spans="1:9" s="18" customFormat="1">
      <c r="A179" s="153">
        <v>2</v>
      </c>
      <c r="B179" s="155"/>
      <c r="C179" s="51" t="s">
        <v>184</v>
      </c>
      <c r="D179" s="51">
        <f t="shared" ref="D179:D196" si="6">(29.98)*10.764</f>
        <v>322.70472000000001</v>
      </c>
      <c r="E179" s="51">
        <v>0</v>
      </c>
      <c r="F179" s="51">
        <f>D179*(($F$146)+1)+(IF(E179&lt;101,E179,IF(E179&lt;201,E179/2,IF(E179&lt;=301,E179/3,E179/4))))</f>
        <v>516.32755200000008</v>
      </c>
      <c r="G179" s="172"/>
      <c r="H179" s="173"/>
      <c r="I179" s="52"/>
    </row>
    <row r="180" spans="1:9" s="18" customFormat="1" ht="15.75" customHeight="1">
      <c r="A180" s="153">
        <v>3</v>
      </c>
      <c r="B180" s="155"/>
      <c r="C180" s="51" t="s">
        <v>184</v>
      </c>
      <c r="D180" s="51">
        <f t="shared" si="6"/>
        <v>322.70472000000001</v>
      </c>
      <c r="E180" s="51">
        <v>0</v>
      </c>
      <c r="F180" s="51">
        <f>D180*(($F$146)+1)+(IF(E180&lt;101,E180,IF(E180&lt;201,E180/2,IF(E180&lt;=301,E180/3,E180/4))))</f>
        <v>516.32755200000008</v>
      </c>
      <c r="G180" s="172"/>
      <c r="H180" s="173"/>
      <c r="I180" s="52"/>
    </row>
    <row r="181" spans="1:9" s="18" customFormat="1" ht="15.75" customHeight="1">
      <c r="A181" s="153">
        <v>4</v>
      </c>
      <c r="B181" s="155"/>
      <c r="C181" s="51" t="s">
        <v>184</v>
      </c>
      <c r="D181" s="51">
        <f t="shared" si="6"/>
        <v>322.70472000000001</v>
      </c>
      <c r="E181" s="51">
        <v>0</v>
      </c>
      <c r="F181" s="51">
        <f>D181*(($F$146)+1)+(IF(E181&lt;101,E181,IF(E181&lt;201,E181/2,IF(E181&lt;=301,E181/3,E181/4))))</f>
        <v>516.32755200000008</v>
      </c>
      <c r="G181" s="172"/>
      <c r="H181" s="173"/>
      <c r="I181" s="52"/>
    </row>
    <row r="182" spans="1:9" s="18" customFormat="1" ht="15.75" customHeight="1">
      <c r="A182" s="153">
        <v>5</v>
      </c>
      <c r="B182" s="155"/>
      <c r="C182" s="51" t="s">
        <v>184</v>
      </c>
      <c r="D182" s="51">
        <f t="shared" si="6"/>
        <v>322.70472000000001</v>
      </c>
      <c r="E182" s="51">
        <v>0</v>
      </c>
      <c r="F182" s="51">
        <f>D182*(($F$146)+1)+(IF(E182&lt;101,E182,IF(E182&lt;201,E182/2,IF(E182&lt;=301,E182/3,E182/4))))</f>
        <v>516.32755200000008</v>
      </c>
      <c r="G182" s="172"/>
      <c r="H182" s="173"/>
      <c r="I182" s="52"/>
    </row>
    <row r="183" spans="1:9" s="18" customFormat="1" ht="15.75" customHeight="1">
      <c r="A183" s="153">
        <v>6</v>
      </c>
      <c r="B183" s="155"/>
      <c r="C183" s="153" t="s">
        <v>187</v>
      </c>
      <c r="D183" s="154"/>
      <c r="E183" s="154"/>
      <c r="F183" s="155"/>
      <c r="G183" s="172"/>
      <c r="H183" s="173"/>
      <c r="I183" s="52"/>
    </row>
    <row r="184" spans="1:9" s="18" customFormat="1" ht="15.75" customHeight="1">
      <c r="A184" s="153">
        <v>7</v>
      </c>
      <c r="B184" s="155"/>
      <c r="C184" s="51" t="s">
        <v>184</v>
      </c>
      <c r="D184" s="51">
        <f t="shared" si="6"/>
        <v>322.70472000000001</v>
      </c>
      <c r="E184" s="51">
        <v>0</v>
      </c>
      <c r="F184" s="51">
        <f t="shared" ref="F184:F196" si="7">D184*(($F$146)+1)+(IF(E184&lt;101,E184,IF(E184&lt;201,E184/2,IF(E184&lt;=301,E184/3,E184/4))))</f>
        <v>516.32755200000008</v>
      </c>
      <c r="G184" s="172"/>
      <c r="H184" s="173"/>
      <c r="I184" s="52"/>
    </row>
    <row r="185" spans="1:9" s="18" customFormat="1" ht="15.75" customHeight="1">
      <c r="A185" s="153">
        <v>8</v>
      </c>
      <c r="B185" s="155"/>
      <c r="C185" s="51" t="s">
        <v>184</v>
      </c>
      <c r="D185" s="51">
        <f t="shared" si="6"/>
        <v>322.70472000000001</v>
      </c>
      <c r="E185" s="51">
        <v>0</v>
      </c>
      <c r="F185" s="51">
        <f t="shared" si="7"/>
        <v>516.32755200000008</v>
      </c>
      <c r="G185" s="172"/>
      <c r="H185" s="173"/>
      <c r="I185" s="52"/>
    </row>
    <row r="186" spans="1:9" s="18" customFormat="1" ht="15.75" customHeight="1">
      <c r="A186" s="153">
        <v>9</v>
      </c>
      <c r="B186" s="155"/>
      <c r="C186" s="51" t="s">
        <v>184</v>
      </c>
      <c r="D186" s="51">
        <f t="shared" si="6"/>
        <v>322.70472000000001</v>
      </c>
      <c r="E186" s="51">
        <v>0</v>
      </c>
      <c r="F186" s="51">
        <f t="shared" si="7"/>
        <v>516.32755200000008</v>
      </c>
      <c r="G186" s="172"/>
      <c r="H186" s="173"/>
      <c r="I186" s="52"/>
    </row>
    <row r="187" spans="1:9" s="18" customFormat="1" ht="15.75" customHeight="1">
      <c r="A187" s="153">
        <v>10</v>
      </c>
      <c r="B187" s="155"/>
      <c r="C187" s="51" t="s">
        <v>184</v>
      </c>
      <c r="D187" s="51">
        <f t="shared" si="6"/>
        <v>322.70472000000001</v>
      </c>
      <c r="E187" s="51">
        <v>0</v>
      </c>
      <c r="F187" s="51">
        <f t="shared" si="7"/>
        <v>516.32755200000008</v>
      </c>
      <c r="G187" s="172"/>
      <c r="H187" s="173"/>
      <c r="I187" s="52"/>
    </row>
    <row r="188" spans="1:9" s="18" customFormat="1">
      <c r="A188" s="153">
        <v>11</v>
      </c>
      <c r="B188" s="155"/>
      <c r="C188" s="51" t="s">
        <v>184</v>
      </c>
      <c r="D188" s="51">
        <f t="shared" si="6"/>
        <v>322.70472000000001</v>
      </c>
      <c r="E188" s="51">
        <v>0</v>
      </c>
      <c r="F188" s="51">
        <f t="shared" si="7"/>
        <v>516.32755200000008</v>
      </c>
      <c r="G188" s="172"/>
      <c r="H188" s="173"/>
      <c r="I188" s="52"/>
    </row>
    <row r="189" spans="1:9" s="18" customFormat="1" ht="15.75" customHeight="1">
      <c r="A189" s="153">
        <v>12</v>
      </c>
      <c r="B189" s="155"/>
      <c r="C189" s="51" t="s">
        <v>184</v>
      </c>
      <c r="D189" s="51">
        <f t="shared" si="6"/>
        <v>322.70472000000001</v>
      </c>
      <c r="E189" s="51">
        <v>0</v>
      </c>
      <c r="F189" s="51">
        <f t="shared" si="7"/>
        <v>516.32755200000008</v>
      </c>
      <c r="G189" s="172"/>
      <c r="H189" s="173"/>
      <c r="I189" s="52"/>
    </row>
    <row r="190" spans="1:9" s="18" customFormat="1" ht="15.75" customHeight="1">
      <c r="A190" s="153">
        <v>13</v>
      </c>
      <c r="B190" s="155"/>
      <c r="C190" s="51" t="s">
        <v>184</v>
      </c>
      <c r="D190" s="51">
        <f t="shared" si="6"/>
        <v>322.70472000000001</v>
      </c>
      <c r="E190" s="51">
        <v>0</v>
      </c>
      <c r="F190" s="51">
        <f t="shared" si="7"/>
        <v>516.32755200000008</v>
      </c>
      <c r="G190" s="172"/>
      <c r="H190" s="173"/>
      <c r="I190" s="52"/>
    </row>
    <row r="191" spans="1:9" s="18" customFormat="1" ht="15.75" customHeight="1">
      <c r="A191" s="153">
        <v>14</v>
      </c>
      <c r="B191" s="155"/>
      <c r="C191" s="51" t="s">
        <v>184</v>
      </c>
      <c r="D191" s="51">
        <f t="shared" si="6"/>
        <v>322.70472000000001</v>
      </c>
      <c r="E191" s="51">
        <v>0</v>
      </c>
      <c r="F191" s="51">
        <f t="shared" si="7"/>
        <v>516.32755200000008</v>
      </c>
      <c r="G191" s="172"/>
      <c r="H191" s="173"/>
      <c r="I191" s="52"/>
    </row>
    <row r="192" spans="1:9" s="18" customFormat="1" ht="15.75" customHeight="1">
      <c r="A192" s="153">
        <v>15</v>
      </c>
      <c r="B192" s="155"/>
      <c r="C192" s="51" t="s">
        <v>184</v>
      </c>
      <c r="D192" s="51">
        <f t="shared" si="6"/>
        <v>322.70472000000001</v>
      </c>
      <c r="E192" s="51">
        <v>0</v>
      </c>
      <c r="F192" s="51">
        <f t="shared" si="7"/>
        <v>516.32755200000008</v>
      </c>
      <c r="G192" s="172"/>
      <c r="H192" s="173"/>
      <c r="I192" s="52"/>
    </row>
    <row r="193" spans="1:9" s="18" customFormat="1" ht="15.75" customHeight="1">
      <c r="A193" s="153">
        <v>16</v>
      </c>
      <c r="B193" s="155"/>
      <c r="C193" s="51" t="s">
        <v>184</v>
      </c>
      <c r="D193" s="51">
        <f t="shared" si="6"/>
        <v>322.70472000000001</v>
      </c>
      <c r="E193" s="51">
        <v>0</v>
      </c>
      <c r="F193" s="51">
        <f t="shared" si="7"/>
        <v>516.32755200000008</v>
      </c>
      <c r="G193" s="172"/>
      <c r="H193" s="173"/>
      <c r="I193" s="52"/>
    </row>
    <row r="194" spans="1:9" s="18" customFormat="1" ht="15.75" customHeight="1">
      <c r="A194" s="153">
        <v>17</v>
      </c>
      <c r="B194" s="155"/>
      <c r="C194" s="51" t="s">
        <v>184</v>
      </c>
      <c r="D194" s="51">
        <f t="shared" si="6"/>
        <v>322.70472000000001</v>
      </c>
      <c r="E194" s="51">
        <v>0</v>
      </c>
      <c r="F194" s="51">
        <f t="shared" si="7"/>
        <v>516.32755200000008</v>
      </c>
      <c r="G194" s="172"/>
      <c r="H194" s="173"/>
      <c r="I194" s="52"/>
    </row>
    <row r="195" spans="1:9" s="18" customFormat="1" ht="15.75" customHeight="1">
      <c r="A195" s="153">
        <v>18</v>
      </c>
      <c r="B195" s="155"/>
      <c r="C195" s="51" t="s">
        <v>184</v>
      </c>
      <c r="D195" s="51">
        <f t="shared" si="6"/>
        <v>322.70472000000001</v>
      </c>
      <c r="E195" s="51">
        <v>0</v>
      </c>
      <c r="F195" s="51">
        <f t="shared" si="7"/>
        <v>516.32755200000008</v>
      </c>
      <c r="G195" s="172"/>
      <c r="H195" s="173"/>
      <c r="I195" s="52"/>
    </row>
    <row r="196" spans="1:9" s="18" customFormat="1" ht="15.75" customHeight="1">
      <c r="A196" s="153">
        <v>19</v>
      </c>
      <c r="B196" s="155"/>
      <c r="C196" s="51" t="s">
        <v>184</v>
      </c>
      <c r="D196" s="51">
        <f t="shared" si="6"/>
        <v>322.70472000000001</v>
      </c>
      <c r="E196" s="51">
        <v>0</v>
      </c>
      <c r="F196" s="51">
        <f t="shared" si="7"/>
        <v>516.32755200000008</v>
      </c>
      <c r="G196" s="174"/>
      <c r="H196" s="175"/>
      <c r="I196" s="52"/>
    </row>
    <row r="197" spans="1:9" s="18" customFormat="1" ht="15.75" customHeight="1">
      <c r="A197" s="167" t="s">
        <v>188</v>
      </c>
      <c r="B197" s="168"/>
      <c r="C197" s="168"/>
      <c r="D197" s="168"/>
      <c r="E197" s="168"/>
      <c r="F197" s="168"/>
      <c r="G197" s="168"/>
      <c r="H197" s="169"/>
      <c r="I197" s="52"/>
    </row>
    <row r="198" spans="1:9" s="18" customFormat="1" ht="15.75" customHeight="1">
      <c r="A198" s="153">
        <v>1</v>
      </c>
      <c r="B198" s="155"/>
      <c r="C198" s="51" t="s">
        <v>184</v>
      </c>
      <c r="D198" s="51">
        <f>(29.98)*10.764</f>
        <v>322.70472000000001</v>
      </c>
      <c r="E198" s="51">
        <v>0</v>
      </c>
      <c r="F198" s="51">
        <f t="shared" ref="F198:F202" si="8">D198*(($F$146)+1)+(IF(E198&lt;101,E198,IF(E198&lt;201,E198/2,IF(E198&lt;=301,E198/3,E198/4))))</f>
        <v>516.32755200000008</v>
      </c>
      <c r="G198" s="170" t="str">
        <f>A197</f>
        <v>27th Floor (Part Refuge Area)</v>
      </c>
      <c r="H198" s="171"/>
      <c r="I198" s="52">
        <f>(3.95*2.75+2.825*1.736+2.9*2.75+1.05*1.8+1.8*1.05+0.9*1.16)*10.764</f>
        <v>307.48119480000003</v>
      </c>
    </row>
    <row r="199" spans="1:9" s="18" customFormat="1">
      <c r="A199" s="153">
        <v>2</v>
      </c>
      <c r="B199" s="155"/>
      <c r="C199" s="51" t="s">
        <v>184</v>
      </c>
      <c r="D199" s="51">
        <f t="shared" ref="D199:D216" si="9">(29.98)*10.764</f>
        <v>322.70472000000001</v>
      </c>
      <c r="E199" s="51">
        <v>0</v>
      </c>
      <c r="F199" s="51">
        <f t="shared" si="8"/>
        <v>516.32755200000008</v>
      </c>
      <c r="G199" s="172"/>
      <c r="H199" s="173"/>
      <c r="I199" s="52"/>
    </row>
    <row r="200" spans="1:9" s="18" customFormat="1" ht="15.75" customHeight="1">
      <c r="A200" s="153">
        <v>3</v>
      </c>
      <c r="B200" s="155"/>
      <c r="C200" s="51" t="s">
        <v>184</v>
      </c>
      <c r="D200" s="51">
        <f t="shared" si="9"/>
        <v>322.70472000000001</v>
      </c>
      <c r="E200" s="51">
        <v>0</v>
      </c>
      <c r="F200" s="51">
        <f t="shared" si="8"/>
        <v>516.32755200000008</v>
      </c>
      <c r="G200" s="172"/>
      <c r="H200" s="173"/>
      <c r="I200" s="52"/>
    </row>
    <row r="201" spans="1:9" s="18" customFormat="1" ht="15.75" customHeight="1">
      <c r="A201" s="153">
        <v>4</v>
      </c>
      <c r="B201" s="155"/>
      <c r="C201" s="51" t="s">
        <v>184</v>
      </c>
      <c r="D201" s="51">
        <f t="shared" si="9"/>
        <v>322.70472000000001</v>
      </c>
      <c r="E201" s="51">
        <v>0</v>
      </c>
      <c r="F201" s="51">
        <f t="shared" si="8"/>
        <v>516.32755200000008</v>
      </c>
      <c r="G201" s="172"/>
      <c r="H201" s="173"/>
      <c r="I201" s="52"/>
    </row>
    <row r="202" spans="1:9" s="18" customFormat="1" ht="15.75" customHeight="1">
      <c r="A202" s="153">
        <v>5</v>
      </c>
      <c r="B202" s="155"/>
      <c r="C202" s="51" t="s">
        <v>184</v>
      </c>
      <c r="D202" s="51">
        <f t="shared" si="9"/>
        <v>322.70472000000001</v>
      </c>
      <c r="E202" s="51">
        <v>0</v>
      </c>
      <c r="F202" s="51">
        <f t="shared" si="8"/>
        <v>516.32755200000008</v>
      </c>
      <c r="G202" s="172"/>
      <c r="H202" s="173"/>
      <c r="I202" s="52"/>
    </row>
    <row r="203" spans="1:9" s="18" customFormat="1" ht="15.75" customHeight="1">
      <c r="A203" s="153">
        <v>6</v>
      </c>
      <c r="B203" s="155"/>
      <c r="C203" s="153" t="s">
        <v>187</v>
      </c>
      <c r="D203" s="154"/>
      <c r="E203" s="154"/>
      <c r="F203" s="155"/>
      <c r="G203" s="172"/>
      <c r="H203" s="173"/>
      <c r="I203" s="52"/>
    </row>
    <row r="204" spans="1:9" s="18" customFormat="1" ht="15.75" customHeight="1">
      <c r="A204" s="153">
        <v>7</v>
      </c>
      <c r="B204" s="155"/>
      <c r="C204" s="51" t="s">
        <v>184</v>
      </c>
      <c r="D204" s="51">
        <f t="shared" si="9"/>
        <v>322.70472000000001</v>
      </c>
      <c r="E204" s="51">
        <v>0</v>
      </c>
      <c r="F204" s="51">
        <f t="shared" ref="F204:F216" si="10">D204*(($F$146)+1)+(IF(E204&lt;101,E204,IF(E204&lt;201,E204/2,IF(E204&lt;=301,E204/3,E204/4))))</f>
        <v>516.32755200000008</v>
      </c>
      <c r="G204" s="172"/>
      <c r="H204" s="173"/>
      <c r="I204" s="52"/>
    </row>
    <row r="205" spans="1:9" s="18" customFormat="1" ht="15.75" customHeight="1">
      <c r="A205" s="153">
        <v>8</v>
      </c>
      <c r="B205" s="155"/>
      <c r="C205" s="51" t="s">
        <v>184</v>
      </c>
      <c r="D205" s="51">
        <f t="shared" si="9"/>
        <v>322.70472000000001</v>
      </c>
      <c r="E205" s="51">
        <v>0</v>
      </c>
      <c r="F205" s="51">
        <f t="shared" si="10"/>
        <v>516.32755200000008</v>
      </c>
      <c r="G205" s="172"/>
      <c r="H205" s="173"/>
      <c r="I205" s="52"/>
    </row>
    <row r="206" spans="1:9" s="18" customFormat="1" ht="15.75" customHeight="1">
      <c r="A206" s="153">
        <v>9</v>
      </c>
      <c r="B206" s="155"/>
      <c r="C206" s="51" t="s">
        <v>184</v>
      </c>
      <c r="D206" s="51">
        <f t="shared" si="9"/>
        <v>322.70472000000001</v>
      </c>
      <c r="E206" s="51">
        <v>0</v>
      </c>
      <c r="F206" s="51">
        <f t="shared" si="10"/>
        <v>516.32755200000008</v>
      </c>
      <c r="G206" s="172"/>
      <c r="H206" s="173"/>
      <c r="I206" s="52"/>
    </row>
    <row r="207" spans="1:9" s="18" customFormat="1" ht="15.75" customHeight="1">
      <c r="A207" s="153">
        <v>10</v>
      </c>
      <c r="B207" s="155"/>
      <c r="C207" s="51" t="s">
        <v>184</v>
      </c>
      <c r="D207" s="51">
        <f t="shared" si="9"/>
        <v>322.70472000000001</v>
      </c>
      <c r="E207" s="51">
        <v>0</v>
      </c>
      <c r="F207" s="51">
        <f t="shared" si="10"/>
        <v>516.32755200000008</v>
      </c>
      <c r="G207" s="172"/>
      <c r="H207" s="173"/>
      <c r="I207" s="52"/>
    </row>
    <row r="208" spans="1:9" s="18" customFormat="1">
      <c r="A208" s="153">
        <v>11</v>
      </c>
      <c r="B208" s="155"/>
      <c r="C208" s="51" t="s">
        <v>184</v>
      </c>
      <c r="D208" s="51">
        <f t="shared" si="9"/>
        <v>322.70472000000001</v>
      </c>
      <c r="E208" s="51">
        <v>0</v>
      </c>
      <c r="F208" s="51">
        <f t="shared" si="10"/>
        <v>516.32755200000008</v>
      </c>
      <c r="G208" s="172"/>
      <c r="H208" s="173"/>
      <c r="I208" s="52"/>
    </row>
    <row r="209" spans="1:14" s="18" customFormat="1" ht="15.75" customHeight="1">
      <c r="A209" s="153">
        <v>12</v>
      </c>
      <c r="B209" s="155"/>
      <c r="C209" s="51" t="s">
        <v>184</v>
      </c>
      <c r="D209" s="51">
        <f t="shared" si="9"/>
        <v>322.70472000000001</v>
      </c>
      <c r="E209" s="51">
        <v>0</v>
      </c>
      <c r="F209" s="51">
        <f t="shared" si="10"/>
        <v>516.32755200000008</v>
      </c>
      <c r="G209" s="172"/>
      <c r="H209" s="173"/>
      <c r="I209" s="52"/>
    </row>
    <row r="210" spans="1:14" s="18" customFormat="1" ht="15.75" customHeight="1">
      <c r="A210" s="153">
        <v>13</v>
      </c>
      <c r="B210" s="155"/>
      <c r="C210" s="51" t="s">
        <v>184</v>
      </c>
      <c r="D210" s="51">
        <f t="shared" si="9"/>
        <v>322.70472000000001</v>
      </c>
      <c r="E210" s="51">
        <v>0</v>
      </c>
      <c r="F210" s="51">
        <f t="shared" si="10"/>
        <v>516.32755200000008</v>
      </c>
      <c r="G210" s="172"/>
      <c r="H210" s="173"/>
      <c r="I210" s="52"/>
    </row>
    <row r="211" spans="1:14" s="18" customFormat="1" ht="15.75" customHeight="1">
      <c r="A211" s="153">
        <v>14</v>
      </c>
      <c r="B211" s="155"/>
      <c r="C211" s="51" t="s">
        <v>184</v>
      </c>
      <c r="D211" s="51">
        <f t="shared" si="9"/>
        <v>322.70472000000001</v>
      </c>
      <c r="E211" s="51">
        <v>0</v>
      </c>
      <c r="F211" s="51">
        <f t="shared" si="10"/>
        <v>516.32755200000008</v>
      </c>
      <c r="G211" s="172"/>
      <c r="H211" s="173"/>
      <c r="I211" s="52"/>
    </row>
    <row r="212" spans="1:14" s="18" customFormat="1" ht="15.75" customHeight="1">
      <c r="A212" s="153">
        <v>15</v>
      </c>
      <c r="B212" s="155"/>
      <c r="C212" s="51" t="s">
        <v>184</v>
      </c>
      <c r="D212" s="51">
        <f t="shared" si="9"/>
        <v>322.70472000000001</v>
      </c>
      <c r="E212" s="51">
        <v>0</v>
      </c>
      <c r="F212" s="51">
        <f t="shared" si="10"/>
        <v>516.32755200000008</v>
      </c>
      <c r="G212" s="172"/>
      <c r="H212" s="173"/>
      <c r="I212" s="52"/>
    </row>
    <row r="213" spans="1:14" s="18" customFormat="1" ht="15.75" customHeight="1">
      <c r="A213" s="153">
        <v>16</v>
      </c>
      <c r="B213" s="155"/>
      <c r="C213" s="51" t="s">
        <v>184</v>
      </c>
      <c r="D213" s="51">
        <f t="shared" si="9"/>
        <v>322.70472000000001</v>
      </c>
      <c r="E213" s="51">
        <v>0</v>
      </c>
      <c r="F213" s="51">
        <f t="shared" si="10"/>
        <v>516.32755200000008</v>
      </c>
      <c r="G213" s="172"/>
      <c r="H213" s="173"/>
      <c r="I213" s="52"/>
    </row>
    <row r="214" spans="1:14" s="18" customFormat="1" ht="15.75" customHeight="1">
      <c r="A214" s="153">
        <v>17</v>
      </c>
      <c r="B214" s="155"/>
      <c r="C214" s="51" t="s">
        <v>184</v>
      </c>
      <c r="D214" s="51">
        <f t="shared" si="9"/>
        <v>322.70472000000001</v>
      </c>
      <c r="E214" s="51">
        <v>0</v>
      </c>
      <c r="F214" s="51">
        <f t="shared" si="10"/>
        <v>516.32755200000008</v>
      </c>
      <c r="G214" s="172"/>
      <c r="H214" s="173"/>
      <c r="I214" s="52"/>
    </row>
    <row r="215" spans="1:14" s="18" customFormat="1" ht="15.75" customHeight="1">
      <c r="A215" s="153">
        <v>18</v>
      </c>
      <c r="B215" s="155"/>
      <c r="C215" s="51" t="s">
        <v>184</v>
      </c>
      <c r="D215" s="51">
        <f t="shared" si="9"/>
        <v>322.70472000000001</v>
      </c>
      <c r="E215" s="51">
        <v>0</v>
      </c>
      <c r="F215" s="51">
        <f t="shared" si="10"/>
        <v>516.32755200000008</v>
      </c>
      <c r="G215" s="172"/>
      <c r="H215" s="173"/>
      <c r="I215" s="52"/>
    </row>
    <row r="216" spans="1:14" s="18" customFormat="1" ht="15.75" customHeight="1">
      <c r="A216" s="153">
        <v>19</v>
      </c>
      <c r="B216" s="155"/>
      <c r="C216" s="51" t="s">
        <v>184</v>
      </c>
      <c r="D216" s="51">
        <f t="shared" si="9"/>
        <v>322.70472000000001</v>
      </c>
      <c r="E216" s="51">
        <v>0</v>
      </c>
      <c r="F216" s="51">
        <f t="shared" si="10"/>
        <v>516.32755200000008</v>
      </c>
      <c r="G216" s="174"/>
      <c r="H216" s="175"/>
      <c r="I216" s="52"/>
    </row>
    <row r="217" spans="1:14">
      <c r="A217" s="61" t="s">
        <v>169</v>
      </c>
      <c r="B217" s="61"/>
      <c r="C217" s="61"/>
      <c r="D217" s="61"/>
      <c r="E217" s="61"/>
      <c r="F217" s="61"/>
      <c r="G217" s="61"/>
      <c r="H217" s="61"/>
    </row>
    <row r="218" spans="1:14">
      <c r="A218" s="61" t="s">
        <v>182</v>
      </c>
      <c r="B218" s="61"/>
      <c r="C218" s="61"/>
      <c r="D218" s="61"/>
      <c r="E218" s="61"/>
      <c r="F218" s="61"/>
      <c r="G218" s="61"/>
      <c r="H218" s="61"/>
    </row>
    <row r="219" spans="1:14" s="18" customFormat="1">
      <c r="A219" s="156" t="s">
        <v>183</v>
      </c>
      <c r="B219" s="156"/>
      <c r="C219" s="156"/>
      <c r="D219" s="156"/>
      <c r="E219" s="156"/>
      <c r="F219" s="156"/>
      <c r="G219" s="156"/>
      <c r="H219" s="156"/>
      <c r="I219" s="52"/>
      <c r="L219" s="157"/>
      <c r="M219" s="157"/>
    </row>
    <row r="220" spans="1:14" s="18" customFormat="1" ht="15.75" customHeight="1">
      <c r="A220" s="158">
        <v>3</v>
      </c>
      <c r="B220" s="158"/>
      <c r="C220" s="51" t="s">
        <v>184</v>
      </c>
      <c r="D220" s="51">
        <f>(32.31)*10.764</f>
        <v>347.78484000000003</v>
      </c>
      <c r="E220" s="51">
        <v>0</v>
      </c>
      <c r="F220" s="51">
        <f>D220*(($F$146)+1)+(IF(E220&lt;101,E220,IF(E220&lt;201,E220/2,IF(E220&lt;=301,E220/3,E220/4))))</f>
        <v>556.4557440000001</v>
      </c>
      <c r="G220" s="170" t="str">
        <f>A219</f>
        <v>Stilt Floor for Residential</v>
      </c>
      <c r="H220" s="171"/>
      <c r="I220" s="52"/>
      <c r="N220" s="52"/>
    </row>
    <row r="221" spans="1:14" s="18" customFormat="1">
      <c r="A221" s="158">
        <f>A220+1</f>
        <v>4</v>
      </c>
      <c r="B221" s="158"/>
      <c r="C221" s="51" t="s">
        <v>184</v>
      </c>
      <c r="D221" s="51">
        <f t="shared" ref="D221:D226" si="11">(32.31)*10.764</f>
        <v>347.78484000000003</v>
      </c>
      <c r="E221" s="51">
        <v>0</v>
      </c>
      <c r="F221" s="51">
        <f t="shared" ref="F221:F226" si="12">D221*(($F$146)+1)+(IF(E221&lt;101,E221,IF(E221&lt;201,E221/2,IF(E221&lt;=301,E221/3,E221/4))))</f>
        <v>556.4557440000001</v>
      </c>
      <c r="G221" s="172"/>
      <c r="H221" s="173"/>
      <c r="I221" s="52"/>
      <c r="N221" s="52"/>
    </row>
    <row r="222" spans="1:14" s="18" customFormat="1">
      <c r="A222" s="158">
        <f>A221+1</f>
        <v>5</v>
      </c>
      <c r="B222" s="158"/>
      <c r="C222" s="51" t="s">
        <v>184</v>
      </c>
      <c r="D222" s="51">
        <f t="shared" si="11"/>
        <v>347.78484000000003</v>
      </c>
      <c r="E222" s="51">
        <v>0</v>
      </c>
      <c r="F222" s="51">
        <f t="shared" si="12"/>
        <v>556.4557440000001</v>
      </c>
      <c r="G222" s="172"/>
      <c r="H222" s="173"/>
      <c r="I222" s="52"/>
      <c r="N222" s="52"/>
    </row>
    <row r="223" spans="1:14" s="18" customFormat="1">
      <c r="A223" s="158">
        <f>A222+1</f>
        <v>6</v>
      </c>
      <c r="B223" s="158"/>
      <c r="C223" s="51" t="s">
        <v>184</v>
      </c>
      <c r="D223" s="51">
        <f t="shared" si="11"/>
        <v>347.78484000000003</v>
      </c>
      <c r="E223" s="51">
        <v>0</v>
      </c>
      <c r="F223" s="51">
        <f t="shared" si="12"/>
        <v>556.4557440000001</v>
      </c>
      <c r="G223" s="172"/>
      <c r="H223" s="173"/>
      <c r="I223" s="52"/>
      <c r="N223" s="52"/>
    </row>
    <row r="224" spans="1:14" s="18" customFormat="1">
      <c r="A224" s="158">
        <v>9</v>
      </c>
      <c r="B224" s="158"/>
      <c r="C224" s="51" t="s">
        <v>184</v>
      </c>
      <c r="D224" s="51">
        <f t="shared" si="11"/>
        <v>347.78484000000003</v>
      </c>
      <c r="E224" s="51">
        <v>0</v>
      </c>
      <c r="F224" s="51">
        <f t="shared" si="12"/>
        <v>556.4557440000001</v>
      </c>
      <c r="G224" s="172"/>
      <c r="H224" s="173"/>
      <c r="I224" s="52"/>
      <c r="N224" s="52"/>
    </row>
    <row r="225" spans="1:14" s="18" customFormat="1">
      <c r="A225" s="158">
        <v>10</v>
      </c>
      <c r="B225" s="158"/>
      <c r="C225" s="51" t="s">
        <v>184</v>
      </c>
      <c r="D225" s="51">
        <f t="shared" si="11"/>
        <v>347.78484000000003</v>
      </c>
      <c r="E225" s="51">
        <v>0</v>
      </c>
      <c r="F225" s="51">
        <f t="shared" si="12"/>
        <v>556.4557440000001</v>
      </c>
      <c r="G225" s="172"/>
      <c r="H225" s="173"/>
      <c r="I225" s="52"/>
      <c r="N225" s="52"/>
    </row>
    <row r="226" spans="1:14" s="18" customFormat="1">
      <c r="A226" s="158">
        <v>11</v>
      </c>
      <c r="B226" s="158"/>
      <c r="C226" s="51" t="s">
        <v>184</v>
      </c>
      <c r="D226" s="51">
        <f t="shared" si="11"/>
        <v>347.78484000000003</v>
      </c>
      <c r="E226" s="51">
        <v>0</v>
      </c>
      <c r="F226" s="51">
        <f t="shared" si="12"/>
        <v>556.4557440000001</v>
      </c>
      <c r="G226" s="174"/>
      <c r="H226" s="175"/>
      <c r="I226" s="52"/>
      <c r="N226" s="52"/>
    </row>
    <row r="227" spans="1:14" s="18" customFormat="1" ht="15.75" customHeight="1">
      <c r="A227" s="167" t="s">
        <v>185</v>
      </c>
      <c r="B227" s="168"/>
      <c r="C227" s="168"/>
      <c r="D227" s="168"/>
      <c r="E227" s="168"/>
      <c r="F227" s="168"/>
      <c r="G227" s="168"/>
      <c r="H227" s="169"/>
      <c r="I227" s="52"/>
    </row>
    <row r="228" spans="1:14" s="18" customFormat="1" ht="15.75" customHeight="1">
      <c r="A228" s="153">
        <v>1</v>
      </c>
      <c r="B228" s="155"/>
      <c r="C228" s="51" t="s">
        <v>184</v>
      </c>
      <c r="D228" s="51">
        <f>(32.31)*10.764</f>
        <v>347.78484000000003</v>
      </c>
      <c r="E228" s="51">
        <v>0</v>
      </c>
      <c r="F228" s="51">
        <f t="shared" ref="F228:F241" si="13">D228*(($F$146)+1)+(IF(E228&lt;101,E228,IF(E228&lt;201,E228/2,IF(E228&lt;=301,E228/3,E228/4))))</f>
        <v>556.4557440000001</v>
      </c>
      <c r="G228" s="170" t="str">
        <f>A227</f>
        <v>1st to 6th, 8th to 11th, 13th to 16th, 18th to 21st, 23rd to 26th Floor for Residential</v>
      </c>
      <c r="H228" s="171"/>
      <c r="I228" s="52">
        <f>(3.95*2.75+2.825*1.736+2.9*2.75+1.05*1.8+1.8*1.05+0.9*1.16)*10.764</f>
        <v>307.48119480000003</v>
      </c>
    </row>
    <row r="229" spans="1:14" s="18" customFormat="1">
      <c r="A229" s="153">
        <v>2</v>
      </c>
      <c r="B229" s="155"/>
      <c r="C229" s="51" t="s">
        <v>184</v>
      </c>
      <c r="D229" s="51">
        <f t="shared" ref="D229:D241" si="14">(32.31)*10.764</f>
        <v>347.78484000000003</v>
      </c>
      <c r="E229" s="51">
        <v>0</v>
      </c>
      <c r="F229" s="51">
        <f t="shared" si="13"/>
        <v>556.4557440000001</v>
      </c>
      <c r="G229" s="172"/>
      <c r="H229" s="173"/>
      <c r="I229" s="52"/>
    </row>
    <row r="230" spans="1:14" s="18" customFormat="1" ht="15.75" customHeight="1">
      <c r="A230" s="153">
        <v>3</v>
      </c>
      <c r="B230" s="155"/>
      <c r="C230" s="51" t="s">
        <v>184</v>
      </c>
      <c r="D230" s="51">
        <f t="shared" si="14"/>
        <v>347.78484000000003</v>
      </c>
      <c r="E230" s="51">
        <v>0</v>
      </c>
      <c r="F230" s="51">
        <f t="shared" si="13"/>
        <v>556.4557440000001</v>
      </c>
      <c r="G230" s="172"/>
      <c r="H230" s="173"/>
      <c r="I230" s="52"/>
    </row>
    <row r="231" spans="1:14" s="18" customFormat="1" ht="15.75" customHeight="1">
      <c r="A231" s="153">
        <v>4</v>
      </c>
      <c r="B231" s="155"/>
      <c r="C231" s="51" t="s">
        <v>184</v>
      </c>
      <c r="D231" s="51">
        <f t="shared" si="14"/>
        <v>347.78484000000003</v>
      </c>
      <c r="E231" s="51">
        <v>0</v>
      </c>
      <c r="F231" s="51">
        <f t="shared" si="13"/>
        <v>556.4557440000001</v>
      </c>
      <c r="G231" s="172"/>
      <c r="H231" s="173"/>
      <c r="I231" s="52"/>
    </row>
    <row r="232" spans="1:14" s="18" customFormat="1" ht="15.75" customHeight="1">
      <c r="A232" s="153">
        <v>5</v>
      </c>
      <c r="B232" s="155"/>
      <c r="C232" s="51" t="s">
        <v>184</v>
      </c>
      <c r="D232" s="51">
        <f t="shared" si="14"/>
        <v>347.78484000000003</v>
      </c>
      <c r="E232" s="51">
        <v>0</v>
      </c>
      <c r="F232" s="51">
        <f t="shared" si="13"/>
        <v>556.4557440000001</v>
      </c>
      <c r="G232" s="172"/>
      <c r="H232" s="173"/>
      <c r="I232" s="52"/>
    </row>
    <row r="233" spans="1:14" s="18" customFormat="1" ht="15.75" customHeight="1">
      <c r="A233" s="153">
        <v>6</v>
      </c>
      <c r="B233" s="155"/>
      <c r="C233" s="51" t="s">
        <v>184</v>
      </c>
      <c r="D233" s="51">
        <f t="shared" si="14"/>
        <v>347.78484000000003</v>
      </c>
      <c r="E233" s="51">
        <v>0</v>
      </c>
      <c r="F233" s="51">
        <f t="shared" si="13"/>
        <v>556.4557440000001</v>
      </c>
      <c r="G233" s="172"/>
      <c r="H233" s="173"/>
      <c r="I233" s="52"/>
    </row>
    <row r="234" spans="1:14" s="18" customFormat="1" ht="15.75" customHeight="1">
      <c r="A234" s="153">
        <v>7</v>
      </c>
      <c r="B234" s="155"/>
      <c r="C234" s="51" t="s">
        <v>184</v>
      </c>
      <c r="D234" s="51">
        <f t="shared" si="14"/>
        <v>347.78484000000003</v>
      </c>
      <c r="E234" s="51">
        <v>0</v>
      </c>
      <c r="F234" s="51">
        <f t="shared" si="13"/>
        <v>556.4557440000001</v>
      </c>
      <c r="G234" s="172"/>
      <c r="H234" s="173"/>
      <c r="I234" s="52"/>
    </row>
    <row r="235" spans="1:14" s="18" customFormat="1" ht="15.75" customHeight="1">
      <c r="A235" s="153">
        <v>8</v>
      </c>
      <c r="B235" s="155"/>
      <c r="C235" s="51" t="s">
        <v>184</v>
      </c>
      <c r="D235" s="51">
        <f t="shared" si="14"/>
        <v>347.78484000000003</v>
      </c>
      <c r="E235" s="51">
        <v>0</v>
      </c>
      <c r="F235" s="51">
        <f t="shared" si="13"/>
        <v>556.4557440000001</v>
      </c>
      <c r="G235" s="172"/>
      <c r="H235" s="173"/>
      <c r="I235" s="52"/>
    </row>
    <row r="236" spans="1:14" s="18" customFormat="1" ht="15.75" customHeight="1">
      <c r="A236" s="153">
        <v>9</v>
      </c>
      <c r="B236" s="155"/>
      <c r="C236" s="51" t="s">
        <v>184</v>
      </c>
      <c r="D236" s="51">
        <f t="shared" si="14"/>
        <v>347.78484000000003</v>
      </c>
      <c r="E236" s="51">
        <v>0</v>
      </c>
      <c r="F236" s="51">
        <f t="shared" si="13"/>
        <v>556.4557440000001</v>
      </c>
      <c r="G236" s="172"/>
      <c r="H236" s="173"/>
      <c r="I236" s="52"/>
    </row>
    <row r="237" spans="1:14" s="18" customFormat="1" ht="15.75" customHeight="1">
      <c r="A237" s="153">
        <v>10</v>
      </c>
      <c r="B237" s="155"/>
      <c r="C237" s="51" t="s">
        <v>184</v>
      </c>
      <c r="D237" s="51">
        <f t="shared" si="14"/>
        <v>347.78484000000003</v>
      </c>
      <c r="E237" s="51">
        <v>0</v>
      </c>
      <c r="F237" s="51">
        <f t="shared" si="13"/>
        <v>556.4557440000001</v>
      </c>
      <c r="G237" s="172"/>
      <c r="H237" s="173"/>
      <c r="I237" s="52"/>
    </row>
    <row r="238" spans="1:14" s="18" customFormat="1">
      <c r="A238" s="153">
        <v>11</v>
      </c>
      <c r="B238" s="155"/>
      <c r="C238" s="51" t="s">
        <v>184</v>
      </c>
      <c r="D238" s="51">
        <f t="shared" si="14"/>
        <v>347.78484000000003</v>
      </c>
      <c r="E238" s="51">
        <v>0</v>
      </c>
      <c r="F238" s="51">
        <f t="shared" si="13"/>
        <v>556.4557440000001</v>
      </c>
      <c r="G238" s="172"/>
      <c r="H238" s="173"/>
      <c r="I238" s="52"/>
    </row>
    <row r="239" spans="1:14" s="18" customFormat="1" ht="15.75" customHeight="1">
      <c r="A239" s="153">
        <v>12</v>
      </c>
      <c r="B239" s="155"/>
      <c r="C239" s="51" t="s">
        <v>184</v>
      </c>
      <c r="D239" s="51">
        <f t="shared" si="14"/>
        <v>347.78484000000003</v>
      </c>
      <c r="E239" s="51">
        <v>0</v>
      </c>
      <c r="F239" s="51">
        <f t="shared" si="13"/>
        <v>556.4557440000001</v>
      </c>
      <c r="G239" s="172"/>
      <c r="H239" s="173"/>
      <c r="I239" s="52"/>
    </row>
    <row r="240" spans="1:14" s="18" customFormat="1" ht="15.75" customHeight="1">
      <c r="A240" s="153">
        <v>13</v>
      </c>
      <c r="B240" s="155"/>
      <c r="C240" s="51" t="s">
        <v>184</v>
      </c>
      <c r="D240" s="51">
        <f t="shared" si="14"/>
        <v>347.78484000000003</v>
      </c>
      <c r="E240" s="51">
        <v>0</v>
      </c>
      <c r="F240" s="51">
        <f t="shared" si="13"/>
        <v>556.4557440000001</v>
      </c>
      <c r="G240" s="172"/>
      <c r="H240" s="173"/>
      <c r="I240" s="52"/>
    </row>
    <row r="241" spans="1:9" s="18" customFormat="1" ht="15.75" customHeight="1">
      <c r="A241" s="153">
        <v>14</v>
      </c>
      <c r="B241" s="155"/>
      <c r="C241" s="51" t="s">
        <v>184</v>
      </c>
      <c r="D241" s="51">
        <f t="shared" si="14"/>
        <v>347.78484000000003</v>
      </c>
      <c r="E241" s="51">
        <v>0</v>
      </c>
      <c r="F241" s="51">
        <f t="shared" si="13"/>
        <v>556.4557440000001</v>
      </c>
      <c r="G241" s="174"/>
      <c r="H241" s="175"/>
      <c r="I241" s="52"/>
    </row>
    <row r="242" spans="1:9" s="18" customFormat="1" ht="15.75" customHeight="1">
      <c r="A242" s="167" t="s">
        <v>189</v>
      </c>
      <c r="B242" s="168"/>
      <c r="C242" s="168"/>
      <c r="D242" s="168"/>
      <c r="E242" s="168"/>
      <c r="F242" s="168"/>
      <c r="G242" s="168"/>
      <c r="H242" s="169"/>
      <c r="I242" s="52"/>
    </row>
    <row r="243" spans="1:9" s="18" customFormat="1" ht="15.75" customHeight="1">
      <c r="A243" s="153">
        <v>1</v>
      </c>
      <c r="B243" s="155"/>
      <c r="C243" s="51" t="s">
        <v>184</v>
      </c>
      <c r="D243" s="51">
        <f>(32.31)*10.764</f>
        <v>347.78484000000003</v>
      </c>
      <c r="E243" s="51">
        <v>0</v>
      </c>
      <c r="F243" s="51">
        <f t="shared" ref="F243:F247" si="15">D243*(($F$146)+1)+(IF(E243&lt;101,E243,IF(E243&lt;201,E243/2,IF(E243&lt;=301,E243/3,E243/4))))</f>
        <v>556.4557440000001</v>
      </c>
      <c r="G243" s="170" t="str">
        <f>A242</f>
        <v>7th, 12th, 17th, 22nd &amp; 27th Floor (Part Refuge Area)</v>
      </c>
      <c r="H243" s="171"/>
      <c r="I243" s="52">
        <f>(3.95*2.75+2.825*1.736+2.9*2.75+1.05*1.8+1.8*1.05+0.9*1.16)*10.764</f>
        <v>307.48119480000003</v>
      </c>
    </row>
    <row r="244" spans="1:9" s="18" customFormat="1">
      <c r="A244" s="153">
        <v>2</v>
      </c>
      <c r="B244" s="155"/>
      <c r="C244" s="51" t="s">
        <v>184</v>
      </c>
      <c r="D244" s="51">
        <f t="shared" ref="D244:D256" si="16">(32.31)*10.764</f>
        <v>347.78484000000003</v>
      </c>
      <c r="E244" s="51">
        <v>0</v>
      </c>
      <c r="F244" s="51">
        <f t="shared" si="15"/>
        <v>556.4557440000001</v>
      </c>
      <c r="G244" s="172"/>
      <c r="H244" s="173"/>
      <c r="I244" s="52"/>
    </row>
    <row r="245" spans="1:9" s="18" customFormat="1" ht="15.75" customHeight="1">
      <c r="A245" s="153">
        <v>3</v>
      </c>
      <c r="B245" s="155"/>
      <c r="C245" s="51" t="s">
        <v>184</v>
      </c>
      <c r="D245" s="51">
        <f t="shared" si="16"/>
        <v>347.78484000000003</v>
      </c>
      <c r="E245" s="51">
        <v>0</v>
      </c>
      <c r="F245" s="51">
        <f t="shared" si="15"/>
        <v>556.4557440000001</v>
      </c>
      <c r="G245" s="172"/>
      <c r="H245" s="173"/>
      <c r="I245" s="52"/>
    </row>
    <row r="246" spans="1:9" s="18" customFormat="1" ht="15.75" customHeight="1">
      <c r="A246" s="153">
        <v>4</v>
      </c>
      <c r="B246" s="155"/>
      <c r="C246" s="51" t="s">
        <v>184</v>
      </c>
      <c r="D246" s="51">
        <f t="shared" si="16"/>
        <v>347.78484000000003</v>
      </c>
      <c r="E246" s="51">
        <v>0</v>
      </c>
      <c r="F246" s="51">
        <f t="shared" si="15"/>
        <v>556.4557440000001</v>
      </c>
      <c r="G246" s="172"/>
      <c r="H246" s="173"/>
      <c r="I246" s="52"/>
    </row>
    <row r="247" spans="1:9" s="18" customFormat="1" ht="15.75" customHeight="1">
      <c r="A247" s="153">
        <v>5</v>
      </c>
      <c r="B247" s="155"/>
      <c r="C247" s="51" t="s">
        <v>184</v>
      </c>
      <c r="D247" s="51">
        <f t="shared" si="16"/>
        <v>347.78484000000003</v>
      </c>
      <c r="E247" s="51">
        <v>0</v>
      </c>
      <c r="F247" s="51">
        <f t="shared" si="15"/>
        <v>556.4557440000001</v>
      </c>
      <c r="G247" s="172"/>
      <c r="H247" s="173"/>
      <c r="I247" s="52"/>
    </row>
    <row r="248" spans="1:9" s="18" customFormat="1" ht="15.75" customHeight="1">
      <c r="A248" s="153">
        <v>6</v>
      </c>
      <c r="B248" s="155"/>
      <c r="C248" s="51" t="s">
        <v>184</v>
      </c>
      <c r="D248" s="51">
        <f t="shared" si="16"/>
        <v>347.78484000000003</v>
      </c>
      <c r="E248" s="51">
        <v>0</v>
      </c>
      <c r="F248" s="51">
        <f t="shared" ref="F248" si="17">D248*(($F$146)+1)+(IF(E248&lt;101,E248,IF(E248&lt;201,E248/2,IF(E248&lt;=301,E248/3,E248/4))))</f>
        <v>556.4557440000001</v>
      </c>
      <c r="G248" s="172"/>
      <c r="H248" s="173"/>
      <c r="I248" s="52"/>
    </row>
    <row r="249" spans="1:9" s="18" customFormat="1" ht="15.75" customHeight="1">
      <c r="A249" s="153">
        <v>7</v>
      </c>
      <c r="B249" s="155"/>
      <c r="C249" s="153" t="s">
        <v>187</v>
      </c>
      <c r="D249" s="154"/>
      <c r="E249" s="154"/>
      <c r="F249" s="155"/>
      <c r="G249" s="172"/>
      <c r="H249" s="173"/>
      <c r="I249" s="52"/>
    </row>
    <row r="250" spans="1:9" s="18" customFormat="1" ht="15.75" customHeight="1">
      <c r="A250" s="153">
        <v>8</v>
      </c>
      <c r="B250" s="155"/>
      <c r="C250" s="51" t="s">
        <v>184</v>
      </c>
      <c r="D250" s="51">
        <f t="shared" si="16"/>
        <v>347.78484000000003</v>
      </c>
      <c r="E250" s="51">
        <v>0</v>
      </c>
      <c r="F250" s="51">
        <f t="shared" ref="F250:F256" si="18">D250*(($F$146)+1)+(IF(E250&lt;101,E250,IF(E250&lt;201,E250/2,IF(E250&lt;=301,E250/3,E250/4))))</f>
        <v>556.4557440000001</v>
      </c>
      <c r="G250" s="172"/>
      <c r="H250" s="173"/>
      <c r="I250" s="52"/>
    </row>
    <row r="251" spans="1:9" s="18" customFormat="1" ht="15.75" customHeight="1">
      <c r="A251" s="153">
        <v>9</v>
      </c>
      <c r="B251" s="155"/>
      <c r="C251" s="51" t="s">
        <v>184</v>
      </c>
      <c r="D251" s="51">
        <f t="shared" si="16"/>
        <v>347.78484000000003</v>
      </c>
      <c r="E251" s="51">
        <v>0</v>
      </c>
      <c r="F251" s="51">
        <f t="shared" si="18"/>
        <v>556.4557440000001</v>
      </c>
      <c r="G251" s="172"/>
      <c r="H251" s="173"/>
      <c r="I251" s="52"/>
    </row>
    <row r="252" spans="1:9" s="18" customFormat="1" ht="15.75" customHeight="1">
      <c r="A252" s="153">
        <v>10</v>
      </c>
      <c r="B252" s="155"/>
      <c r="C252" s="51" t="s">
        <v>184</v>
      </c>
      <c r="D252" s="51">
        <f t="shared" si="16"/>
        <v>347.78484000000003</v>
      </c>
      <c r="E252" s="51">
        <v>0</v>
      </c>
      <c r="F252" s="51">
        <f t="shared" si="18"/>
        <v>556.4557440000001</v>
      </c>
      <c r="G252" s="172"/>
      <c r="H252" s="173"/>
      <c r="I252" s="52"/>
    </row>
    <row r="253" spans="1:9" s="18" customFormat="1">
      <c r="A253" s="153">
        <v>11</v>
      </c>
      <c r="B253" s="155"/>
      <c r="C253" s="51" t="s">
        <v>184</v>
      </c>
      <c r="D253" s="51">
        <f t="shared" si="16"/>
        <v>347.78484000000003</v>
      </c>
      <c r="E253" s="51">
        <v>0</v>
      </c>
      <c r="F253" s="51">
        <f t="shared" si="18"/>
        <v>556.4557440000001</v>
      </c>
      <c r="G253" s="172"/>
      <c r="H253" s="173"/>
      <c r="I253" s="52"/>
    </row>
    <row r="254" spans="1:9" s="18" customFormat="1" ht="15.75" customHeight="1">
      <c r="A254" s="153">
        <v>12</v>
      </c>
      <c r="B254" s="155"/>
      <c r="C254" s="51" t="s">
        <v>184</v>
      </c>
      <c r="D254" s="51">
        <f t="shared" si="16"/>
        <v>347.78484000000003</v>
      </c>
      <c r="E254" s="51">
        <v>0</v>
      </c>
      <c r="F254" s="51">
        <f t="shared" si="18"/>
        <v>556.4557440000001</v>
      </c>
      <c r="G254" s="172"/>
      <c r="H254" s="173"/>
      <c r="I254" s="52"/>
    </row>
    <row r="255" spans="1:9" s="18" customFormat="1" ht="15.75" customHeight="1">
      <c r="A255" s="153">
        <v>13</v>
      </c>
      <c r="B255" s="155"/>
      <c r="C255" s="51" t="s">
        <v>184</v>
      </c>
      <c r="D255" s="51">
        <f t="shared" si="16"/>
        <v>347.78484000000003</v>
      </c>
      <c r="E255" s="51">
        <v>0</v>
      </c>
      <c r="F255" s="51">
        <f t="shared" si="18"/>
        <v>556.4557440000001</v>
      </c>
      <c r="G255" s="172"/>
      <c r="H255" s="173"/>
      <c r="I255" s="52"/>
    </row>
    <row r="256" spans="1:9" s="18" customFormat="1" ht="15.75" customHeight="1">
      <c r="A256" s="153">
        <v>14</v>
      </c>
      <c r="B256" s="155"/>
      <c r="C256" s="51" t="s">
        <v>184</v>
      </c>
      <c r="D256" s="51">
        <f t="shared" si="16"/>
        <v>347.78484000000003</v>
      </c>
      <c r="E256" s="51">
        <v>0</v>
      </c>
      <c r="F256" s="51">
        <f t="shared" si="18"/>
        <v>556.4557440000001</v>
      </c>
      <c r="G256" s="174"/>
      <c r="H256" s="175"/>
      <c r="I256" s="52"/>
    </row>
    <row r="257" spans="1:14">
      <c r="A257" s="61" t="s">
        <v>170</v>
      </c>
      <c r="B257" s="61"/>
      <c r="C257" s="61"/>
      <c r="D257" s="61"/>
      <c r="E257" s="61"/>
      <c r="F257" s="61"/>
      <c r="G257" s="61"/>
      <c r="H257" s="61"/>
    </row>
    <row r="258" spans="1:14">
      <c r="A258" s="61" t="s">
        <v>182</v>
      </c>
      <c r="B258" s="61"/>
      <c r="C258" s="61"/>
      <c r="D258" s="61"/>
      <c r="E258" s="61"/>
      <c r="F258" s="61"/>
      <c r="G258" s="61"/>
      <c r="H258" s="61"/>
    </row>
    <row r="259" spans="1:14" s="18" customFormat="1">
      <c r="A259" s="156" t="s">
        <v>183</v>
      </c>
      <c r="B259" s="156"/>
      <c r="C259" s="156"/>
      <c r="D259" s="156"/>
      <c r="E259" s="156"/>
      <c r="F259" s="156"/>
      <c r="G259" s="156"/>
      <c r="H259" s="156"/>
      <c r="I259" s="52"/>
      <c r="L259" s="157"/>
      <c r="M259" s="157"/>
    </row>
    <row r="260" spans="1:14" s="18" customFormat="1" ht="15.75" customHeight="1">
      <c r="A260" s="158">
        <v>3</v>
      </c>
      <c r="B260" s="158"/>
      <c r="C260" s="51" t="s">
        <v>184</v>
      </c>
      <c r="D260" s="51">
        <f>(32.31)*10.764</f>
        <v>347.78484000000003</v>
      </c>
      <c r="E260" s="51">
        <v>0</v>
      </c>
      <c r="F260" s="51">
        <f>D260*(($F$146)+1)+(IF(E260&lt;101,E260,IF(E260&lt;201,E260/2,IF(E260&lt;=301,E260/3,E260/4))))</f>
        <v>556.4557440000001</v>
      </c>
      <c r="G260" s="170" t="str">
        <f>A259</f>
        <v>Stilt Floor for Residential</v>
      </c>
      <c r="H260" s="171"/>
      <c r="I260" s="52"/>
      <c r="N260" s="52"/>
    </row>
    <row r="261" spans="1:14" s="18" customFormat="1">
      <c r="A261" s="158">
        <f>A260+1</f>
        <v>4</v>
      </c>
      <c r="B261" s="158"/>
      <c r="C261" s="51" t="s">
        <v>184</v>
      </c>
      <c r="D261" s="51">
        <f t="shared" ref="D261:D266" si="19">(32.31)*10.764</f>
        <v>347.78484000000003</v>
      </c>
      <c r="E261" s="51">
        <v>0</v>
      </c>
      <c r="F261" s="51">
        <f t="shared" ref="F261:F266" si="20">D261*(($F$146)+1)+(IF(E261&lt;101,E261,IF(E261&lt;201,E261/2,IF(E261&lt;=301,E261/3,E261/4))))</f>
        <v>556.4557440000001</v>
      </c>
      <c r="G261" s="172"/>
      <c r="H261" s="173"/>
      <c r="I261" s="52"/>
      <c r="N261" s="52"/>
    </row>
    <row r="262" spans="1:14" s="18" customFormat="1">
      <c r="A262" s="158">
        <f>A261+1</f>
        <v>5</v>
      </c>
      <c r="B262" s="158"/>
      <c r="C262" s="51" t="s">
        <v>184</v>
      </c>
      <c r="D262" s="51">
        <f t="shared" si="19"/>
        <v>347.78484000000003</v>
      </c>
      <c r="E262" s="51">
        <v>0</v>
      </c>
      <c r="F262" s="51">
        <f t="shared" si="20"/>
        <v>556.4557440000001</v>
      </c>
      <c r="G262" s="172"/>
      <c r="H262" s="173"/>
      <c r="I262" s="52"/>
      <c r="N262" s="52"/>
    </row>
    <row r="263" spans="1:14" s="18" customFormat="1">
      <c r="A263" s="158">
        <f>A262+1</f>
        <v>6</v>
      </c>
      <c r="B263" s="158"/>
      <c r="C263" s="51" t="s">
        <v>184</v>
      </c>
      <c r="D263" s="51">
        <f t="shared" si="19"/>
        <v>347.78484000000003</v>
      </c>
      <c r="E263" s="51">
        <v>0</v>
      </c>
      <c r="F263" s="51">
        <f t="shared" si="20"/>
        <v>556.4557440000001</v>
      </c>
      <c r="G263" s="172"/>
      <c r="H263" s="173"/>
      <c r="I263" s="52"/>
      <c r="N263" s="52"/>
    </row>
    <row r="264" spans="1:14" s="18" customFormat="1">
      <c r="A264" s="158">
        <v>9</v>
      </c>
      <c r="B264" s="158"/>
      <c r="C264" s="51" t="s">
        <v>184</v>
      </c>
      <c r="D264" s="51">
        <f t="shared" si="19"/>
        <v>347.78484000000003</v>
      </c>
      <c r="E264" s="51">
        <v>0</v>
      </c>
      <c r="F264" s="51">
        <f t="shared" si="20"/>
        <v>556.4557440000001</v>
      </c>
      <c r="G264" s="172"/>
      <c r="H264" s="173"/>
      <c r="I264" s="52"/>
      <c r="N264" s="52"/>
    </row>
    <row r="265" spans="1:14" s="18" customFormat="1">
      <c r="A265" s="158">
        <v>10</v>
      </c>
      <c r="B265" s="158"/>
      <c r="C265" s="51" t="s">
        <v>184</v>
      </c>
      <c r="D265" s="51">
        <f t="shared" si="19"/>
        <v>347.78484000000003</v>
      </c>
      <c r="E265" s="51">
        <v>0</v>
      </c>
      <c r="F265" s="51">
        <f t="shared" si="20"/>
        <v>556.4557440000001</v>
      </c>
      <c r="G265" s="172"/>
      <c r="H265" s="173"/>
      <c r="I265" s="52"/>
      <c r="N265" s="52"/>
    </row>
    <row r="266" spans="1:14" s="18" customFormat="1">
      <c r="A266" s="158">
        <v>11</v>
      </c>
      <c r="B266" s="158"/>
      <c r="C266" s="51" t="s">
        <v>184</v>
      </c>
      <c r="D266" s="51">
        <f t="shared" si="19"/>
        <v>347.78484000000003</v>
      </c>
      <c r="E266" s="51">
        <v>0</v>
      </c>
      <c r="F266" s="51">
        <f t="shared" si="20"/>
        <v>556.4557440000001</v>
      </c>
      <c r="G266" s="174"/>
      <c r="H266" s="175"/>
      <c r="I266" s="52"/>
      <c r="N266" s="52"/>
    </row>
    <row r="267" spans="1:14" s="18" customFormat="1" ht="15.75" customHeight="1">
      <c r="A267" s="167" t="s">
        <v>185</v>
      </c>
      <c r="B267" s="168"/>
      <c r="C267" s="168"/>
      <c r="D267" s="168"/>
      <c r="E267" s="168"/>
      <c r="F267" s="168"/>
      <c r="G267" s="168"/>
      <c r="H267" s="169"/>
      <c r="I267" s="52"/>
    </row>
    <row r="268" spans="1:14" s="18" customFormat="1" ht="15.75" customHeight="1">
      <c r="A268" s="153">
        <v>1</v>
      </c>
      <c r="B268" s="155"/>
      <c r="C268" s="51" t="s">
        <v>184</v>
      </c>
      <c r="D268" s="51">
        <f>(32.31)*10.764</f>
        <v>347.78484000000003</v>
      </c>
      <c r="E268" s="51">
        <v>0</v>
      </c>
      <c r="F268" s="51">
        <f t="shared" ref="F268:F281" si="21">D268*(($F$146)+1)+(IF(E268&lt;101,E268,IF(E268&lt;201,E268/2,IF(E268&lt;=301,E268/3,E268/4))))</f>
        <v>556.4557440000001</v>
      </c>
      <c r="G268" s="170" t="str">
        <f>A267</f>
        <v>1st to 6th, 8th to 11th, 13th to 16th, 18th to 21st, 23rd to 26th Floor for Residential</v>
      </c>
      <c r="H268" s="171"/>
      <c r="I268" s="52">
        <f>(3.95*2.75+2.825*1.736+2.9*2.75+1.05*1.8+1.8*1.05+0.9*1.16)*10.764</f>
        <v>307.48119480000003</v>
      </c>
    </row>
    <row r="269" spans="1:14" s="18" customFormat="1">
      <c r="A269" s="153">
        <v>2</v>
      </c>
      <c r="B269" s="155"/>
      <c r="C269" s="51" t="s">
        <v>184</v>
      </c>
      <c r="D269" s="51">
        <f t="shared" ref="D269:D281" si="22">(32.31)*10.764</f>
        <v>347.78484000000003</v>
      </c>
      <c r="E269" s="51">
        <v>0</v>
      </c>
      <c r="F269" s="51">
        <f t="shared" si="21"/>
        <v>556.4557440000001</v>
      </c>
      <c r="G269" s="172"/>
      <c r="H269" s="173"/>
      <c r="I269" s="52"/>
    </row>
    <row r="270" spans="1:14" s="18" customFormat="1" ht="15.75" customHeight="1">
      <c r="A270" s="153">
        <v>3</v>
      </c>
      <c r="B270" s="155"/>
      <c r="C270" s="51" t="s">
        <v>184</v>
      </c>
      <c r="D270" s="51">
        <f t="shared" si="22"/>
        <v>347.78484000000003</v>
      </c>
      <c r="E270" s="51">
        <v>0</v>
      </c>
      <c r="F270" s="51">
        <f t="shared" si="21"/>
        <v>556.4557440000001</v>
      </c>
      <c r="G270" s="172"/>
      <c r="H270" s="173"/>
      <c r="I270" s="52"/>
    </row>
    <row r="271" spans="1:14" s="18" customFormat="1" ht="15.75" customHeight="1">
      <c r="A271" s="153">
        <v>4</v>
      </c>
      <c r="B271" s="155"/>
      <c r="C271" s="51" t="s">
        <v>184</v>
      </c>
      <c r="D271" s="51">
        <f t="shared" si="22"/>
        <v>347.78484000000003</v>
      </c>
      <c r="E271" s="51">
        <v>0</v>
      </c>
      <c r="F271" s="51">
        <f t="shared" si="21"/>
        <v>556.4557440000001</v>
      </c>
      <c r="G271" s="172"/>
      <c r="H271" s="173"/>
      <c r="I271" s="52"/>
    </row>
    <row r="272" spans="1:14" s="18" customFormat="1" ht="15.75" customHeight="1">
      <c r="A272" s="153">
        <v>5</v>
      </c>
      <c r="B272" s="155"/>
      <c r="C272" s="51" t="s">
        <v>184</v>
      </c>
      <c r="D272" s="51">
        <f t="shared" si="22"/>
        <v>347.78484000000003</v>
      </c>
      <c r="E272" s="51">
        <v>0</v>
      </c>
      <c r="F272" s="51">
        <f t="shared" si="21"/>
        <v>556.4557440000001</v>
      </c>
      <c r="G272" s="172"/>
      <c r="H272" s="173"/>
      <c r="I272" s="52"/>
    </row>
    <row r="273" spans="1:9" s="18" customFormat="1" ht="15.75" customHeight="1">
      <c r="A273" s="153">
        <v>6</v>
      </c>
      <c r="B273" s="155"/>
      <c r="C273" s="51" t="s">
        <v>184</v>
      </c>
      <c r="D273" s="51">
        <f t="shared" si="22"/>
        <v>347.78484000000003</v>
      </c>
      <c r="E273" s="51">
        <v>0</v>
      </c>
      <c r="F273" s="51">
        <f t="shared" si="21"/>
        <v>556.4557440000001</v>
      </c>
      <c r="G273" s="172"/>
      <c r="H273" s="173"/>
      <c r="I273" s="52"/>
    </row>
    <row r="274" spans="1:9" s="18" customFormat="1" ht="15.75" customHeight="1">
      <c r="A274" s="153">
        <v>7</v>
      </c>
      <c r="B274" s="155"/>
      <c r="C274" s="51" t="s">
        <v>184</v>
      </c>
      <c r="D274" s="51">
        <f t="shared" si="22"/>
        <v>347.78484000000003</v>
      </c>
      <c r="E274" s="51">
        <v>0</v>
      </c>
      <c r="F274" s="51">
        <f t="shared" si="21"/>
        <v>556.4557440000001</v>
      </c>
      <c r="G274" s="172"/>
      <c r="H274" s="173"/>
      <c r="I274" s="52"/>
    </row>
    <row r="275" spans="1:9" s="18" customFormat="1" ht="15.75" customHeight="1">
      <c r="A275" s="153">
        <v>8</v>
      </c>
      <c r="B275" s="155"/>
      <c r="C275" s="51" t="s">
        <v>184</v>
      </c>
      <c r="D275" s="51">
        <f t="shared" si="22"/>
        <v>347.78484000000003</v>
      </c>
      <c r="E275" s="51">
        <v>0</v>
      </c>
      <c r="F275" s="51">
        <f t="shared" si="21"/>
        <v>556.4557440000001</v>
      </c>
      <c r="G275" s="172"/>
      <c r="H275" s="173"/>
      <c r="I275" s="52"/>
    </row>
    <row r="276" spans="1:9" s="18" customFormat="1" ht="15.75" customHeight="1">
      <c r="A276" s="153">
        <v>9</v>
      </c>
      <c r="B276" s="155"/>
      <c r="C276" s="51" t="s">
        <v>184</v>
      </c>
      <c r="D276" s="51">
        <f t="shared" si="22"/>
        <v>347.78484000000003</v>
      </c>
      <c r="E276" s="51">
        <v>0</v>
      </c>
      <c r="F276" s="51">
        <f t="shared" si="21"/>
        <v>556.4557440000001</v>
      </c>
      <c r="G276" s="172"/>
      <c r="H276" s="173"/>
      <c r="I276" s="52"/>
    </row>
    <row r="277" spans="1:9" s="18" customFormat="1" ht="15.75" customHeight="1">
      <c r="A277" s="153">
        <v>10</v>
      </c>
      <c r="B277" s="155"/>
      <c r="C277" s="51" t="s">
        <v>184</v>
      </c>
      <c r="D277" s="51">
        <f t="shared" si="22"/>
        <v>347.78484000000003</v>
      </c>
      <c r="E277" s="51">
        <v>0</v>
      </c>
      <c r="F277" s="51">
        <f t="shared" si="21"/>
        <v>556.4557440000001</v>
      </c>
      <c r="G277" s="172"/>
      <c r="H277" s="173"/>
      <c r="I277" s="52"/>
    </row>
    <row r="278" spans="1:9" s="18" customFormat="1">
      <c r="A278" s="153">
        <v>11</v>
      </c>
      <c r="B278" s="155"/>
      <c r="C278" s="51" t="s">
        <v>184</v>
      </c>
      <c r="D278" s="51">
        <f t="shared" si="22"/>
        <v>347.78484000000003</v>
      </c>
      <c r="E278" s="51">
        <v>0</v>
      </c>
      <c r="F278" s="51">
        <f t="shared" si="21"/>
        <v>556.4557440000001</v>
      </c>
      <c r="G278" s="172"/>
      <c r="H278" s="173"/>
      <c r="I278" s="52"/>
    </row>
    <row r="279" spans="1:9" s="18" customFormat="1" ht="15.75" customHeight="1">
      <c r="A279" s="153">
        <v>12</v>
      </c>
      <c r="B279" s="155"/>
      <c r="C279" s="51" t="s">
        <v>184</v>
      </c>
      <c r="D279" s="51">
        <f t="shared" si="22"/>
        <v>347.78484000000003</v>
      </c>
      <c r="E279" s="51">
        <v>0</v>
      </c>
      <c r="F279" s="51">
        <f t="shared" si="21"/>
        <v>556.4557440000001</v>
      </c>
      <c r="G279" s="172"/>
      <c r="H279" s="173"/>
      <c r="I279" s="52"/>
    </row>
    <row r="280" spans="1:9" s="18" customFormat="1" ht="15.75" customHeight="1">
      <c r="A280" s="153">
        <v>13</v>
      </c>
      <c r="B280" s="155"/>
      <c r="C280" s="51" t="s">
        <v>184</v>
      </c>
      <c r="D280" s="51">
        <f t="shared" si="22"/>
        <v>347.78484000000003</v>
      </c>
      <c r="E280" s="51">
        <v>0</v>
      </c>
      <c r="F280" s="51">
        <f t="shared" si="21"/>
        <v>556.4557440000001</v>
      </c>
      <c r="G280" s="172"/>
      <c r="H280" s="173"/>
      <c r="I280" s="52"/>
    </row>
    <row r="281" spans="1:9" s="18" customFormat="1" ht="15.75" customHeight="1">
      <c r="A281" s="153">
        <v>14</v>
      </c>
      <c r="B281" s="155"/>
      <c r="C281" s="51" t="s">
        <v>184</v>
      </c>
      <c r="D281" s="51">
        <f t="shared" si="22"/>
        <v>347.78484000000003</v>
      </c>
      <c r="E281" s="51">
        <v>0</v>
      </c>
      <c r="F281" s="51">
        <f t="shared" si="21"/>
        <v>556.4557440000001</v>
      </c>
      <c r="G281" s="174"/>
      <c r="H281" s="175"/>
      <c r="I281" s="52"/>
    </row>
    <row r="282" spans="1:9" s="18" customFormat="1" ht="15.75" customHeight="1">
      <c r="A282" s="167" t="s">
        <v>189</v>
      </c>
      <c r="B282" s="168"/>
      <c r="C282" s="168"/>
      <c r="D282" s="168"/>
      <c r="E282" s="168"/>
      <c r="F282" s="168"/>
      <c r="G282" s="168"/>
      <c r="H282" s="169"/>
      <c r="I282" s="52"/>
    </row>
    <row r="283" spans="1:9" s="18" customFormat="1" ht="15.75" customHeight="1">
      <c r="A283" s="153">
        <v>1</v>
      </c>
      <c r="B283" s="155"/>
      <c r="C283" s="51" t="s">
        <v>184</v>
      </c>
      <c r="D283" s="51">
        <f>(32.31)*10.764</f>
        <v>347.78484000000003</v>
      </c>
      <c r="E283" s="51">
        <v>0</v>
      </c>
      <c r="F283" s="51">
        <f t="shared" ref="F283:F288" si="23">D283*(($F$146)+1)+(IF(E283&lt;101,E283,IF(E283&lt;201,E283/2,IF(E283&lt;=301,E283/3,E283/4))))</f>
        <v>556.4557440000001</v>
      </c>
      <c r="G283" s="170" t="str">
        <f>A282</f>
        <v>7th, 12th, 17th, 22nd &amp; 27th Floor (Part Refuge Area)</v>
      </c>
      <c r="H283" s="171"/>
      <c r="I283" s="52">
        <f>(3.95*2.75+2.825*1.736+2.9*2.75+1.05*1.8+1.8*1.05+0.9*1.16)*10.764</f>
        <v>307.48119480000003</v>
      </c>
    </row>
    <row r="284" spans="1:9" s="18" customFormat="1">
      <c r="A284" s="153">
        <v>2</v>
      </c>
      <c r="B284" s="155"/>
      <c r="C284" s="51" t="s">
        <v>184</v>
      </c>
      <c r="D284" s="51">
        <f t="shared" ref="D284:D296" si="24">(32.31)*10.764</f>
        <v>347.78484000000003</v>
      </c>
      <c r="E284" s="51">
        <v>0</v>
      </c>
      <c r="F284" s="51">
        <f t="shared" si="23"/>
        <v>556.4557440000001</v>
      </c>
      <c r="G284" s="172"/>
      <c r="H284" s="173"/>
      <c r="I284" s="52"/>
    </row>
    <row r="285" spans="1:9" s="18" customFormat="1" ht="15.75" customHeight="1">
      <c r="A285" s="153">
        <v>3</v>
      </c>
      <c r="B285" s="155"/>
      <c r="C285" s="51" t="s">
        <v>184</v>
      </c>
      <c r="D285" s="51">
        <f t="shared" si="24"/>
        <v>347.78484000000003</v>
      </c>
      <c r="E285" s="51">
        <v>0</v>
      </c>
      <c r="F285" s="51">
        <f t="shared" si="23"/>
        <v>556.4557440000001</v>
      </c>
      <c r="G285" s="172"/>
      <c r="H285" s="173"/>
      <c r="I285" s="52"/>
    </row>
    <row r="286" spans="1:9" s="18" customFormat="1" ht="15.75" customHeight="1">
      <c r="A286" s="153">
        <v>4</v>
      </c>
      <c r="B286" s="155"/>
      <c r="C286" s="51" t="s">
        <v>184</v>
      </c>
      <c r="D286" s="51">
        <f t="shared" si="24"/>
        <v>347.78484000000003</v>
      </c>
      <c r="E286" s="51">
        <v>0</v>
      </c>
      <c r="F286" s="51">
        <f t="shared" si="23"/>
        <v>556.4557440000001</v>
      </c>
      <c r="G286" s="172"/>
      <c r="H286" s="173"/>
      <c r="I286" s="52"/>
    </row>
    <row r="287" spans="1:9" s="18" customFormat="1" ht="15.75" customHeight="1">
      <c r="A287" s="153">
        <v>5</v>
      </c>
      <c r="B287" s="155"/>
      <c r="C287" s="51" t="s">
        <v>184</v>
      </c>
      <c r="D287" s="51">
        <f t="shared" si="24"/>
        <v>347.78484000000003</v>
      </c>
      <c r="E287" s="51">
        <v>0</v>
      </c>
      <c r="F287" s="51">
        <f t="shared" si="23"/>
        <v>556.4557440000001</v>
      </c>
      <c r="G287" s="172"/>
      <c r="H287" s="173"/>
      <c r="I287" s="52"/>
    </row>
    <row r="288" spans="1:9" s="18" customFormat="1" ht="15.75" customHeight="1">
      <c r="A288" s="153">
        <v>6</v>
      </c>
      <c r="B288" s="155"/>
      <c r="C288" s="51" t="s">
        <v>184</v>
      </c>
      <c r="D288" s="51">
        <f t="shared" si="24"/>
        <v>347.78484000000003</v>
      </c>
      <c r="E288" s="51">
        <v>0</v>
      </c>
      <c r="F288" s="51">
        <f t="shared" si="23"/>
        <v>556.4557440000001</v>
      </c>
      <c r="G288" s="172"/>
      <c r="H288" s="173"/>
      <c r="I288" s="52"/>
    </row>
    <row r="289" spans="1:14" s="18" customFormat="1" ht="15.75" customHeight="1">
      <c r="A289" s="153">
        <v>7</v>
      </c>
      <c r="B289" s="155"/>
      <c r="C289" s="153" t="s">
        <v>187</v>
      </c>
      <c r="D289" s="154"/>
      <c r="E289" s="154"/>
      <c r="F289" s="155"/>
      <c r="G289" s="172"/>
      <c r="H289" s="173"/>
      <c r="I289" s="52"/>
    </row>
    <row r="290" spans="1:14" s="18" customFormat="1" ht="15.75" customHeight="1">
      <c r="A290" s="153">
        <v>8</v>
      </c>
      <c r="B290" s="155"/>
      <c r="C290" s="51" t="s">
        <v>184</v>
      </c>
      <c r="D290" s="51">
        <f t="shared" si="24"/>
        <v>347.78484000000003</v>
      </c>
      <c r="E290" s="51">
        <v>0</v>
      </c>
      <c r="F290" s="51">
        <f t="shared" ref="F290:F296" si="25">D290*(($F$146)+1)+(IF(E290&lt;101,E290,IF(E290&lt;201,E290/2,IF(E290&lt;=301,E290/3,E290/4))))</f>
        <v>556.4557440000001</v>
      </c>
      <c r="G290" s="172"/>
      <c r="H290" s="173"/>
      <c r="I290" s="52"/>
    </row>
    <row r="291" spans="1:14" s="18" customFormat="1" ht="15.75" customHeight="1">
      <c r="A291" s="153">
        <v>9</v>
      </c>
      <c r="B291" s="155"/>
      <c r="C291" s="51" t="s">
        <v>184</v>
      </c>
      <c r="D291" s="51">
        <f t="shared" si="24"/>
        <v>347.78484000000003</v>
      </c>
      <c r="E291" s="51">
        <v>0</v>
      </c>
      <c r="F291" s="51">
        <f t="shared" si="25"/>
        <v>556.4557440000001</v>
      </c>
      <c r="G291" s="172"/>
      <c r="H291" s="173"/>
      <c r="I291" s="52"/>
    </row>
    <row r="292" spans="1:14" s="18" customFormat="1" ht="15.75" customHeight="1">
      <c r="A292" s="153">
        <v>10</v>
      </c>
      <c r="B292" s="155"/>
      <c r="C292" s="51" t="s">
        <v>184</v>
      </c>
      <c r="D292" s="51">
        <f t="shared" si="24"/>
        <v>347.78484000000003</v>
      </c>
      <c r="E292" s="51">
        <v>0</v>
      </c>
      <c r="F292" s="51">
        <f t="shared" si="25"/>
        <v>556.4557440000001</v>
      </c>
      <c r="G292" s="172"/>
      <c r="H292" s="173"/>
      <c r="I292" s="52"/>
    </row>
    <row r="293" spans="1:14" s="18" customFormat="1">
      <c r="A293" s="153">
        <v>11</v>
      </c>
      <c r="B293" s="155"/>
      <c r="C293" s="51" t="s">
        <v>184</v>
      </c>
      <c r="D293" s="51">
        <f t="shared" si="24"/>
        <v>347.78484000000003</v>
      </c>
      <c r="E293" s="51">
        <v>0</v>
      </c>
      <c r="F293" s="51">
        <f t="shared" si="25"/>
        <v>556.4557440000001</v>
      </c>
      <c r="G293" s="172"/>
      <c r="H293" s="173"/>
      <c r="I293" s="52"/>
    </row>
    <row r="294" spans="1:14" s="18" customFormat="1" ht="15.75" customHeight="1">
      <c r="A294" s="153">
        <v>12</v>
      </c>
      <c r="B294" s="155"/>
      <c r="C294" s="51" t="s">
        <v>184</v>
      </c>
      <c r="D294" s="51">
        <f t="shared" si="24"/>
        <v>347.78484000000003</v>
      </c>
      <c r="E294" s="51">
        <v>0</v>
      </c>
      <c r="F294" s="51">
        <f t="shared" si="25"/>
        <v>556.4557440000001</v>
      </c>
      <c r="G294" s="172"/>
      <c r="H294" s="173"/>
      <c r="I294" s="52"/>
    </row>
    <row r="295" spans="1:14" s="18" customFormat="1" ht="15.75" customHeight="1">
      <c r="A295" s="153">
        <v>13</v>
      </c>
      <c r="B295" s="155"/>
      <c r="C295" s="51" t="s">
        <v>184</v>
      </c>
      <c r="D295" s="51">
        <f t="shared" si="24"/>
        <v>347.78484000000003</v>
      </c>
      <c r="E295" s="51">
        <v>0</v>
      </c>
      <c r="F295" s="51">
        <f t="shared" si="25"/>
        <v>556.4557440000001</v>
      </c>
      <c r="G295" s="172"/>
      <c r="H295" s="173"/>
      <c r="I295" s="52"/>
    </row>
    <row r="296" spans="1:14" s="18" customFormat="1" ht="15.75" customHeight="1">
      <c r="A296" s="153">
        <v>14</v>
      </c>
      <c r="B296" s="155"/>
      <c r="C296" s="51" t="s">
        <v>184</v>
      </c>
      <c r="D296" s="51">
        <f t="shared" si="24"/>
        <v>347.78484000000003</v>
      </c>
      <c r="E296" s="51">
        <v>0</v>
      </c>
      <c r="F296" s="51">
        <f t="shared" si="25"/>
        <v>556.4557440000001</v>
      </c>
      <c r="G296" s="174"/>
      <c r="H296" s="175"/>
      <c r="I296" s="52"/>
    </row>
    <row r="297" spans="1:14">
      <c r="A297" s="61" t="s">
        <v>171</v>
      </c>
      <c r="B297" s="61"/>
      <c r="C297" s="61"/>
      <c r="D297" s="61"/>
      <c r="E297" s="61"/>
      <c r="F297" s="61"/>
      <c r="G297" s="61"/>
      <c r="H297" s="61"/>
    </row>
    <row r="298" spans="1:14">
      <c r="A298" s="61" t="s">
        <v>182</v>
      </c>
      <c r="B298" s="61"/>
      <c r="C298" s="61"/>
      <c r="D298" s="61"/>
      <c r="E298" s="61"/>
      <c r="F298" s="61"/>
      <c r="G298" s="61"/>
      <c r="H298" s="61"/>
    </row>
    <row r="299" spans="1:14" s="18" customFormat="1">
      <c r="A299" s="156" t="s">
        <v>183</v>
      </c>
      <c r="B299" s="156"/>
      <c r="C299" s="156"/>
      <c r="D299" s="156"/>
      <c r="E299" s="156"/>
      <c r="F299" s="156"/>
      <c r="G299" s="156"/>
      <c r="H299" s="156"/>
      <c r="I299" s="52"/>
      <c r="L299" s="157"/>
      <c r="M299" s="157"/>
    </row>
    <row r="300" spans="1:14" s="18" customFormat="1" ht="15.75" customHeight="1">
      <c r="A300" s="158">
        <v>4</v>
      </c>
      <c r="B300" s="158"/>
      <c r="C300" s="51" t="s">
        <v>184</v>
      </c>
      <c r="D300" s="51">
        <f>(29.98)*10.764</f>
        <v>322.70472000000001</v>
      </c>
      <c r="E300" s="51">
        <v>0</v>
      </c>
      <c r="F300" s="51">
        <f>D300*(($F$146)+1)+(IF(E300&lt;101,E300,IF(E300&lt;201,E300/2,IF(E300&lt;=301,E300/3,E300/4))))</f>
        <v>516.32755200000008</v>
      </c>
      <c r="G300" s="170" t="str">
        <f>A299</f>
        <v>Stilt Floor for Residential</v>
      </c>
      <c r="H300" s="171"/>
      <c r="I300" s="52"/>
      <c r="N300" s="52"/>
    </row>
    <row r="301" spans="1:14" s="18" customFormat="1">
      <c r="A301" s="158">
        <v>7</v>
      </c>
      <c r="B301" s="158"/>
      <c r="C301" s="51" t="s">
        <v>184</v>
      </c>
      <c r="D301" s="51">
        <f t="shared" ref="D301:D304" si="26">(29.98)*10.764</f>
        <v>322.70472000000001</v>
      </c>
      <c r="E301" s="51">
        <v>0</v>
      </c>
      <c r="F301" s="51">
        <f>D301*(($F$146)+1)+(IF(E301&lt;101,E301,IF(E301&lt;201,E301/2,IF(E301&lt;=301,E301/3,E301/4))))</f>
        <v>516.32755200000008</v>
      </c>
      <c r="G301" s="172"/>
      <c r="H301" s="173"/>
      <c r="I301" s="52"/>
      <c r="N301" s="52"/>
    </row>
    <row r="302" spans="1:14" s="18" customFormat="1">
      <c r="A302" s="158">
        <v>8</v>
      </c>
      <c r="B302" s="158"/>
      <c r="C302" s="51" t="s">
        <v>184</v>
      </c>
      <c r="D302" s="51">
        <f t="shared" si="26"/>
        <v>322.70472000000001</v>
      </c>
      <c r="E302" s="51">
        <v>0</v>
      </c>
      <c r="F302" s="51">
        <f>D302*(($F$146)+1)+(IF(E302&lt;101,E302,IF(E302&lt;201,E302/2,IF(E302&lt;=301,E302/3,E302/4))))</f>
        <v>516.32755200000008</v>
      </c>
      <c r="G302" s="172"/>
      <c r="H302" s="173"/>
      <c r="I302" s="52"/>
      <c r="N302" s="52"/>
    </row>
    <row r="303" spans="1:14" s="18" customFormat="1">
      <c r="A303" s="158">
        <v>9</v>
      </c>
      <c r="B303" s="158"/>
      <c r="C303" s="51" t="s">
        <v>184</v>
      </c>
      <c r="D303" s="51">
        <f t="shared" si="26"/>
        <v>322.70472000000001</v>
      </c>
      <c r="E303" s="51">
        <v>0</v>
      </c>
      <c r="F303" s="51">
        <f>D303*(($F$146)+1)+(IF(E303&lt;101,E303,IF(E303&lt;201,E303/2,IF(E303&lt;=301,E303/3,E303/4))))</f>
        <v>516.32755200000008</v>
      </c>
      <c r="G303" s="172"/>
      <c r="H303" s="173"/>
      <c r="I303" s="52"/>
      <c r="N303" s="52"/>
    </row>
    <row r="304" spans="1:14" s="18" customFormat="1">
      <c r="A304" s="158">
        <v>10</v>
      </c>
      <c r="B304" s="158"/>
      <c r="C304" s="51" t="s">
        <v>184</v>
      </c>
      <c r="D304" s="51">
        <f t="shared" si="26"/>
        <v>322.70472000000001</v>
      </c>
      <c r="E304" s="51">
        <v>0</v>
      </c>
      <c r="F304" s="51">
        <f>D304*(($F$146)+1)+(IF(E304&lt;101,E304,IF(E304&lt;201,E304/2,IF(E304&lt;=301,E304/3,E304/4))))</f>
        <v>516.32755200000008</v>
      </c>
      <c r="G304" s="174"/>
      <c r="H304" s="175"/>
      <c r="I304" s="52"/>
      <c r="N304" s="52"/>
    </row>
    <row r="305" spans="1:9" s="18" customFormat="1" ht="15.75" customHeight="1">
      <c r="A305" s="167" t="s">
        <v>185</v>
      </c>
      <c r="B305" s="168"/>
      <c r="C305" s="168"/>
      <c r="D305" s="168"/>
      <c r="E305" s="168"/>
      <c r="F305" s="168"/>
      <c r="G305" s="168"/>
      <c r="H305" s="169"/>
      <c r="I305" s="52"/>
    </row>
    <row r="306" spans="1:9" s="18" customFormat="1" ht="15.75" customHeight="1">
      <c r="A306" s="153">
        <v>1</v>
      </c>
      <c r="B306" s="155"/>
      <c r="C306" s="51" t="s">
        <v>184</v>
      </c>
      <c r="D306" s="51">
        <f>(29.98)*10.764</f>
        <v>322.70472000000001</v>
      </c>
      <c r="E306" s="51">
        <v>0</v>
      </c>
      <c r="F306" s="51">
        <f t="shared" ref="F306:F317" si="27">D306*(($F$146)+1)+(IF(E306&lt;101,E306,IF(E306&lt;201,E306/2,IF(E306&lt;=301,E306/3,E306/4))))</f>
        <v>516.32755200000008</v>
      </c>
      <c r="G306" s="170" t="str">
        <f>A305</f>
        <v>1st to 6th, 8th to 11th, 13th to 16th, 18th to 21st, 23rd to 26th Floor for Residential</v>
      </c>
      <c r="H306" s="171"/>
      <c r="I306" s="52">
        <f>(3.95*2.75+2.825*1.736+2.9*2.75+1.05*1.8+1.8*1.05+0.9*1.16)*10.764</f>
        <v>307.48119480000003</v>
      </c>
    </row>
    <row r="307" spans="1:9" s="18" customFormat="1">
      <c r="A307" s="153">
        <v>2</v>
      </c>
      <c r="B307" s="155"/>
      <c r="C307" s="51" t="s">
        <v>184</v>
      </c>
      <c r="D307" s="51">
        <f t="shared" ref="D307:D317" si="28">(29.98)*10.764</f>
        <v>322.70472000000001</v>
      </c>
      <c r="E307" s="51">
        <v>0</v>
      </c>
      <c r="F307" s="51">
        <f t="shared" si="27"/>
        <v>516.32755200000008</v>
      </c>
      <c r="G307" s="172"/>
      <c r="H307" s="173"/>
      <c r="I307" s="52"/>
    </row>
    <row r="308" spans="1:9" s="18" customFormat="1" ht="15.75" customHeight="1">
      <c r="A308" s="153">
        <v>3</v>
      </c>
      <c r="B308" s="155"/>
      <c r="C308" s="51" t="s">
        <v>184</v>
      </c>
      <c r="D308" s="51">
        <f t="shared" si="28"/>
        <v>322.70472000000001</v>
      </c>
      <c r="E308" s="51">
        <v>0</v>
      </c>
      <c r="F308" s="51">
        <f t="shared" si="27"/>
        <v>516.32755200000008</v>
      </c>
      <c r="G308" s="172"/>
      <c r="H308" s="173"/>
      <c r="I308" s="52"/>
    </row>
    <row r="309" spans="1:9" s="18" customFormat="1" ht="15.75" customHeight="1">
      <c r="A309" s="153">
        <v>4</v>
      </c>
      <c r="B309" s="155"/>
      <c r="C309" s="51" t="s">
        <v>184</v>
      </c>
      <c r="D309" s="51">
        <f t="shared" si="28"/>
        <v>322.70472000000001</v>
      </c>
      <c r="E309" s="51">
        <v>0</v>
      </c>
      <c r="F309" s="51">
        <f t="shared" si="27"/>
        <v>516.32755200000008</v>
      </c>
      <c r="G309" s="172"/>
      <c r="H309" s="173"/>
      <c r="I309" s="52"/>
    </row>
    <row r="310" spans="1:9" s="18" customFormat="1" ht="15.75" customHeight="1">
      <c r="A310" s="153">
        <v>5</v>
      </c>
      <c r="B310" s="155"/>
      <c r="C310" s="51" t="s">
        <v>184</v>
      </c>
      <c r="D310" s="51">
        <f t="shared" si="28"/>
        <v>322.70472000000001</v>
      </c>
      <c r="E310" s="51">
        <v>0</v>
      </c>
      <c r="F310" s="51">
        <f t="shared" si="27"/>
        <v>516.32755200000008</v>
      </c>
      <c r="G310" s="172"/>
      <c r="H310" s="173"/>
      <c r="I310" s="52"/>
    </row>
    <row r="311" spans="1:9" s="18" customFormat="1" ht="15.75" customHeight="1">
      <c r="A311" s="153">
        <v>6</v>
      </c>
      <c r="B311" s="155"/>
      <c r="C311" s="51" t="s">
        <v>184</v>
      </c>
      <c r="D311" s="51">
        <f t="shared" si="28"/>
        <v>322.70472000000001</v>
      </c>
      <c r="E311" s="51">
        <v>0</v>
      </c>
      <c r="F311" s="51">
        <f t="shared" si="27"/>
        <v>516.32755200000008</v>
      </c>
      <c r="G311" s="172"/>
      <c r="H311" s="173"/>
      <c r="I311" s="52"/>
    </row>
    <row r="312" spans="1:9" s="18" customFormat="1" ht="15.75" customHeight="1">
      <c r="A312" s="153">
        <v>7</v>
      </c>
      <c r="B312" s="155"/>
      <c r="C312" s="51" t="s">
        <v>184</v>
      </c>
      <c r="D312" s="51">
        <f t="shared" si="28"/>
        <v>322.70472000000001</v>
      </c>
      <c r="E312" s="51">
        <v>0</v>
      </c>
      <c r="F312" s="51">
        <f t="shared" si="27"/>
        <v>516.32755200000008</v>
      </c>
      <c r="G312" s="172"/>
      <c r="H312" s="173"/>
      <c r="I312" s="52"/>
    </row>
    <row r="313" spans="1:9" s="18" customFormat="1" ht="15.75" customHeight="1">
      <c r="A313" s="153">
        <v>8</v>
      </c>
      <c r="B313" s="155"/>
      <c r="C313" s="51" t="s">
        <v>184</v>
      </c>
      <c r="D313" s="51">
        <f t="shared" si="28"/>
        <v>322.70472000000001</v>
      </c>
      <c r="E313" s="51">
        <v>0</v>
      </c>
      <c r="F313" s="51">
        <f t="shared" si="27"/>
        <v>516.32755200000008</v>
      </c>
      <c r="G313" s="172"/>
      <c r="H313" s="173"/>
      <c r="I313" s="52"/>
    </row>
    <row r="314" spans="1:9" s="18" customFormat="1" ht="15.75" customHeight="1">
      <c r="A314" s="153">
        <v>9</v>
      </c>
      <c r="B314" s="155"/>
      <c r="C314" s="51" t="s">
        <v>184</v>
      </c>
      <c r="D314" s="51">
        <f t="shared" si="28"/>
        <v>322.70472000000001</v>
      </c>
      <c r="E314" s="51">
        <v>0</v>
      </c>
      <c r="F314" s="51">
        <f t="shared" si="27"/>
        <v>516.32755200000008</v>
      </c>
      <c r="G314" s="172"/>
      <c r="H314" s="173"/>
      <c r="I314" s="52"/>
    </row>
    <row r="315" spans="1:9" s="18" customFormat="1" ht="15.75" customHeight="1">
      <c r="A315" s="153">
        <v>10</v>
      </c>
      <c r="B315" s="155"/>
      <c r="C315" s="51" t="s">
        <v>184</v>
      </c>
      <c r="D315" s="51">
        <f t="shared" si="28"/>
        <v>322.70472000000001</v>
      </c>
      <c r="E315" s="51">
        <v>0</v>
      </c>
      <c r="F315" s="51">
        <f t="shared" si="27"/>
        <v>516.32755200000008</v>
      </c>
      <c r="G315" s="172"/>
      <c r="H315" s="173"/>
      <c r="I315" s="52"/>
    </row>
    <row r="316" spans="1:9" s="18" customFormat="1">
      <c r="A316" s="153">
        <v>11</v>
      </c>
      <c r="B316" s="155"/>
      <c r="C316" s="51" t="s">
        <v>184</v>
      </c>
      <c r="D316" s="51">
        <f t="shared" si="28"/>
        <v>322.70472000000001</v>
      </c>
      <c r="E316" s="51">
        <v>0</v>
      </c>
      <c r="F316" s="51">
        <f t="shared" si="27"/>
        <v>516.32755200000008</v>
      </c>
      <c r="G316" s="172"/>
      <c r="H316" s="173"/>
      <c r="I316" s="52"/>
    </row>
    <row r="317" spans="1:9" s="18" customFormat="1" ht="15.75" customHeight="1">
      <c r="A317" s="153">
        <v>12</v>
      </c>
      <c r="B317" s="155"/>
      <c r="C317" s="51" t="s">
        <v>184</v>
      </c>
      <c r="D317" s="51">
        <f t="shared" si="28"/>
        <v>322.70472000000001</v>
      </c>
      <c r="E317" s="51">
        <v>0</v>
      </c>
      <c r="F317" s="51">
        <f t="shared" si="27"/>
        <v>516.32755200000008</v>
      </c>
      <c r="G317" s="174"/>
      <c r="H317" s="175"/>
      <c r="I317" s="52"/>
    </row>
    <row r="318" spans="1:9" s="18" customFormat="1" ht="15.75" customHeight="1">
      <c r="A318" s="167" t="s">
        <v>186</v>
      </c>
      <c r="B318" s="168"/>
      <c r="C318" s="168"/>
      <c r="D318" s="168"/>
      <c r="E318" s="168"/>
      <c r="F318" s="168"/>
      <c r="G318" s="168"/>
      <c r="H318" s="169"/>
      <c r="I318" s="52"/>
    </row>
    <row r="319" spans="1:9" s="18" customFormat="1" ht="15.75" customHeight="1">
      <c r="A319" s="153">
        <v>1</v>
      </c>
      <c r="B319" s="155"/>
      <c r="C319" s="51" t="s">
        <v>184</v>
      </c>
      <c r="D319" s="51">
        <f>(32.31)*10.764</f>
        <v>347.78484000000003</v>
      </c>
      <c r="E319" s="51">
        <v>0</v>
      </c>
      <c r="F319" s="51">
        <f t="shared" ref="F319:F325" si="29">D319*(($F$146)+1)+(IF(E319&lt;101,E319,IF(E319&lt;201,E319/2,IF(E319&lt;=301,E319/3,E319/4))))</f>
        <v>556.4557440000001</v>
      </c>
      <c r="G319" s="170" t="str">
        <f>A318</f>
        <v>7th, 12th, 17th &amp; 22nd Floor (Part Refuge Area)</v>
      </c>
      <c r="H319" s="171"/>
      <c r="I319" s="52">
        <f>(3.95*2.75+2.825*1.736+2.9*2.75+1.05*1.8+1.8*1.05+0.9*1.16)*10.764</f>
        <v>307.48119480000003</v>
      </c>
    </row>
    <row r="320" spans="1:9" s="18" customFormat="1">
      <c r="A320" s="153">
        <v>2</v>
      </c>
      <c r="B320" s="155"/>
      <c r="C320" s="51" t="s">
        <v>184</v>
      </c>
      <c r="D320" s="51">
        <f t="shared" ref="D320:D330" si="30">(32.31)*10.764</f>
        <v>347.78484000000003</v>
      </c>
      <c r="E320" s="51">
        <v>0</v>
      </c>
      <c r="F320" s="51">
        <f t="shared" si="29"/>
        <v>556.4557440000001</v>
      </c>
      <c r="G320" s="172"/>
      <c r="H320" s="173"/>
      <c r="I320" s="52"/>
    </row>
    <row r="321" spans="1:9" s="18" customFormat="1" ht="15.75" customHeight="1">
      <c r="A321" s="153">
        <v>3</v>
      </c>
      <c r="B321" s="155"/>
      <c r="C321" s="51" t="s">
        <v>184</v>
      </c>
      <c r="D321" s="51">
        <f t="shared" si="30"/>
        <v>347.78484000000003</v>
      </c>
      <c r="E321" s="51">
        <v>0</v>
      </c>
      <c r="F321" s="51">
        <f t="shared" si="29"/>
        <v>556.4557440000001</v>
      </c>
      <c r="G321" s="172"/>
      <c r="H321" s="173"/>
      <c r="I321" s="52"/>
    </row>
    <row r="322" spans="1:9" s="18" customFormat="1" ht="15.75" customHeight="1">
      <c r="A322" s="153">
        <v>4</v>
      </c>
      <c r="B322" s="155"/>
      <c r="C322" s="51" t="s">
        <v>184</v>
      </c>
      <c r="D322" s="51">
        <f t="shared" si="30"/>
        <v>347.78484000000003</v>
      </c>
      <c r="E322" s="51">
        <v>0</v>
      </c>
      <c r="F322" s="51">
        <f t="shared" si="29"/>
        <v>556.4557440000001</v>
      </c>
      <c r="G322" s="172"/>
      <c r="H322" s="173"/>
      <c r="I322" s="52"/>
    </row>
    <row r="323" spans="1:9" s="18" customFormat="1" ht="15.75" customHeight="1">
      <c r="A323" s="153">
        <v>5</v>
      </c>
      <c r="B323" s="155"/>
      <c r="C323" s="51" t="s">
        <v>184</v>
      </c>
      <c r="D323" s="51">
        <f t="shared" si="30"/>
        <v>347.78484000000003</v>
      </c>
      <c r="E323" s="51">
        <v>0</v>
      </c>
      <c r="F323" s="51">
        <f t="shared" si="29"/>
        <v>556.4557440000001</v>
      </c>
      <c r="G323" s="172"/>
      <c r="H323" s="173"/>
      <c r="I323" s="52"/>
    </row>
    <row r="324" spans="1:9" s="18" customFormat="1" ht="15.75" customHeight="1">
      <c r="A324" s="153">
        <v>6</v>
      </c>
      <c r="B324" s="155"/>
      <c r="C324" s="51" t="s">
        <v>184</v>
      </c>
      <c r="D324" s="51">
        <f t="shared" si="30"/>
        <v>347.78484000000003</v>
      </c>
      <c r="E324" s="51">
        <v>0</v>
      </c>
      <c r="F324" s="51">
        <f t="shared" si="29"/>
        <v>556.4557440000001</v>
      </c>
      <c r="G324" s="172"/>
      <c r="H324" s="173"/>
      <c r="I324" s="52"/>
    </row>
    <row r="325" spans="1:9" s="18" customFormat="1" ht="15.75" customHeight="1">
      <c r="A325" s="153">
        <v>7</v>
      </c>
      <c r="B325" s="155"/>
      <c r="C325" s="51" t="s">
        <v>184</v>
      </c>
      <c r="D325" s="51">
        <f t="shared" si="30"/>
        <v>347.78484000000003</v>
      </c>
      <c r="E325" s="51">
        <v>0</v>
      </c>
      <c r="F325" s="51">
        <f t="shared" si="29"/>
        <v>556.4557440000001</v>
      </c>
      <c r="G325" s="172"/>
      <c r="H325" s="173"/>
      <c r="I325" s="52"/>
    </row>
    <row r="326" spans="1:9" s="18" customFormat="1" ht="15.75" customHeight="1">
      <c r="A326" s="153">
        <v>8</v>
      </c>
      <c r="B326" s="155"/>
      <c r="C326" s="153" t="s">
        <v>187</v>
      </c>
      <c r="D326" s="154"/>
      <c r="E326" s="154"/>
      <c r="F326" s="155"/>
      <c r="G326" s="172"/>
      <c r="H326" s="173"/>
      <c r="I326" s="52"/>
    </row>
    <row r="327" spans="1:9" s="18" customFormat="1" ht="15.75" customHeight="1">
      <c r="A327" s="153">
        <v>9</v>
      </c>
      <c r="B327" s="155"/>
      <c r="C327" s="51" t="s">
        <v>184</v>
      </c>
      <c r="D327" s="51">
        <f t="shared" si="30"/>
        <v>347.78484000000003</v>
      </c>
      <c r="E327" s="51">
        <v>0</v>
      </c>
      <c r="F327" s="51">
        <f>D327*(($F$146)+1)+(IF(E327&lt;101,E327,IF(E327&lt;201,E327/2,IF(E327&lt;=301,E327/3,E327/4))))</f>
        <v>556.4557440000001</v>
      </c>
      <c r="G327" s="172"/>
      <c r="H327" s="173"/>
      <c r="I327" s="52"/>
    </row>
    <row r="328" spans="1:9" s="18" customFormat="1" ht="15.75" customHeight="1">
      <c r="A328" s="153">
        <v>10</v>
      </c>
      <c r="B328" s="155"/>
      <c r="C328" s="51" t="s">
        <v>184</v>
      </c>
      <c r="D328" s="51">
        <f t="shared" si="30"/>
        <v>347.78484000000003</v>
      </c>
      <c r="E328" s="51">
        <v>0</v>
      </c>
      <c r="F328" s="51">
        <f>D328*(($F$146)+1)+(IF(E328&lt;101,E328,IF(E328&lt;201,E328/2,IF(E328&lt;=301,E328/3,E328/4))))</f>
        <v>556.4557440000001</v>
      </c>
      <c r="G328" s="172"/>
      <c r="H328" s="173"/>
      <c r="I328" s="52"/>
    </row>
    <row r="329" spans="1:9" s="18" customFormat="1">
      <c r="A329" s="153">
        <v>11</v>
      </c>
      <c r="B329" s="155"/>
      <c r="C329" s="51" t="s">
        <v>184</v>
      </c>
      <c r="D329" s="51">
        <f t="shared" si="30"/>
        <v>347.78484000000003</v>
      </c>
      <c r="E329" s="51">
        <v>0</v>
      </c>
      <c r="F329" s="51">
        <f>D329*(($F$146)+1)+(IF(E329&lt;101,E329,IF(E329&lt;201,E329/2,IF(E329&lt;=301,E329/3,E329/4))))</f>
        <v>556.4557440000001</v>
      </c>
      <c r="G329" s="172"/>
      <c r="H329" s="173"/>
      <c r="I329" s="52"/>
    </row>
    <row r="330" spans="1:9" s="18" customFormat="1" ht="15.75" customHeight="1">
      <c r="A330" s="153">
        <v>12</v>
      </c>
      <c r="B330" s="155"/>
      <c r="C330" s="51" t="s">
        <v>184</v>
      </c>
      <c r="D330" s="51">
        <f t="shared" si="30"/>
        <v>347.78484000000003</v>
      </c>
      <c r="E330" s="51">
        <v>0</v>
      </c>
      <c r="F330" s="51">
        <f>D330*(($F$146)+1)+(IF(E330&lt;101,E330,IF(E330&lt;201,E330/2,IF(E330&lt;=301,E330/3,E330/4))))</f>
        <v>556.4557440000001</v>
      </c>
      <c r="G330" s="174"/>
      <c r="H330" s="175"/>
      <c r="I330" s="52"/>
    </row>
    <row r="331" spans="1:9" s="18" customFormat="1" ht="15.75" customHeight="1">
      <c r="A331" s="167" t="s">
        <v>188</v>
      </c>
      <c r="B331" s="168"/>
      <c r="C331" s="168"/>
      <c r="D331" s="168"/>
      <c r="E331" s="168"/>
      <c r="F331" s="168"/>
      <c r="G331" s="168"/>
      <c r="H331" s="169"/>
      <c r="I331" s="52"/>
    </row>
    <row r="332" spans="1:9" s="18" customFormat="1" ht="15.75" customHeight="1">
      <c r="A332" s="153">
        <v>1</v>
      </c>
      <c r="B332" s="155"/>
      <c r="C332" s="51" t="s">
        <v>184</v>
      </c>
      <c r="D332" s="51">
        <f>(32.31)*10.764</f>
        <v>347.78484000000003</v>
      </c>
      <c r="E332" s="51">
        <v>0</v>
      </c>
      <c r="F332" s="51">
        <f t="shared" ref="F332:F338" si="31">D332*(($F$146)+1)+(IF(E332&lt;101,E332,IF(E332&lt;201,E332/2,IF(E332&lt;=301,E332/3,E332/4))))</f>
        <v>556.4557440000001</v>
      </c>
      <c r="G332" s="170" t="str">
        <f>A331</f>
        <v>27th Floor (Part Refuge Area)</v>
      </c>
      <c r="H332" s="171"/>
      <c r="I332" s="52">
        <f>(3.95*2.75+2.825*1.736+2.9*2.75+1.05*1.8+1.8*1.05+0.9*1.16)*10.764</f>
        <v>307.48119480000003</v>
      </c>
    </row>
    <row r="333" spans="1:9" s="18" customFormat="1">
      <c r="A333" s="153">
        <v>2</v>
      </c>
      <c r="B333" s="155"/>
      <c r="C333" s="51" t="s">
        <v>184</v>
      </c>
      <c r="D333" s="51">
        <f t="shared" ref="D333:D343" si="32">(32.31)*10.764</f>
        <v>347.78484000000003</v>
      </c>
      <c r="E333" s="51">
        <v>0</v>
      </c>
      <c r="F333" s="51">
        <f t="shared" si="31"/>
        <v>556.4557440000001</v>
      </c>
      <c r="G333" s="172"/>
      <c r="H333" s="173"/>
      <c r="I333" s="52"/>
    </row>
    <row r="334" spans="1:9" s="18" customFormat="1" ht="15.75" customHeight="1">
      <c r="A334" s="153">
        <v>3</v>
      </c>
      <c r="B334" s="155"/>
      <c r="C334" s="51" t="s">
        <v>184</v>
      </c>
      <c r="D334" s="51">
        <f t="shared" si="32"/>
        <v>347.78484000000003</v>
      </c>
      <c r="E334" s="51">
        <v>0</v>
      </c>
      <c r="F334" s="51">
        <f t="shared" si="31"/>
        <v>556.4557440000001</v>
      </c>
      <c r="G334" s="172"/>
      <c r="H334" s="173"/>
      <c r="I334" s="52"/>
    </row>
    <row r="335" spans="1:9" s="18" customFormat="1" ht="15.75" customHeight="1">
      <c r="A335" s="153">
        <v>4</v>
      </c>
      <c r="B335" s="155"/>
      <c r="C335" s="51" t="s">
        <v>184</v>
      </c>
      <c r="D335" s="51">
        <f t="shared" si="32"/>
        <v>347.78484000000003</v>
      </c>
      <c r="E335" s="51">
        <v>0</v>
      </c>
      <c r="F335" s="51">
        <f t="shared" si="31"/>
        <v>556.4557440000001</v>
      </c>
      <c r="G335" s="172"/>
      <c r="H335" s="173"/>
      <c r="I335" s="52"/>
    </row>
    <row r="336" spans="1:9" s="18" customFormat="1" ht="15.75" customHeight="1">
      <c r="A336" s="153">
        <v>5</v>
      </c>
      <c r="B336" s="155"/>
      <c r="C336" s="51" t="s">
        <v>184</v>
      </c>
      <c r="D336" s="51">
        <f t="shared" si="32"/>
        <v>347.78484000000003</v>
      </c>
      <c r="E336" s="51">
        <v>0</v>
      </c>
      <c r="F336" s="51">
        <f t="shared" si="31"/>
        <v>556.4557440000001</v>
      </c>
      <c r="G336" s="172"/>
      <c r="H336" s="173"/>
      <c r="I336" s="52"/>
    </row>
    <row r="337" spans="1:9" s="18" customFormat="1" ht="15.75" customHeight="1">
      <c r="A337" s="153">
        <v>6</v>
      </c>
      <c r="B337" s="155"/>
      <c r="C337" s="51" t="s">
        <v>184</v>
      </c>
      <c r="D337" s="51">
        <f t="shared" si="32"/>
        <v>347.78484000000003</v>
      </c>
      <c r="E337" s="51">
        <v>0</v>
      </c>
      <c r="F337" s="51">
        <f t="shared" si="31"/>
        <v>556.4557440000001</v>
      </c>
      <c r="G337" s="172"/>
      <c r="H337" s="173"/>
      <c r="I337" s="52"/>
    </row>
    <row r="338" spans="1:9" s="18" customFormat="1" ht="15.75" customHeight="1">
      <c r="A338" s="153">
        <v>7</v>
      </c>
      <c r="B338" s="155"/>
      <c r="C338" s="51" t="s">
        <v>184</v>
      </c>
      <c r="D338" s="51">
        <f t="shared" si="32"/>
        <v>347.78484000000003</v>
      </c>
      <c r="E338" s="51">
        <v>0</v>
      </c>
      <c r="F338" s="51">
        <f t="shared" si="31"/>
        <v>556.4557440000001</v>
      </c>
      <c r="G338" s="172"/>
      <c r="H338" s="173"/>
      <c r="I338" s="52"/>
    </row>
    <row r="339" spans="1:9" s="18" customFormat="1" ht="15.75" customHeight="1">
      <c r="A339" s="153">
        <v>8</v>
      </c>
      <c r="B339" s="155"/>
      <c r="C339" s="153" t="s">
        <v>187</v>
      </c>
      <c r="D339" s="154"/>
      <c r="E339" s="154"/>
      <c r="F339" s="155"/>
      <c r="G339" s="172"/>
      <c r="H339" s="173"/>
      <c r="I339" s="52"/>
    </row>
    <row r="340" spans="1:9" s="18" customFormat="1" ht="15.75" customHeight="1">
      <c r="A340" s="153">
        <v>9</v>
      </c>
      <c r="B340" s="155"/>
      <c r="C340" s="51" t="s">
        <v>184</v>
      </c>
      <c r="D340" s="51">
        <f t="shared" si="32"/>
        <v>347.78484000000003</v>
      </c>
      <c r="E340" s="51">
        <v>0</v>
      </c>
      <c r="F340" s="51">
        <f t="shared" ref="F340:F343" si="33">D340*(($F$146)+1)+(IF(E340&lt;101,E340,IF(E340&lt;201,E340/2,IF(E340&lt;=301,E340/3,E340/4))))</f>
        <v>556.4557440000001</v>
      </c>
      <c r="G340" s="172"/>
      <c r="H340" s="173"/>
      <c r="I340" s="52"/>
    </row>
    <row r="341" spans="1:9" s="18" customFormat="1" ht="15.75" customHeight="1">
      <c r="A341" s="153">
        <v>10</v>
      </c>
      <c r="B341" s="155"/>
      <c r="C341" s="51" t="s">
        <v>184</v>
      </c>
      <c r="D341" s="51">
        <f t="shared" si="32"/>
        <v>347.78484000000003</v>
      </c>
      <c r="E341" s="51">
        <v>0</v>
      </c>
      <c r="F341" s="51">
        <f t="shared" si="33"/>
        <v>556.4557440000001</v>
      </c>
      <c r="G341" s="172"/>
      <c r="H341" s="173"/>
      <c r="I341" s="52"/>
    </row>
    <row r="342" spans="1:9" s="18" customFormat="1">
      <c r="A342" s="153">
        <v>11</v>
      </c>
      <c r="B342" s="155"/>
      <c r="C342" s="51" t="s">
        <v>184</v>
      </c>
      <c r="D342" s="51">
        <f t="shared" si="32"/>
        <v>347.78484000000003</v>
      </c>
      <c r="E342" s="51">
        <v>0</v>
      </c>
      <c r="F342" s="51">
        <f t="shared" si="33"/>
        <v>556.4557440000001</v>
      </c>
      <c r="G342" s="172"/>
      <c r="H342" s="173"/>
      <c r="I342" s="52"/>
    </row>
    <row r="343" spans="1:9" s="18" customFormat="1" ht="15.75" customHeight="1">
      <c r="A343" s="153">
        <v>12</v>
      </c>
      <c r="B343" s="155"/>
      <c r="C343" s="51" t="s">
        <v>184</v>
      </c>
      <c r="D343" s="51">
        <f t="shared" si="32"/>
        <v>347.78484000000003</v>
      </c>
      <c r="E343" s="51">
        <v>0</v>
      </c>
      <c r="F343" s="51">
        <f t="shared" si="33"/>
        <v>556.4557440000001</v>
      </c>
      <c r="G343" s="174"/>
      <c r="H343" s="175"/>
      <c r="I343" s="52"/>
    </row>
    <row r="344" spans="1:9" s="17" customFormat="1">
      <c r="A344" s="181" t="s">
        <v>190</v>
      </c>
      <c r="B344" s="181"/>
      <c r="C344" s="181"/>
      <c r="D344" s="181"/>
      <c r="E344" s="181"/>
      <c r="F344" s="181"/>
      <c r="G344" s="181"/>
      <c r="H344" s="181"/>
    </row>
    <row r="345" spans="1:9" s="17" customFormat="1" ht="50.1" customHeight="1">
      <c r="A345" s="53" t="s">
        <v>191</v>
      </c>
      <c r="B345" s="176" t="s">
        <v>231</v>
      </c>
      <c r="C345" s="177"/>
      <c r="D345" s="177"/>
      <c r="E345" s="177"/>
      <c r="F345" s="177"/>
      <c r="G345" s="177"/>
      <c r="H345" s="178"/>
    </row>
    <row r="346" spans="1:9" s="17" customFormat="1">
      <c r="A346" s="53" t="s">
        <v>191</v>
      </c>
      <c r="B346" s="176" t="str">
        <f>(IF(F145="Saleable area Loading :","We have considered Saleable area of Flats as per our Calculation.","We considered Saleable area of Flat as per Builder area Sheet."))</f>
        <v>We have considered Saleable area of Flats as per our Calculation.</v>
      </c>
      <c r="C346" s="177"/>
      <c r="D346" s="177"/>
      <c r="E346" s="177"/>
      <c r="F346" s="177"/>
      <c r="G346" s="177"/>
      <c r="H346" s="178"/>
    </row>
    <row r="347" spans="1:9" s="17" customFormat="1">
      <c r="A347" s="48" t="s">
        <v>191</v>
      </c>
      <c r="B347" s="182" t="s">
        <v>192</v>
      </c>
      <c r="C347" s="183"/>
      <c r="D347" s="183"/>
      <c r="E347" s="183"/>
      <c r="F347" s="183"/>
      <c r="G347" s="183"/>
      <c r="H347" s="184"/>
    </row>
    <row r="348" spans="1:9" s="17" customFormat="1">
      <c r="A348" s="48" t="s">
        <v>191</v>
      </c>
      <c r="B348" s="182" t="s">
        <v>193</v>
      </c>
      <c r="C348" s="183"/>
      <c r="D348" s="183"/>
      <c r="E348" s="183"/>
      <c r="F348" s="183"/>
      <c r="G348" s="183"/>
      <c r="H348" s="184"/>
    </row>
    <row r="349" spans="1:9" s="17" customFormat="1">
      <c r="A349" s="48" t="s">
        <v>191</v>
      </c>
      <c r="B349" s="182" t="s">
        <v>194</v>
      </c>
      <c r="C349" s="183"/>
      <c r="D349" s="183"/>
      <c r="E349" s="183"/>
      <c r="F349" s="183"/>
      <c r="G349" s="183"/>
      <c r="H349" s="184"/>
    </row>
    <row r="350" spans="1:9" s="17" customFormat="1">
      <c r="A350" s="48" t="s">
        <v>191</v>
      </c>
      <c r="B350" s="182" t="s">
        <v>195</v>
      </c>
      <c r="C350" s="183"/>
      <c r="D350" s="183"/>
      <c r="E350" s="183"/>
      <c r="F350" s="183"/>
      <c r="G350" s="183"/>
      <c r="H350" s="184"/>
    </row>
    <row r="351" spans="1:9" s="17" customFormat="1" ht="34.5" customHeight="1">
      <c r="A351" s="48" t="s">
        <v>191</v>
      </c>
      <c r="B351" s="182" t="s">
        <v>196</v>
      </c>
      <c r="C351" s="183"/>
      <c r="D351" s="183"/>
      <c r="E351" s="183"/>
      <c r="F351" s="183"/>
      <c r="G351" s="183"/>
      <c r="H351" s="184"/>
    </row>
    <row r="352" spans="1:9" s="17" customFormat="1">
      <c r="A352" s="53" t="s">
        <v>191</v>
      </c>
      <c r="B352" s="176" t="s">
        <v>197</v>
      </c>
      <c r="C352" s="177"/>
      <c r="D352" s="177"/>
      <c r="E352" s="177"/>
      <c r="F352" s="177"/>
      <c r="G352" s="177"/>
      <c r="H352" s="178"/>
    </row>
    <row r="353" spans="1:10" s="17" customFormat="1" hidden="1">
      <c r="A353" s="53" t="s">
        <v>191</v>
      </c>
      <c r="B353" s="176" t="s">
        <v>198</v>
      </c>
      <c r="C353" s="177"/>
      <c r="D353" s="177"/>
      <c r="E353" s="177"/>
      <c r="F353" s="177"/>
      <c r="G353" s="177"/>
      <c r="H353" s="178"/>
    </row>
    <row r="354" spans="1:10" s="17" customFormat="1">
      <c r="A354" s="53" t="s">
        <v>191</v>
      </c>
      <c r="B354" s="176" t="s">
        <v>199</v>
      </c>
      <c r="C354" s="177"/>
      <c r="D354" s="177"/>
      <c r="E354" s="177"/>
      <c r="F354" s="177"/>
      <c r="G354" s="177"/>
      <c r="H354" s="178"/>
    </row>
    <row r="355" spans="1:10" s="17" customFormat="1" ht="30.6" customHeight="1">
      <c r="A355" s="53" t="s">
        <v>191</v>
      </c>
      <c r="B355" s="176" t="s">
        <v>227</v>
      </c>
      <c r="C355" s="177"/>
      <c r="D355" s="177"/>
      <c r="E355" s="177"/>
      <c r="F355" s="177"/>
      <c r="G355" s="177"/>
      <c r="H355" s="178"/>
    </row>
    <row r="356" spans="1:10" s="17" customFormat="1">
      <c r="A356" s="53" t="s">
        <v>191</v>
      </c>
      <c r="B356" s="176" t="s">
        <v>200</v>
      </c>
      <c r="C356" s="177"/>
      <c r="D356" s="177"/>
      <c r="E356" s="177"/>
      <c r="F356" s="177"/>
      <c r="G356" s="177"/>
      <c r="H356" s="178"/>
    </row>
    <row r="357" spans="1:10">
      <c r="A357" s="179" t="s">
        <v>201</v>
      </c>
      <c r="B357" s="179"/>
      <c r="C357" s="179"/>
      <c r="D357" s="179"/>
      <c r="E357" s="179"/>
      <c r="F357" s="179"/>
      <c r="G357" s="179"/>
      <c r="H357" s="179"/>
    </row>
    <row r="358" spans="1:10">
      <c r="A358" s="62" t="s">
        <v>202</v>
      </c>
      <c r="B358" s="62"/>
      <c r="C358" s="62"/>
      <c r="D358" s="62"/>
      <c r="E358" s="62"/>
      <c r="F358" s="62"/>
      <c r="G358" s="62"/>
      <c r="H358" s="62"/>
      <c r="J358" t="s">
        <v>198</v>
      </c>
    </row>
    <row r="359" spans="1:10" ht="15.75" customHeight="1">
      <c r="A359" s="180" t="s">
        <v>203</v>
      </c>
      <c r="B359" s="180"/>
      <c r="C359" s="180"/>
      <c r="D359" s="180"/>
      <c r="E359" s="180"/>
      <c r="F359" s="180"/>
      <c r="G359" s="180"/>
      <c r="H359" s="180"/>
    </row>
    <row r="360" spans="1:10">
      <c r="A360" s="62" t="s">
        <v>204</v>
      </c>
      <c r="B360" s="62"/>
      <c r="C360" s="62"/>
      <c r="D360" s="62"/>
      <c r="E360" s="62"/>
      <c r="F360" s="62"/>
      <c r="G360" s="62"/>
      <c r="H360" s="62"/>
    </row>
    <row r="361" spans="1:10">
      <c r="A361" s="62" t="s">
        <v>205</v>
      </c>
      <c r="B361" s="62"/>
      <c r="C361" s="62"/>
      <c r="D361" s="62"/>
      <c r="E361" s="62"/>
      <c r="F361" s="62"/>
      <c r="G361" s="62"/>
      <c r="H361" s="62"/>
    </row>
    <row r="362" spans="1:10">
      <c r="A362" s="62" t="s">
        <v>206</v>
      </c>
      <c r="B362" s="62"/>
      <c r="C362" s="62"/>
      <c r="D362" s="62"/>
      <c r="E362" s="62"/>
      <c r="F362" s="62"/>
      <c r="G362" s="62"/>
      <c r="H362" s="62"/>
    </row>
    <row r="363" spans="1:10" ht="35.25" customHeight="1">
      <c r="A363" s="65" t="s">
        <v>207</v>
      </c>
      <c r="B363" s="65"/>
      <c r="C363" s="65"/>
      <c r="D363" s="65"/>
      <c r="E363" s="65"/>
      <c r="F363" s="65"/>
      <c r="G363" s="65"/>
      <c r="H363" s="65"/>
    </row>
    <row r="364" spans="1:10">
      <c r="A364" s="186" t="s">
        <v>208</v>
      </c>
      <c r="B364" s="186"/>
      <c r="C364" s="186" t="s">
        <v>209</v>
      </c>
      <c r="D364" s="186"/>
      <c r="E364" s="186" t="s">
        <v>210</v>
      </c>
      <c r="F364" s="186"/>
      <c r="G364" s="186" t="s">
        <v>230</v>
      </c>
      <c r="H364" s="186"/>
    </row>
    <row r="365" spans="1:10">
      <c r="A365" s="185" t="s">
        <v>211</v>
      </c>
      <c r="B365" s="185"/>
      <c r="C365" s="185"/>
      <c r="D365" s="185"/>
      <c r="E365" s="185"/>
      <c r="F365" s="185"/>
      <c r="G365" s="185"/>
      <c r="H365" s="185"/>
    </row>
    <row r="366" spans="1:10">
      <c r="A366" s="185"/>
      <c r="B366" s="185"/>
      <c r="C366" s="185"/>
      <c r="D366" s="185"/>
      <c r="E366" s="185"/>
      <c r="F366" s="185"/>
      <c r="G366" s="185"/>
      <c r="H366" s="185"/>
    </row>
    <row r="367" spans="1:10">
      <c r="A367" s="185"/>
      <c r="B367" s="185"/>
      <c r="C367" s="185"/>
      <c r="D367" s="185"/>
      <c r="E367" s="185"/>
      <c r="F367" s="185"/>
      <c r="G367" s="185"/>
      <c r="H367" s="185"/>
    </row>
    <row r="368" spans="1:10">
      <c r="A368" s="185"/>
      <c r="B368" s="185"/>
      <c r="C368" s="185"/>
      <c r="D368" s="185"/>
      <c r="E368" s="185"/>
      <c r="F368" s="185"/>
      <c r="G368" s="185"/>
      <c r="H368" s="185"/>
    </row>
    <row r="369" spans="1:8">
      <c r="A369" s="54" t="s">
        <v>212</v>
      </c>
      <c r="B369" s="55"/>
      <c r="C369" s="55"/>
      <c r="D369" s="54" t="str">
        <f>E8</f>
        <v>Runwal Gardens Phase V</v>
      </c>
      <c r="F369" s="55"/>
      <c r="G369" s="55"/>
      <c r="H369" s="55"/>
    </row>
    <row r="370" spans="1:8">
      <c r="A370" s="55"/>
      <c r="B370" s="55"/>
      <c r="C370" s="55"/>
      <c r="D370" s="55"/>
      <c r="E370" s="55"/>
      <c r="F370" s="55"/>
      <c r="G370" s="55"/>
      <c r="H370" s="55"/>
    </row>
    <row r="371" spans="1:8">
      <c r="A371" s="55"/>
      <c r="B371" s="55"/>
      <c r="C371" s="55"/>
      <c r="D371" s="55"/>
      <c r="E371" s="55"/>
      <c r="F371" s="55"/>
      <c r="G371" s="55"/>
      <c r="H371" s="55"/>
    </row>
    <row r="372" spans="1:8" ht="15" customHeight="1"/>
    <row r="408" spans="1:1">
      <c r="A408" s="56" t="s">
        <v>213</v>
      </c>
    </row>
  </sheetData>
  <mergeCells count="519">
    <mergeCell ref="A365:H368"/>
    <mergeCell ref="A360:H360"/>
    <mergeCell ref="A361:H361"/>
    <mergeCell ref="A362:H362"/>
    <mergeCell ref="A363:H363"/>
    <mergeCell ref="A364:B364"/>
    <mergeCell ref="C364:D364"/>
    <mergeCell ref="E364:F364"/>
    <mergeCell ref="G364:H364"/>
    <mergeCell ref="A297:H297"/>
    <mergeCell ref="A298:H298"/>
    <mergeCell ref="A283:B283"/>
    <mergeCell ref="A284:B284"/>
    <mergeCell ref="A285:B285"/>
    <mergeCell ref="A286:B286"/>
    <mergeCell ref="A287:B287"/>
    <mergeCell ref="A288:B288"/>
    <mergeCell ref="A289:B289"/>
    <mergeCell ref="G319:H330"/>
    <mergeCell ref="G150:H156"/>
    <mergeCell ref="G158:H176"/>
    <mergeCell ref="G178:H196"/>
    <mergeCell ref="G198:H216"/>
    <mergeCell ref="G220:H226"/>
    <mergeCell ref="B351:H351"/>
    <mergeCell ref="B352:H352"/>
    <mergeCell ref="A340:B340"/>
    <mergeCell ref="A341:B341"/>
    <mergeCell ref="A326:B326"/>
    <mergeCell ref="C326:F326"/>
    <mergeCell ref="A327:B327"/>
    <mergeCell ref="A328:B328"/>
    <mergeCell ref="A329:B329"/>
    <mergeCell ref="A330:B330"/>
    <mergeCell ref="A331:H331"/>
    <mergeCell ref="A332:B332"/>
    <mergeCell ref="A333:B333"/>
    <mergeCell ref="A317:B317"/>
    <mergeCell ref="A318:H318"/>
    <mergeCell ref="A319:B319"/>
    <mergeCell ref="A320:B320"/>
    <mergeCell ref="G268:H281"/>
    <mergeCell ref="B353:H353"/>
    <mergeCell ref="B354:H354"/>
    <mergeCell ref="B355:H355"/>
    <mergeCell ref="B356:H356"/>
    <mergeCell ref="A357:H357"/>
    <mergeCell ref="A358:H358"/>
    <mergeCell ref="A359:H359"/>
    <mergeCell ref="A342:B342"/>
    <mergeCell ref="A343:B343"/>
    <mergeCell ref="A344:H344"/>
    <mergeCell ref="B345:H345"/>
    <mergeCell ref="B346:H346"/>
    <mergeCell ref="B347:H347"/>
    <mergeCell ref="B348:H348"/>
    <mergeCell ref="B349:H349"/>
    <mergeCell ref="B350:H350"/>
    <mergeCell ref="G332:H343"/>
    <mergeCell ref="A334:B334"/>
    <mergeCell ref="A335:B335"/>
    <mergeCell ref="A336:B336"/>
    <mergeCell ref="A337:B337"/>
    <mergeCell ref="A338:B338"/>
    <mergeCell ref="A339:B339"/>
    <mergeCell ref="C339:F339"/>
    <mergeCell ref="A321:B321"/>
    <mergeCell ref="A322:B322"/>
    <mergeCell ref="A323:B323"/>
    <mergeCell ref="A324:B324"/>
    <mergeCell ref="A325:B325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L299:M299"/>
    <mergeCell ref="A300:B300"/>
    <mergeCell ref="A301:B301"/>
    <mergeCell ref="A302:B302"/>
    <mergeCell ref="A303:B303"/>
    <mergeCell ref="A304:B304"/>
    <mergeCell ref="A305:H305"/>
    <mergeCell ref="A306:B306"/>
    <mergeCell ref="A307:B307"/>
    <mergeCell ref="A299:H299"/>
    <mergeCell ref="G306:H317"/>
    <mergeCell ref="G300:H304"/>
    <mergeCell ref="A269:B269"/>
    <mergeCell ref="A270:B270"/>
    <mergeCell ref="A271:B271"/>
    <mergeCell ref="A272:B272"/>
    <mergeCell ref="A273:B273"/>
    <mergeCell ref="G260:H266"/>
    <mergeCell ref="C289:F289"/>
    <mergeCell ref="A290:B290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H282"/>
    <mergeCell ref="G283:H296"/>
    <mergeCell ref="A291:B291"/>
    <mergeCell ref="A292:B292"/>
    <mergeCell ref="A293:B293"/>
    <mergeCell ref="A294:B294"/>
    <mergeCell ref="A295:B295"/>
    <mergeCell ref="A296:B296"/>
    <mergeCell ref="A260:B260"/>
    <mergeCell ref="A261:B261"/>
    <mergeCell ref="A262:B262"/>
    <mergeCell ref="A263:B263"/>
    <mergeCell ref="A264:B264"/>
    <mergeCell ref="A265:B265"/>
    <mergeCell ref="A266:B266"/>
    <mergeCell ref="A267:H267"/>
    <mergeCell ref="A268:B268"/>
    <mergeCell ref="A252:B252"/>
    <mergeCell ref="A253:B253"/>
    <mergeCell ref="A254:B254"/>
    <mergeCell ref="A255:B255"/>
    <mergeCell ref="A256:B256"/>
    <mergeCell ref="A257:H257"/>
    <mergeCell ref="A258:H258"/>
    <mergeCell ref="A259:H259"/>
    <mergeCell ref="L259:M259"/>
    <mergeCell ref="A240:B240"/>
    <mergeCell ref="A241:B241"/>
    <mergeCell ref="A242:H242"/>
    <mergeCell ref="A243:B243"/>
    <mergeCell ref="A244:B244"/>
    <mergeCell ref="A245:B245"/>
    <mergeCell ref="A246:B246"/>
    <mergeCell ref="A247:B247"/>
    <mergeCell ref="A248:B248"/>
    <mergeCell ref="G228:H241"/>
    <mergeCell ref="G243:H256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9:B249"/>
    <mergeCell ref="C249:F249"/>
    <mergeCell ref="A250:B250"/>
    <mergeCell ref="A251:B251"/>
    <mergeCell ref="A222:B222"/>
    <mergeCell ref="A223:B223"/>
    <mergeCell ref="A224:B224"/>
    <mergeCell ref="A225:B225"/>
    <mergeCell ref="A226:B226"/>
    <mergeCell ref="A227:H227"/>
    <mergeCell ref="A228:B228"/>
    <mergeCell ref="A229:B229"/>
    <mergeCell ref="A230:B230"/>
    <mergeCell ref="A214:B214"/>
    <mergeCell ref="A215:B215"/>
    <mergeCell ref="A216:B216"/>
    <mergeCell ref="A217:H217"/>
    <mergeCell ref="A218:H218"/>
    <mergeCell ref="A219:H219"/>
    <mergeCell ref="L219:M219"/>
    <mergeCell ref="A220:B220"/>
    <mergeCell ref="A221:B221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197:H197"/>
    <mergeCell ref="A198:B198"/>
    <mergeCell ref="A199:B199"/>
    <mergeCell ref="A200:B200"/>
    <mergeCell ref="A201:B201"/>
    <mergeCell ref="A202:B202"/>
    <mergeCell ref="A203:B203"/>
    <mergeCell ref="C203:F203"/>
    <mergeCell ref="A204:B204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80:B180"/>
    <mergeCell ref="A181:B181"/>
    <mergeCell ref="A182:B182"/>
    <mergeCell ref="A183:B183"/>
    <mergeCell ref="C183:F183"/>
    <mergeCell ref="A184:B184"/>
    <mergeCell ref="A185:B185"/>
    <mergeCell ref="A186:B186"/>
    <mergeCell ref="A187:B187"/>
    <mergeCell ref="A171:B171"/>
    <mergeCell ref="A172:B172"/>
    <mergeCell ref="A173:B173"/>
    <mergeCell ref="A174:B174"/>
    <mergeCell ref="A175:B175"/>
    <mergeCell ref="A176:B176"/>
    <mergeCell ref="A177:H177"/>
    <mergeCell ref="A178:B178"/>
    <mergeCell ref="A179:B179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53:B153"/>
    <mergeCell ref="A154:B154"/>
    <mergeCell ref="A155:B155"/>
    <mergeCell ref="A156:B156"/>
    <mergeCell ref="A157:H157"/>
    <mergeCell ref="A158:B158"/>
    <mergeCell ref="A159:B159"/>
    <mergeCell ref="A160:B160"/>
    <mergeCell ref="A161:B161"/>
    <mergeCell ref="A143:H143"/>
    <mergeCell ref="A144:H144"/>
    <mergeCell ref="A147:H147"/>
    <mergeCell ref="A148:H148"/>
    <mergeCell ref="A149:H149"/>
    <mergeCell ref="L149:M149"/>
    <mergeCell ref="A150:B150"/>
    <mergeCell ref="A151:B151"/>
    <mergeCell ref="A152:B152"/>
    <mergeCell ref="A145:A146"/>
    <mergeCell ref="B145:B146"/>
    <mergeCell ref="C145:C146"/>
    <mergeCell ref="D145:D146"/>
    <mergeCell ref="E145:E146"/>
    <mergeCell ref="G145:H146"/>
    <mergeCell ref="A140:B140"/>
    <mergeCell ref="C140:D140"/>
    <mergeCell ref="E140:F140"/>
    <mergeCell ref="G140:H140"/>
    <mergeCell ref="A141:B141"/>
    <mergeCell ref="C141:D141"/>
    <mergeCell ref="E141:F141"/>
    <mergeCell ref="G141:H141"/>
    <mergeCell ref="A142:H142"/>
    <mergeCell ref="A137:B137"/>
    <mergeCell ref="C137:D137"/>
    <mergeCell ref="E137:F137"/>
    <mergeCell ref="G137:H137"/>
    <mergeCell ref="A138:B138"/>
    <mergeCell ref="C138:D138"/>
    <mergeCell ref="E138:F138"/>
    <mergeCell ref="G138:H138"/>
    <mergeCell ref="A139:B139"/>
    <mergeCell ref="C139:D139"/>
    <mergeCell ref="E139:F139"/>
    <mergeCell ref="G139:H139"/>
    <mergeCell ref="A132:E132"/>
    <mergeCell ref="F132:H132"/>
    <mergeCell ref="A133:E133"/>
    <mergeCell ref="F133:H133"/>
    <mergeCell ref="A134:E134"/>
    <mergeCell ref="F134:H134"/>
    <mergeCell ref="A135:H135"/>
    <mergeCell ref="A136:B136"/>
    <mergeCell ref="C136:D136"/>
    <mergeCell ref="E136:F136"/>
    <mergeCell ref="G136:H136"/>
    <mergeCell ref="A127:E127"/>
    <mergeCell ref="F127:H127"/>
    <mergeCell ref="A128:E128"/>
    <mergeCell ref="F128:H128"/>
    <mergeCell ref="A129:E129"/>
    <mergeCell ref="F129:H129"/>
    <mergeCell ref="A130:E130"/>
    <mergeCell ref="F130:H130"/>
    <mergeCell ref="A131:E131"/>
    <mergeCell ref="F131:H131"/>
    <mergeCell ref="A122:E122"/>
    <mergeCell ref="F122:H122"/>
    <mergeCell ref="A123:E123"/>
    <mergeCell ref="F123:H123"/>
    <mergeCell ref="A124:E124"/>
    <mergeCell ref="F124:H124"/>
    <mergeCell ref="A125:E125"/>
    <mergeCell ref="F125:H125"/>
    <mergeCell ref="A126:E126"/>
    <mergeCell ref="F126:H126"/>
    <mergeCell ref="A115:B115"/>
    <mergeCell ref="A116:B116"/>
    <mergeCell ref="A117:B117"/>
    <mergeCell ref="A118:B118"/>
    <mergeCell ref="A119:B119"/>
    <mergeCell ref="A120:B120"/>
    <mergeCell ref="A121:H121"/>
    <mergeCell ref="E111:F120"/>
    <mergeCell ref="G111:H120"/>
    <mergeCell ref="A109:B109"/>
    <mergeCell ref="C109:H109"/>
    <mergeCell ref="A110:B110"/>
    <mergeCell ref="E110:F110"/>
    <mergeCell ref="G110:H110"/>
    <mergeCell ref="A111:B111"/>
    <mergeCell ref="A112:B112"/>
    <mergeCell ref="A113:B113"/>
    <mergeCell ref="A114:B114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C107:H107"/>
    <mergeCell ref="A92:B92"/>
    <mergeCell ref="A93:B93"/>
    <mergeCell ref="C93:H93"/>
    <mergeCell ref="A95:B95"/>
    <mergeCell ref="C95:H95"/>
    <mergeCell ref="A96:B96"/>
    <mergeCell ref="E96:F96"/>
    <mergeCell ref="G96:H96"/>
    <mergeCell ref="A97:B97"/>
    <mergeCell ref="E83:F92"/>
    <mergeCell ref="G83:H92"/>
    <mergeCell ref="E97:F106"/>
    <mergeCell ref="G97:H106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8:B98"/>
    <mergeCell ref="A99:B99"/>
    <mergeCell ref="A75:B75"/>
    <mergeCell ref="A76:B76"/>
    <mergeCell ref="A77:B77"/>
    <mergeCell ref="A78:B78"/>
    <mergeCell ref="A79:B79"/>
    <mergeCell ref="C79:H79"/>
    <mergeCell ref="A81:B81"/>
    <mergeCell ref="C81:H81"/>
    <mergeCell ref="A82:B82"/>
    <mergeCell ref="E82:F82"/>
    <mergeCell ref="G82:H82"/>
    <mergeCell ref="E69:F78"/>
    <mergeCell ref="G69:H78"/>
    <mergeCell ref="A68:B68"/>
    <mergeCell ref="E68:F68"/>
    <mergeCell ref="G68:H68"/>
    <mergeCell ref="A69:B69"/>
    <mergeCell ref="A70:B70"/>
    <mergeCell ref="A71:B71"/>
    <mergeCell ref="A72:B72"/>
    <mergeCell ref="A73:B73"/>
    <mergeCell ref="A74:B74"/>
    <mergeCell ref="A62:C62"/>
    <mergeCell ref="D62:H62"/>
    <mergeCell ref="A63:C63"/>
    <mergeCell ref="D63:H63"/>
    <mergeCell ref="A64:C64"/>
    <mergeCell ref="D64:H64"/>
    <mergeCell ref="A65:B65"/>
    <mergeCell ref="C65:H65"/>
    <mergeCell ref="A67:B67"/>
    <mergeCell ref="C67:H67"/>
    <mergeCell ref="D56:H56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56:C57"/>
    <mergeCell ref="A51:B51"/>
    <mergeCell ref="C51:E51"/>
    <mergeCell ref="G51:H51"/>
    <mergeCell ref="A52:H52"/>
    <mergeCell ref="A53:C53"/>
    <mergeCell ref="D53:H53"/>
    <mergeCell ref="A54:C54"/>
    <mergeCell ref="D54:H54"/>
    <mergeCell ref="A55:C55"/>
    <mergeCell ref="D55:H55"/>
    <mergeCell ref="A47:B47"/>
    <mergeCell ref="C47:E47"/>
    <mergeCell ref="G47:H47"/>
    <mergeCell ref="A48:B48"/>
    <mergeCell ref="C48:E48"/>
    <mergeCell ref="G48:H48"/>
    <mergeCell ref="C49:E49"/>
    <mergeCell ref="G49:H49"/>
    <mergeCell ref="C50:H50"/>
    <mergeCell ref="A49:B50"/>
    <mergeCell ref="A42:D42"/>
    <mergeCell ref="E42:H42"/>
    <mergeCell ref="A43:D43"/>
    <mergeCell ref="E43:H43"/>
    <mergeCell ref="A44:D44"/>
    <mergeCell ref="E44:H44"/>
    <mergeCell ref="A45:H45"/>
    <mergeCell ref="A46:B46"/>
    <mergeCell ref="C46:H46"/>
    <mergeCell ref="A37:B37"/>
    <mergeCell ref="C37:H37"/>
    <mergeCell ref="A38:H38"/>
    <mergeCell ref="A39:D39"/>
    <mergeCell ref="E39:H39"/>
    <mergeCell ref="A40:D40"/>
    <mergeCell ref="E40:H40"/>
    <mergeCell ref="A41:D41"/>
    <mergeCell ref="E41:H41"/>
    <mergeCell ref="A33:B33"/>
    <mergeCell ref="C33:E33"/>
    <mergeCell ref="F33:H33"/>
    <mergeCell ref="A34:B34"/>
    <mergeCell ref="C34:E34"/>
    <mergeCell ref="F34:H34"/>
    <mergeCell ref="A35:H35"/>
    <mergeCell ref="A36:B36"/>
    <mergeCell ref="C36:H36"/>
    <mergeCell ref="A30:B30"/>
    <mergeCell ref="C30:E30"/>
    <mergeCell ref="F30:H30"/>
    <mergeCell ref="A31:B31"/>
    <mergeCell ref="C31:E31"/>
    <mergeCell ref="F31:H31"/>
    <mergeCell ref="A32:B32"/>
    <mergeCell ref="C32:E32"/>
    <mergeCell ref="F32:H32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19:B19"/>
    <mergeCell ref="C19:D19"/>
    <mergeCell ref="E19:F19"/>
    <mergeCell ref="G19:H19"/>
    <mergeCell ref="A22:D22"/>
    <mergeCell ref="E22:H22"/>
    <mergeCell ref="A23:D23"/>
    <mergeCell ref="E23:H23"/>
    <mergeCell ref="A24:D24"/>
    <mergeCell ref="E24:H24"/>
    <mergeCell ref="A20:D21"/>
    <mergeCell ref="E20:H21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7:D7"/>
    <mergeCell ref="E7:H7"/>
    <mergeCell ref="A8:D8"/>
    <mergeCell ref="E8:H8"/>
    <mergeCell ref="A9:D9"/>
    <mergeCell ref="E9:H9"/>
    <mergeCell ref="A10:D10"/>
    <mergeCell ref="E10:H10"/>
    <mergeCell ref="I10:L10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hyperlinks>
    <hyperlink ref="C37" r:id="rId1" tooltip="https://goo.gl/maps/bC8EwrBvwB2TgHeR6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368" max="16383" man="1"/>
    <brk id="40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87" t="s">
        <v>214</v>
      </c>
      <c r="C3" s="187"/>
      <c r="D3" s="187"/>
      <c r="E3" s="187"/>
      <c r="F3" s="187"/>
      <c r="G3" s="187"/>
      <c r="H3" s="187"/>
    </row>
    <row r="4" spans="1:9">
      <c r="A4" s="2"/>
      <c r="B4" s="3" t="s">
        <v>215</v>
      </c>
      <c r="C4" s="3" t="s">
        <v>216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221</v>
      </c>
    </row>
    <row r="5" spans="1:9" ht="15" customHeight="1">
      <c r="A5" s="2"/>
      <c r="B5" s="4" t="s">
        <v>222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222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222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222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222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223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223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224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225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2025-09-08T12:43:55Z</cp:lastPrinted>
  <dcterms:created xsi:type="dcterms:W3CDTF">2019-07-16T09:29:00Z</dcterms:created>
  <dcterms:modified xsi:type="dcterms:W3CDTF">2025-09-08T12:44:39Z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06FFC00FEAFC4AA0AD54A83C3CAFF64E_12</vt:lpwstr>
  </property>
  <property fmtid="{D5CDD505-2E9C-101B-9397-08002B2CF9AE}" pid="3" name="KSOProductBuildVer">
    <vt:lpwstr>1033-12.2.0.20326</vt:lpwstr>
  </property>
</Properties>
</file>