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Shruti\Sept 25\Dump\"/>
    </mc:Choice>
  </mc:AlternateContent>
  <bookViews>
    <workbookView xWindow="0" yWindow="0" windowWidth="20490" windowHeight="7755" tabRatio="849"/>
  </bookViews>
  <sheets>
    <sheet name="Report (2)" sheetId="1" r:id="rId1"/>
    <sheet name="VALUATION" sheetId="12" r:id="rId2"/>
    <sheet name="Note" sheetId="8" r:id="rId3"/>
    <sheet name="5" sheetId="4" r:id="rId4"/>
    <sheet name="8" sheetId="9" r:id="rId5"/>
    <sheet name="9" sheetId="10" r:id="rId6"/>
    <sheet name="10, 11" sheetId="11" r:id="rId7"/>
    <sheet name="Flat detail" sheetId="3" r:id="rId8"/>
  </sheets>
  <definedNames>
    <definedName name="_xlnm.Print_Area" localSheetId="0">'Report (2)'!$A$1:$J$480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9" i="1" l="1"/>
  <c r="D275" i="1"/>
  <c r="D270" i="1"/>
  <c r="D258" i="1"/>
  <c r="D259" i="1"/>
  <c r="D284" i="1"/>
  <c r="K188" i="1"/>
  <c r="K70" i="1"/>
  <c r="C13" i="1"/>
  <c r="K288" i="1" l="1"/>
  <c r="K251" i="1"/>
  <c r="K269" i="1"/>
  <c r="K158" i="1"/>
  <c r="K194" i="1"/>
  <c r="K213" i="1"/>
  <c r="D341" i="1"/>
  <c r="G341" i="1" s="1"/>
  <c r="D340" i="1"/>
  <c r="G340" i="1" s="1"/>
  <c r="D339" i="1"/>
  <c r="G339" i="1" s="1"/>
  <c r="D338" i="1"/>
  <c r="G338" i="1" s="1"/>
  <c r="D337" i="1"/>
  <c r="G337" i="1" s="1"/>
  <c r="D336" i="1"/>
  <c r="G336" i="1" s="1"/>
  <c r="K335" i="1"/>
  <c r="I334" i="1"/>
  <c r="D328" i="1"/>
  <c r="D327" i="1"/>
  <c r="D326" i="1"/>
  <c r="D325" i="1"/>
  <c r="D332" i="1"/>
  <c r="D331" i="1"/>
  <c r="D330" i="1"/>
  <c r="D329" i="1"/>
  <c r="K324" i="1"/>
  <c r="D323" i="1"/>
  <c r="D314" i="1"/>
  <c r="D322" i="1"/>
  <c r="D321" i="1"/>
  <c r="D320" i="1"/>
  <c r="D319" i="1"/>
  <c r="D318" i="1"/>
  <c r="D313" i="1"/>
  <c r="D311" i="1"/>
  <c r="D310" i="1"/>
  <c r="D309" i="1"/>
  <c r="D308" i="1"/>
  <c r="D312" i="1"/>
  <c r="D307" i="1"/>
  <c r="D305" i="1"/>
  <c r="D304" i="1"/>
  <c r="D303" i="1"/>
  <c r="D302" i="1"/>
  <c r="D301" i="1"/>
  <c r="D300" i="1"/>
  <c r="D296" i="1"/>
  <c r="D295" i="1"/>
  <c r="D294" i="1"/>
  <c r="D293" i="1"/>
  <c r="D277" i="1"/>
  <c r="D276" i="1"/>
  <c r="D292" i="1"/>
  <c r="D291" i="1"/>
  <c r="D290" i="1"/>
  <c r="D289" i="1"/>
  <c r="D285" i="1" l="1"/>
  <c r="D283" i="1" l="1"/>
  <c r="D282" i="1"/>
  <c r="D287" i="1"/>
  <c r="D286" i="1"/>
  <c r="D274" i="1"/>
  <c r="D273" i="1"/>
  <c r="D272" i="1"/>
  <c r="D271" i="1"/>
  <c r="D268" i="1"/>
  <c r="D267" i="1"/>
  <c r="D266" i="1"/>
  <c r="D265" i="1"/>
  <c r="D264" i="1"/>
  <c r="D263" i="1"/>
  <c r="D257" i="1"/>
  <c r="D256" i="1"/>
  <c r="D255" i="1"/>
  <c r="D254" i="1"/>
  <c r="D253" i="1"/>
  <c r="D252" i="1"/>
  <c r="D247" i="1"/>
  <c r="D246" i="1"/>
  <c r="D245" i="1"/>
  <c r="D244" i="1"/>
  <c r="D248" i="1"/>
  <c r="D243" i="1"/>
  <c r="D238" i="1"/>
  <c r="D237" i="1"/>
  <c r="D236" i="1"/>
  <c r="D235" i="1"/>
  <c r="L232" i="1"/>
  <c r="D209" i="1"/>
  <c r="D208" i="1"/>
  <c r="D170" i="1" l="1"/>
  <c r="K149" i="1"/>
  <c r="D149" i="1"/>
  <c r="D152" i="1" l="1"/>
  <c r="G314" i="1" l="1"/>
  <c r="G313" i="1"/>
  <c r="G312" i="1"/>
  <c r="G311" i="1"/>
  <c r="G310" i="1"/>
  <c r="G309" i="1"/>
  <c r="G308" i="1"/>
  <c r="G307" i="1"/>
  <c r="G305" i="1"/>
  <c r="G304" i="1"/>
  <c r="G303" i="1"/>
  <c r="G302" i="1"/>
  <c r="G300" i="1"/>
  <c r="G323" i="1"/>
  <c r="G322" i="1"/>
  <c r="G321" i="1"/>
  <c r="G320" i="1"/>
  <c r="G319" i="1"/>
  <c r="G318" i="1"/>
  <c r="G329" i="1"/>
  <c r="G328" i="1"/>
  <c r="G327" i="1"/>
  <c r="G326" i="1"/>
  <c r="G325" i="1"/>
  <c r="G296" i="1"/>
  <c r="G295" i="1"/>
  <c r="G294" i="1"/>
  <c r="G293" i="1"/>
  <c r="G292" i="1"/>
  <c r="G291" i="1"/>
  <c r="G290" i="1"/>
  <c r="G289" i="1"/>
  <c r="G332" i="1"/>
  <c r="G331" i="1"/>
  <c r="G330" i="1"/>
  <c r="K326" i="1"/>
  <c r="I325" i="1"/>
  <c r="I316" i="1"/>
  <c r="K308" i="1"/>
  <c r="I307" i="1"/>
  <c r="G301" i="1"/>
  <c r="I298" i="1"/>
  <c r="I289" i="1"/>
  <c r="D228" i="1"/>
  <c r="G228" i="1" s="1"/>
  <c r="D227" i="1"/>
  <c r="G227" i="1" s="1"/>
  <c r="D226" i="1"/>
  <c r="G226" i="1" s="1"/>
  <c r="D225" i="1"/>
  <c r="G225" i="1" s="1"/>
  <c r="D224" i="1"/>
  <c r="G224" i="1" s="1"/>
  <c r="D223" i="1"/>
  <c r="G223" i="1" s="1"/>
  <c r="D214" i="1"/>
  <c r="G214" i="1" s="1"/>
  <c r="D215" i="1"/>
  <c r="G215" i="1" s="1"/>
  <c r="D216" i="1"/>
  <c r="G216" i="1" s="1"/>
  <c r="D217" i="1"/>
  <c r="G217" i="1" s="1"/>
  <c r="D218" i="1"/>
  <c r="G218" i="1" s="1"/>
  <c r="D219" i="1"/>
  <c r="G219" i="1" s="1"/>
  <c r="D220" i="1"/>
  <c r="G220" i="1" s="1"/>
  <c r="D221" i="1"/>
  <c r="G221" i="1" s="1"/>
  <c r="I223" i="1"/>
  <c r="I214" i="1"/>
  <c r="C120" i="1" l="1"/>
  <c r="C106" i="1"/>
  <c r="H51" i="1" l="1"/>
  <c r="G170" i="1" l="1"/>
  <c r="D173" i="1"/>
  <c r="G173" i="1" s="1"/>
  <c r="D172" i="1"/>
  <c r="G172" i="1" s="1"/>
  <c r="D171" i="1"/>
  <c r="G171" i="1" s="1"/>
  <c r="I170" i="1"/>
  <c r="G141" i="1" l="1"/>
  <c r="C141" i="1"/>
  <c r="D141" i="1"/>
  <c r="F43" i="1"/>
  <c r="F42" i="1" s="1"/>
  <c r="N89" i="1" l="1"/>
  <c r="I86" i="1"/>
  <c r="C91" i="1" l="1"/>
  <c r="C92" i="1" s="1"/>
  <c r="I165" i="1"/>
  <c r="D168" i="1" l="1"/>
  <c r="G168" i="1" s="1"/>
  <c r="D162" i="1"/>
  <c r="G162" i="1" s="1"/>
  <c r="D167" i="1"/>
  <c r="G167" i="1" s="1"/>
  <c r="D166" i="1"/>
  <c r="G166" i="1" s="1"/>
  <c r="D165" i="1"/>
  <c r="G165" i="1" s="1"/>
  <c r="D161" i="1"/>
  <c r="G161" i="1" s="1"/>
  <c r="D160" i="1"/>
  <c r="G160" i="1" s="1"/>
  <c r="D159" i="1"/>
  <c r="G159" i="1" s="1"/>
  <c r="D157" i="1"/>
  <c r="G157" i="1" s="1"/>
  <c r="D155" i="1"/>
  <c r="G155" i="1" s="1"/>
  <c r="D154" i="1"/>
  <c r="G152" i="1"/>
  <c r="I149" i="1"/>
  <c r="I159" i="1"/>
  <c r="D156" i="1"/>
  <c r="G156" i="1" s="1"/>
  <c r="I154" i="1"/>
  <c r="D151" i="1"/>
  <c r="G151" i="1" s="1"/>
  <c r="G154" i="1" l="1"/>
  <c r="C139" i="1"/>
  <c r="D139" i="1"/>
  <c r="G149" i="1"/>
  <c r="G139" i="1" s="1"/>
  <c r="F3" i="1"/>
  <c r="I252" i="1"/>
  <c r="I234" i="1"/>
  <c r="G285" i="1"/>
  <c r="G270" i="1"/>
  <c r="K271" i="1"/>
  <c r="G266" i="1"/>
  <c r="G257" i="1"/>
  <c r="I270" i="1"/>
  <c r="G271" i="1"/>
  <c r="G253" i="1"/>
  <c r="G244" i="1"/>
  <c r="G274" i="1"/>
  <c r="G284" i="1"/>
  <c r="G265" i="1"/>
  <c r="G256" i="1"/>
  <c r="G247" i="1"/>
  <c r="G272" i="1"/>
  <c r="G283" i="1"/>
  <c r="G282" i="1"/>
  <c r="G255" i="1"/>
  <c r="G254" i="1"/>
  <c r="G246" i="1"/>
  <c r="G245" i="1"/>
  <c r="G237" i="1"/>
  <c r="G238" i="1"/>
  <c r="G277" i="1"/>
  <c r="G276" i="1"/>
  <c r="G286" i="1"/>
  <c r="G268" i="1"/>
  <c r="G267" i="1"/>
  <c r="G259" i="1"/>
  <c r="G258" i="1"/>
  <c r="G252" i="1"/>
  <c r="G248" i="1"/>
  <c r="G243" i="1"/>
  <c r="G235" i="1"/>
  <c r="G275" i="1"/>
  <c r="G273" i="1"/>
  <c r="G287" i="1"/>
  <c r="I280" i="1"/>
  <c r="G264" i="1"/>
  <c r="G263" i="1"/>
  <c r="I261" i="1"/>
  <c r="I243" i="1"/>
  <c r="G236" i="1" l="1"/>
  <c r="G136" i="1"/>
  <c r="G209" i="1" l="1"/>
  <c r="G208" i="1"/>
  <c r="D207" i="1"/>
  <c r="G207" i="1" s="1"/>
  <c r="D206" i="1"/>
  <c r="G206" i="1" s="1"/>
  <c r="D205" i="1"/>
  <c r="G205" i="1" s="1"/>
  <c r="I204" i="1"/>
  <c r="D204" i="1"/>
  <c r="G204" i="1" s="1"/>
  <c r="D196" i="1"/>
  <c r="G196" i="1" s="1"/>
  <c r="D195" i="1"/>
  <c r="G195" i="1" s="1"/>
  <c r="D202" i="1"/>
  <c r="G202" i="1" s="1"/>
  <c r="D201" i="1"/>
  <c r="G201" i="1" s="1"/>
  <c r="D200" i="1"/>
  <c r="G200" i="1" s="1"/>
  <c r="D199" i="1"/>
  <c r="G199" i="1" s="1"/>
  <c r="D198" i="1"/>
  <c r="G198" i="1" s="1"/>
  <c r="D197" i="1"/>
  <c r="G197" i="1" s="1"/>
  <c r="I195" i="1"/>
  <c r="D193" i="1"/>
  <c r="G193" i="1" s="1"/>
  <c r="D192" i="1"/>
  <c r="G192" i="1" s="1"/>
  <c r="D191" i="1"/>
  <c r="G191" i="1" s="1"/>
  <c r="D190" i="1"/>
  <c r="G190" i="1" s="1"/>
  <c r="D189" i="1"/>
  <c r="G189" i="1" s="1"/>
  <c r="D188" i="1"/>
  <c r="G188" i="1" s="1"/>
  <c r="I186" i="1"/>
  <c r="D183" i="1"/>
  <c r="G183" i="1" s="1"/>
  <c r="D182" i="1"/>
  <c r="G182" i="1" s="1"/>
  <c r="D181" i="1"/>
  <c r="G181" i="1" s="1"/>
  <c r="D180" i="1"/>
  <c r="I177" i="1"/>
  <c r="C140" i="1" l="1"/>
  <c r="C142" i="1" s="1"/>
  <c r="D140" i="1"/>
  <c r="D142" i="1" s="1"/>
  <c r="G180" i="1"/>
  <c r="G140" i="1" s="1"/>
  <c r="L124" i="1"/>
  <c r="L123" i="1"/>
  <c r="L110" i="1"/>
  <c r="L109" i="1"/>
  <c r="L96" i="1"/>
  <c r="L95" i="1"/>
  <c r="C82" i="1"/>
  <c r="I81" i="1"/>
  <c r="I114" i="1"/>
  <c r="G142" i="1" l="1"/>
  <c r="L116" i="1"/>
  <c r="L119" i="1"/>
  <c r="D125" i="1"/>
  <c r="D119" i="1"/>
  <c r="D124" i="1"/>
  <c r="D126" i="1"/>
  <c r="D120" i="1"/>
  <c r="L118" i="1"/>
  <c r="C117" i="1" s="1"/>
  <c r="D123" i="1"/>
  <c r="L117" i="1"/>
  <c r="D122" i="1"/>
  <c r="D121" i="1"/>
  <c r="L104" i="1"/>
  <c r="C103" i="1" s="1"/>
  <c r="D103" i="1" s="1"/>
  <c r="D110" i="1"/>
  <c r="D109" i="1"/>
  <c r="L103" i="1"/>
  <c r="D106" i="1"/>
  <c r="L105" i="1"/>
  <c r="D105" i="1"/>
  <c r="L102" i="1"/>
  <c r="D112" i="1"/>
  <c r="D108" i="1"/>
  <c r="D107" i="1"/>
  <c r="D111" i="1"/>
  <c r="L88" i="1"/>
  <c r="L91" i="1"/>
  <c r="L92" i="1" s="1"/>
  <c r="L97" i="1" s="1"/>
  <c r="D98" i="1"/>
  <c r="D92" i="1"/>
  <c r="D96" i="1"/>
  <c r="D93" i="1"/>
  <c r="D97" i="1"/>
  <c r="D91" i="1"/>
  <c r="L90" i="1"/>
  <c r="C89" i="1" s="1"/>
  <c r="D95" i="1"/>
  <c r="L89" i="1"/>
  <c r="D94" i="1"/>
  <c r="L106" i="1" l="1"/>
  <c r="L120" i="1"/>
  <c r="L93" i="1"/>
  <c r="L94" i="1" s="1"/>
  <c r="D117" i="1"/>
  <c r="D89" i="1"/>
  <c r="L111" i="1" l="1"/>
  <c r="L125" i="1"/>
  <c r="L107" i="1"/>
  <c r="L121" i="1"/>
  <c r="L98" i="1"/>
  <c r="C90" i="1" s="1"/>
  <c r="D90" i="1" s="1"/>
  <c r="L108" i="1" l="1"/>
  <c r="L112" i="1" s="1"/>
  <c r="H103" i="1"/>
  <c r="L122" i="1"/>
  <c r="K83" i="1"/>
  <c r="K80" i="1"/>
  <c r="F89" i="1"/>
  <c r="K85" i="1" s="1"/>
  <c r="C87" i="1" s="1"/>
  <c r="H89" i="1"/>
  <c r="D104" i="1" l="1"/>
  <c r="F103" i="1"/>
  <c r="K99" i="1" s="1"/>
  <c r="C101" i="1" s="1"/>
  <c r="L126" i="1"/>
  <c r="C6" i="10"/>
  <c r="B6" i="10"/>
  <c r="H117" i="1" l="1"/>
  <c r="F117" i="1"/>
  <c r="K113" i="1" s="1"/>
  <c r="C115" i="1" s="1"/>
  <c r="D118" i="1"/>
  <c r="C8" i="10"/>
  <c r="C10" i="10" s="1"/>
  <c r="C8" i="9"/>
  <c r="C10" i="9" s="1"/>
  <c r="F6" i="12" l="1"/>
  <c r="G6" i="12" s="1"/>
  <c r="F7" i="12"/>
  <c r="G7" i="12" s="1"/>
  <c r="F8" i="12"/>
  <c r="G8" i="12" s="1"/>
  <c r="F9" i="12"/>
  <c r="G9" i="12" s="1"/>
  <c r="F10" i="12"/>
  <c r="G10" i="12" s="1"/>
  <c r="F11" i="12"/>
  <c r="G11" i="12" s="1"/>
  <c r="F5" i="12"/>
  <c r="G5" i="12" s="1"/>
  <c r="G12" i="12" s="1"/>
  <c r="F12" i="12"/>
  <c r="B10" i="9" l="1"/>
  <c r="E2" i="9"/>
  <c r="B16" i="11"/>
  <c r="E10" i="11" s="1"/>
  <c r="B14" i="11"/>
  <c r="E9" i="11" s="1"/>
  <c r="B12" i="11"/>
  <c r="M7" i="11" s="1"/>
  <c r="H17" i="11" s="1"/>
  <c r="B10" i="11"/>
  <c r="L7" i="11" s="1"/>
  <c r="H16" i="11" s="1"/>
  <c r="E8" i="11"/>
  <c r="B8" i="11"/>
  <c r="K7" i="11" s="1"/>
  <c r="H15" i="11" s="1"/>
  <c r="I6" i="11"/>
  <c r="I7" i="11" s="1"/>
  <c r="H13" i="11" s="1"/>
  <c r="B6" i="11"/>
  <c r="J7" i="11" s="1"/>
  <c r="H14" i="11" s="1"/>
  <c r="E4" i="11"/>
  <c r="B16" i="10"/>
  <c r="O7" i="10" s="1"/>
  <c r="H19" i="10" s="1"/>
  <c r="B14" i="10"/>
  <c r="N7" i="10" s="1"/>
  <c r="H18" i="10" s="1"/>
  <c r="B12" i="10"/>
  <c r="E8" i="10" s="1"/>
  <c r="B10" i="10"/>
  <c r="L7" i="10" s="1"/>
  <c r="H16" i="10" s="1"/>
  <c r="B8" i="10"/>
  <c r="E6" i="10" s="1"/>
  <c r="J7" i="10"/>
  <c r="H14" i="10" s="1"/>
  <c r="J6" i="10"/>
  <c r="G14" i="10" s="1"/>
  <c r="I6" i="10"/>
  <c r="I7" i="10" s="1"/>
  <c r="H13" i="10" s="1"/>
  <c r="E5" i="10"/>
  <c r="E4" i="10"/>
  <c r="B16" i="9"/>
  <c r="O7" i="9" s="1"/>
  <c r="H19" i="9" s="1"/>
  <c r="B14" i="9"/>
  <c r="N7" i="9" s="1"/>
  <c r="H18" i="9" s="1"/>
  <c r="B12" i="9"/>
  <c r="E8" i="9" s="1"/>
  <c r="I6" i="9"/>
  <c r="G13" i="9" s="1"/>
  <c r="E4" i="9"/>
  <c r="E6" i="11" l="1"/>
  <c r="M6" i="11"/>
  <c r="G17" i="11" s="1"/>
  <c r="N6" i="11"/>
  <c r="G18" i="11" s="1"/>
  <c r="O6" i="11"/>
  <c r="G19" i="11" s="1"/>
  <c r="O7" i="11"/>
  <c r="H19" i="11" s="1"/>
  <c r="M6" i="10"/>
  <c r="G17" i="10" s="1"/>
  <c r="N7" i="11"/>
  <c r="H18" i="11" s="1"/>
  <c r="H20" i="11" s="1"/>
  <c r="M7" i="10"/>
  <c r="H17" i="10" s="1"/>
  <c r="O6" i="9"/>
  <c r="G19" i="9" s="1"/>
  <c r="E7" i="11"/>
  <c r="G13" i="11"/>
  <c r="E5" i="11"/>
  <c r="E10" i="9"/>
  <c r="M6" i="9"/>
  <c r="G17" i="9" s="1"/>
  <c r="E7" i="10"/>
  <c r="L6" i="9"/>
  <c r="G16" i="9" s="1"/>
  <c r="E7" i="9"/>
  <c r="M7" i="9"/>
  <c r="H17" i="9" s="1"/>
  <c r="B6" i="9"/>
  <c r="E5" i="9" s="1"/>
  <c r="B8" i="9"/>
  <c r="K6" i="9" s="1"/>
  <c r="G15" i="9" s="1"/>
  <c r="J6" i="11"/>
  <c r="G14" i="11" s="1"/>
  <c r="K6" i="11"/>
  <c r="G15" i="11" s="1"/>
  <c r="L6" i="11"/>
  <c r="G16" i="11" s="1"/>
  <c r="E9" i="10"/>
  <c r="K7" i="10"/>
  <c r="H15" i="10" s="1"/>
  <c r="L6" i="10"/>
  <c r="G16" i="10" s="1"/>
  <c r="E10" i="10"/>
  <c r="K6" i="10"/>
  <c r="G15" i="10" s="1"/>
  <c r="N6" i="10"/>
  <c r="G18" i="10" s="1"/>
  <c r="G13" i="10"/>
  <c r="O6" i="10"/>
  <c r="G19" i="10" s="1"/>
  <c r="I7" i="9"/>
  <c r="H13" i="9" s="1"/>
  <c r="E9" i="9"/>
  <c r="L7" i="9"/>
  <c r="H16" i="9" s="1"/>
  <c r="N6" i="9"/>
  <c r="G18" i="9" s="1"/>
  <c r="H20" i="10" l="1"/>
  <c r="J6" i="9"/>
  <c r="G14" i="9" s="1"/>
  <c r="J7" i="9"/>
  <c r="H14" i="9" s="1"/>
  <c r="G20" i="11"/>
  <c r="G20" i="10"/>
  <c r="K7" i="9"/>
  <c r="H15" i="9" s="1"/>
  <c r="E6" i="9"/>
  <c r="G20" i="9"/>
  <c r="G131" i="1"/>
  <c r="F7" i="1"/>
  <c r="H20" i="9" l="1"/>
  <c r="B16" i="4"/>
  <c r="O7" i="4" s="1"/>
  <c r="H19" i="4" s="1"/>
  <c r="B14" i="4"/>
  <c r="E9" i="4" s="1"/>
  <c r="B12" i="4"/>
  <c r="M7" i="4" s="1"/>
  <c r="H17" i="4" s="1"/>
  <c r="B10" i="4"/>
  <c r="L7" i="4" s="1"/>
  <c r="H16" i="4" s="1"/>
  <c r="B8" i="4"/>
  <c r="K6" i="4" s="1"/>
  <c r="G15" i="4" s="1"/>
  <c r="I6" i="4"/>
  <c r="I7" i="4" s="1"/>
  <c r="H13" i="4" s="1"/>
  <c r="B6" i="4"/>
  <c r="J7" i="4" s="1"/>
  <c r="H14" i="4" s="1"/>
  <c r="E4" i="4"/>
  <c r="E8" i="4" l="1"/>
  <c r="N7" i="4"/>
  <c r="H18" i="4" s="1"/>
  <c r="E10" i="4"/>
  <c r="N6" i="4"/>
  <c r="G18" i="4" s="1"/>
  <c r="E6" i="4"/>
  <c r="G13" i="4"/>
  <c r="K7" i="4"/>
  <c r="H15" i="4" s="1"/>
  <c r="H20" i="4" s="1"/>
  <c r="M6" i="4"/>
  <c r="G17" i="4" s="1"/>
  <c r="E5" i="4"/>
  <c r="J6" i="4"/>
  <c r="G14" i="4" s="1"/>
  <c r="O6" i="4"/>
  <c r="G19" i="4" s="1"/>
  <c r="L6" i="4"/>
  <c r="G16" i="4" s="1"/>
  <c r="E7" i="4"/>
  <c r="G20" i="4" l="1"/>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52" i="1"/>
  <c r="D34" i="3" l="1"/>
  <c r="D36" i="3" s="1"/>
  <c r="E36" i="3"/>
</calcChain>
</file>

<file path=xl/sharedStrings.xml><?xml version="1.0" encoding="utf-8"?>
<sst xmlns="http://schemas.openxmlformats.org/spreadsheetml/2006/main" count="938" uniqueCount="340">
  <si>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</si>
  <si>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</si>
  <si>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</si>
  <si>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</si>
  <si>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</si>
  <si>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</si>
  <si>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</si>
  <si>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</si>
  <si>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</si>
  <si>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</si>
  <si>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RERA No.</t>
  </si>
  <si>
    <t xml:space="preserve">Project location details       </t>
  </si>
  <si>
    <t>Locality</t>
  </si>
  <si>
    <t>Road</t>
  </si>
  <si>
    <t>District</t>
  </si>
  <si>
    <t>City</t>
  </si>
  <si>
    <t>Pin Code</t>
  </si>
  <si>
    <t>Near by Landmark</t>
  </si>
  <si>
    <t xml:space="preserve">Distance from city centre: </t>
  </si>
  <si>
    <t>Accessibility to the Project from the City:
(Proximity to civic amenities like school, hospital, market)</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</si>
  <si>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</si>
  <si>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</si>
  <si>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</si>
  <si>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</si>
  <si>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</si>
  <si>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</si>
  <si>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</si>
  <si>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</si>
  <si>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Quality of infrastructure in vicinity</t>
  </si>
  <si>
    <t>Good</t>
  </si>
  <si>
    <t>Boundaries</t>
  </si>
  <si>
    <t>East</t>
  </si>
  <si>
    <t>West</t>
  </si>
  <si>
    <t>South</t>
  </si>
  <si>
    <t>North</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</si>
  <si>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</si>
  <si>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</si>
  <si>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</si>
  <si>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</si>
  <si>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</si>
  <si>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</si>
  <si>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</si>
  <si>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Residential</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</si>
  <si>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</si>
  <si>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</si>
  <si>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</si>
  <si>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</si>
  <si>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</si>
  <si>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</si>
  <si>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</si>
  <si>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</si>
  <si>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</si>
  <si>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</si>
  <si>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</si>
  <si>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</si>
  <si>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</si>
  <si>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 xml:space="preserve">O. Certificate No.: </t>
  </si>
  <si>
    <t xml:space="preserve">Date of approval: </t>
  </si>
  <si>
    <t xml:space="preserve">Commencement date of construction </t>
  </si>
  <si>
    <t>Expected Completion</t>
  </si>
  <si>
    <t>Building wise Construction details</t>
  </si>
  <si>
    <t>Approved no of units</t>
  </si>
  <si>
    <t>Approved no of Floors</t>
  </si>
  <si>
    <t xml:space="preserve">Construction details:                                                                  </t>
  </si>
  <si>
    <t>Type of Work</t>
  </si>
  <si>
    <t>Plinth</t>
  </si>
  <si>
    <t>RCC</t>
  </si>
  <si>
    <t>Plaster</t>
  </si>
  <si>
    <t>Flooring</t>
  </si>
  <si>
    <t>Finishing</t>
  </si>
  <si>
    <t>Recommended rate of the flat Per Sq. Ft. ( on Saleable area)</t>
  </si>
  <si>
    <t>Distressed valuation of the Property</t>
  </si>
  <si>
    <t>A</t>
  </si>
  <si>
    <t>Total</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</si>
  <si>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</si>
  <si>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</si>
  <si>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</si>
  <si>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</si>
  <si>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</si>
  <si>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Authorized Signatory
                                                                                                                                                                                                                                                                                     Name &amp; Seal of the agency</t>
  </si>
  <si>
    <t xml:space="preserve">PHOTOGRAPHS OF PROPERTY : 
</t>
  </si>
  <si>
    <t>Google Map :</t>
  </si>
  <si>
    <t>Particulars</t>
  </si>
  <si>
    <t xml:space="preserve">totaL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</si>
  <si>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</si>
  <si>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</si>
  <si>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</si>
  <si>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</si>
  <si>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</si>
  <si>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</si>
  <si>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</si>
  <si>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</si>
  <si>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</si>
  <si>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</si>
  <si>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</si>
  <si>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</si>
  <si>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</si>
  <si>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</si>
  <si>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</si>
  <si>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</si>
  <si>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</si>
  <si>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</si>
  <si>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</si>
  <si>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</si>
  <si>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</si>
  <si>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</si>
  <si>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</si>
  <si>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</si>
  <si>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</si>
  <si>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</si>
  <si>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</si>
  <si>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</si>
  <si>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</si>
  <si>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</si>
  <si>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</si>
  <si>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</si>
  <si>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</si>
  <si>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</si>
  <si>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</si>
  <si>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</si>
  <si>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</si>
  <si>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</si>
  <si>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</si>
  <si>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</si>
  <si>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</si>
  <si>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Other Charges (Car Parking)</t>
  </si>
  <si>
    <t>Asmita</t>
  </si>
  <si>
    <t>OLD APF</t>
  </si>
  <si>
    <t>Mr. Pradeep 022-61143000</t>
  </si>
  <si>
    <t>Commencement Certificate, Plan Copy</t>
  </si>
  <si>
    <t>Mumbai</t>
  </si>
  <si>
    <t>C.T.S. No.</t>
  </si>
  <si>
    <t>Near Mangatram Petrol Pump</t>
  </si>
  <si>
    <t>Developed</t>
  </si>
  <si>
    <t>Railway Track</t>
  </si>
  <si>
    <t>LBS Road</t>
  </si>
  <si>
    <t>Gundecha
Altura Complex</t>
  </si>
  <si>
    <t>Jayjind Oilmill
Compound</t>
  </si>
  <si>
    <t>Axis Sanpada</t>
  </si>
  <si>
    <t>CHE/ES/1458/S/337(NEW)/OCC/1/New
Approved Floor : 3 level Basement (Pt) + Ground +P1 Level + 1st to 34th
Floors including OHT &amp; Lift Machine Excluding 35th &amp; 36th Floors for Tower no. 5, 6 &amp; 7</t>
  </si>
  <si>
    <t>26/02/2020.</t>
  </si>
  <si>
    <t>1500000/-</t>
  </si>
  <si>
    <t>Runwal Forest</t>
  </si>
  <si>
    <t>28/11/2020.</t>
  </si>
  <si>
    <t>Market Research Data</t>
  </si>
  <si>
    <t>Source</t>
  </si>
  <si>
    <t>Distance from proposed property</t>
  </si>
  <si>
    <t>Net Carpet</t>
  </si>
  <si>
    <t>Saleable Area</t>
  </si>
  <si>
    <t>Rate on Saleable</t>
  </si>
  <si>
    <t>Market Value</t>
  </si>
  <si>
    <t>3BHK</t>
  </si>
  <si>
    <t>housing</t>
  </si>
  <si>
    <t>2BHK</t>
  </si>
  <si>
    <t>1BHK</t>
  </si>
  <si>
    <t>Average</t>
  </si>
  <si>
    <t xml:space="preserve">Valuation Adopted </t>
  </si>
  <si>
    <t>99acres</t>
  </si>
  <si>
    <t>1.5BHK</t>
  </si>
  <si>
    <t>Dhanashree</t>
  </si>
  <si>
    <t>1. Rate has not Changed.</t>
  </si>
  <si>
    <t>23/10/2020.</t>
  </si>
  <si>
    <t>CHE/ES/1458/S/337(NEW)/OCC/2/New
Approved Floor : 21st to 35th Floors Excluding 36th to 40th Floors for
Tower no. 1 &amp; 3 and for 21st to 34th floor Excluding 35th to 38th floor for Tower no. 4</t>
  </si>
  <si>
    <t>21/08/2020.</t>
  </si>
  <si>
    <t>31/05/2021.</t>
  </si>
  <si>
    <t>CHE/ES/1458/S/337(NEW)/OCC/1/New
Approved Floor : Part Occupation for 3 level basement (pt) + Ground + 1st to 20th upper floors of Tower no. 1, 3 and 4</t>
  </si>
  <si>
    <t>CHE/ES/1458/S/337(NEW)/OCC/1/New
Approved Floor : Tower no. 1 &amp; 3 each consisting of 3 level Basement (Pt) + Ground + P1 Level + 1st to 40th and Tower no. 4 consisting of 3 level Basement (Pt) + Ground + P1 Level + 1st to 38th Floors and Tower no. 5, 6 &amp; 7 each consisting of 3 level Basement (Pt) + Ground + P1 Level + 1st to 36th Floors including OHT &amp; Lift Machine</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</si>
  <si>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</si>
  <si>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</si>
  <si>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</si>
  <si>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</si>
  <si>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</si>
  <si>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</si>
  <si>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</si>
  <si>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</si>
  <si>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</si>
  <si>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</si>
  <si>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</si>
  <si>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</si>
  <si>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</si>
  <si>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</si>
  <si>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</si>
  <si>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</si>
  <si>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</si>
  <si>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</si>
  <si>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</si>
  <si>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</si>
  <si>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</si>
  <si>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</si>
  <si>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</si>
  <si>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</si>
  <si>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</si>
  <si>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</si>
  <si>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</si>
  <si>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</si>
  <si>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</si>
  <si>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</si>
  <si>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</si>
  <si>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</si>
  <si>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</si>
  <si>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 xml:space="preserve">  </t>
  </si>
  <si>
    <t>Tower 11 = 3 Basement + Ground + Podium + 1st to 57th Floor</t>
  </si>
  <si>
    <t xml:space="preserve">Dated
</t>
  </si>
  <si>
    <t>Residential Area Details :</t>
  </si>
  <si>
    <t>Building &amp; Wing</t>
  </si>
  <si>
    <t>No. of Units</t>
  </si>
  <si>
    <t>Total Carpet Area</t>
  </si>
  <si>
    <t>Total Saleable Area</t>
  </si>
  <si>
    <t>Building details Floor Wise</t>
  </si>
  <si>
    <t xml:space="preserve">Details of Flats in Building   </t>
  </si>
  <si>
    <t>Flat/Shop No.</t>
  </si>
  <si>
    <t>Description</t>
  </si>
  <si>
    <t>Gross Carpet area</t>
  </si>
  <si>
    <t>Attached Terrace area</t>
  </si>
  <si>
    <t>PLC Y/N</t>
  </si>
  <si>
    <t>Floor</t>
  </si>
  <si>
    <t>Basement 1st to 3rd for Parking</t>
  </si>
  <si>
    <t>N</t>
  </si>
  <si>
    <t>Tower 10 - Tulip</t>
  </si>
  <si>
    <t xml:space="preserve">Double Height Entrance </t>
  </si>
  <si>
    <t>Society Office</t>
  </si>
  <si>
    <t>Saleable area
Loading 60%</t>
  </si>
  <si>
    <t>Podium P1 Floor</t>
  </si>
  <si>
    <t>Refuge Area</t>
  </si>
  <si>
    <t>Recommended Rates of the Property : (Tower 1 to 7)</t>
  </si>
  <si>
    <t>Recommended Rates of the Property : (Tower 8 to 11)</t>
  </si>
  <si>
    <t xml:space="preserve">Floor Rise </t>
  </si>
  <si>
    <t>Tower 11 - Orchid</t>
  </si>
  <si>
    <t>7th &amp; 14th Floor (Part Refuge Area)</t>
  </si>
  <si>
    <t>Kanjurmarg West</t>
  </si>
  <si>
    <t>Tower 1 to 11</t>
  </si>
  <si>
    <t>Runwal Forest (Tower 1 to 11)</t>
  </si>
  <si>
    <t>Tower 9 - Lily</t>
  </si>
  <si>
    <t xml:space="preserve">1st Podium Level Floor </t>
  </si>
  <si>
    <t>14000 to 16000</t>
  </si>
  <si>
    <t>Sanket</t>
  </si>
  <si>
    <t xml:space="preserve">Cost Sheet </t>
  </si>
  <si>
    <t>30684 runwal forest tower 9 rcc 26 floor in progress brick 10 tower 10 rcc 14th floor in progress brick 4th floor tower 11 rcc 12 th floor in progress brick 4th floor</t>
  </si>
  <si>
    <t>Fire Check Floor Between 18th &amp; 19th Floor</t>
  </si>
  <si>
    <t>Tower 1, 2, 3 = 3 Basement + Ground + Podium + 1st to 40th Floor 
Tower 4 = 3 Basement + Ground + Podium + 1st to 38th Floor 
Tower 5, 6, 7 = 3 Basement + Ground + Podium + 1st to 36th Floor 
Tower 8 = 3 Basement + Ground + Podium + 1st to 48th Floor</t>
  </si>
  <si>
    <t>16000 to 16700</t>
  </si>
  <si>
    <t>60/- From 2nd Floor</t>
  </si>
  <si>
    <t>Ground Floor For Residential, Meter Room, Entrance Lobby</t>
  </si>
  <si>
    <t>6th, 13th, 20th, 27th &amp; 34th Floor (Part Refuge Area)</t>
  </si>
  <si>
    <t>Location Link</t>
  </si>
  <si>
    <t>19.1367329,72.9315599</t>
  </si>
  <si>
    <t>https://goo.gl/maps/TpDKjFRUeaHch2h67</t>
  </si>
  <si>
    <t xml:space="preserve"> 23/01/2023</t>
  </si>
  <si>
    <t>CHE/ES/1458/S/337(NEW)/OCC/5/New
Approved Floor : Tower 8 = 3 Basement + Ground + P1 Level + 1st to 48th Floor</t>
  </si>
  <si>
    <t xml:space="preserve">19/07/2017.
16/10/2017.
14/12/2017.
</t>
  </si>
  <si>
    <t xml:space="preserve">CHE/ES/1458/337(NEW) (Tower No. 1, 3 to 8)
CHE/1375/BPES/AS (Tower No. 3)
CHE/1375/BPES/AS 
</t>
  </si>
  <si>
    <t>Tower No. 9, 10 &amp; 11</t>
  </si>
  <si>
    <t>CHE/ES/1458/S/337(NEW)</t>
  </si>
  <si>
    <t>Tower 10 = 3 Basement + Ground + Podium + 1st to 54th Floor</t>
  </si>
  <si>
    <t>41st Floor (Part Refuge Area)</t>
  </si>
  <si>
    <t>Meter Room</t>
  </si>
  <si>
    <t>Service Floor Inbetween 30th &amp; 31st Floor</t>
  </si>
  <si>
    <t>Office No. 1031, Wing J, Akshar Business Park, Plot No. 03 Sector 25, Near APMC Market,
Vashi, Navi Mumbai, Maharashtra 400703 TEL: 022-46090378/79/80                                                                                                                         E mail : vsjcapf@gmail.com. Web site : www.vsjadon.com</t>
  </si>
  <si>
    <t xml:space="preserve">Runwal Forest Tower 1 - 4 = P51800000818
Runwal Forest Tower 5 - 8 = P51800001838
Runwal Forest Tower 9 - 11 = P51800001137
</t>
  </si>
  <si>
    <t xml:space="preserve">Dated
Dated
Dated
</t>
  </si>
  <si>
    <t xml:space="preserve">Dated
Dated
Dated
</t>
  </si>
  <si>
    <t xml:space="preserve">19/07/2017
16/10/2017
14/12/2017
</t>
  </si>
  <si>
    <t xml:space="preserve">O. Certificate No.: 
</t>
  </si>
  <si>
    <t>Layout Plan:</t>
  </si>
  <si>
    <t>60/- From 12th Floor</t>
  </si>
  <si>
    <t xml:space="preserve">Sanjay </t>
  </si>
  <si>
    <t xml:space="preserve">1st to 6th, 8th to 13th, 15th to 20th, 22nd to 27th, 29th &amp; 30th Floor </t>
  </si>
  <si>
    <t>7th, 14th, 21st &amp; 28th Floor (Part Refuge Area)</t>
  </si>
  <si>
    <t xml:space="preserve">35th, 42nd &amp; 49th Floor (Part Refuge Area) </t>
  </si>
  <si>
    <t>21st &amp; 28th Floor (Part Refuge Area)</t>
  </si>
  <si>
    <t xml:space="preserve">31st to 34th &amp; 36th to 40th Floor </t>
  </si>
  <si>
    <t>35th Floor (Part Refuge Area)</t>
  </si>
  <si>
    <t xml:space="preserve">41st &amp; 43rd Floor </t>
  </si>
  <si>
    <t>42nd Floor (Part Refuge Area)</t>
  </si>
  <si>
    <t>Bhandup</t>
  </si>
  <si>
    <t>2.00 KMS distance from
Kanjurmarg Railway Station</t>
  </si>
  <si>
    <t>Commencement Certificate No.
Valid Upto</t>
  </si>
  <si>
    <t xml:space="preserve">Valid upto date: 
</t>
  </si>
  <si>
    <t>CHE/ES/1458/S/337(NEW)/FCC/10/Amend</t>
  </si>
  <si>
    <t>L.B.S. Marg</t>
  </si>
  <si>
    <t>As per Layout</t>
  </si>
  <si>
    <t>Other Plot</t>
  </si>
  <si>
    <t>30.50 M. Wide Road</t>
  </si>
  <si>
    <t xml:space="preserve">(Tower 1, 2, 3) = 3 Basement + Ground + Podium + 40th Floor 
(Tower 4) = 3 Basement + Ground + 1st Podium + 1st to 38th Floor 
(Tower 5, 6, 7) = 3 Basement + Ground + Podium + 36th Floor 
(Tower 8) = 3 Basement + Ground + Podium + 48th Floor 
(Tower 9) = 3 Basement + Ground  + 1st Podium + 1st to 51st Floor 
(Tower 10) = 3 Basement + Ground  + 1st Podium + 1st to 54th Floor 
(Tower 11) = 3 Basement + Ground + 1st Podium + 1st to 57th Floor </t>
  </si>
  <si>
    <t xml:space="preserve">Quality of construction: </t>
  </si>
  <si>
    <t xml:space="preserve">Projected life of the structure: </t>
  </si>
  <si>
    <t>60 Years After Completion</t>
  </si>
  <si>
    <t>Material laying at Site: :</t>
  </si>
  <si>
    <t>Bricks, Cement &amp; Steel etc.</t>
  </si>
  <si>
    <r>
      <t xml:space="preserve">                                                                                                                                                                                                                       </t>
    </r>
    <r>
      <rPr>
        <sz val="11"/>
        <rFont val="Times New Roman"/>
        <family val="1"/>
      </rPr>
      <t xml:space="preserve">   </t>
    </r>
    <r>
      <rPr>
        <b/>
        <sz val="11"/>
        <rFont val="Times New Roman"/>
        <family val="1"/>
      </rPr>
      <t xml:space="preserve">                                               </t>
    </r>
  </si>
  <si>
    <t xml:space="preserve">Violations Observed if any : </t>
  </si>
  <si>
    <t xml:space="preserve">Proposed Amenities :    </t>
  </si>
  <si>
    <t xml:space="preserve">Wheather the construction is as per approved Building plan : </t>
  </si>
  <si>
    <t>Under Construction</t>
  </si>
  <si>
    <t>Swimming Pool, Sun Deck, Multipurpose Hall, Indoor Games, Jogging Track, Landscape Garden, Decorative Entrance Lobby, Etc.</t>
  </si>
  <si>
    <t>1st to 5th, 7th to 12th, 14th to 19th, 21st to 26th, 28th to 33rd, 35th to 40th &amp;  42nd to 48th Floor</t>
  </si>
  <si>
    <t>Full C.C. is granted for Tower no. 9 &amp; Tower no. 10 and further C.C. is granted for Tower no. 11 upto 40th floor and C.C. is re-endorsed for Fitness Centre as per approved amended plans dated 05.03.2024 by restricting C.C. of tower 11 from 41st floor to 48th floor for installment facility and temporary site office subject to timely renewal of B.G, SWM NOC, Workmen’s compensation policy and taking all sorts of precautions during construction and for air pollution.</t>
  </si>
  <si>
    <t>Sale Area of flat 508 tower 11 changes to 762 from 694 by sanjay (on 25/10/2024)</t>
  </si>
  <si>
    <t>Commencement Certificate No.</t>
  </si>
  <si>
    <t>Valid upto date: 
06/01/2025</t>
  </si>
  <si>
    <t>Tower 9 = 3 Basement + Ground + Podium + 1st to 48th Floor</t>
  </si>
  <si>
    <t>CHE/ES/1458/S/337(NEW)/337/26/Amend</t>
  </si>
  <si>
    <t>11 Towers</t>
  </si>
  <si>
    <t>Meter Room, Exit Lobby</t>
  </si>
  <si>
    <t>Double Height  Entrance Lobby</t>
  </si>
  <si>
    <t>Double Height Entrance Lobby</t>
  </si>
  <si>
    <t>3.5BHK</t>
  </si>
  <si>
    <t>Ground Floor For Residential &amp; Society Office, Fire Control Room, Meter Room &amp; Parking</t>
  </si>
  <si>
    <t>Parking</t>
  </si>
  <si>
    <t>Ground Floor For Residential, Meter Room, Society Office, Communication Panel Room &amp; Parking</t>
  </si>
  <si>
    <t>Society Office, Meter Room &amp; Communication Panel Room</t>
  </si>
  <si>
    <t>1st to 6th, 8th to 13th &amp; 15th Floor</t>
  </si>
  <si>
    <t>44th to 48th &amp; 50th to 54th Floor</t>
  </si>
  <si>
    <t>49th Floor</t>
  </si>
  <si>
    <t xml:space="preserve">16th to 20th &amp; 22nd to 27th &amp; 29th &amp; 30th Floor </t>
  </si>
  <si>
    <t xml:space="preserve">31st to 34th, 36th to 41st &amp; 43rd to 48th, 50th to 54th Floor </t>
  </si>
  <si>
    <t>Flats - 1047</t>
  </si>
  <si>
    <t>596, 593/1 to 6, 597, 597/1 to 7, 598, 598/1 to 3, 599A, 599A/1 to A81, 601, 602/1 to 9, 603, 604, 605/1 to 17, 606, 606/1 to 83, 607A, 607/1 to 31, 607D</t>
  </si>
  <si>
    <t xml:space="preserve">FB/HRC/ES/01
Tower 10 &amp; 11 = 3B + Gr + P1 + 1st to 48th Floor  (Height = 168.90 m)
Tower 10 &amp; 11 = 3B + Gr + P1 + 1st to 54th Floor 9Height = 168.90 m)
</t>
  </si>
  <si>
    <t>M/s. Weelabrator Alloy Castings Ltd.</t>
  </si>
  <si>
    <t>596, 596/1 to 6, 597, 597/1 to 7, 598, 598/1 to 3, 599A, 599A/1 to A81, 601, 602, 602/1 to 9, 603, 604, 605, 605/1 to 17, 606, 606/1 to 83, 607A, 607/1 to 31, 607D</t>
  </si>
  <si>
    <t xml:space="preserve">CHE/ES/1458/S/337(NEW)/FCC/11/Amend
</t>
  </si>
  <si>
    <t>Valid Up to:</t>
  </si>
  <si>
    <t>Full C.C. is granted for Tower no. 10 and C.C. is re-endorsed for Tower no. 9 &amp; Tower no. 11 as per approved amended plans dated 19/11/2024 by restricting C.C. of 41st to 47th floor of Tower 11 for installment facility subject
to timely renewal of B.G, SWM NOC, Workmen’s compensation policy and taking all sorts of precautions during
construction and for air pollution.</t>
  </si>
  <si>
    <t>Tower - 9 = 3B + G + 1P + 1st to 48th Floor (Height = 170.40m)</t>
  </si>
  <si>
    <t>Fire NOC No.
(Tower 9)</t>
  </si>
  <si>
    <t>CHE/ES/1458/S/337(NEW)/FCC/12/Amend</t>
  </si>
  <si>
    <t xml:space="preserve">Valid upto date:
</t>
  </si>
  <si>
    <t>https://runwalenterprises.com/residential-projects/forests.php?utm_campaign=location_search_kanjurmarg&amp;utm_Keyword=Kanjurmarg%20flat&amp;utm_source=location_search_kanjurmarg&amp;utm_medium=location_search_kanjurmarg&amp;utm_campaign=flats&amp;gad_source=1&amp;gclid=Cj0KCQjw16O_BhDNARIsAC3i2GD0IhW-hzWW5Xh6_Lu9rnwT7SnR4VwxyGxfi7-nfMIDHvMCmMLtVNYaAh8oEALw_wcB#lg=1&amp;slide=3</t>
  </si>
  <si>
    <t>Fire NOC No.
(Tower 10 &amp; 11)</t>
  </si>
  <si>
    <t>No.CHE/ES/1458/S/337(NEW)/CFO/1/
Amend</t>
  </si>
  <si>
    <t>CHE/ES/1458/S/337(NEW)/CFO/1/
Amend-1</t>
  </si>
  <si>
    <t>Tower - 10 &amp; 11 = 3B + G + 1P + 1st to 54th Floor (Height = 170.70m)</t>
  </si>
  <si>
    <t>Proposed no of Floors</t>
  </si>
  <si>
    <t xml:space="preserve">(Tower 1 &amp; 2) = 3 Basement + Ground + Podium + 40 Floors 
(Tower 3 ) = 3 Basement + Ground + 1st podium +1st to 40th Floors 
(Tower 4) = 3 Basement + Ground + 1st Podium + 1st to 38th Floors 
(Tower 5&amp; 6) = 3 Basement + Ground + Podium + 36 Floors 
(Tower 7) = 3 Basement + Ground + Podium + 36 Floors 
(Tower 8) = 3 Basement + Ground +Podium + 48 Floors 
(Tower 9) = 3 Basement + Ground + 1st Podium + 1st to 48th Floor 
(Tower 10) = 3 Basement + Ground + 1st Podium + 1st to 54th Floor 
(Tower 11) = 3 Basement + Ground + 1st Podium + 1st to 54th Floors </t>
  </si>
  <si>
    <t>Sale plan</t>
  </si>
  <si>
    <t>Tower 1 to 8 = Completed
Tower 9 to 11 = 30/06/2026</t>
  </si>
  <si>
    <t>Approved area of the building in Sq.Mt
of Tower 09 to 11</t>
  </si>
  <si>
    <r>
      <t xml:space="preserve">Remark :
1. Tower 1 to 8 : All work completed. OC Received.
    Tower 9, 10 &amp; 11 - Construction work was in process at the time of visit. Internal visit was not allowed.
2. We have considered rate by verifying it from market inquire.
3. Recommended rate should be considered as all inclusive rate if other charges are not mentioned. (Excluding GST &amp; other government Taxes).
4. Car parking is subjected to authentic documentation.
5. We have updated Approved Revised Plans &amp; CC of Tower 8 to 11 (on 27/08/2022).
6. We have updated OC of Tower 8 (on 27/08/2022).
7. We have updated Approved Plans &amp; CC of Tower 9 to 11 (on 13/03/2023).
8. We have updated Full OC from MCGM for Tower 08 (On 18/05/2023).
9. We have updated Approved Plans &amp; CC of Tower 9, 10 &amp; 11 (on 28/08/2023).
10. We have updated Approved Plans &amp; CC of Tower 9, 10 &amp; 11 (on 02/11/2023).
11. Recommended Rates/Other Charges of the Property have been revised on 29/01/2024.
12. We have updated Approved Plans &amp; CC of Tower 9, 10 &amp; 11 (on 14/03/2024).
13. We have updated approved CC for Tower 9, 10 &amp; 11 (on 24/10/2024).
14. We have updated revised approved CC on 27/11/2024.
</t>
    </r>
    <r>
      <rPr>
        <b/>
        <sz val="11"/>
        <color theme="1"/>
        <rFont val="Times New Roman"/>
        <family val="1"/>
      </rPr>
      <t xml:space="preserve">15. We have updated approved plans &amp; CC for Tower 9, 10 &amp; 11 from MCGM site (on 31/03/2025).
</t>
    </r>
    <r>
      <rPr>
        <b/>
        <sz val="11"/>
        <rFont val="Times New Roman"/>
        <family val="1"/>
      </rPr>
      <t>16. We have referred Fire Noc for Tower 9 , 10 &amp; 11 from MCGM site (On 31/03/2025).
17. Please check for Environmental Clearance certificate.</t>
    </r>
  </si>
  <si>
    <t>Full C.C. of Tower no. 10 &amp; C.C. upto 48th floor of Tower no. 11 is granted as per approved amended plans dated
17/02/2025 by restricting C.C. from 49th to 54th floor of Tower no 11 for installment facility, subject to timely renewal of B.G., SWM NOC, Workmen’s compensation policy and taking all sorts of precautions during construction along with precautionary measures for air pollution.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</si>
</sst>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_(* \(#,##0.00\);_(* &quot;-&quot;??_);_(@_)"/>
    <numFmt numFmtId="165" formatCode="0.0"/>
    <numFmt numFmtId="166" formatCode="_(* #,##0_);_(* \(#,##0\);_(* &quot;-&quot;??_);_(@_)"/>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theme="1"/>
      <name val="Times New Roman"/>
      <family val="1"/>
    </font>
    <font>
      <sz val="11"/>
      <color indexed="8"/>
      <name val="Times New Roman"/>
      <family val="1"/>
    </font>
    <font>
      <sz val="11"/>
      <color rgb="FFFF0000"/>
      <name val="Times New Roman"/>
      <family val="1"/>
    </font>
    <font>
      <sz val="11"/>
      <name val="Times New Roman"/>
      <family val="1"/>
    </font>
    <font>
      <b/>
      <sz val="11"/>
      <name val="Times New Roman"/>
      <family val="1"/>
    </font>
    <font>
      <sz val="11"/>
      <color indexed="8"/>
      <name val="Calibri"/>
      <family val="2"/>
    </font>
    <font>
      <b/>
      <sz val="10"/>
      <color indexed="8"/>
      <name val="Times New Roman"/>
      <family val="1"/>
    </font>
    <font>
      <b/>
      <sz val="11"/>
      <color theme="1"/>
      <name val="Times New Roman"/>
      <family val="1"/>
    </font>
    <font>
      <sz val="11"/>
      <color rgb="FFFF0000"/>
      <name val="Calibri"/>
      <family val="2"/>
      <scheme val="minor"/>
    </font>
    <font>
      <b/>
      <sz val="11"/>
      <color theme="1"/>
      <name val="Calibri"/>
      <family val="2"/>
      <scheme val="minor"/>
    </font>
    <font>
      <u/>
      <sz val="11"/>
      <color theme="10"/>
      <name val="Calibri"/>
      <family val="2"/>
    </font>
    <font>
      <sz val="11"/>
      <name val="Calibri"/>
      <family val="2"/>
    </font>
    <font>
      <sz val="11"/>
      <color rgb="FFFF0000"/>
      <name val="Calibri"/>
      <family val="2"/>
    </font>
    <font>
      <sz val="12"/>
      <color theme="1"/>
      <name val="Times New Roman"/>
      <family val="1"/>
    </font>
    <font>
      <sz val="11"/>
      <color rgb="FF000000"/>
      <name val="Times New Roman"/>
      <family val="1"/>
    </font>
    <font>
      <b/>
      <sz val="12"/>
      <color theme="1"/>
      <name val="Times New Roman"/>
      <family val="1"/>
    </font>
    <font>
      <b/>
      <sz val="12"/>
      <color indexed="8"/>
      <name val="Times New Roman"/>
      <family val="1"/>
    </font>
    <font>
      <sz val="12"/>
      <color indexed="8"/>
      <name val="Times New Roman"/>
      <family val="1"/>
    </font>
    <font>
      <sz val="12"/>
      <name val="Times New Roman"/>
      <family val="1"/>
    </font>
    <font>
      <sz val="11"/>
      <color rgb="FF272727"/>
      <name val="Arial"/>
      <family val="2"/>
    </font>
    <font>
      <b/>
      <sz val="12"/>
      <name val="Times New Roman"/>
      <family val="1"/>
    </font>
    <font>
      <b/>
      <sz val="11"/>
      <color rgb="FFFF0000"/>
      <name val="Times New Roman"/>
      <family val="1"/>
    </font>
    <font>
      <sz val="16"/>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s>
  <cellStyleXfs count="8">
    <xf numFmtId="0" fontId="0" fillId="0" borderId="0"/>
    <xf numFmtId="0" fontId="4" fillId="0" borderId="0"/>
    <xf numFmtId="0" fontId="11" fillId="0" borderId="0"/>
    <xf numFmtId="0" fontId="3" fillId="0" borderId="0"/>
    <xf numFmtId="0" fontId="11" fillId="0" borderId="0"/>
    <xf numFmtId="0" fontId="1" fillId="0" borderId="0"/>
    <xf numFmtId="0" fontId="16" fillId="0" borderId="0" applyNumberFormat="0" applyFill="0" applyBorder="0" applyAlignment="0" applyProtection="0"/>
    <xf numFmtId="164" fontId="11" fillId="0" borderId="0" applyFont="0" applyFill="0" applyBorder="0" applyAlignment="0" applyProtection="0"/>
  </cellStyleXfs>
  <cellXfs count="296">
    <xf numFmtId="0" fontId="0" fillId="0" borderId="0" xfId="0"/>
    <xf numFmtId="0" fontId="3" fillId="0" borderId="0" xfId="3"/>
    <xf numFmtId="0" fontId="15" fillId="2" borderId="4" xfId="3" applyFont="1" applyFill="1" applyBorder="1"/>
    <xf numFmtId="0" fontId="3" fillId="0" borderId="4" xfId="3" applyBorder="1"/>
    <xf numFmtId="0" fontId="3" fillId="0" borderId="12" xfId="3" applyBorder="1"/>
    <xf numFmtId="0" fontId="3" fillId="0" borderId="0" xfId="3" applyAlignment="1">
      <alignment wrapText="1"/>
    </xf>
    <xf numFmtId="0" fontId="3" fillId="0" borderId="4" xfId="3" applyBorder="1" applyAlignment="1">
      <alignment wrapText="1"/>
    </xf>
    <xf numFmtId="0" fontId="14" fillId="0" borderId="0" xfId="3" applyFont="1"/>
    <xf numFmtId="0" fontId="0" fillId="2" borderId="4" xfId="0" applyFill="1" applyBorder="1"/>
    <xf numFmtId="0" fontId="0" fillId="0" borderId="9" xfId="0" applyBorder="1"/>
    <xf numFmtId="0" fontId="15" fillId="0" borderId="4" xfId="0" applyFont="1" applyBorder="1"/>
    <xf numFmtId="0" fontId="15" fillId="0" borderId="4" xfId="0" applyFont="1" applyBorder="1" applyAlignment="1">
      <alignment horizontal="center"/>
    </xf>
    <xf numFmtId="0" fontId="0" fillId="0" borderId="4" xfId="0" applyBorder="1"/>
    <xf numFmtId="0" fontId="2" fillId="0" borderId="0" xfId="3" applyFont="1"/>
    <xf numFmtId="14" fontId="0" fillId="0" borderId="0" xfId="0" applyNumberFormat="1"/>
    <xf numFmtId="1" fontId="3" fillId="0" borderId="4" xfId="3" applyNumberFormat="1" applyBorder="1"/>
    <xf numFmtId="0" fontId="11" fillId="0" borderId="0" xfId="4"/>
    <xf numFmtId="0" fontId="1" fillId="0" borderId="0" xfId="5"/>
    <xf numFmtId="0" fontId="15" fillId="0" borderId="4" xfId="5" applyFont="1" applyBorder="1" applyAlignment="1">
      <alignment horizontal="left"/>
    </xf>
    <xf numFmtId="0" fontId="15" fillId="0" borderId="4" xfId="5" applyFont="1" applyBorder="1" applyAlignment="1">
      <alignment horizontal="center" vertical="top" wrapText="1"/>
    </xf>
    <xf numFmtId="0" fontId="17" fillId="0" borderId="4" xfId="6" applyFont="1" applyBorder="1" applyAlignment="1">
      <alignment horizontal="center" vertical="top" wrapText="1"/>
    </xf>
    <xf numFmtId="0" fontId="1" fillId="0" borderId="4" xfId="5" applyBorder="1" applyAlignment="1">
      <alignment horizontal="left" vertical="center"/>
    </xf>
    <xf numFmtId="0" fontId="1" fillId="0" borderId="4" xfId="5" applyBorder="1" applyAlignment="1">
      <alignment horizontal="center" vertical="center"/>
    </xf>
    <xf numFmtId="1" fontId="1" fillId="0" borderId="4" xfId="5" applyNumberFormat="1" applyBorder="1" applyAlignment="1">
      <alignment horizontal="center" vertical="center"/>
    </xf>
    <xf numFmtId="166" fontId="1" fillId="0" borderId="4" xfId="7" applyNumberFormat="1" applyFont="1" applyBorder="1" applyAlignment="1">
      <alignment horizontal="right" vertical="center"/>
    </xf>
    <xf numFmtId="43" fontId="11" fillId="0" borderId="0" xfId="4" applyNumberFormat="1"/>
    <xf numFmtId="0" fontId="0" fillId="0" borderId="4" xfId="5" applyFont="1" applyBorder="1" applyAlignment="1">
      <alignment horizontal="center" vertical="center"/>
    </xf>
    <xf numFmtId="0" fontId="15" fillId="0" borderId="4" xfId="5" applyFont="1" applyBorder="1" applyAlignment="1">
      <alignment horizontal="center" vertical="center"/>
    </xf>
    <xf numFmtId="1" fontId="14" fillId="0" borderId="4" xfId="5" applyNumberFormat="1" applyFont="1" applyBorder="1" applyAlignment="1">
      <alignment horizontal="center" vertical="center"/>
    </xf>
    <xf numFmtId="0" fontId="11" fillId="0" borderId="4" xfId="4" applyBorder="1" applyAlignment="1">
      <alignment horizontal="center" vertical="center"/>
    </xf>
    <xf numFmtId="0" fontId="18" fillId="0" borderId="0" xfId="4" applyFont="1"/>
    <xf numFmtId="1" fontId="11" fillId="0" borderId="0" xfId="4" applyNumberFormat="1"/>
    <xf numFmtId="0" fontId="11" fillId="0" borderId="0" xfId="4" applyAlignment="1">
      <alignment wrapText="1"/>
    </xf>
    <xf numFmtId="0" fontId="19" fillId="0" borderId="22" xfId="1" applyFont="1" applyBorder="1" applyProtection="1">
      <protection hidden="1"/>
    </xf>
    <xf numFmtId="0" fontId="19" fillId="0" borderId="0" xfId="1" applyFont="1" applyProtection="1">
      <protection hidden="1"/>
    </xf>
    <xf numFmtId="0" fontId="20" fillId="0" borderId="0" xfId="0" applyFont="1" applyProtection="1">
      <protection hidden="1"/>
    </xf>
    <xf numFmtId="0" fontId="20" fillId="0" borderId="31" xfId="0" applyFont="1" applyBorder="1" applyProtection="1">
      <protection hidden="1"/>
    </xf>
    <xf numFmtId="1" fontId="22" fillId="0" borderId="4" xfId="1" applyNumberFormat="1" applyFont="1" applyBorder="1" applyAlignment="1">
      <alignment horizontal="center" vertical="top" wrapText="1"/>
    </xf>
    <xf numFmtId="1" fontId="5" fillId="0" borderId="4" xfId="1" applyNumberFormat="1" applyFont="1" applyBorder="1" applyAlignment="1">
      <alignment horizontal="center" vertical="top" wrapText="1"/>
    </xf>
    <xf numFmtId="1" fontId="23" fillId="0" borderId="4" xfId="1" applyNumberFormat="1" applyFont="1" applyBorder="1" applyAlignment="1">
      <alignment horizontal="center" vertical="center" wrapText="1"/>
    </xf>
    <xf numFmtId="1" fontId="24" fillId="0" borderId="4" xfId="1" applyNumberFormat="1" applyFont="1" applyBorder="1" applyAlignment="1">
      <alignment horizontal="center" vertical="center" wrapText="1"/>
    </xf>
    <xf numFmtId="0" fontId="19" fillId="0" borderId="22" xfId="1" applyFont="1" applyBorder="1" applyAlignment="1" applyProtection="1">
      <alignment horizontal="center" vertical="center"/>
      <protection hidden="1"/>
    </xf>
    <xf numFmtId="0" fontId="19" fillId="0" borderId="0" xfId="1" applyFont="1" applyAlignment="1" applyProtection="1">
      <alignment horizontal="center" vertical="center"/>
      <protection hidden="1"/>
    </xf>
    <xf numFmtId="0" fontId="19" fillId="0" borderId="0" xfId="1" applyFont="1" applyAlignment="1" applyProtection="1">
      <alignment horizontal="left" vertical="center"/>
      <protection hidden="1"/>
    </xf>
    <xf numFmtId="0" fontId="19" fillId="0" borderId="4" xfId="1" applyFont="1" applyBorder="1" applyAlignment="1" applyProtection="1">
      <alignment horizontal="center" vertical="top" wrapText="1"/>
      <protection locked="0"/>
    </xf>
    <xf numFmtId="0" fontId="19" fillId="0" borderId="24" xfId="1" applyFont="1" applyBorder="1" applyAlignment="1" applyProtection="1">
      <alignment horizontal="center" vertical="top"/>
      <protection locked="0"/>
    </xf>
    <xf numFmtId="0" fontId="19" fillId="0" borderId="4" xfId="1" applyFont="1" applyBorder="1" applyAlignment="1" applyProtection="1">
      <alignment horizontal="center" vertical="top"/>
      <protection locked="0"/>
    </xf>
    <xf numFmtId="0" fontId="7" fillId="0" borderId="4" xfId="1" applyFont="1" applyBorder="1" applyAlignment="1">
      <alignment horizontal="left" vertical="top" wrapText="1"/>
    </xf>
    <xf numFmtId="0" fontId="6" fillId="0" borderId="0" xfId="1" applyFont="1"/>
    <xf numFmtId="0" fontId="19" fillId="0" borderId="23" xfId="1" applyFont="1" applyBorder="1" applyProtection="1">
      <protection hidden="1"/>
    </xf>
    <xf numFmtId="0" fontId="19" fillId="0" borderId="17" xfId="1" applyFont="1" applyBorder="1" applyProtection="1">
      <protection hidden="1"/>
    </xf>
    <xf numFmtId="0" fontId="19" fillId="0" borderId="17" xfId="1" applyFont="1" applyBorder="1" applyAlignment="1" applyProtection="1">
      <alignment horizontal="left" vertical="center"/>
      <protection hidden="1"/>
    </xf>
    <xf numFmtId="0" fontId="6" fillId="0" borderId="0" xfId="1" applyFont="1" applyAlignment="1">
      <alignment horizontal="left" vertical="center"/>
    </xf>
    <xf numFmtId="0" fontId="19" fillId="0" borderId="23" xfId="1" applyFont="1" applyBorder="1" applyAlignment="1" applyProtection="1">
      <alignment horizontal="center" vertical="center"/>
      <protection hidden="1"/>
    </xf>
    <xf numFmtId="0" fontId="6" fillId="0" borderId="0" xfId="1" applyFont="1" applyAlignment="1">
      <alignment horizontal="center" vertical="center"/>
    </xf>
    <xf numFmtId="0" fontId="19" fillId="0" borderId="17" xfId="1" applyFont="1" applyBorder="1" applyAlignment="1" applyProtection="1">
      <alignment horizontal="center" vertical="center"/>
      <protection hidden="1"/>
    </xf>
    <xf numFmtId="0" fontId="19" fillId="0" borderId="17" xfId="1" applyFont="1" applyBorder="1"/>
    <xf numFmtId="0" fontId="19" fillId="0" borderId="4" xfId="1" applyFont="1" applyBorder="1" applyAlignment="1" applyProtection="1">
      <alignment horizontal="center" wrapText="1"/>
      <protection locked="0"/>
    </xf>
    <xf numFmtId="0" fontId="20" fillId="0" borderId="17" xfId="0" applyFont="1" applyBorder="1" applyProtection="1">
      <protection hidden="1"/>
    </xf>
    <xf numFmtId="1" fontId="19" fillId="0" borderId="4" xfId="1" applyNumberFormat="1" applyFont="1" applyBorder="1" applyAlignment="1" applyProtection="1">
      <alignment horizontal="center" wrapText="1"/>
      <protection locked="0"/>
    </xf>
    <xf numFmtId="1" fontId="0" fillId="0" borderId="17" xfId="0" applyNumberFormat="1" applyBorder="1"/>
    <xf numFmtId="1" fontId="0" fillId="0" borderId="17" xfId="0" applyNumberFormat="1" applyBorder="1" applyAlignment="1">
      <alignment horizontal="right"/>
    </xf>
    <xf numFmtId="0" fontId="19" fillId="0" borderId="29" xfId="1" applyFont="1" applyBorder="1" applyAlignment="1" applyProtection="1">
      <alignment horizontal="center" wrapText="1"/>
      <protection locked="0"/>
    </xf>
    <xf numFmtId="1" fontId="0" fillId="0" borderId="32" xfId="0" applyNumberFormat="1" applyBorder="1"/>
    <xf numFmtId="0" fontId="7" fillId="0" borderId="0" xfId="2" applyFont="1"/>
    <xf numFmtId="0" fontId="19" fillId="0" borderId="0" xfId="0" applyFont="1" applyAlignment="1">
      <alignment horizontal="center" vertical="center"/>
    </xf>
    <xf numFmtId="0" fontId="21" fillId="0" borderId="4" xfId="0" applyFont="1" applyBorder="1" applyAlignment="1">
      <alignment horizontal="center" vertical="center"/>
    </xf>
    <xf numFmtId="0" fontId="23" fillId="0" borderId="0" xfId="2" applyFont="1"/>
    <xf numFmtId="0" fontId="19" fillId="0" borderId="0" xfId="1" applyFont="1"/>
    <xf numFmtId="0" fontId="19" fillId="0" borderId="0" xfId="1" applyFont="1" applyAlignment="1">
      <alignment horizontal="center" vertical="center"/>
    </xf>
    <xf numFmtId="0" fontId="6" fillId="0" borderId="0" xfId="0" applyFont="1"/>
    <xf numFmtId="0" fontId="12" fillId="0" borderId="0" xfId="1" applyFont="1" applyAlignment="1">
      <alignment vertical="top"/>
    </xf>
    <xf numFmtId="0" fontId="5" fillId="0" borderId="0" xfId="1" applyFont="1" applyAlignment="1">
      <alignment vertical="top" wrapText="1"/>
    </xf>
    <xf numFmtId="0" fontId="5" fillId="0" borderId="0" xfId="1" applyFont="1" applyAlignment="1">
      <alignment vertical="top"/>
    </xf>
    <xf numFmtId="0" fontId="13" fillId="0" borderId="0" xfId="1" applyFont="1"/>
    <xf numFmtId="0" fontId="6" fillId="2" borderId="0" xfId="1" applyFont="1" applyFill="1"/>
    <xf numFmtId="14" fontId="6" fillId="2" borderId="0" xfId="1" applyNumberFormat="1" applyFont="1" applyFill="1"/>
    <xf numFmtId="0" fontId="25" fillId="0" borderId="0" xfId="0" applyFont="1"/>
    <xf numFmtId="0" fontId="6" fillId="3" borderId="0" xfId="1" applyFont="1" applyFill="1"/>
    <xf numFmtId="14" fontId="6" fillId="3" borderId="0" xfId="1" applyNumberFormat="1" applyFont="1" applyFill="1"/>
    <xf numFmtId="0" fontId="27" fillId="0" borderId="0" xfId="2" applyFont="1"/>
    <xf numFmtId="0" fontId="19" fillId="0" borderId="0" xfId="1" applyFont="1" applyAlignment="1">
      <alignment horizontal="left" vertical="center"/>
    </xf>
    <xf numFmtId="0" fontId="7" fillId="0" borderId="0" xfId="2" applyFont="1" applyAlignment="1">
      <alignment horizontal="left"/>
    </xf>
    <xf numFmtId="1" fontId="19" fillId="0" borderId="4" xfId="0" applyNumberFormat="1" applyFont="1" applyBorder="1" applyAlignment="1">
      <alignment horizontal="center" vertical="center"/>
    </xf>
    <xf numFmtId="0" fontId="28" fillId="0" borderId="0" xfId="1" applyFont="1"/>
    <xf numFmtId="0" fontId="7" fillId="0" borderId="4" xfId="1" applyFont="1" applyBorder="1" applyAlignment="1">
      <alignment horizontal="center" vertical="top" wrapText="1"/>
    </xf>
    <xf numFmtId="0" fontId="7" fillId="0" borderId="4" xfId="1" applyFont="1" applyBorder="1" applyAlignment="1">
      <alignment horizontal="center" vertical="top"/>
    </xf>
    <xf numFmtId="0" fontId="5" fillId="0" borderId="4" xfId="1" applyFont="1" applyBorder="1" applyAlignment="1">
      <alignment horizontal="center" vertical="top"/>
    </xf>
    <xf numFmtId="0" fontId="16" fillId="0" borderId="0" xfId="6"/>
    <xf numFmtId="0" fontId="6" fillId="0" borderId="0" xfId="1" applyFont="1" applyAlignment="1">
      <alignment wrapText="1"/>
    </xf>
    <xf numFmtId="0" fontId="6" fillId="0" borderId="0" xfId="1" applyFont="1" applyAlignment="1">
      <alignment horizontal="center" vertical="center" wrapText="1"/>
    </xf>
    <xf numFmtId="0" fontId="6" fillId="0" borderId="1" xfId="1" applyFont="1" applyBorder="1" applyAlignment="1" applyProtection="1">
      <alignment horizontal="left" vertical="center" wrapText="1"/>
      <protection locked="0"/>
    </xf>
    <xf numFmtId="0" fontId="6" fillId="0" borderId="2" xfId="1" applyFont="1" applyBorder="1" applyAlignment="1" applyProtection="1">
      <alignment horizontal="left" vertical="center" wrapText="1"/>
      <protection locked="0"/>
    </xf>
    <xf numFmtId="0" fontId="6" fillId="0" borderId="3" xfId="1" applyFont="1" applyBorder="1" applyAlignment="1" applyProtection="1">
      <alignment horizontal="left" vertical="center" wrapText="1"/>
      <protection locked="0"/>
    </xf>
    <xf numFmtId="0" fontId="7" fillId="0" borderId="1" xfId="1" applyFont="1" applyBorder="1" applyAlignment="1">
      <alignment horizontal="left" vertical="top" wrapText="1"/>
    </xf>
    <xf numFmtId="0" fontId="7" fillId="0" borderId="3" xfId="1" applyFont="1" applyBorder="1" applyAlignment="1">
      <alignment horizontal="left" vertical="top" wrapText="1"/>
    </xf>
    <xf numFmtId="0" fontId="7" fillId="0" borderId="2" xfId="1" applyFont="1" applyBorder="1" applyAlignment="1">
      <alignment horizontal="left" vertical="top"/>
    </xf>
    <xf numFmtId="0" fontId="7" fillId="0" borderId="3" xfId="1" applyFont="1" applyBorder="1" applyAlignment="1">
      <alignment horizontal="left" vertical="top"/>
    </xf>
    <xf numFmtId="0" fontId="7" fillId="0" borderId="0" xfId="1" applyFont="1" applyAlignment="1">
      <alignment horizontal="left" vertical="top" wrapText="1"/>
    </xf>
    <xf numFmtId="14" fontId="7" fillId="0" borderId="1" xfId="1" applyNumberFormat="1" applyFont="1" applyBorder="1" applyAlignment="1">
      <alignment horizontal="left" vertical="top" wrapText="1"/>
    </xf>
    <xf numFmtId="14" fontId="7" fillId="0" borderId="2" xfId="1" applyNumberFormat="1" applyFont="1" applyBorder="1" applyAlignment="1">
      <alignment horizontal="left" vertical="top" wrapText="1"/>
    </xf>
    <xf numFmtId="0" fontId="7" fillId="0" borderId="5" xfId="1" applyFont="1" applyBorder="1" applyAlignment="1">
      <alignment horizontal="left" vertical="top" wrapText="1"/>
    </xf>
    <xf numFmtId="0" fontId="7" fillId="0" borderId="7" xfId="1" applyFont="1" applyBorder="1" applyAlignment="1">
      <alignment horizontal="left" vertical="top" wrapText="1"/>
    </xf>
    <xf numFmtId="0" fontId="7" fillId="0" borderId="8" xfId="1" applyFont="1" applyBorder="1" applyAlignment="1">
      <alignment horizontal="left" vertical="top" wrapText="1"/>
    </xf>
    <xf numFmtId="0" fontId="7" fillId="0" borderId="10" xfId="1" applyFont="1" applyBorder="1" applyAlignment="1">
      <alignment horizontal="left" vertical="top" wrapText="1"/>
    </xf>
    <xf numFmtId="0" fontId="6" fillId="0" borderId="1" xfId="1" applyFont="1" applyBorder="1" applyAlignment="1">
      <alignment horizontal="left" vertical="top"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0" fontId="8" fillId="0" borderId="0" xfId="1" applyFont="1" applyAlignment="1">
      <alignment horizontal="left" vertical="top" wrapText="1"/>
    </xf>
    <xf numFmtId="0" fontId="7" fillId="0" borderId="2" xfId="1" applyFont="1" applyBorder="1" applyAlignment="1">
      <alignment horizontal="left" vertical="top" wrapText="1"/>
    </xf>
    <xf numFmtId="0" fontId="7" fillId="0" borderId="1" xfId="1" applyFont="1" applyBorder="1" applyAlignment="1">
      <alignment horizontal="left" vertical="top"/>
    </xf>
    <xf numFmtId="165" fontId="7" fillId="0" borderId="1" xfId="1" applyNumberFormat="1" applyFont="1" applyBorder="1" applyAlignment="1">
      <alignment horizontal="left" vertical="top"/>
    </xf>
    <xf numFmtId="165" fontId="7" fillId="0" borderId="2" xfId="1" applyNumberFormat="1" applyFont="1" applyBorder="1" applyAlignment="1">
      <alignment horizontal="left" vertical="top"/>
    </xf>
    <xf numFmtId="165" fontId="7" fillId="0" borderId="3" xfId="1" applyNumberFormat="1" applyFont="1" applyBorder="1" applyAlignment="1">
      <alignment horizontal="left" vertical="top"/>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xf>
    <xf numFmtId="1" fontId="22" fillId="0" borderId="4" xfId="1" applyNumberFormat="1" applyFont="1" applyBorder="1" applyAlignment="1">
      <alignment horizontal="center" vertical="center" wrapText="1"/>
    </xf>
    <xf numFmtId="1" fontId="23" fillId="0" borderId="4" xfId="1" applyNumberFormat="1" applyFont="1" applyBorder="1" applyAlignment="1">
      <alignment horizontal="center" vertical="center" wrapText="1"/>
    </xf>
    <xf numFmtId="1" fontId="24" fillId="0" borderId="4" xfId="1" applyNumberFormat="1" applyFont="1" applyBorder="1" applyAlignment="1">
      <alignment horizontal="center" vertical="center" wrapText="1"/>
    </xf>
    <xf numFmtId="1" fontId="24" fillId="0" borderId="5" xfId="1" applyNumberFormat="1" applyFont="1" applyBorder="1" applyAlignment="1">
      <alignment horizontal="center" vertical="center" wrapText="1"/>
    </xf>
    <xf numFmtId="1" fontId="24" fillId="0" borderId="6" xfId="1" applyNumberFormat="1" applyFont="1" applyBorder="1" applyAlignment="1">
      <alignment horizontal="center" vertical="center" wrapText="1"/>
    </xf>
    <xf numFmtId="1" fontId="24" fillId="0" borderId="7" xfId="1" applyNumberFormat="1" applyFont="1" applyBorder="1" applyAlignment="1">
      <alignment horizontal="center" vertical="center" wrapText="1"/>
    </xf>
    <xf numFmtId="1" fontId="24" fillId="0" borderId="8" xfId="1" applyNumberFormat="1" applyFont="1" applyBorder="1" applyAlignment="1">
      <alignment horizontal="center" vertical="center" wrapText="1"/>
    </xf>
    <xf numFmtId="1" fontId="24" fillId="0" borderId="9" xfId="1" applyNumberFormat="1" applyFont="1" applyBorder="1" applyAlignment="1">
      <alignment horizontal="center" vertical="center" wrapText="1"/>
    </xf>
    <xf numFmtId="1" fontId="24" fillId="0" borderId="10" xfId="1" applyNumberFormat="1" applyFont="1" applyBorder="1" applyAlignment="1">
      <alignment horizontal="center" vertical="center" wrapText="1"/>
    </xf>
    <xf numFmtId="0" fontId="7" fillId="0" borderId="1" xfId="1" applyFont="1" applyBorder="1" applyAlignment="1">
      <alignment horizontal="center" vertical="top"/>
    </xf>
    <xf numFmtId="0" fontId="7" fillId="0" borderId="3" xfId="1" applyFont="1" applyBorder="1" applyAlignment="1">
      <alignment horizontal="center" vertical="top"/>
    </xf>
    <xf numFmtId="0" fontId="6" fillId="0" borderId="1" xfId="1" applyFont="1" applyBorder="1" applyAlignment="1">
      <alignment horizontal="center" vertical="top"/>
    </xf>
    <xf numFmtId="0" fontId="6" fillId="0" borderId="2" xfId="1" applyFont="1" applyBorder="1" applyAlignment="1">
      <alignment horizontal="center" vertical="top"/>
    </xf>
    <xf numFmtId="0" fontId="6" fillId="0" borderId="3" xfId="1" applyFont="1" applyBorder="1" applyAlignment="1">
      <alignment horizontal="center" vertical="top"/>
    </xf>
    <xf numFmtId="0" fontId="6" fillId="0" borderId="1" xfId="1" applyFont="1" applyBorder="1" applyAlignment="1">
      <alignment horizontal="center" vertical="top" wrapText="1"/>
    </xf>
    <xf numFmtId="0" fontId="5" fillId="0" borderId="1" xfId="1" applyFont="1" applyBorder="1" applyAlignment="1">
      <alignment horizontal="left" vertical="top"/>
    </xf>
    <xf numFmtId="0" fontId="5" fillId="0" borderId="2" xfId="1" applyFont="1" applyBorder="1" applyAlignment="1">
      <alignment horizontal="left" vertical="top"/>
    </xf>
    <xf numFmtId="0" fontId="5" fillId="0" borderId="3" xfId="1" applyFont="1" applyBorder="1" applyAlignment="1">
      <alignment horizontal="left" vertical="top"/>
    </xf>
    <xf numFmtId="0" fontId="7" fillId="0" borderId="9" xfId="1" applyFont="1" applyBorder="1" applyAlignment="1">
      <alignment horizontal="left" vertical="top" wrapText="1"/>
    </xf>
    <xf numFmtId="165" fontId="7" fillId="0" borderId="1" xfId="1" applyNumberFormat="1" applyFont="1" applyBorder="1" applyAlignment="1">
      <alignment horizontal="left" vertical="top" wrapText="1"/>
    </xf>
    <xf numFmtId="165" fontId="7" fillId="0" borderId="2" xfId="1" applyNumberFormat="1" applyFont="1" applyBorder="1" applyAlignment="1">
      <alignment horizontal="left" vertical="top" wrapText="1"/>
    </xf>
    <xf numFmtId="165" fontId="7" fillId="0" borderId="3" xfId="1" applyNumberFormat="1" applyFont="1" applyBorder="1" applyAlignment="1">
      <alignment horizontal="left" vertical="top" wrapText="1"/>
    </xf>
    <xf numFmtId="0" fontId="7" fillId="0" borderId="4" xfId="1" applyFont="1" applyBorder="1" applyAlignment="1">
      <alignment horizontal="left" vertical="top" wrapText="1"/>
    </xf>
    <xf numFmtId="0" fontId="5" fillId="0" borderId="1" xfId="1" applyFont="1" applyBorder="1" applyAlignment="1">
      <alignment horizontal="left" vertical="top" wrapText="1"/>
    </xf>
    <xf numFmtId="0" fontId="5" fillId="0" borderId="3" xfId="1" applyFont="1" applyBorder="1" applyAlignment="1">
      <alignment horizontal="left" vertical="top" wrapText="1"/>
    </xf>
    <xf numFmtId="0" fontId="5" fillId="0" borderId="2" xfId="1" applyFont="1" applyBorder="1" applyAlignment="1">
      <alignment horizontal="left" vertical="top" wrapText="1"/>
    </xf>
    <xf numFmtId="1" fontId="24" fillId="0" borderId="1" xfId="1" applyNumberFormat="1" applyFont="1" applyBorder="1" applyAlignment="1">
      <alignment horizontal="center" vertical="center" wrapText="1"/>
    </xf>
    <xf numFmtId="1" fontId="24" fillId="0" borderId="3" xfId="1" applyNumberFormat="1" applyFont="1" applyBorder="1" applyAlignment="1">
      <alignment horizontal="center" vertical="center" wrapText="1"/>
    </xf>
    <xf numFmtId="0" fontId="10" fillId="0" borderId="4" xfId="1" applyFont="1" applyBorder="1" applyAlignment="1">
      <alignment horizontal="center" vertical="top"/>
    </xf>
    <xf numFmtId="1" fontId="24" fillId="0" borderId="2" xfId="1" applyNumberFormat="1" applyFont="1" applyBorder="1" applyAlignment="1">
      <alignment horizontal="center" vertical="center" wrapText="1"/>
    </xf>
    <xf numFmtId="1" fontId="23" fillId="0" borderId="5" xfId="1" applyNumberFormat="1" applyFont="1" applyBorder="1" applyAlignment="1">
      <alignment horizontal="center" vertical="center" wrapText="1"/>
    </xf>
    <xf numFmtId="1" fontId="23" fillId="0" borderId="7" xfId="1" applyNumberFormat="1" applyFont="1" applyBorder="1" applyAlignment="1">
      <alignment horizontal="center" vertical="center" wrapText="1"/>
    </xf>
    <xf numFmtId="1" fontId="23" fillId="0" borderId="11" xfId="1" applyNumberFormat="1" applyFont="1" applyBorder="1" applyAlignment="1">
      <alignment horizontal="center" vertical="center" wrapText="1"/>
    </xf>
    <xf numFmtId="1" fontId="23" fillId="0" borderId="37" xfId="1" applyNumberFormat="1" applyFont="1" applyBorder="1" applyAlignment="1">
      <alignment horizontal="center" vertical="center" wrapText="1"/>
    </xf>
    <xf numFmtId="1" fontId="23" fillId="0" borderId="8" xfId="1" applyNumberFormat="1" applyFont="1" applyBorder="1" applyAlignment="1">
      <alignment horizontal="center" vertical="center" wrapText="1"/>
    </xf>
    <xf numFmtId="1" fontId="23" fillId="0" borderId="10" xfId="1" applyNumberFormat="1" applyFont="1" applyBorder="1" applyAlignment="1">
      <alignment horizontal="center" vertical="center" wrapText="1"/>
    </xf>
    <xf numFmtId="0" fontId="5" fillId="0" borderId="4" xfId="1" applyFont="1" applyBorder="1" applyAlignment="1">
      <alignment horizontal="center" vertical="top" wrapText="1"/>
    </xf>
    <xf numFmtId="0" fontId="10" fillId="0" borderId="1" xfId="2" applyFont="1" applyBorder="1" applyAlignment="1">
      <alignment horizontal="left" vertical="top" wrapText="1"/>
    </xf>
    <xf numFmtId="0" fontId="10" fillId="0" borderId="2" xfId="2" applyFont="1" applyBorder="1" applyAlignment="1">
      <alignment horizontal="left" vertical="top" wrapText="1"/>
    </xf>
    <xf numFmtId="0" fontId="10" fillId="0" borderId="3" xfId="2" applyFont="1" applyBorder="1" applyAlignment="1">
      <alignment horizontal="left" vertical="top" wrapText="1"/>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1" fontId="26" fillId="0" borderId="1" xfId="0" applyNumberFormat="1" applyFont="1" applyBorder="1" applyAlignment="1">
      <alignment horizontal="center" vertical="center" wrapText="1"/>
    </xf>
    <xf numFmtId="1" fontId="26" fillId="0" borderId="2" xfId="0" applyNumberFormat="1" applyFont="1" applyBorder="1" applyAlignment="1">
      <alignment horizontal="center" vertical="center" wrapText="1"/>
    </xf>
    <xf numFmtId="1" fontId="26" fillId="0" borderId="3" xfId="0" applyNumberFormat="1" applyFont="1" applyBorder="1" applyAlignment="1">
      <alignment horizontal="center" vertical="center" wrapText="1"/>
    </xf>
    <xf numFmtId="1" fontId="22" fillId="0" borderId="1" xfId="0" applyNumberFormat="1" applyFont="1" applyBorder="1" applyAlignment="1">
      <alignment horizontal="center" vertical="top" wrapText="1"/>
    </xf>
    <xf numFmtId="1" fontId="22" fillId="0" borderId="3" xfId="0" applyNumberFormat="1" applyFont="1" applyBorder="1" applyAlignment="1">
      <alignment horizontal="center" vertical="top" wrapText="1"/>
    </xf>
    <xf numFmtId="0" fontId="21" fillId="0" borderId="1" xfId="0" applyFont="1" applyBorder="1" applyAlignment="1">
      <alignment horizontal="center" vertical="top" wrapText="1"/>
    </xf>
    <xf numFmtId="0" fontId="21" fillId="0" borderId="2" xfId="0" applyFont="1" applyBorder="1" applyAlignment="1">
      <alignment horizontal="center" vertical="top" wrapText="1"/>
    </xf>
    <xf numFmtId="0" fontId="21" fillId="0" borderId="3" xfId="0" applyFont="1" applyBorder="1" applyAlignment="1">
      <alignment horizontal="center" vertical="top" wrapText="1"/>
    </xf>
    <xf numFmtId="1" fontId="22" fillId="0" borderId="2" xfId="0" applyNumberFormat="1" applyFont="1" applyBorder="1" applyAlignment="1">
      <alignment horizontal="center" vertical="top" wrapText="1"/>
    </xf>
    <xf numFmtId="1" fontId="23" fillId="0" borderId="1" xfId="0" applyNumberFormat="1" applyFont="1" applyBorder="1" applyAlignment="1">
      <alignment horizontal="center" vertical="center" wrapText="1"/>
    </xf>
    <xf numFmtId="1" fontId="23" fillId="0" borderId="3" xfId="0" applyNumberFormat="1" applyFont="1" applyBorder="1" applyAlignment="1">
      <alignment horizontal="center" vertical="center" wrapText="1"/>
    </xf>
    <xf numFmtId="1" fontId="19" fillId="0" borderId="1" xfId="0" applyNumberFormat="1" applyFont="1" applyBorder="1" applyAlignment="1">
      <alignment horizontal="center" vertical="top" wrapText="1"/>
    </xf>
    <xf numFmtId="1" fontId="19" fillId="0" borderId="2" xfId="0" applyNumberFormat="1" applyFont="1" applyBorder="1" applyAlignment="1">
      <alignment horizontal="center" vertical="top" wrapText="1"/>
    </xf>
    <xf numFmtId="1" fontId="19" fillId="0" borderId="3" xfId="0" applyNumberFormat="1" applyFont="1" applyBorder="1" applyAlignment="1">
      <alignment horizontal="center" vertical="top" wrapText="1"/>
    </xf>
    <xf numFmtId="1" fontId="22" fillId="0" borderId="1" xfId="1" applyNumberFormat="1" applyFont="1" applyBorder="1" applyAlignment="1">
      <alignment horizontal="center" vertical="top" wrapText="1"/>
    </xf>
    <xf numFmtId="1" fontId="22" fillId="0" borderId="3" xfId="1" applyNumberFormat="1" applyFont="1" applyBorder="1" applyAlignment="1">
      <alignment horizontal="center" vertical="top" wrapText="1"/>
    </xf>
    <xf numFmtId="0" fontId="21" fillId="0" borderId="24" xfId="1" applyFont="1" applyBorder="1" applyAlignment="1" applyProtection="1">
      <alignment horizontal="center" vertical="center" wrapText="1"/>
      <protection locked="0"/>
    </xf>
    <xf numFmtId="0" fontId="21" fillId="0" borderId="4" xfId="1" applyFont="1" applyBorder="1" applyAlignment="1" applyProtection="1">
      <alignment horizontal="center" vertical="center" wrapText="1"/>
      <protection locked="0"/>
    </xf>
    <xf numFmtId="0" fontId="21" fillId="0" borderId="28" xfId="1" applyFont="1" applyBorder="1" applyAlignment="1" applyProtection="1">
      <alignment horizontal="center" vertical="center" wrapText="1"/>
      <protection locked="0"/>
    </xf>
    <xf numFmtId="0" fontId="21" fillId="0" borderId="29" xfId="1" applyFont="1" applyBorder="1" applyAlignment="1" applyProtection="1">
      <alignment horizontal="center" vertical="center" wrapText="1"/>
      <protection locked="0"/>
    </xf>
    <xf numFmtId="9" fontId="21" fillId="0" borderId="4" xfId="1" applyNumberFormat="1" applyFont="1" applyBorder="1" applyAlignment="1" applyProtection="1">
      <alignment horizontal="center" vertical="center" wrapText="1"/>
      <protection locked="0"/>
    </xf>
    <xf numFmtId="0" fontId="21" fillId="0" borderId="27" xfId="1" applyFont="1" applyBorder="1" applyAlignment="1" applyProtection="1">
      <alignment horizontal="center" vertical="center" wrapText="1"/>
      <protection locked="0"/>
    </xf>
    <xf numFmtId="0" fontId="21" fillId="0" borderId="36" xfId="1" applyFont="1" applyBorder="1" applyAlignment="1" applyProtection="1">
      <alignment horizontal="center" vertical="center" wrapText="1"/>
      <protection locked="0"/>
    </xf>
    <xf numFmtId="0" fontId="21" fillId="0" borderId="13" xfId="1" applyFont="1" applyBorder="1" applyAlignment="1" applyProtection="1">
      <alignment horizontal="center" vertical="top" wrapText="1"/>
      <protection locked="0"/>
    </xf>
    <xf numFmtId="0" fontId="21" fillId="0" borderId="20" xfId="1" applyFont="1" applyBorder="1" applyAlignment="1" applyProtection="1">
      <alignment horizontal="center" vertical="top" wrapText="1"/>
      <protection locked="0"/>
    </xf>
    <xf numFmtId="0" fontId="21" fillId="0" borderId="21" xfId="1" applyFont="1" applyBorder="1" applyAlignment="1" applyProtection="1">
      <alignment horizontal="left" vertical="top" wrapText="1"/>
      <protection locked="0"/>
    </xf>
    <xf numFmtId="0" fontId="21" fillId="0" borderId="14" xfId="1" applyFont="1" applyBorder="1" applyAlignment="1" applyProtection="1">
      <alignment horizontal="left" vertical="top" wrapText="1"/>
      <protection locked="0"/>
    </xf>
    <xf numFmtId="0" fontId="21" fillId="0" borderId="15" xfId="1" applyFont="1" applyBorder="1" applyAlignment="1" applyProtection="1">
      <alignment horizontal="left" vertical="top" wrapText="1"/>
      <protection locked="0"/>
    </xf>
    <xf numFmtId="0" fontId="19" fillId="0" borderId="1" xfId="1" applyFont="1" applyBorder="1" applyAlignment="1" applyProtection="1">
      <alignment horizontal="center" vertical="top"/>
      <protection locked="0"/>
    </xf>
    <xf numFmtId="0" fontId="19" fillId="0" borderId="3" xfId="1" applyFont="1" applyBorder="1" applyAlignment="1" applyProtection="1">
      <alignment horizontal="center" vertical="top"/>
      <protection locked="0"/>
    </xf>
    <xf numFmtId="0" fontId="19" fillId="0" borderId="25" xfId="1" applyFont="1" applyBorder="1" applyAlignment="1" applyProtection="1">
      <alignment horizontal="center" vertical="top"/>
      <protection locked="0"/>
    </xf>
    <xf numFmtId="0" fontId="21" fillId="0" borderId="24" xfId="1" applyFont="1" applyBorder="1" applyAlignment="1" applyProtection="1">
      <alignment horizontal="left" vertical="top"/>
      <protection locked="0"/>
    </xf>
    <xf numFmtId="0" fontId="21" fillId="0" borderId="4" xfId="1" applyFont="1" applyBorder="1" applyAlignment="1" applyProtection="1">
      <alignment horizontal="left" vertical="top"/>
      <protection locked="0"/>
    </xf>
    <xf numFmtId="0" fontId="21" fillId="0" borderId="1" xfId="1" applyFont="1" applyBorder="1" applyAlignment="1" applyProtection="1">
      <alignment horizontal="left" vertical="top" wrapText="1"/>
      <protection locked="0"/>
    </xf>
    <xf numFmtId="0" fontId="21" fillId="0" borderId="2" xfId="1" applyFont="1" applyBorder="1" applyAlignment="1" applyProtection="1">
      <alignment horizontal="left" vertical="top" wrapText="1"/>
      <protection locked="0"/>
    </xf>
    <xf numFmtId="0" fontId="21" fillId="0" borderId="25" xfId="1" applyFont="1" applyBorder="1" applyAlignment="1" applyProtection="1">
      <alignment horizontal="left" vertical="top" wrapText="1"/>
      <protection locked="0"/>
    </xf>
    <xf numFmtId="0" fontId="19" fillId="0" borderId="26" xfId="1" applyFont="1" applyBorder="1" applyAlignment="1" applyProtection="1">
      <alignment horizontal="center" vertical="top" wrapText="1"/>
      <protection locked="0"/>
    </xf>
    <xf numFmtId="0" fontId="19" fillId="0" borderId="3" xfId="1" applyFont="1" applyBorder="1" applyAlignment="1" applyProtection="1">
      <alignment horizontal="center" vertical="top" wrapText="1"/>
      <protection locked="0"/>
    </xf>
    <xf numFmtId="0" fontId="19" fillId="0" borderId="4" xfId="1" applyFont="1" applyBorder="1" applyAlignment="1" applyProtection="1">
      <alignment horizontal="center" vertical="top" wrapText="1"/>
      <protection locked="0"/>
    </xf>
    <xf numFmtId="0" fontId="19" fillId="0" borderId="27" xfId="1" applyFont="1" applyBorder="1" applyAlignment="1" applyProtection="1">
      <alignment horizontal="center" vertical="top" wrapText="1"/>
      <protection locked="0"/>
    </xf>
    <xf numFmtId="0" fontId="19" fillId="0" borderId="24" xfId="1" applyFont="1" applyBorder="1" applyAlignment="1" applyProtection="1">
      <alignment horizontal="center" vertical="top" wrapText="1"/>
      <protection locked="0"/>
    </xf>
    <xf numFmtId="9" fontId="19" fillId="0" borderId="1" xfId="1" applyNumberFormat="1" applyFont="1" applyBorder="1" applyAlignment="1" applyProtection="1">
      <alignment horizontal="center" vertical="center" wrapText="1"/>
      <protection hidden="1"/>
    </xf>
    <xf numFmtId="9" fontId="19" fillId="0" borderId="3" xfId="1" applyNumberFormat="1" applyFont="1" applyBorder="1" applyAlignment="1" applyProtection="1">
      <alignment horizontal="center" vertical="center" wrapText="1"/>
      <protection hidden="1"/>
    </xf>
    <xf numFmtId="9" fontId="19" fillId="0" borderId="4" xfId="1" applyNumberFormat="1" applyFont="1" applyBorder="1" applyAlignment="1" applyProtection="1">
      <alignment horizontal="center" vertical="center" wrapText="1"/>
      <protection hidden="1"/>
    </xf>
    <xf numFmtId="9" fontId="19" fillId="0" borderId="29" xfId="1" applyNumberFormat="1" applyFont="1" applyBorder="1" applyAlignment="1" applyProtection="1">
      <alignment horizontal="center" vertical="center" wrapText="1"/>
      <protection hidden="1"/>
    </xf>
    <xf numFmtId="9" fontId="19" fillId="0" borderId="19" xfId="1" applyNumberFormat="1" applyFont="1" applyBorder="1" applyAlignment="1" applyProtection="1">
      <alignment horizontal="center" vertical="center" wrapText="1"/>
      <protection hidden="1"/>
    </xf>
    <xf numFmtId="9" fontId="19" fillId="0" borderId="18" xfId="1" applyNumberFormat="1" applyFont="1" applyBorder="1" applyAlignment="1" applyProtection="1">
      <alignment horizontal="center" vertical="center" wrapText="1"/>
      <protection hidden="1"/>
    </xf>
    <xf numFmtId="0" fontId="7" fillId="0" borderId="4" xfId="1" applyFont="1" applyBorder="1" applyAlignment="1">
      <alignment horizontal="left" vertical="top"/>
    </xf>
    <xf numFmtId="14" fontId="7" fillId="0" borderId="4" xfId="1" applyNumberFormat="1" applyFont="1" applyBorder="1" applyAlignment="1">
      <alignment horizontal="center" vertical="top"/>
    </xf>
    <xf numFmtId="0" fontId="6" fillId="0" borderId="3" xfId="1" applyFont="1" applyBorder="1" applyAlignment="1">
      <alignment horizontal="left"/>
    </xf>
    <xf numFmtId="0" fontId="5" fillId="0" borderId="1" xfId="1" applyFont="1" applyBorder="1" applyAlignment="1">
      <alignment vertical="top"/>
    </xf>
    <xf numFmtId="0" fontId="5" fillId="0" borderId="2" xfId="1" applyFont="1" applyBorder="1" applyAlignment="1">
      <alignment vertical="top"/>
    </xf>
    <xf numFmtId="0" fontId="5" fillId="0" borderId="3" xfId="1" applyFont="1" applyBorder="1" applyAlignment="1">
      <alignment vertical="top"/>
    </xf>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5" fillId="0" borderId="7" xfId="1" applyFont="1" applyBorder="1" applyAlignment="1">
      <alignment horizontal="left" vertical="top" wrapText="1"/>
    </xf>
    <xf numFmtId="0" fontId="9" fillId="0" borderId="1" xfId="1" applyFont="1" applyBorder="1" applyAlignment="1">
      <alignment horizontal="left" vertical="top" wrapText="1"/>
    </xf>
    <xf numFmtId="0" fontId="9" fillId="0" borderId="2" xfId="1" applyFont="1" applyBorder="1" applyAlignment="1">
      <alignment horizontal="left" vertical="top" wrapText="1"/>
    </xf>
    <xf numFmtId="0" fontId="9" fillId="0" borderId="3" xfId="1" applyFont="1" applyBorder="1" applyAlignment="1">
      <alignment horizontal="left" vertical="top" wrapText="1"/>
    </xf>
    <xf numFmtId="0" fontId="19" fillId="0" borderId="4" xfId="1" applyFont="1" applyBorder="1" applyAlignment="1" applyProtection="1">
      <alignment horizontal="center" vertical="top"/>
      <protection locked="0"/>
    </xf>
    <xf numFmtId="0" fontId="19" fillId="0" borderId="27" xfId="1" applyFont="1" applyBorder="1" applyAlignment="1" applyProtection="1">
      <alignment horizontal="center" vertical="top"/>
      <protection locked="0"/>
    </xf>
    <xf numFmtId="0" fontId="21" fillId="0" borderId="24" xfId="1" applyFont="1" applyBorder="1" applyAlignment="1" applyProtection="1">
      <alignment horizontal="left" vertical="center"/>
      <protection locked="0"/>
    </xf>
    <xf numFmtId="0" fontId="21" fillId="0" borderId="4" xfId="1" applyFont="1" applyBorder="1" applyAlignment="1" applyProtection="1">
      <alignment horizontal="left" vertical="center"/>
      <protection locked="0"/>
    </xf>
    <xf numFmtId="0" fontId="21" fillId="0" borderId="4" xfId="1" applyFont="1" applyBorder="1" applyAlignment="1" applyProtection="1">
      <alignment horizontal="left" vertical="center" wrapText="1"/>
      <protection locked="0"/>
    </xf>
    <xf numFmtId="0" fontId="21" fillId="0" borderId="27" xfId="1" applyFont="1" applyBorder="1" applyAlignment="1" applyProtection="1">
      <alignment horizontal="left" vertical="center" wrapText="1"/>
      <protection locked="0"/>
    </xf>
    <xf numFmtId="0" fontId="21" fillId="0" borderId="33" xfId="1" applyFont="1" applyBorder="1" applyAlignment="1" applyProtection="1">
      <alignment horizontal="center" vertical="top" wrapText="1"/>
      <protection locked="0"/>
    </xf>
    <xf numFmtId="0" fontId="21" fillId="0" borderId="34" xfId="1" applyFont="1" applyBorder="1" applyAlignment="1" applyProtection="1">
      <alignment horizontal="center" vertical="top" wrapText="1"/>
      <protection locked="0"/>
    </xf>
    <xf numFmtId="0" fontId="21" fillId="0" borderId="34" xfId="1" applyFont="1" applyBorder="1" applyAlignment="1" applyProtection="1">
      <alignment horizontal="left" vertical="top" wrapText="1"/>
      <protection locked="0"/>
    </xf>
    <xf numFmtId="0" fontId="21" fillId="0" borderId="35" xfId="1" applyFont="1" applyBorder="1" applyAlignment="1" applyProtection="1">
      <alignment horizontal="left" vertical="top" wrapText="1"/>
      <protection locked="0"/>
    </xf>
    <xf numFmtId="0" fontId="16" fillId="0" borderId="1" xfId="6" applyFill="1" applyBorder="1" applyAlignment="1">
      <alignment horizontal="left" vertical="top"/>
    </xf>
    <xf numFmtId="0" fontId="9" fillId="0" borderId="1" xfId="1" applyFont="1" applyBorder="1" applyAlignment="1" applyProtection="1">
      <alignment horizontal="left" vertical="center" wrapText="1"/>
      <protection locked="0"/>
    </xf>
    <xf numFmtId="0" fontId="9" fillId="0" borderId="2" xfId="1" applyFont="1" applyBorder="1" applyAlignment="1" applyProtection="1">
      <alignment horizontal="left" vertical="center" wrapText="1"/>
      <protection locked="0"/>
    </xf>
    <xf numFmtId="0" fontId="9" fillId="0" borderId="3" xfId="1" applyFont="1" applyBorder="1" applyAlignment="1" applyProtection="1">
      <alignment horizontal="left" vertical="center" wrapText="1"/>
      <protection locked="0"/>
    </xf>
    <xf numFmtId="0" fontId="13" fillId="0" borderId="1" xfId="1" applyFont="1" applyBorder="1" applyAlignment="1">
      <alignment horizontal="center" vertical="top"/>
    </xf>
    <xf numFmtId="0" fontId="13" fillId="0" borderId="3" xfId="1" applyFont="1" applyBorder="1" applyAlignment="1">
      <alignment horizontal="center" vertical="top"/>
    </xf>
    <xf numFmtId="0" fontId="13" fillId="0" borderId="2" xfId="1" applyFont="1" applyBorder="1" applyAlignment="1">
      <alignment horizontal="center" vertical="top"/>
    </xf>
    <xf numFmtId="0" fontId="7" fillId="0" borderId="6" xfId="1" applyFont="1" applyBorder="1" applyAlignment="1">
      <alignment horizontal="left" vertical="top" wrapText="1"/>
    </xf>
    <xf numFmtId="0" fontId="7" fillId="0" borderId="5" xfId="1" applyFont="1" applyBorder="1" applyAlignment="1">
      <alignment horizontal="left" vertical="top"/>
    </xf>
    <xf numFmtId="0" fontId="7" fillId="0" borderId="6" xfId="1" applyFont="1" applyBorder="1" applyAlignment="1">
      <alignment horizontal="left" vertical="top"/>
    </xf>
    <xf numFmtId="0" fontId="7" fillId="0" borderId="7" xfId="1" applyFont="1" applyBorder="1" applyAlignment="1">
      <alignment horizontal="left" vertical="top"/>
    </xf>
    <xf numFmtId="0" fontId="7" fillId="0" borderId="8" xfId="1" applyFont="1" applyBorder="1" applyAlignment="1">
      <alignment horizontal="left" vertical="top"/>
    </xf>
    <xf numFmtId="0" fontId="7" fillId="0" borderId="9" xfId="1" applyFont="1" applyBorder="1" applyAlignment="1">
      <alignment horizontal="left" vertical="top"/>
    </xf>
    <xf numFmtId="0" fontId="7" fillId="0" borderId="10" xfId="1" applyFont="1" applyBorder="1" applyAlignment="1">
      <alignment horizontal="left" vertical="top"/>
    </xf>
    <xf numFmtId="0" fontId="5" fillId="0" borderId="4" xfId="1" applyFont="1" applyBorder="1" applyAlignment="1">
      <alignment horizontal="center" vertical="center" wrapText="1"/>
    </xf>
    <xf numFmtId="0" fontId="5" fillId="0" borderId="1" xfId="1" applyFont="1" applyBorder="1" applyAlignment="1">
      <alignment horizontal="center" vertical="top"/>
    </xf>
    <xf numFmtId="0" fontId="5" fillId="0" borderId="2" xfId="1" applyFont="1" applyBorder="1" applyAlignment="1">
      <alignment horizontal="center" vertical="top"/>
    </xf>
    <xf numFmtId="0" fontId="5" fillId="0" borderId="3" xfId="1" applyFont="1" applyBorder="1" applyAlignment="1">
      <alignment horizontal="center" vertical="top"/>
    </xf>
    <xf numFmtId="14" fontId="7" fillId="0" borderId="1" xfId="1" applyNumberFormat="1" applyFont="1" applyBorder="1" applyAlignment="1">
      <alignment horizontal="left" vertical="top"/>
    </xf>
    <xf numFmtId="14" fontId="7" fillId="0" borderId="2" xfId="1" applyNumberFormat="1" applyFont="1" applyBorder="1" applyAlignment="1">
      <alignment horizontal="left" vertical="top"/>
    </xf>
    <xf numFmtId="14" fontId="7" fillId="0" borderId="3" xfId="1" applyNumberFormat="1" applyFont="1" applyBorder="1" applyAlignment="1">
      <alignment horizontal="left" vertical="top"/>
    </xf>
    <xf numFmtId="14" fontId="9" fillId="0" borderId="1" xfId="1" applyNumberFormat="1" applyFont="1" applyBorder="1" applyAlignment="1">
      <alignment horizontal="left" vertical="top"/>
    </xf>
    <xf numFmtId="14" fontId="9" fillId="0" borderId="2" xfId="1" applyNumberFormat="1" applyFont="1" applyBorder="1" applyAlignment="1">
      <alignment horizontal="left" vertical="top"/>
    </xf>
    <xf numFmtId="14" fontId="9" fillId="0" borderId="3" xfId="1" applyNumberFormat="1" applyFont="1" applyBorder="1" applyAlignment="1">
      <alignment horizontal="left" vertical="top"/>
    </xf>
    <xf numFmtId="0" fontId="9" fillId="0" borderId="2" xfId="1" applyFont="1" applyBorder="1" applyAlignment="1">
      <alignment horizontal="left" vertical="top"/>
    </xf>
    <xf numFmtId="0" fontId="9" fillId="0" borderId="3" xfId="1" applyFont="1" applyBorder="1" applyAlignment="1">
      <alignment horizontal="left" vertical="top"/>
    </xf>
    <xf numFmtId="0" fontId="9" fillId="0" borderId="1" xfId="1" applyFont="1" applyBorder="1" applyAlignment="1">
      <alignment horizontal="left" vertical="top"/>
    </xf>
    <xf numFmtId="9" fontId="19" fillId="0" borderId="5" xfId="1" applyNumberFormat="1" applyFont="1" applyBorder="1" applyAlignment="1" applyProtection="1">
      <alignment horizontal="center" vertical="center" wrapText="1"/>
      <protection hidden="1"/>
    </xf>
    <xf numFmtId="9" fontId="19" fillId="0" borderId="6" xfId="1" applyNumberFormat="1" applyFont="1" applyBorder="1" applyAlignment="1" applyProtection="1">
      <alignment horizontal="center" vertical="center" wrapText="1"/>
      <protection hidden="1"/>
    </xf>
    <xf numFmtId="9" fontId="19" fillId="0" borderId="16" xfId="1" applyNumberFormat="1" applyFont="1" applyBorder="1" applyAlignment="1" applyProtection="1">
      <alignment horizontal="center" vertical="center" wrapText="1"/>
      <protection hidden="1"/>
    </xf>
    <xf numFmtId="9" fontId="19" fillId="0" borderId="11" xfId="1" applyNumberFormat="1" applyFont="1" applyBorder="1" applyAlignment="1" applyProtection="1">
      <alignment horizontal="center" vertical="center" wrapText="1"/>
      <protection hidden="1"/>
    </xf>
    <xf numFmtId="9" fontId="19" fillId="0" borderId="0" xfId="1" applyNumberFormat="1" applyFont="1" applyAlignment="1" applyProtection="1">
      <alignment horizontal="center" vertical="center" wrapText="1"/>
      <protection hidden="1"/>
    </xf>
    <xf numFmtId="9" fontId="19" fillId="0" borderId="17" xfId="1" applyNumberFormat="1" applyFont="1" applyBorder="1" applyAlignment="1" applyProtection="1">
      <alignment horizontal="center" vertical="center" wrapText="1"/>
      <protection hidden="1"/>
    </xf>
    <xf numFmtId="9" fontId="19" fillId="0" borderId="30" xfId="1" applyNumberFormat="1" applyFont="1" applyBorder="1" applyAlignment="1" applyProtection="1">
      <alignment horizontal="center" vertical="center" wrapText="1"/>
      <protection hidden="1"/>
    </xf>
    <xf numFmtId="9" fontId="19" fillId="0" borderId="31" xfId="1" applyNumberFormat="1" applyFont="1" applyBorder="1" applyAlignment="1" applyProtection="1">
      <alignment horizontal="center" vertical="center" wrapText="1"/>
      <protection hidden="1"/>
    </xf>
    <xf numFmtId="9" fontId="19" fillId="0" borderId="32" xfId="1" applyNumberFormat="1" applyFont="1" applyBorder="1" applyAlignment="1" applyProtection="1">
      <alignment horizontal="center" vertical="center" wrapText="1"/>
      <protection hidden="1"/>
    </xf>
    <xf numFmtId="0" fontId="19" fillId="0" borderId="24" xfId="1" applyFont="1" applyBorder="1" applyAlignment="1" applyProtection="1">
      <alignment horizontal="center" vertical="top"/>
      <protection locked="0"/>
    </xf>
    <xf numFmtId="0" fontId="19" fillId="0" borderId="28" xfId="1" applyFont="1" applyBorder="1" applyAlignment="1" applyProtection="1">
      <alignment horizontal="center" vertical="top" wrapText="1"/>
      <protection locked="0"/>
    </xf>
    <xf numFmtId="0" fontId="19" fillId="0" borderId="29" xfId="1" applyFont="1" applyBorder="1" applyAlignment="1" applyProtection="1">
      <alignment horizontal="center" vertical="top" wrapText="1"/>
      <protection locked="0"/>
    </xf>
    <xf numFmtId="0" fontId="22" fillId="0" borderId="1" xfId="1" applyFont="1" applyBorder="1" applyAlignment="1">
      <alignment horizontal="center" vertical="top"/>
    </xf>
    <xf numFmtId="0" fontId="22" fillId="0" borderId="2" xfId="1" applyFont="1" applyBorder="1" applyAlignment="1">
      <alignment horizontal="center" vertical="top"/>
    </xf>
    <xf numFmtId="0" fontId="22" fillId="0" borderId="3" xfId="1" applyFont="1" applyBorder="1" applyAlignment="1">
      <alignment horizontal="center" vertical="top"/>
    </xf>
    <xf numFmtId="1" fontId="21" fillId="0" borderId="1" xfId="0" applyNumberFormat="1" applyFont="1" applyBorder="1" applyAlignment="1">
      <alignment horizontal="center" vertical="top" wrapText="1"/>
    </xf>
    <xf numFmtId="1" fontId="21" fillId="0" borderId="2" xfId="0" applyNumberFormat="1" applyFont="1" applyBorder="1" applyAlignment="1">
      <alignment horizontal="center" vertical="top" wrapText="1"/>
    </xf>
    <xf numFmtId="1" fontId="21" fillId="0" borderId="3" xfId="0" applyNumberFormat="1" applyFont="1" applyBorder="1" applyAlignment="1">
      <alignment horizontal="center" vertical="top" wrapText="1"/>
    </xf>
    <xf numFmtId="1" fontId="26" fillId="0" borderId="4" xfId="1" applyNumberFormat="1" applyFont="1" applyBorder="1" applyAlignment="1">
      <alignment horizontal="center" vertical="center" wrapText="1"/>
    </xf>
    <xf numFmtId="1" fontId="22" fillId="0" borderId="1" xfId="0" applyNumberFormat="1" applyFont="1" applyBorder="1" applyAlignment="1">
      <alignment horizontal="center" vertical="center" wrapText="1"/>
    </xf>
    <xf numFmtId="1" fontId="22" fillId="0" borderId="3" xfId="0" applyNumberFormat="1" applyFont="1" applyBorder="1" applyAlignment="1">
      <alignment horizontal="center" vertical="center" wrapText="1"/>
    </xf>
    <xf numFmtId="0" fontId="10" fillId="0" borderId="1" xfId="1" applyFont="1" applyBorder="1" applyAlignment="1">
      <alignment horizontal="left" vertical="top"/>
    </xf>
    <xf numFmtId="0" fontId="10" fillId="0" borderId="2" xfId="1" applyFont="1" applyBorder="1" applyAlignment="1">
      <alignment horizontal="left" vertical="top"/>
    </xf>
    <xf numFmtId="0" fontId="10" fillId="0" borderId="3" xfId="1" applyFont="1" applyBorder="1" applyAlignment="1">
      <alignment horizontal="left" vertical="top"/>
    </xf>
    <xf numFmtId="0" fontId="7" fillId="0" borderId="38"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14" fontId="7" fillId="0" borderId="3" xfId="1" applyNumberFormat="1" applyFont="1" applyBorder="1" applyAlignment="1">
      <alignment horizontal="left" vertical="top" wrapText="1"/>
    </xf>
    <xf numFmtId="14" fontId="5" fillId="0" borderId="1" xfId="1" applyNumberFormat="1" applyFont="1" applyBorder="1" applyAlignment="1">
      <alignment horizontal="left" vertical="top" wrapText="1"/>
    </xf>
    <xf numFmtId="14" fontId="5" fillId="0" borderId="2" xfId="1" applyNumberFormat="1" applyFont="1" applyBorder="1" applyAlignment="1">
      <alignment horizontal="left" vertical="top" wrapText="1"/>
    </xf>
    <xf numFmtId="14" fontId="5" fillId="0" borderId="3" xfId="1" applyNumberFormat="1" applyFont="1" applyBorder="1" applyAlignment="1">
      <alignment horizontal="left" vertical="top" wrapText="1"/>
    </xf>
    <xf numFmtId="0" fontId="8" fillId="0" borderId="11" xfId="1" applyFont="1" applyBorder="1" applyAlignment="1">
      <alignment horizontal="left" vertical="top" wrapText="1"/>
    </xf>
    <xf numFmtId="0" fontId="8" fillId="0" borderId="37" xfId="1" applyFont="1" applyBorder="1" applyAlignment="1">
      <alignment horizontal="left" vertical="top" wrapText="1"/>
    </xf>
    <xf numFmtId="0" fontId="8" fillId="0" borderId="8" xfId="1" applyFont="1" applyBorder="1" applyAlignment="1">
      <alignment horizontal="left" vertical="top" wrapText="1"/>
    </xf>
    <xf numFmtId="0" fontId="8" fillId="0" borderId="9" xfId="1" applyFont="1" applyBorder="1" applyAlignment="1">
      <alignment horizontal="left" vertical="top" wrapText="1"/>
    </xf>
    <xf numFmtId="0" fontId="8" fillId="0" borderId="10" xfId="1" applyFont="1" applyBorder="1" applyAlignment="1">
      <alignment horizontal="left" vertical="top" wrapText="1"/>
    </xf>
    <xf numFmtId="0" fontId="13" fillId="0" borderId="2" xfId="1" applyFont="1" applyBorder="1" applyAlignment="1">
      <alignment horizontal="left" vertical="top"/>
    </xf>
    <xf numFmtId="0" fontId="13" fillId="0" borderId="3" xfId="1" applyFont="1" applyBorder="1" applyAlignment="1">
      <alignment horizontal="left" vertical="top"/>
    </xf>
    <xf numFmtId="0" fontId="0" fillId="2" borderId="4" xfId="0" applyFill="1" applyBorder="1" applyAlignment="1">
      <alignment horizontal="center" wrapText="1"/>
    </xf>
    <xf numFmtId="0" fontId="15" fillId="0" borderId="4" xfId="0" applyFont="1" applyBorder="1" applyAlignment="1">
      <alignment horizontal="center"/>
    </xf>
  </cellXfs>
  <cellStyles count="8">
    <cellStyle name="Comma 2" xfId="7"/>
    <cellStyle name="Excel Built-in Normal" xfId="2"/>
    <cellStyle name="Excel Built-in Normal 2" xfId="4"/>
    <cellStyle name="Hyperlink" xfId="6" builtinId="8"/>
    <cellStyle name="Normal" xfId="0" builtinId="0"/>
    <cellStyle name="Normal 2" xfId="3"/>
    <cellStyle name="Normal 3" xfId="1"/>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jpe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image" Target="../media/image48.png"/><Relationship Id="rId1" Type="http://schemas.openxmlformats.org/officeDocument/2006/relationships/image" Target="../media/image47.png"/><Relationship Id="rId5" Type="http://schemas.openxmlformats.org/officeDocument/2006/relationships/image" Target="../media/image51.png"/><Relationship Id="rId4" Type="http://schemas.openxmlformats.org/officeDocument/2006/relationships/image" Target="../media/image50.png"/></Relationships>
</file>

<file path=xl/drawings/_rels/drawing3.xml.rels><?xml version="1.0" encoding="UTF-8" standalone="yes"?>
<Relationships xmlns="http://schemas.openxmlformats.org/package/2006/relationships"><Relationship Id="rId1" Type="http://schemas.openxmlformats.org/officeDocument/2006/relationships/image" Target="../media/image52.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6.png"/><Relationship Id="rId1" Type="http://schemas.openxmlformats.org/officeDocument/2006/relationships/image" Target="../media/image45.png"/></Relationships>
</file>

<file path=xl/drawings/drawing1.xml><?xml version="1.0" encoding="utf-8"?>
<xdr:wsDr xmlns:xdr="http://schemas.openxmlformats.org/drawingml/2006/spreadsheetDrawing" xmlns:a="http://schemas.openxmlformats.org/drawingml/2006/main">
  <xdr:twoCellAnchor editAs="oneCell">
    <xdr:from>
      <xdr:col>1</xdr:col>
      <xdr:colOff>261815</xdr:colOff>
      <xdr:row>446</xdr:row>
      <xdr:rowOff>118781</xdr:rowOff>
    </xdr:from>
    <xdr:to>
      <xdr:col>8</xdr:col>
      <xdr:colOff>69382</xdr:colOff>
      <xdr:row>461</xdr:row>
      <xdr:rowOff>141281</xdr:rowOff>
    </xdr:to>
    <xdr:pic>
      <xdr:nvPicPr>
        <xdr:cNvPr id="32" name="Picture 31">
          <a:extLst>
            <a:ext uri="{FF2B5EF4-FFF2-40B4-BE49-F238E27FC236}">
              <a16:creationId xmlns:a16="http://schemas.microsoft.com/office/drawing/2014/main" xmlns="" id="{00000000-0008-0000-0000-000020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22962" y="111919869"/>
          <a:ext cx="4514038" cy="2880000"/>
        </a:xfrm>
        <a:prstGeom prst="rect">
          <a:avLst/>
        </a:prstGeom>
        <a:ln>
          <a:solidFill>
            <a:schemeClr val="tx1"/>
          </a:solidFill>
        </a:ln>
      </xdr:spPr>
    </xdr:pic>
    <xdr:clientData/>
  </xdr:twoCellAnchor>
  <xdr:twoCellAnchor editAs="oneCell">
    <xdr:from>
      <xdr:col>10</xdr:col>
      <xdr:colOff>902791</xdr:colOff>
      <xdr:row>462</xdr:row>
      <xdr:rowOff>91798</xdr:rowOff>
    </xdr:from>
    <xdr:to>
      <xdr:col>16</xdr:col>
      <xdr:colOff>313581</xdr:colOff>
      <xdr:row>478</xdr:row>
      <xdr:rowOff>5049</xdr:rowOff>
    </xdr:to>
    <xdr:pic>
      <xdr:nvPicPr>
        <xdr:cNvPr id="33" name="Picture 32">
          <a:extLst>
            <a:ext uri="{FF2B5EF4-FFF2-40B4-BE49-F238E27FC236}">
              <a16:creationId xmlns:a16="http://schemas.microsoft.com/office/drawing/2014/main" xmlns="" id="{00000000-0008-0000-0000-000021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7861644" y="114940886"/>
          <a:ext cx="4509466" cy="2961251"/>
        </a:xfrm>
        <a:prstGeom prst="rect">
          <a:avLst/>
        </a:prstGeom>
        <a:ln>
          <a:solidFill>
            <a:schemeClr val="tx1"/>
          </a:solidFill>
        </a:ln>
      </xdr:spPr>
    </xdr:pic>
    <xdr:clientData/>
  </xdr:twoCellAnchor>
  <xdr:twoCellAnchor editAs="oneCell">
    <xdr:from>
      <xdr:col>2</xdr:col>
      <xdr:colOff>27214</xdr:colOff>
      <xdr:row>428</xdr:row>
      <xdr:rowOff>40821</xdr:rowOff>
    </xdr:from>
    <xdr:to>
      <xdr:col>7</xdr:col>
      <xdr:colOff>96827</xdr:colOff>
      <xdr:row>443</xdr:row>
      <xdr:rowOff>63322</xdr:rowOff>
    </xdr:to>
    <xdr:pic>
      <xdr:nvPicPr>
        <xdr:cNvPr id="41" name="Picture 40">
          <a:extLst>
            <a:ext uri="{FF2B5EF4-FFF2-40B4-BE49-F238E27FC236}">
              <a16:creationId xmlns:a16="http://schemas.microsoft.com/office/drawing/2014/main" xmlns="" id="{00000000-0008-0000-0000-000029000000}"/>
            </a:ext>
          </a:extLst>
        </xdr:cNvPr>
        <xdr:cNvPicPr>
          <a:picLocks noChangeAspect="1"/>
        </xdr:cNvPicPr>
      </xdr:nvPicPr>
      <xdr:blipFill>
        <a:blip xmlns:r="http://schemas.openxmlformats.org/officeDocument/2006/relationships" r:embed="rId3"/>
        <a:stretch>
          <a:fillRect/>
        </a:stretch>
      </xdr:blipFill>
      <xdr:spPr>
        <a:xfrm>
          <a:off x="1578428" y="83724750"/>
          <a:ext cx="3144828" cy="2880000"/>
        </a:xfrm>
        <a:prstGeom prst="rect">
          <a:avLst/>
        </a:prstGeom>
        <a:ln>
          <a:solidFill>
            <a:schemeClr val="tx1"/>
          </a:solidFill>
        </a:ln>
      </xdr:spPr>
    </xdr:pic>
    <xdr:clientData/>
  </xdr:twoCellAnchor>
  <xdr:twoCellAnchor editAs="oneCell">
    <xdr:from>
      <xdr:col>10</xdr:col>
      <xdr:colOff>847725</xdr:colOff>
      <xdr:row>145</xdr:row>
      <xdr:rowOff>152400</xdr:rowOff>
    </xdr:from>
    <xdr:to>
      <xdr:col>13</xdr:col>
      <xdr:colOff>2401</xdr:colOff>
      <xdr:row>152</xdr:row>
      <xdr:rowOff>0</xdr:rowOff>
    </xdr:to>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4"/>
        <a:stretch>
          <a:fillRect/>
        </a:stretch>
      </xdr:blipFill>
      <xdr:spPr>
        <a:xfrm>
          <a:off x="7800975" y="48225075"/>
          <a:ext cx="2374126" cy="1238250"/>
        </a:xfrm>
        <a:prstGeom prst="rect">
          <a:avLst/>
        </a:prstGeom>
      </xdr:spPr>
    </xdr:pic>
    <xdr:clientData/>
  </xdr:twoCellAnchor>
  <xdr:twoCellAnchor editAs="oneCell">
    <xdr:from>
      <xdr:col>12</xdr:col>
      <xdr:colOff>476250</xdr:colOff>
      <xdr:row>144</xdr:row>
      <xdr:rowOff>723900</xdr:rowOff>
    </xdr:from>
    <xdr:to>
      <xdr:col>16</xdr:col>
      <xdr:colOff>479114</xdr:colOff>
      <xdr:row>156</xdr:row>
      <xdr:rowOff>66675</xdr:rowOff>
    </xdr:to>
    <xdr:pic>
      <xdr:nvPicPr>
        <xdr:cNvPr id="6" name="Picture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0039350" y="47996475"/>
          <a:ext cx="2507939" cy="2305050"/>
        </a:xfrm>
        <a:prstGeom prst="rect">
          <a:avLst/>
        </a:prstGeom>
      </xdr:spPr>
    </xdr:pic>
    <xdr:clientData/>
  </xdr:twoCellAnchor>
  <xdr:twoCellAnchor editAs="oneCell">
    <xdr:from>
      <xdr:col>13</xdr:col>
      <xdr:colOff>219075</xdr:colOff>
      <xdr:row>157</xdr:row>
      <xdr:rowOff>104775</xdr:rowOff>
    </xdr:from>
    <xdr:to>
      <xdr:col>16</xdr:col>
      <xdr:colOff>155593</xdr:colOff>
      <xdr:row>168</xdr:row>
      <xdr:rowOff>38100</xdr:rowOff>
    </xdr:to>
    <xdr:pic>
      <xdr:nvPicPr>
        <xdr:cNvPr id="7" name="Picture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0391775" y="51996975"/>
          <a:ext cx="1831993" cy="2085975"/>
        </a:xfrm>
        <a:prstGeom prst="rect">
          <a:avLst/>
        </a:prstGeom>
      </xdr:spPr>
    </xdr:pic>
    <xdr:clientData/>
  </xdr:twoCellAnchor>
  <xdr:twoCellAnchor editAs="oneCell">
    <xdr:from>
      <xdr:col>10</xdr:col>
      <xdr:colOff>1009651</xdr:colOff>
      <xdr:row>157</xdr:row>
      <xdr:rowOff>38101</xdr:rowOff>
    </xdr:from>
    <xdr:to>
      <xdr:col>12</xdr:col>
      <xdr:colOff>269625</xdr:colOff>
      <xdr:row>170</xdr:row>
      <xdr:rowOff>142875</xdr:rowOff>
    </xdr:to>
    <xdr:pic>
      <xdr:nvPicPr>
        <xdr:cNvPr id="8" name="Picture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7962901" y="51930301"/>
          <a:ext cx="1869824" cy="2647949"/>
        </a:xfrm>
        <a:prstGeom prst="rect">
          <a:avLst/>
        </a:prstGeom>
      </xdr:spPr>
    </xdr:pic>
    <xdr:clientData/>
  </xdr:twoCellAnchor>
  <xdr:twoCellAnchor editAs="oneCell">
    <xdr:from>
      <xdr:col>10</xdr:col>
      <xdr:colOff>38101</xdr:colOff>
      <xdr:row>146</xdr:row>
      <xdr:rowOff>142874</xdr:rowOff>
    </xdr:from>
    <xdr:to>
      <xdr:col>11</xdr:col>
      <xdr:colOff>472878</xdr:colOff>
      <xdr:row>162</xdr:row>
      <xdr:rowOff>95252</xdr:rowOff>
    </xdr:to>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8"/>
        <a:stretch>
          <a:fillRect/>
        </a:stretch>
      </xdr:blipFill>
      <xdr:spPr>
        <a:xfrm>
          <a:off x="6991351" y="49882424"/>
          <a:ext cx="2292152" cy="3067052"/>
        </a:xfrm>
        <a:prstGeom prst="rect">
          <a:avLst/>
        </a:prstGeom>
      </xdr:spPr>
    </xdr:pic>
    <xdr:clientData/>
  </xdr:twoCellAnchor>
  <xdr:twoCellAnchor editAs="oneCell">
    <xdr:from>
      <xdr:col>10</xdr:col>
      <xdr:colOff>800100</xdr:colOff>
      <xdr:row>172</xdr:row>
      <xdr:rowOff>104775</xdr:rowOff>
    </xdr:from>
    <xdr:to>
      <xdr:col>14</xdr:col>
      <xdr:colOff>31909</xdr:colOff>
      <xdr:row>182</xdr:row>
      <xdr:rowOff>9525</xdr:rowOff>
    </xdr:to>
    <xdr:pic>
      <xdr:nvPicPr>
        <xdr:cNvPr id="10" name="Picture 9">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9"/>
        <a:stretch>
          <a:fillRect/>
        </a:stretch>
      </xdr:blipFill>
      <xdr:spPr>
        <a:xfrm>
          <a:off x="7753350" y="53473350"/>
          <a:ext cx="3127534" cy="1895475"/>
        </a:xfrm>
        <a:prstGeom prst="rect">
          <a:avLst/>
        </a:prstGeom>
      </xdr:spPr>
    </xdr:pic>
    <xdr:clientData/>
  </xdr:twoCellAnchor>
  <xdr:twoCellAnchor editAs="oneCell">
    <xdr:from>
      <xdr:col>14</xdr:col>
      <xdr:colOff>152400</xdr:colOff>
      <xdr:row>172</xdr:row>
      <xdr:rowOff>76200</xdr:rowOff>
    </xdr:from>
    <xdr:to>
      <xdr:col>19</xdr:col>
      <xdr:colOff>169247</xdr:colOff>
      <xdr:row>182</xdr:row>
      <xdr:rowOff>133350</xdr:rowOff>
    </xdr:to>
    <xdr:pic>
      <xdr:nvPicPr>
        <xdr:cNvPr id="11" name="Picture 10">
          <a:extLst>
            <a:ext uri="{FF2B5EF4-FFF2-40B4-BE49-F238E27FC236}">
              <a16:creationId xmlns:a16="http://schemas.microsoft.com/office/drawing/2014/main" xmlns="" id="{00000000-0008-0000-0000-00000B000000}"/>
            </a:ext>
          </a:extLst>
        </xdr:cNvPr>
        <xdr:cNvPicPr>
          <a:picLocks noChangeAspect="1"/>
        </xdr:cNvPicPr>
      </xdr:nvPicPr>
      <xdr:blipFill>
        <a:blip xmlns:r="http://schemas.openxmlformats.org/officeDocument/2006/relationships" r:embed="rId10"/>
        <a:stretch>
          <a:fillRect/>
        </a:stretch>
      </xdr:blipFill>
      <xdr:spPr>
        <a:xfrm>
          <a:off x="11001375" y="53444775"/>
          <a:ext cx="3064847" cy="2047875"/>
        </a:xfrm>
        <a:prstGeom prst="rect">
          <a:avLst/>
        </a:prstGeom>
      </xdr:spPr>
    </xdr:pic>
    <xdr:clientData/>
  </xdr:twoCellAnchor>
  <xdr:twoCellAnchor editAs="oneCell">
    <xdr:from>
      <xdr:col>10</xdr:col>
      <xdr:colOff>266700</xdr:colOff>
      <xdr:row>181</xdr:row>
      <xdr:rowOff>47625</xdr:rowOff>
    </xdr:from>
    <xdr:to>
      <xdr:col>12</xdr:col>
      <xdr:colOff>409575</xdr:colOff>
      <xdr:row>190</xdr:row>
      <xdr:rowOff>117726</xdr:rowOff>
    </xdr:to>
    <xdr:pic>
      <xdr:nvPicPr>
        <xdr:cNvPr id="12" name="Picture 11">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11"/>
        <a:stretch>
          <a:fillRect/>
        </a:stretch>
      </xdr:blipFill>
      <xdr:spPr>
        <a:xfrm>
          <a:off x="7219950" y="56673750"/>
          <a:ext cx="2752725" cy="1841751"/>
        </a:xfrm>
        <a:prstGeom prst="rect">
          <a:avLst/>
        </a:prstGeom>
      </xdr:spPr>
    </xdr:pic>
    <xdr:clientData/>
  </xdr:twoCellAnchor>
  <xdr:twoCellAnchor editAs="oneCell">
    <xdr:from>
      <xdr:col>13</xdr:col>
      <xdr:colOff>161925</xdr:colOff>
      <xdr:row>184</xdr:row>
      <xdr:rowOff>28575</xdr:rowOff>
    </xdr:from>
    <xdr:to>
      <xdr:col>17</xdr:col>
      <xdr:colOff>580659</xdr:colOff>
      <xdr:row>194</xdr:row>
      <xdr:rowOff>181952</xdr:rowOff>
    </xdr:to>
    <xdr:pic>
      <xdr:nvPicPr>
        <xdr:cNvPr id="13" name="Picture 12">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12"/>
        <a:stretch>
          <a:fillRect/>
        </a:stretch>
      </xdr:blipFill>
      <xdr:spPr>
        <a:xfrm>
          <a:off x="10334625" y="57235725"/>
          <a:ext cx="2923809" cy="2125052"/>
        </a:xfrm>
        <a:prstGeom prst="rect">
          <a:avLst/>
        </a:prstGeom>
      </xdr:spPr>
    </xdr:pic>
    <xdr:clientData/>
  </xdr:twoCellAnchor>
  <xdr:twoCellAnchor editAs="oneCell">
    <xdr:from>
      <xdr:col>10</xdr:col>
      <xdr:colOff>266700</xdr:colOff>
      <xdr:row>191</xdr:row>
      <xdr:rowOff>66675</xdr:rowOff>
    </xdr:from>
    <xdr:to>
      <xdr:col>12</xdr:col>
      <xdr:colOff>580659</xdr:colOff>
      <xdr:row>200</xdr:row>
      <xdr:rowOff>180743</xdr:rowOff>
    </xdr:to>
    <xdr:pic>
      <xdr:nvPicPr>
        <xdr:cNvPr id="14" name="Picture 13">
          <a:extLst>
            <a:ext uri="{FF2B5EF4-FFF2-40B4-BE49-F238E27FC236}">
              <a16:creationId xmlns:a16="http://schemas.microsoft.com/office/drawing/2014/main" xmlns="" id="{00000000-0008-0000-0000-00000E000000}"/>
            </a:ext>
          </a:extLst>
        </xdr:cNvPr>
        <xdr:cNvPicPr>
          <a:picLocks noChangeAspect="1"/>
        </xdr:cNvPicPr>
      </xdr:nvPicPr>
      <xdr:blipFill>
        <a:blip xmlns:r="http://schemas.openxmlformats.org/officeDocument/2006/relationships" r:embed="rId13"/>
        <a:stretch>
          <a:fillRect/>
        </a:stretch>
      </xdr:blipFill>
      <xdr:spPr>
        <a:xfrm>
          <a:off x="7219950" y="58664475"/>
          <a:ext cx="2923809" cy="1857143"/>
        </a:xfrm>
        <a:prstGeom prst="rect">
          <a:avLst/>
        </a:prstGeom>
      </xdr:spPr>
    </xdr:pic>
    <xdr:clientData/>
  </xdr:twoCellAnchor>
  <xdr:twoCellAnchor editAs="oneCell">
    <xdr:from>
      <xdr:col>10</xdr:col>
      <xdr:colOff>733425</xdr:colOff>
      <xdr:row>206</xdr:row>
      <xdr:rowOff>152400</xdr:rowOff>
    </xdr:from>
    <xdr:to>
      <xdr:col>13</xdr:col>
      <xdr:colOff>533023</xdr:colOff>
      <xdr:row>215</xdr:row>
      <xdr:rowOff>169547</xdr:rowOff>
    </xdr:to>
    <xdr:pic>
      <xdr:nvPicPr>
        <xdr:cNvPr id="15" name="Picture 14">
          <a:extLst>
            <a:ext uri="{FF2B5EF4-FFF2-40B4-BE49-F238E27FC236}">
              <a16:creationId xmlns:a16="http://schemas.microsoft.com/office/drawing/2014/main" xmlns="" id="{00000000-0008-0000-0000-00000F000000}"/>
            </a:ext>
          </a:extLst>
        </xdr:cNvPr>
        <xdr:cNvPicPr>
          <a:picLocks noChangeAspect="1"/>
        </xdr:cNvPicPr>
      </xdr:nvPicPr>
      <xdr:blipFill>
        <a:blip xmlns:r="http://schemas.openxmlformats.org/officeDocument/2006/relationships" r:embed="rId14"/>
        <a:stretch>
          <a:fillRect/>
        </a:stretch>
      </xdr:blipFill>
      <xdr:spPr>
        <a:xfrm>
          <a:off x="7686675" y="61636275"/>
          <a:ext cx="3019048" cy="1771428"/>
        </a:xfrm>
        <a:prstGeom prst="rect">
          <a:avLst/>
        </a:prstGeom>
      </xdr:spPr>
    </xdr:pic>
    <xdr:clientData/>
  </xdr:twoCellAnchor>
  <xdr:twoCellAnchor editAs="oneCell">
    <xdr:from>
      <xdr:col>10</xdr:col>
      <xdr:colOff>533400</xdr:colOff>
      <xdr:row>217</xdr:row>
      <xdr:rowOff>95250</xdr:rowOff>
    </xdr:from>
    <xdr:to>
      <xdr:col>15</xdr:col>
      <xdr:colOff>295275</xdr:colOff>
      <xdr:row>222</xdr:row>
      <xdr:rowOff>167859</xdr:rowOff>
    </xdr:to>
    <xdr:pic>
      <xdr:nvPicPr>
        <xdr:cNvPr id="16" name="Picture 15">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7486650" y="63512700"/>
          <a:ext cx="4267200" cy="1025109"/>
        </a:xfrm>
        <a:prstGeom prst="rect">
          <a:avLst/>
        </a:prstGeom>
      </xdr:spPr>
    </xdr:pic>
    <xdr:clientData/>
  </xdr:twoCellAnchor>
  <xdr:twoCellAnchor editAs="oneCell">
    <xdr:from>
      <xdr:col>10</xdr:col>
      <xdr:colOff>1057275</xdr:colOff>
      <xdr:row>239</xdr:row>
      <xdr:rowOff>38100</xdr:rowOff>
    </xdr:from>
    <xdr:to>
      <xdr:col>15</xdr:col>
      <xdr:colOff>513855</xdr:colOff>
      <xdr:row>254</xdr:row>
      <xdr:rowOff>113931</xdr:rowOff>
    </xdr:to>
    <xdr:pic>
      <xdr:nvPicPr>
        <xdr:cNvPr id="17" name="Picture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16"/>
        <a:stretch>
          <a:fillRect/>
        </a:stretch>
      </xdr:blipFill>
      <xdr:spPr>
        <a:xfrm>
          <a:off x="8010525" y="66255900"/>
          <a:ext cx="3961905" cy="2961905"/>
        </a:xfrm>
        <a:prstGeom prst="rect">
          <a:avLst/>
        </a:prstGeom>
      </xdr:spPr>
    </xdr:pic>
    <xdr:clientData/>
  </xdr:twoCellAnchor>
  <xdr:twoCellAnchor editAs="oneCell">
    <xdr:from>
      <xdr:col>10</xdr:col>
      <xdr:colOff>1085850</xdr:colOff>
      <xdr:row>254</xdr:row>
      <xdr:rowOff>19050</xdr:rowOff>
    </xdr:from>
    <xdr:to>
      <xdr:col>15</xdr:col>
      <xdr:colOff>94811</xdr:colOff>
      <xdr:row>269</xdr:row>
      <xdr:rowOff>113923</xdr:rowOff>
    </xdr:to>
    <xdr:pic>
      <xdr:nvPicPr>
        <xdr:cNvPr id="18" name="Picture 17">
          <a:extLst>
            <a:ext uri="{FF2B5EF4-FFF2-40B4-BE49-F238E27FC236}">
              <a16:creationId xmlns:a16="http://schemas.microsoft.com/office/drawing/2014/main" xmlns="" id="{00000000-0008-0000-0000-000012000000}"/>
            </a:ext>
          </a:extLst>
        </xdr:cNvPr>
        <xdr:cNvPicPr>
          <a:picLocks noChangeAspect="1"/>
        </xdr:cNvPicPr>
      </xdr:nvPicPr>
      <xdr:blipFill>
        <a:blip xmlns:r="http://schemas.openxmlformats.org/officeDocument/2006/relationships" r:embed="rId17"/>
        <a:stretch>
          <a:fillRect/>
        </a:stretch>
      </xdr:blipFill>
      <xdr:spPr>
        <a:xfrm>
          <a:off x="8039100" y="69122925"/>
          <a:ext cx="3514286" cy="3019048"/>
        </a:xfrm>
        <a:prstGeom prst="rect">
          <a:avLst/>
        </a:prstGeom>
      </xdr:spPr>
    </xdr:pic>
    <xdr:clientData/>
  </xdr:twoCellAnchor>
  <xdr:twoCellAnchor editAs="oneCell">
    <xdr:from>
      <xdr:col>10</xdr:col>
      <xdr:colOff>1095375</xdr:colOff>
      <xdr:row>227</xdr:row>
      <xdr:rowOff>114301</xdr:rowOff>
    </xdr:from>
    <xdr:to>
      <xdr:col>14</xdr:col>
      <xdr:colOff>53371</xdr:colOff>
      <xdr:row>237</xdr:row>
      <xdr:rowOff>161927</xdr:rowOff>
    </xdr:to>
    <xdr:pic>
      <xdr:nvPicPr>
        <xdr:cNvPr id="19" name="Picture 18">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8048625" y="63969901"/>
          <a:ext cx="2853721" cy="2019300"/>
        </a:xfrm>
        <a:prstGeom prst="rect">
          <a:avLst/>
        </a:prstGeom>
      </xdr:spPr>
    </xdr:pic>
    <xdr:clientData/>
  </xdr:twoCellAnchor>
  <xdr:twoCellAnchor editAs="oneCell">
    <xdr:from>
      <xdr:col>10</xdr:col>
      <xdr:colOff>447675</xdr:colOff>
      <xdr:row>270</xdr:row>
      <xdr:rowOff>76200</xdr:rowOff>
    </xdr:from>
    <xdr:to>
      <xdr:col>14</xdr:col>
      <xdr:colOff>532902</xdr:colOff>
      <xdr:row>281</xdr:row>
      <xdr:rowOff>37838</xdr:rowOff>
    </xdr:to>
    <xdr:pic>
      <xdr:nvPicPr>
        <xdr:cNvPr id="20" name="Picture 19">
          <a:extLst>
            <a:ext uri="{FF2B5EF4-FFF2-40B4-BE49-F238E27FC236}">
              <a16:creationId xmlns:a16="http://schemas.microsoft.com/office/drawing/2014/main" xmlns="" id="{00000000-0008-0000-0000-000014000000}"/>
            </a:ext>
          </a:extLst>
        </xdr:cNvPr>
        <xdr:cNvPicPr>
          <a:picLocks noChangeAspect="1"/>
        </xdr:cNvPicPr>
      </xdr:nvPicPr>
      <xdr:blipFill>
        <a:blip xmlns:r="http://schemas.openxmlformats.org/officeDocument/2006/relationships" r:embed="rId19"/>
        <a:stretch>
          <a:fillRect/>
        </a:stretch>
      </xdr:blipFill>
      <xdr:spPr>
        <a:xfrm>
          <a:off x="7400925" y="72294750"/>
          <a:ext cx="3980952" cy="2095238"/>
        </a:xfrm>
        <a:prstGeom prst="rect">
          <a:avLst/>
        </a:prstGeom>
      </xdr:spPr>
    </xdr:pic>
    <xdr:clientData/>
  </xdr:twoCellAnchor>
  <xdr:twoCellAnchor editAs="oneCell">
    <xdr:from>
      <xdr:col>10</xdr:col>
      <xdr:colOff>752475</xdr:colOff>
      <xdr:row>282</xdr:row>
      <xdr:rowOff>0</xdr:rowOff>
    </xdr:from>
    <xdr:to>
      <xdr:col>14</xdr:col>
      <xdr:colOff>599607</xdr:colOff>
      <xdr:row>292</xdr:row>
      <xdr:rowOff>171186</xdr:rowOff>
    </xdr:to>
    <xdr:pic>
      <xdr:nvPicPr>
        <xdr:cNvPr id="21" name="Picture 20">
          <a:extLst>
            <a:ext uri="{FF2B5EF4-FFF2-40B4-BE49-F238E27FC236}">
              <a16:creationId xmlns:a16="http://schemas.microsoft.com/office/drawing/2014/main" xmlns="" id="{00000000-0008-0000-0000-000015000000}"/>
            </a:ext>
          </a:extLst>
        </xdr:cNvPr>
        <xdr:cNvPicPr>
          <a:picLocks noChangeAspect="1"/>
        </xdr:cNvPicPr>
      </xdr:nvPicPr>
      <xdr:blipFill>
        <a:blip xmlns:r="http://schemas.openxmlformats.org/officeDocument/2006/relationships" r:embed="rId20"/>
        <a:stretch>
          <a:fillRect/>
        </a:stretch>
      </xdr:blipFill>
      <xdr:spPr>
        <a:xfrm>
          <a:off x="7705725" y="74542650"/>
          <a:ext cx="3742857" cy="2114286"/>
        </a:xfrm>
        <a:prstGeom prst="rect">
          <a:avLst/>
        </a:prstGeom>
      </xdr:spPr>
    </xdr:pic>
    <xdr:clientData/>
  </xdr:twoCellAnchor>
  <xdr:twoCellAnchor editAs="oneCell">
    <xdr:from>
      <xdr:col>10</xdr:col>
      <xdr:colOff>828675</xdr:colOff>
      <xdr:row>293</xdr:row>
      <xdr:rowOff>85725</xdr:rowOff>
    </xdr:from>
    <xdr:to>
      <xdr:col>14</xdr:col>
      <xdr:colOff>428188</xdr:colOff>
      <xdr:row>302</xdr:row>
      <xdr:rowOff>180743</xdr:rowOff>
    </xdr:to>
    <xdr:pic>
      <xdr:nvPicPr>
        <xdr:cNvPr id="26" name="Picture 25">
          <a:extLst>
            <a:ext uri="{FF2B5EF4-FFF2-40B4-BE49-F238E27FC236}">
              <a16:creationId xmlns:a16="http://schemas.microsoft.com/office/drawing/2014/main" xmlns="" id="{00000000-0008-0000-0000-00001A000000}"/>
            </a:ext>
          </a:extLst>
        </xdr:cNvPr>
        <xdr:cNvPicPr>
          <a:picLocks noChangeAspect="1"/>
        </xdr:cNvPicPr>
      </xdr:nvPicPr>
      <xdr:blipFill>
        <a:blip xmlns:r="http://schemas.openxmlformats.org/officeDocument/2006/relationships" r:embed="rId21"/>
        <a:stretch>
          <a:fillRect/>
        </a:stretch>
      </xdr:blipFill>
      <xdr:spPr>
        <a:xfrm>
          <a:off x="7781925" y="76761975"/>
          <a:ext cx="3495238" cy="1857143"/>
        </a:xfrm>
        <a:prstGeom prst="rect">
          <a:avLst/>
        </a:prstGeom>
      </xdr:spPr>
    </xdr:pic>
    <xdr:clientData/>
  </xdr:twoCellAnchor>
  <xdr:twoCellAnchor editAs="oneCell">
    <xdr:from>
      <xdr:col>10</xdr:col>
      <xdr:colOff>1038225</xdr:colOff>
      <xdr:row>303</xdr:row>
      <xdr:rowOff>76200</xdr:rowOff>
    </xdr:from>
    <xdr:to>
      <xdr:col>15</xdr:col>
      <xdr:colOff>180519</xdr:colOff>
      <xdr:row>311</xdr:row>
      <xdr:rowOff>56961</xdr:rowOff>
    </xdr:to>
    <xdr:pic>
      <xdr:nvPicPr>
        <xdr:cNvPr id="47" name="Picture 46">
          <a:extLst>
            <a:ext uri="{FF2B5EF4-FFF2-40B4-BE49-F238E27FC236}">
              <a16:creationId xmlns:a16="http://schemas.microsoft.com/office/drawing/2014/main" xmlns="" id="{00000000-0008-0000-0000-00002F000000}"/>
            </a:ext>
          </a:extLst>
        </xdr:cNvPr>
        <xdr:cNvPicPr>
          <a:picLocks noChangeAspect="1"/>
        </xdr:cNvPicPr>
      </xdr:nvPicPr>
      <xdr:blipFill>
        <a:blip xmlns:r="http://schemas.openxmlformats.org/officeDocument/2006/relationships" r:embed="rId22"/>
        <a:stretch>
          <a:fillRect/>
        </a:stretch>
      </xdr:blipFill>
      <xdr:spPr>
        <a:xfrm>
          <a:off x="7991475" y="78714600"/>
          <a:ext cx="3647619" cy="1514286"/>
        </a:xfrm>
        <a:prstGeom prst="rect">
          <a:avLst/>
        </a:prstGeom>
      </xdr:spPr>
    </xdr:pic>
    <xdr:clientData/>
  </xdr:twoCellAnchor>
  <xdr:twoCellAnchor editAs="oneCell">
    <xdr:from>
      <xdr:col>10</xdr:col>
      <xdr:colOff>1047750</xdr:colOff>
      <xdr:row>312</xdr:row>
      <xdr:rowOff>171450</xdr:rowOff>
    </xdr:from>
    <xdr:to>
      <xdr:col>14</xdr:col>
      <xdr:colOff>399644</xdr:colOff>
      <xdr:row>323</xdr:row>
      <xdr:rowOff>161658</xdr:rowOff>
    </xdr:to>
    <xdr:pic>
      <xdr:nvPicPr>
        <xdr:cNvPr id="48" name="Picture 47">
          <a:extLst>
            <a:ext uri="{FF2B5EF4-FFF2-40B4-BE49-F238E27FC236}">
              <a16:creationId xmlns:a16="http://schemas.microsoft.com/office/drawing/2014/main" xmlns="" id="{00000000-0008-0000-0000-000030000000}"/>
            </a:ext>
          </a:extLst>
        </xdr:cNvPr>
        <xdr:cNvPicPr>
          <a:picLocks noChangeAspect="1"/>
        </xdr:cNvPicPr>
      </xdr:nvPicPr>
      <xdr:blipFill>
        <a:blip xmlns:r="http://schemas.openxmlformats.org/officeDocument/2006/relationships" r:embed="rId23"/>
        <a:stretch>
          <a:fillRect/>
        </a:stretch>
      </xdr:blipFill>
      <xdr:spPr>
        <a:xfrm>
          <a:off x="8001000" y="80533875"/>
          <a:ext cx="3247619" cy="2142857"/>
        </a:xfrm>
        <a:prstGeom prst="rect">
          <a:avLst/>
        </a:prstGeom>
      </xdr:spPr>
    </xdr:pic>
    <xdr:clientData/>
  </xdr:twoCellAnchor>
  <xdr:twoCellAnchor editAs="oneCell">
    <xdr:from>
      <xdr:col>10</xdr:col>
      <xdr:colOff>819150</xdr:colOff>
      <xdr:row>324</xdr:row>
      <xdr:rowOff>66675</xdr:rowOff>
    </xdr:from>
    <xdr:to>
      <xdr:col>14</xdr:col>
      <xdr:colOff>513901</xdr:colOff>
      <xdr:row>337</xdr:row>
      <xdr:rowOff>9221</xdr:rowOff>
    </xdr:to>
    <xdr:pic>
      <xdr:nvPicPr>
        <xdr:cNvPr id="49" name="Picture 48">
          <a:extLst>
            <a:ext uri="{FF2B5EF4-FFF2-40B4-BE49-F238E27FC236}">
              <a16:creationId xmlns:a16="http://schemas.microsoft.com/office/drawing/2014/main" xmlns="" id="{00000000-0008-0000-0000-000031000000}"/>
            </a:ext>
          </a:extLst>
        </xdr:cNvPr>
        <xdr:cNvPicPr>
          <a:picLocks noChangeAspect="1"/>
        </xdr:cNvPicPr>
      </xdr:nvPicPr>
      <xdr:blipFill>
        <a:blip xmlns:r="http://schemas.openxmlformats.org/officeDocument/2006/relationships" r:embed="rId24"/>
        <a:stretch>
          <a:fillRect/>
        </a:stretch>
      </xdr:blipFill>
      <xdr:spPr>
        <a:xfrm>
          <a:off x="7772400" y="84248625"/>
          <a:ext cx="3590476" cy="2428571"/>
        </a:xfrm>
        <a:prstGeom prst="rect">
          <a:avLst/>
        </a:prstGeom>
      </xdr:spPr>
    </xdr:pic>
    <xdr:clientData/>
  </xdr:twoCellAnchor>
  <xdr:twoCellAnchor editAs="oneCell">
    <xdr:from>
      <xdr:col>10</xdr:col>
      <xdr:colOff>228600</xdr:colOff>
      <xdr:row>137</xdr:row>
      <xdr:rowOff>38100</xdr:rowOff>
    </xdr:from>
    <xdr:to>
      <xdr:col>11</xdr:col>
      <xdr:colOff>28368</xdr:colOff>
      <xdr:row>143</xdr:row>
      <xdr:rowOff>37950</xdr:rowOff>
    </xdr:to>
    <xdr:pic>
      <xdr:nvPicPr>
        <xdr:cNvPr id="50" name="Picture 49">
          <a:extLst>
            <a:ext uri="{FF2B5EF4-FFF2-40B4-BE49-F238E27FC236}">
              <a16:creationId xmlns:a16="http://schemas.microsoft.com/office/drawing/2014/main" xmlns="" id="{00000000-0008-0000-0000-000032000000}"/>
            </a:ext>
          </a:extLst>
        </xdr:cNvPr>
        <xdr:cNvPicPr>
          <a:picLocks noChangeAspect="1"/>
        </xdr:cNvPicPr>
      </xdr:nvPicPr>
      <xdr:blipFill>
        <a:blip xmlns:r="http://schemas.openxmlformats.org/officeDocument/2006/relationships" r:embed="rId25"/>
        <a:stretch>
          <a:fillRect/>
        </a:stretch>
      </xdr:blipFill>
      <xdr:spPr>
        <a:xfrm>
          <a:off x="7181850" y="48406050"/>
          <a:ext cx="1657143" cy="1200000"/>
        </a:xfrm>
        <a:prstGeom prst="rect">
          <a:avLst/>
        </a:prstGeom>
      </xdr:spPr>
    </xdr:pic>
    <xdr:clientData/>
  </xdr:twoCellAnchor>
  <xdr:twoCellAnchor editAs="oneCell">
    <xdr:from>
      <xdr:col>10</xdr:col>
      <xdr:colOff>824193</xdr:colOff>
      <xdr:row>54</xdr:row>
      <xdr:rowOff>1755402</xdr:rowOff>
    </xdr:from>
    <xdr:to>
      <xdr:col>16</xdr:col>
      <xdr:colOff>8423</xdr:colOff>
      <xdr:row>56</xdr:row>
      <xdr:rowOff>1054474</xdr:rowOff>
    </xdr:to>
    <xdr:pic>
      <xdr:nvPicPr>
        <xdr:cNvPr id="52" name="Picture 51">
          <a:extLst>
            <a:ext uri="{FF2B5EF4-FFF2-40B4-BE49-F238E27FC236}">
              <a16:creationId xmlns:a16="http://schemas.microsoft.com/office/drawing/2014/main" xmlns="" id="{00000000-0008-0000-0000-000034000000}"/>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7783046" y="17925490"/>
          <a:ext cx="4282906" cy="1685925"/>
        </a:xfrm>
        <a:prstGeom prst="rect">
          <a:avLst/>
        </a:prstGeom>
      </xdr:spPr>
    </xdr:pic>
    <xdr:clientData/>
  </xdr:twoCellAnchor>
  <xdr:twoCellAnchor editAs="oneCell">
    <xdr:from>
      <xdr:col>10</xdr:col>
      <xdr:colOff>314325</xdr:colOff>
      <xdr:row>11</xdr:row>
      <xdr:rowOff>542925</xdr:rowOff>
    </xdr:from>
    <xdr:to>
      <xdr:col>15</xdr:col>
      <xdr:colOff>504238</xdr:colOff>
      <xdr:row>13</xdr:row>
      <xdr:rowOff>123726</xdr:rowOff>
    </xdr:to>
    <xdr:pic>
      <xdr:nvPicPr>
        <xdr:cNvPr id="53" name="Picture 52">
          <a:extLst>
            <a:ext uri="{FF2B5EF4-FFF2-40B4-BE49-F238E27FC236}">
              <a16:creationId xmlns:a16="http://schemas.microsoft.com/office/drawing/2014/main" xmlns="" id="{00000000-0008-0000-0000-000035000000}"/>
            </a:ext>
          </a:extLst>
        </xdr:cNvPr>
        <xdr:cNvPicPr>
          <a:picLocks noChangeAspect="1"/>
        </xdr:cNvPicPr>
      </xdr:nvPicPr>
      <xdr:blipFill>
        <a:blip xmlns:r="http://schemas.openxmlformats.org/officeDocument/2006/relationships" r:embed="rId27"/>
        <a:stretch>
          <a:fillRect/>
        </a:stretch>
      </xdr:blipFill>
      <xdr:spPr>
        <a:xfrm>
          <a:off x="7267575" y="3076575"/>
          <a:ext cx="4695238" cy="790476"/>
        </a:xfrm>
        <a:prstGeom prst="rect">
          <a:avLst/>
        </a:prstGeom>
      </xdr:spPr>
    </xdr:pic>
    <xdr:clientData/>
  </xdr:twoCellAnchor>
  <xdr:twoCellAnchor>
    <xdr:from>
      <xdr:col>0</xdr:col>
      <xdr:colOff>548368</xdr:colOff>
      <xdr:row>403</xdr:row>
      <xdr:rowOff>43543</xdr:rowOff>
    </xdr:from>
    <xdr:to>
      <xdr:col>8</xdr:col>
      <xdr:colOff>409635</xdr:colOff>
      <xdr:row>427</xdr:row>
      <xdr:rowOff>62573</xdr:rowOff>
    </xdr:to>
    <xdr:grpSp>
      <xdr:nvGrpSpPr>
        <xdr:cNvPr id="51" name="Group 50">
          <a:extLst>
            <a:ext uri="{FF2B5EF4-FFF2-40B4-BE49-F238E27FC236}">
              <a16:creationId xmlns:a16="http://schemas.microsoft.com/office/drawing/2014/main" xmlns="" id="{00000000-0008-0000-0000-000033000000}"/>
            </a:ext>
          </a:extLst>
        </xdr:cNvPr>
        <xdr:cNvGrpSpPr/>
      </xdr:nvGrpSpPr>
      <xdr:grpSpPr>
        <a:xfrm>
          <a:off x="548368" y="101552829"/>
          <a:ext cx="5222481" cy="4659065"/>
          <a:chOff x="548368" y="103585896"/>
          <a:chExt cx="5228885" cy="4658265"/>
        </a:xfrm>
      </xdr:grpSpPr>
      <xdr:pic>
        <xdr:nvPicPr>
          <xdr:cNvPr id="40" name="Picture 39">
            <a:extLst>
              <a:ext uri="{FF2B5EF4-FFF2-40B4-BE49-F238E27FC236}">
                <a16:creationId xmlns:a16="http://schemas.microsoft.com/office/drawing/2014/main" xmlns="" id="{00000000-0008-0000-0000-000028000000}"/>
              </a:ext>
            </a:extLst>
          </xdr:cNvPr>
          <xdr:cNvPicPr>
            <a:picLocks noChangeAspect="1"/>
          </xdr:cNvPicPr>
        </xdr:nvPicPr>
        <xdr:blipFill rotWithShape="1">
          <a:blip xmlns:r="http://schemas.openxmlformats.org/officeDocument/2006/relationships" r:embed="rId28" cstate="screen">
            <a:extLst>
              <a:ext uri="{28A0092B-C50C-407E-A947-70E740481C1C}">
                <a14:useLocalDpi xmlns:a14="http://schemas.microsoft.com/office/drawing/2010/main"/>
              </a:ext>
            </a:extLst>
          </a:blip>
          <a:srcRect/>
          <a:stretch/>
        </xdr:blipFill>
        <xdr:spPr>
          <a:xfrm>
            <a:off x="548368" y="103585896"/>
            <a:ext cx="5228885" cy="4658265"/>
          </a:xfrm>
          <a:prstGeom prst="rect">
            <a:avLst/>
          </a:prstGeom>
          <a:ln>
            <a:solidFill>
              <a:schemeClr val="tx1"/>
            </a:solidFill>
          </a:ln>
        </xdr:spPr>
      </xdr:pic>
      <xdr:sp macro="" textlink="">
        <xdr:nvSpPr>
          <xdr:cNvPr id="57" name="Rectangle 56">
            <a:extLst>
              <a:ext uri="{FF2B5EF4-FFF2-40B4-BE49-F238E27FC236}">
                <a16:creationId xmlns:a16="http://schemas.microsoft.com/office/drawing/2014/main" xmlns="" id="{00000000-0008-0000-0000-000039000000}"/>
              </a:ext>
            </a:extLst>
          </xdr:cNvPr>
          <xdr:cNvSpPr/>
        </xdr:nvSpPr>
        <xdr:spPr>
          <a:xfrm rot="17173973">
            <a:off x="2687697" y="107514805"/>
            <a:ext cx="829229" cy="59482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8" name="Rectangle 57">
            <a:extLst>
              <a:ext uri="{FF2B5EF4-FFF2-40B4-BE49-F238E27FC236}">
                <a16:creationId xmlns:a16="http://schemas.microsoft.com/office/drawing/2014/main" xmlns="" id="{00000000-0008-0000-0000-00003A000000}"/>
              </a:ext>
            </a:extLst>
          </xdr:cNvPr>
          <xdr:cNvSpPr/>
        </xdr:nvSpPr>
        <xdr:spPr>
          <a:xfrm rot="17226531">
            <a:off x="3151700" y="106888651"/>
            <a:ext cx="715758" cy="45741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9" name="Rectangle 58">
            <a:extLst>
              <a:ext uri="{FF2B5EF4-FFF2-40B4-BE49-F238E27FC236}">
                <a16:creationId xmlns:a16="http://schemas.microsoft.com/office/drawing/2014/main" xmlns="" id="{00000000-0008-0000-0000-00003B000000}"/>
              </a:ext>
            </a:extLst>
          </xdr:cNvPr>
          <xdr:cNvSpPr/>
        </xdr:nvSpPr>
        <xdr:spPr>
          <a:xfrm rot="16849444">
            <a:off x="3730497" y="106045208"/>
            <a:ext cx="721991" cy="44867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0" name="Rectangle 59">
            <a:extLst>
              <a:ext uri="{FF2B5EF4-FFF2-40B4-BE49-F238E27FC236}">
                <a16:creationId xmlns:a16="http://schemas.microsoft.com/office/drawing/2014/main" xmlns="" id="{00000000-0008-0000-0000-00003C000000}"/>
              </a:ext>
            </a:extLst>
          </xdr:cNvPr>
          <xdr:cNvSpPr/>
        </xdr:nvSpPr>
        <xdr:spPr>
          <a:xfrm rot="16849444">
            <a:off x="4293905" y="105581926"/>
            <a:ext cx="598725" cy="4177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1" name="Rectangle 60">
            <a:extLst>
              <a:ext uri="{FF2B5EF4-FFF2-40B4-BE49-F238E27FC236}">
                <a16:creationId xmlns:a16="http://schemas.microsoft.com/office/drawing/2014/main" xmlns="" id="{00000000-0008-0000-0000-00003D000000}"/>
              </a:ext>
            </a:extLst>
          </xdr:cNvPr>
          <xdr:cNvSpPr/>
        </xdr:nvSpPr>
        <xdr:spPr>
          <a:xfrm rot="21275523">
            <a:off x="910388" y="105790768"/>
            <a:ext cx="2204992" cy="68805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2" name="Rectangle 61">
            <a:extLst>
              <a:ext uri="{FF2B5EF4-FFF2-40B4-BE49-F238E27FC236}">
                <a16:creationId xmlns:a16="http://schemas.microsoft.com/office/drawing/2014/main" xmlns="" id="{00000000-0008-0000-0000-00003E000000}"/>
              </a:ext>
            </a:extLst>
          </xdr:cNvPr>
          <xdr:cNvSpPr/>
        </xdr:nvSpPr>
        <xdr:spPr>
          <a:xfrm rot="19095785">
            <a:off x="2859602" y="104824873"/>
            <a:ext cx="1813609" cy="44766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4" name="TextBox 63">
            <a:extLst>
              <a:ext uri="{FF2B5EF4-FFF2-40B4-BE49-F238E27FC236}">
                <a16:creationId xmlns:a16="http://schemas.microsoft.com/office/drawing/2014/main" xmlns="" id="{00000000-0008-0000-0000-000040000000}"/>
              </a:ext>
            </a:extLst>
          </xdr:cNvPr>
          <xdr:cNvSpPr txBox="1"/>
        </xdr:nvSpPr>
        <xdr:spPr>
          <a:xfrm rot="17433083">
            <a:off x="2039471" y="107318734"/>
            <a:ext cx="1165412" cy="493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0000"/>
                </a:solidFill>
                <a:latin typeface="Times New Roman" panose="02020603050405020304" pitchFamily="18" charset="0"/>
                <a:cs typeface="Times New Roman" panose="02020603050405020304" pitchFamily="18" charset="0"/>
              </a:rPr>
              <a:t>Tower 11</a:t>
            </a:r>
          </a:p>
        </xdr:txBody>
      </xdr:sp>
      <xdr:sp macro="" textlink="">
        <xdr:nvSpPr>
          <xdr:cNvPr id="63" name="TextBox 62">
            <a:extLst>
              <a:ext uri="{FF2B5EF4-FFF2-40B4-BE49-F238E27FC236}">
                <a16:creationId xmlns:a16="http://schemas.microsoft.com/office/drawing/2014/main" xmlns="" id="{00000000-0008-0000-0000-00003F000000}"/>
              </a:ext>
            </a:extLst>
          </xdr:cNvPr>
          <xdr:cNvSpPr txBox="1"/>
        </xdr:nvSpPr>
        <xdr:spPr>
          <a:xfrm rot="17349336">
            <a:off x="2640105" y="106585870"/>
            <a:ext cx="1147483" cy="493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0000"/>
                </a:solidFill>
                <a:latin typeface="Times New Roman" panose="02020603050405020304" pitchFamily="18" charset="0"/>
                <a:cs typeface="Times New Roman" panose="02020603050405020304" pitchFamily="18" charset="0"/>
              </a:rPr>
              <a:t>Tower 10</a:t>
            </a:r>
          </a:p>
        </xdr:txBody>
      </xdr:sp>
      <xdr:sp macro="" textlink="">
        <xdr:nvSpPr>
          <xdr:cNvPr id="65" name="TextBox 64">
            <a:extLst>
              <a:ext uri="{FF2B5EF4-FFF2-40B4-BE49-F238E27FC236}">
                <a16:creationId xmlns:a16="http://schemas.microsoft.com/office/drawing/2014/main" xmlns="" id="{00000000-0008-0000-0000-000041000000}"/>
              </a:ext>
            </a:extLst>
          </xdr:cNvPr>
          <xdr:cNvSpPr txBox="1"/>
        </xdr:nvSpPr>
        <xdr:spPr>
          <a:xfrm rot="21270778">
            <a:off x="1086319" y="105360085"/>
            <a:ext cx="1723466" cy="363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0000"/>
                </a:solidFill>
                <a:latin typeface="Times New Roman" panose="02020603050405020304" pitchFamily="18" charset="0"/>
                <a:cs typeface="Times New Roman" panose="02020603050405020304" pitchFamily="18" charset="0"/>
              </a:rPr>
              <a:t>Tower 1,</a:t>
            </a:r>
            <a:r>
              <a:rPr lang="en-IN" sz="1800" b="1" baseline="0">
                <a:solidFill>
                  <a:srgbClr val="FF0000"/>
                </a:solidFill>
                <a:latin typeface="Times New Roman" panose="02020603050405020304" pitchFamily="18" charset="0"/>
                <a:cs typeface="Times New Roman" panose="02020603050405020304" pitchFamily="18" charset="0"/>
              </a:rPr>
              <a:t> 3 &amp; 4</a:t>
            </a:r>
            <a:endParaRPr lang="en-IN" sz="1800" b="1">
              <a:solidFill>
                <a:srgbClr val="FF0000"/>
              </a:solidFill>
              <a:latin typeface="Times New Roman" panose="02020603050405020304" pitchFamily="18" charset="0"/>
              <a:cs typeface="Times New Roman" panose="02020603050405020304" pitchFamily="18" charset="0"/>
            </a:endParaRPr>
          </a:p>
        </xdr:txBody>
      </xdr:sp>
      <xdr:sp macro="" textlink="">
        <xdr:nvSpPr>
          <xdr:cNvPr id="66" name="TextBox 65">
            <a:extLst>
              <a:ext uri="{FF2B5EF4-FFF2-40B4-BE49-F238E27FC236}">
                <a16:creationId xmlns:a16="http://schemas.microsoft.com/office/drawing/2014/main" xmlns="" id="{00000000-0008-0000-0000-000042000000}"/>
              </a:ext>
            </a:extLst>
          </xdr:cNvPr>
          <xdr:cNvSpPr txBox="1"/>
        </xdr:nvSpPr>
        <xdr:spPr>
          <a:xfrm rot="16861407">
            <a:off x="3751729" y="105265819"/>
            <a:ext cx="1075765" cy="416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0000"/>
                </a:solidFill>
                <a:latin typeface="Times New Roman" panose="02020603050405020304" pitchFamily="18" charset="0"/>
                <a:cs typeface="Times New Roman" panose="02020603050405020304" pitchFamily="18" charset="0"/>
              </a:rPr>
              <a:t>Tower 8</a:t>
            </a:r>
          </a:p>
        </xdr:txBody>
      </xdr:sp>
      <xdr:sp macro="" textlink="">
        <xdr:nvSpPr>
          <xdr:cNvPr id="67" name="TextBox 66">
            <a:extLst>
              <a:ext uri="{FF2B5EF4-FFF2-40B4-BE49-F238E27FC236}">
                <a16:creationId xmlns:a16="http://schemas.microsoft.com/office/drawing/2014/main" xmlns="" id="{00000000-0008-0000-0000-000043000000}"/>
              </a:ext>
            </a:extLst>
          </xdr:cNvPr>
          <xdr:cNvSpPr txBox="1"/>
        </xdr:nvSpPr>
        <xdr:spPr>
          <a:xfrm rot="16659408">
            <a:off x="3186953" y="105866452"/>
            <a:ext cx="1075765" cy="493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0000"/>
                </a:solidFill>
                <a:latin typeface="Times New Roman" panose="02020603050405020304" pitchFamily="18" charset="0"/>
                <a:cs typeface="Times New Roman" panose="02020603050405020304" pitchFamily="18" charset="0"/>
              </a:rPr>
              <a:t>Tower 9</a:t>
            </a:r>
          </a:p>
        </xdr:txBody>
      </xdr:sp>
      <xdr:sp macro="" textlink="">
        <xdr:nvSpPr>
          <xdr:cNvPr id="68" name="TextBox 67">
            <a:extLst>
              <a:ext uri="{FF2B5EF4-FFF2-40B4-BE49-F238E27FC236}">
                <a16:creationId xmlns:a16="http://schemas.microsoft.com/office/drawing/2014/main" xmlns="" id="{00000000-0008-0000-0000-000044000000}"/>
              </a:ext>
            </a:extLst>
          </xdr:cNvPr>
          <xdr:cNvSpPr txBox="1"/>
        </xdr:nvSpPr>
        <xdr:spPr>
          <a:xfrm rot="19352244">
            <a:off x="2563906" y="104414171"/>
            <a:ext cx="1723466" cy="423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0000"/>
                </a:solidFill>
                <a:latin typeface="Times New Roman" panose="02020603050405020304" pitchFamily="18" charset="0"/>
                <a:cs typeface="Times New Roman" panose="02020603050405020304" pitchFamily="18" charset="0"/>
              </a:rPr>
              <a:t>Tower 5,</a:t>
            </a:r>
            <a:r>
              <a:rPr lang="en-IN" sz="1800" b="1" baseline="0">
                <a:solidFill>
                  <a:srgbClr val="FF0000"/>
                </a:solidFill>
                <a:latin typeface="Times New Roman" panose="02020603050405020304" pitchFamily="18" charset="0"/>
                <a:cs typeface="Times New Roman" panose="02020603050405020304" pitchFamily="18" charset="0"/>
              </a:rPr>
              <a:t> 6 &amp; 7</a:t>
            </a:r>
            <a:endParaRPr lang="en-IN" sz="1800" b="1">
              <a:solidFill>
                <a:srgbClr val="FF0000"/>
              </a:solidFill>
              <a:latin typeface="Times New Roman" panose="02020603050405020304" pitchFamily="18" charset="0"/>
              <a:cs typeface="Times New Roman" panose="02020603050405020304" pitchFamily="18" charset="0"/>
            </a:endParaRPr>
          </a:p>
        </xdr:txBody>
      </xdr:sp>
    </xdr:grpSp>
    <xdr:clientData/>
  </xdr:twoCellAnchor>
  <xdr:twoCellAnchor>
    <xdr:from>
      <xdr:col>1</xdr:col>
      <xdr:colOff>78442</xdr:colOff>
      <xdr:row>462</xdr:row>
      <xdr:rowOff>22411</xdr:rowOff>
    </xdr:from>
    <xdr:to>
      <xdr:col>8</xdr:col>
      <xdr:colOff>157961</xdr:colOff>
      <xdr:row>479</xdr:row>
      <xdr:rowOff>23911</xdr:rowOff>
    </xdr:to>
    <xdr:grpSp>
      <xdr:nvGrpSpPr>
        <xdr:cNvPr id="72" name="Group 71">
          <a:extLst>
            <a:ext uri="{FF2B5EF4-FFF2-40B4-BE49-F238E27FC236}">
              <a16:creationId xmlns:a16="http://schemas.microsoft.com/office/drawing/2014/main" xmlns="" id="{00000000-0008-0000-0000-000048000000}"/>
            </a:ext>
          </a:extLst>
        </xdr:cNvPr>
        <xdr:cNvGrpSpPr/>
      </xdr:nvGrpSpPr>
      <xdr:grpSpPr>
        <a:xfrm>
          <a:off x="731585" y="112839232"/>
          <a:ext cx="4787590" cy="3240000"/>
          <a:chOff x="739589" y="114871499"/>
          <a:chExt cx="4785990" cy="3240000"/>
        </a:xfrm>
      </xdr:grpSpPr>
      <xdr:pic>
        <xdr:nvPicPr>
          <xdr:cNvPr id="55" name="Picture 54">
            <a:extLst>
              <a:ext uri="{FF2B5EF4-FFF2-40B4-BE49-F238E27FC236}">
                <a16:creationId xmlns:a16="http://schemas.microsoft.com/office/drawing/2014/main" xmlns="" id="{00000000-0008-0000-0000-00003700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739589" y="114871499"/>
            <a:ext cx="4785990" cy="3240000"/>
          </a:xfrm>
          <a:prstGeom prst="rect">
            <a:avLst/>
          </a:prstGeom>
          <a:ln>
            <a:solidFill>
              <a:schemeClr val="tx1"/>
            </a:solidFill>
          </a:ln>
        </xdr:spPr>
      </xdr:pic>
      <xdr:sp macro="" textlink="">
        <xdr:nvSpPr>
          <xdr:cNvPr id="69" name="Rectangle 68">
            <a:extLst>
              <a:ext uri="{FF2B5EF4-FFF2-40B4-BE49-F238E27FC236}">
                <a16:creationId xmlns:a16="http://schemas.microsoft.com/office/drawing/2014/main" xmlns="" id="{00000000-0008-0000-0000-000045000000}"/>
              </a:ext>
            </a:extLst>
          </xdr:cNvPr>
          <xdr:cNvSpPr/>
        </xdr:nvSpPr>
        <xdr:spPr>
          <a:xfrm rot="1923339">
            <a:off x="1956219" y="115231770"/>
            <a:ext cx="2180804" cy="1816576"/>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10</xdr:col>
      <xdr:colOff>820271</xdr:colOff>
      <xdr:row>56</xdr:row>
      <xdr:rowOff>1907802</xdr:rowOff>
    </xdr:from>
    <xdr:to>
      <xdr:col>18</xdr:col>
      <xdr:colOff>23401</xdr:colOff>
      <xdr:row>59</xdr:row>
      <xdr:rowOff>306356</xdr:rowOff>
    </xdr:to>
    <xdr:pic>
      <xdr:nvPicPr>
        <xdr:cNvPr id="54" name="Picture 53">
          <a:extLst>
            <a:ext uri="{FF2B5EF4-FFF2-40B4-BE49-F238E27FC236}">
              <a16:creationId xmlns:a16="http://schemas.microsoft.com/office/drawing/2014/main" xmlns="" id="{72D4A15E-598B-473A-8494-4AB7976EC1CD}"/>
            </a:ext>
          </a:extLst>
        </xdr:cNvPr>
        <xdr:cNvPicPr>
          <a:picLocks noChangeAspect="1"/>
        </xdr:cNvPicPr>
      </xdr:nvPicPr>
      <xdr:blipFill>
        <a:blip xmlns:r="http://schemas.openxmlformats.org/officeDocument/2006/relationships" r:embed="rId30"/>
        <a:stretch>
          <a:fillRect/>
        </a:stretch>
      </xdr:blipFill>
      <xdr:spPr>
        <a:xfrm>
          <a:off x="7773521" y="20462502"/>
          <a:ext cx="5537255" cy="1008404"/>
        </a:xfrm>
        <a:prstGeom prst="rect">
          <a:avLst/>
        </a:prstGeom>
      </xdr:spPr>
    </xdr:pic>
    <xdr:clientData/>
  </xdr:twoCellAnchor>
  <xdr:twoCellAnchor editAs="oneCell">
    <xdr:from>
      <xdr:col>15</xdr:col>
      <xdr:colOff>323850</xdr:colOff>
      <xdr:row>206</xdr:row>
      <xdr:rowOff>0</xdr:rowOff>
    </xdr:from>
    <xdr:to>
      <xdr:col>25</xdr:col>
      <xdr:colOff>18326</xdr:colOff>
      <xdr:row>234</xdr:row>
      <xdr:rowOff>85038</xdr:rowOff>
    </xdr:to>
    <xdr:pic>
      <xdr:nvPicPr>
        <xdr:cNvPr id="71" name="Picture 70">
          <a:extLst>
            <a:ext uri="{FF2B5EF4-FFF2-40B4-BE49-F238E27FC236}">
              <a16:creationId xmlns:a16="http://schemas.microsoft.com/office/drawing/2014/main" xmlns="" id="{F23BD07D-527D-4BE4-87DB-5D9DD14D40D6}"/>
            </a:ext>
          </a:extLst>
        </xdr:cNvPr>
        <xdr:cNvPicPr>
          <a:picLocks noChangeAspect="1"/>
        </xdr:cNvPicPr>
      </xdr:nvPicPr>
      <xdr:blipFill>
        <a:blip xmlns:r="http://schemas.openxmlformats.org/officeDocument/2006/relationships" r:embed="rId31"/>
        <a:stretch>
          <a:fillRect/>
        </a:stretch>
      </xdr:blipFill>
      <xdr:spPr>
        <a:xfrm>
          <a:off x="11782425" y="60664725"/>
          <a:ext cx="5790476" cy="5495238"/>
        </a:xfrm>
        <a:prstGeom prst="rect">
          <a:avLst/>
        </a:prstGeom>
      </xdr:spPr>
    </xdr:pic>
    <xdr:clientData/>
  </xdr:twoCellAnchor>
  <xdr:twoCellAnchor editAs="oneCell">
    <xdr:from>
      <xdr:col>10</xdr:col>
      <xdr:colOff>479611</xdr:colOff>
      <xdr:row>61</xdr:row>
      <xdr:rowOff>170890</xdr:rowOff>
    </xdr:from>
    <xdr:to>
      <xdr:col>15</xdr:col>
      <xdr:colOff>294286</xdr:colOff>
      <xdr:row>63</xdr:row>
      <xdr:rowOff>407988</xdr:rowOff>
    </xdr:to>
    <xdr:pic>
      <xdr:nvPicPr>
        <xdr:cNvPr id="56" name="Picture 55">
          <a:extLst>
            <a:ext uri="{FF2B5EF4-FFF2-40B4-BE49-F238E27FC236}">
              <a16:creationId xmlns:a16="http://schemas.microsoft.com/office/drawing/2014/main" xmlns="" id="{4D9F5447-8A84-49B9-9B83-878244639A5C}"/>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7438464" y="22078390"/>
          <a:ext cx="4308234" cy="2534304"/>
        </a:xfrm>
        <a:prstGeom prst="rect">
          <a:avLst/>
        </a:prstGeom>
      </xdr:spPr>
    </xdr:pic>
    <xdr:clientData/>
  </xdr:twoCellAnchor>
  <xdr:twoCellAnchor editAs="oneCell">
    <xdr:from>
      <xdr:col>10</xdr:col>
      <xdr:colOff>333375</xdr:colOff>
      <xdr:row>51</xdr:row>
      <xdr:rowOff>123826</xdr:rowOff>
    </xdr:from>
    <xdr:to>
      <xdr:col>15</xdr:col>
      <xdr:colOff>148050</xdr:colOff>
      <xdr:row>52</xdr:row>
      <xdr:rowOff>1365947</xdr:rowOff>
    </xdr:to>
    <xdr:pic>
      <xdr:nvPicPr>
        <xdr:cNvPr id="70" name="Picture 69">
          <a:extLst>
            <a:ext uri="{FF2B5EF4-FFF2-40B4-BE49-F238E27FC236}">
              <a16:creationId xmlns:a16="http://schemas.microsoft.com/office/drawing/2014/main" xmlns="" id="{ACC817C7-37C8-449B-BBFB-67D3A6B1AE05}"/>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7286625" y="13220701"/>
          <a:ext cx="4320000" cy="1623121"/>
        </a:xfrm>
        <a:prstGeom prst="rect">
          <a:avLst/>
        </a:prstGeom>
      </xdr:spPr>
    </xdr:pic>
    <xdr:clientData/>
  </xdr:twoCellAnchor>
  <xdr:twoCellAnchor editAs="oneCell">
    <xdr:from>
      <xdr:col>10</xdr:col>
      <xdr:colOff>857250</xdr:colOff>
      <xdr:row>54</xdr:row>
      <xdr:rowOff>47625</xdr:rowOff>
    </xdr:from>
    <xdr:to>
      <xdr:col>16</xdr:col>
      <xdr:colOff>62325</xdr:colOff>
      <xdr:row>54</xdr:row>
      <xdr:rowOff>1618072</xdr:rowOff>
    </xdr:to>
    <xdr:pic>
      <xdr:nvPicPr>
        <xdr:cNvPr id="74" name="Picture 73">
          <a:extLst>
            <a:ext uri="{FF2B5EF4-FFF2-40B4-BE49-F238E27FC236}">
              <a16:creationId xmlns:a16="http://schemas.microsoft.com/office/drawing/2014/main" xmlns="" id="{9327DBDF-3D7E-44F2-AE33-4F35C613236E}"/>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7810500" y="16211550"/>
          <a:ext cx="4320000" cy="1570447"/>
        </a:xfrm>
        <a:prstGeom prst="rect">
          <a:avLst/>
        </a:prstGeom>
      </xdr:spPr>
    </xdr:pic>
    <xdr:clientData/>
  </xdr:twoCellAnchor>
  <xdr:twoCellAnchor editAs="oneCell">
    <xdr:from>
      <xdr:col>10</xdr:col>
      <xdr:colOff>133350</xdr:colOff>
      <xdr:row>47</xdr:row>
      <xdr:rowOff>238125</xdr:rowOff>
    </xdr:from>
    <xdr:to>
      <xdr:col>14</xdr:col>
      <xdr:colOff>447149</xdr:colOff>
      <xdr:row>50</xdr:row>
      <xdr:rowOff>314138</xdr:rowOff>
    </xdr:to>
    <xdr:pic>
      <xdr:nvPicPr>
        <xdr:cNvPr id="75" name="Picture 74">
          <a:extLst>
            <a:ext uri="{FF2B5EF4-FFF2-40B4-BE49-F238E27FC236}">
              <a16:creationId xmlns:a16="http://schemas.microsoft.com/office/drawing/2014/main" xmlns="" id="{F1EE09D0-AC40-4BF8-B9CB-C2076C2A0C1E}"/>
            </a:ext>
          </a:extLst>
        </xdr:cNvPr>
        <xdr:cNvPicPr>
          <a:picLocks noChangeAspect="1"/>
        </xdr:cNvPicPr>
      </xdr:nvPicPr>
      <xdr:blipFill>
        <a:blip xmlns:r="http://schemas.openxmlformats.org/officeDocument/2006/relationships" r:embed="rId35"/>
        <a:stretch>
          <a:fillRect/>
        </a:stretch>
      </xdr:blipFill>
      <xdr:spPr>
        <a:xfrm>
          <a:off x="7086600" y="11506200"/>
          <a:ext cx="4209524" cy="1495238"/>
        </a:xfrm>
        <a:prstGeom prst="rect">
          <a:avLst/>
        </a:prstGeom>
      </xdr:spPr>
    </xdr:pic>
    <xdr:clientData/>
  </xdr:twoCellAnchor>
  <xdr:twoCellAnchor editAs="oneCell">
    <xdr:from>
      <xdr:col>10</xdr:col>
      <xdr:colOff>441512</xdr:colOff>
      <xdr:row>59</xdr:row>
      <xdr:rowOff>158003</xdr:rowOff>
    </xdr:from>
    <xdr:to>
      <xdr:col>15</xdr:col>
      <xdr:colOff>256187</xdr:colOff>
      <xdr:row>61</xdr:row>
      <xdr:rowOff>68183</xdr:rowOff>
    </xdr:to>
    <xdr:pic>
      <xdr:nvPicPr>
        <xdr:cNvPr id="76" name="Picture 75">
          <a:extLst>
            <a:ext uri="{FF2B5EF4-FFF2-40B4-BE49-F238E27FC236}">
              <a16:creationId xmlns:a16="http://schemas.microsoft.com/office/drawing/2014/main" xmlns="" id="{5692F91F-3184-430E-8A84-B7CA12C1C516}"/>
            </a:ext>
          </a:extLst>
        </xdr:cNvPr>
        <xdr:cNvPicPr>
          <a:picLocks noChangeAspect="1"/>
        </xdr:cNvPicPr>
      </xdr:nvPicPr>
      <xdr:blipFill>
        <a:blip xmlns:r="http://schemas.openxmlformats.org/officeDocument/2006/relationships" r:embed="rId36"/>
        <a:stretch>
          <a:fillRect/>
        </a:stretch>
      </xdr:blipFill>
      <xdr:spPr>
        <a:xfrm>
          <a:off x="7400365" y="21482797"/>
          <a:ext cx="4308234" cy="492886"/>
        </a:xfrm>
        <a:prstGeom prst="rect">
          <a:avLst/>
        </a:prstGeom>
      </xdr:spPr>
    </xdr:pic>
    <xdr:clientData/>
  </xdr:twoCellAnchor>
  <xdr:twoCellAnchor editAs="oneCell">
    <xdr:from>
      <xdr:col>10</xdr:col>
      <xdr:colOff>381000</xdr:colOff>
      <xdr:row>56</xdr:row>
      <xdr:rowOff>1165413</xdr:rowOff>
    </xdr:from>
    <xdr:to>
      <xdr:col>15</xdr:col>
      <xdr:colOff>207441</xdr:colOff>
      <xdr:row>56</xdr:row>
      <xdr:rowOff>1658746</xdr:rowOff>
    </xdr:to>
    <xdr:pic>
      <xdr:nvPicPr>
        <xdr:cNvPr id="77" name="Picture 76">
          <a:extLst>
            <a:ext uri="{FF2B5EF4-FFF2-40B4-BE49-F238E27FC236}">
              <a16:creationId xmlns:a16="http://schemas.microsoft.com/office/drawing/2014/main" xmlns="" id="{15B5D9E5-3F8F-4EF2-8D0A-0AD8E614AD98}"/>
            </a:ext>
          </a:extLst>
        </xdr:cNvPr>
        <xdr:cNvPicPr>
          <a:picLocks noChangeAspect="1"/>
        </xdr:cNvPicPr>
      </xdr:nvPicPr>
      <xdr:blipFill>
        <a:blip xmlns:r="http://schemas.openxmlformats.org/officeDocument/2006/relationships" r:embed="rId37"/>
        <a:stretch>
          <a:fillRect/>
        </a:stretch>
      </xdr:blipFill>
      <xdr:spPr>
        <a:xfrm>
          <a:off x="7339853" y="19722354"/>
          <a:ext cx="4320000" cy="493333"/>
        </a:xfrm>
        <a:prstGeom prst="rect">
          <a:avLst/>
        </a:prstGeom>
      </xdr:spPr>
    </xdr:pic>
    <xdr:clientData/>
  </xdr:twoCellAnchor>
  <xdr:twoCellAnchor>
    <xdr:from>
      <xdr:col>0</xdr:col>
      <xdr:colOff>457200</xdr:colOff>
      <xdr:row>352</xdr:row>
      <xdr:rowOff>19048</xdr:rowOff>
    </xdr:from>
    <xdr:to>
      <xdr:col>9</xdr:col>
      <xdr:colOff>383381</xdr:colOff>
      <xdr:row>394</xdr:row>
      <xdr:rowOff>121649</xdr:rowOff>
    </xdr:to>
    <xdr:grpSp>
      <xdr:nvGrpSpPr>
        <xdr:cNvPr id="4" name="Group 3"/>
        <xdr:cNvGrpSpPr/>
      </xdr:nvGrpSpPr>
      <xdr:grpSpPr>
        <a:xfrm>
          <a:off x="457200" y="93146334"/>
          <a:ext cx="6008574" cy="8103601"/>
          <a:chOff x="457200" y="92935423"/>
          <a:chExt cx="5984081" cy="8103601"/>
        </a:xfrm>
      </xdr:grpSpPr>
      <xdr:pic>
        <xdr:nvPicPr>
          <xdr:cNvPr id="87" name="Picture 86" descr="https://vsjcllp.vsjadon.com/upload/insp-246622-862.jpeg"/>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a:ext>
            </a:extLst>
          </a:blip>
          <a:srcRect/>
          <a:stretch>
            <a:fillRect/>
          </a:stretch>
        </xdr:blipFill>
        <xdr:spPr bwMode="auto">
          <a:xfrm>
            <a:off x="3305175" y="99326699"/>
            <a:ext cx="1284244" cy="17123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8" name="Picture 87" descr="https://vsjcllp.vsjadon.com/upload/insp-246622-845.jpeg"/>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a:ext>
            </a:extLst>
          </a:blip>
          <a:srcRect/>
          <a:stretch>
            <a:fillRect/>
          </a:stretch>
        </xdr:blipFill>
        <xdr:spPr bwMode="auto">
          <a:xfrm>
            <a:off x="457200" y="96659699"/>
            <a:ext cx="1935956" cy="25812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1" name="Picture 90" descr="https://vsjcllp.vsjadon.com/upload/insp-246622-861.jpeg"/>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a:ext>
            </a:extLst>
          </a:blip>
          <a:srcRect/>
          <a:stretch>
            <a:fillRect/>
          </a:stretch>
        </xdr:blipFill>
        <xdr:spPr bwMode="auto">
          <a:xfrm>
            <a:off x="2486025" y="96659699"/>
            <a:ext cx="1935956" cy="25812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2" name="Picture 91" descr="https://vsjcllp.vsjadon.com/upload/insp-246622-1046.jpeg"/>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a:ext>
            </a:extLst>
          </a:blip>
          <a:srcRect/>
          <a:stretch>
            <a:fillRect/>
          </a:stretch>
        </xdr:blipFill>
        <xdr:spPr bwMode="auto">
          <a:xfrm>
            <a:off x="1924051" y="99326699"/>
            <a:ext cx="1282906" cy="17123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3" name="Picture 92" descr="https://vsjcllp.vsjadon.com/upload/insp-246622-943.jpeg"/>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a:ext>
            </a:extLst>
          </a:blip>
          <a:srcRect/>
          <a:stretch>
            <a:fillRect/>
          </a:stretch>
        </xdr:blipFill>
        <xdr:spPr bwMode="auto">
          <a:xfrm>
            <a:off x="4505325" y="96659699"/>
            <a:ext cx="1935956" cy="25812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nvGrpSpPr>
          <xdr:cNvPr id="3" name="Group 2"/>
          <xdr:cNvGrpSpPr/>
        </xdr:nvGrpSpPr>
        <xdr:grpSpPr>
          <a:xfrm>
            <a:off x="704850" y="92935423"/>
            <a:ext cx="5543550" cy="3641724"/>
            <a:chOff x="704850" y="92935423"/>
            <a:chExt cx="5543550" cy="3641724"/>
          </a:xfrm>
        </xdr:grpSpPr>
        <xdr:pic>
          <xdr:nvPicPr>
            <xdr:cNvPr id="89" name="Picture 88" descr="https://vsjcllp.vsjadon.com/upload/insp-246622-848.jpeg"/>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a:ext>
              </a:extLst>
            </a:blip>
            <a:srcRect/>
            <a:stretch>
              <a:fillRect/>
            </a:stretch>
          </xdr:blipFill>
          <xdr:spPr bwMode="auto">
            <a:xfrm>
              <a:off x="704850" y="92944948"/>
              <a:ext cx="2724150" cy="36321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0" name="Picture 89" descr="https://vsjcllp.vsjadon.com/upload/insp-246622-849.jpeg"/>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a:ext>
              </a:extLst>
            </a:blip>
            <a:srcRect/>
            <a:stretch>
              <a:fillRect/>
            </a:stretch>
          </xdr:blipFill>
          <xdr:spPr bwMode="auto">
            <a:xfrm>
              <a:off x="3524250" y="92944948"/>
              <a:ext cx="2724150" cy="36321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 name="TextBox 1"/>
            <xdr:cNvSpPr txBox="1"/>
          </xdr:nvSpPr>
          <xdr:spPr>
            <a:xfrm>
              <a:off x="4048125" y="93325950"/>
              <a:ext cx="4286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rPr>
                <a:t>9</a:t>
              </a:r>
            </a:p>
          </xdr:txBody>
        </xdr:sp>
        <xdr:sp macro="" textlink="">
          <xdr:nvSpPr>
            <xdr:cNvPr id="96" name="TextBox 95"/>
            <xdr:cNvSpPr txBox="1"/>
          </xdr:nvSpPr>
          <xdr:spPr>
            <a:xfrm>
              <a:off x="2667000" y="92973523"/>
              <a:ext cx="4286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rPr>
                <a:t>11</a:t>
              </a:r>
            </a:p>
          </xdr:txBody>
        </xdr:sp>
        <xdr:sp macro="" textlink="">
          <xdr:nvSpPr>
            <xdr:cNvPr id="97" name="TextBox 96"/>
            <xdr:cNvSpPr txBox="1"/>
          </xdr:nvSpPr>
          <xdr:spPr>
            <a:xfrm>
              <a:off x="809625" y="93440248"/>
              <a:ext cx="4286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rPr>
                <a:t>10</a:t>
              </a:r>
            </a:p>
          </xdr:txBody>
        </xdr:sp>
        <xdr:sp macro="" textlink="">
          <xdr:nvSpPr>
            <xdr:cNvPr id="98" name="TextBox 97"/>
            <xdr:cNvSpPr txBox="1"/>
          </xdr:nvSpPr>
          <xdr:spPr>
            <a:xfrm>
              <a:off x="5257800" y="92935423"/>
              <a:ext cx="4286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rPr>
                <a:t>11</a:t>
              </a:r>
            </a:p>
          </xdr:txBody>
        </xdr:sp>
        <xdr:sp macro="" textlink="">
          <xdr:nvSpPr>
            <xdr:cNvPr id="99" name="TextBox 98"/>
            <xdr:cNvSpPr txBox="1"/>
          </xdr:nvSpPr>
          <xdr:spPr>
            <a:xfrm>
              <a:off x="4638676" y="92992573"/>
              <a:ext cx="3810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rPr>
                <a:t>10</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6</xdr:col>
      <xdr:colOff>354145</xdr:colOff>
      <xdr:row>32</xdr:row>
      <xdr:rowOff>171000</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581025" y="2667000"/>
          <a:ext cx="6754945" cy="3600000"/>
        </a:xfrm>
        <a:prstGeom prst="rect">
          <a:avLst/>
        </a:prstGeom>
        <a:ln>
          <a:solidFill>
            <a:schemeClr val="tx1"/>
          </a:solidFill>
        </a:ln>
      </xdr:spPr>
    </xdr:pic>
    <xdr:clientData/>
  </xdr:twoCellAnchor>
  <xdr:twoCellAnchor editAs="oneCell">
    <xdr:from>
      <xdr:col>1</xdr:col>
      <xdr:colOff>0</xdr:colOff>
      <xdr:row>33</xdr:row>
      <xdr:rowOff>43140</xdr:rowOff>
    </xdr:from>
    <xdr:to>
      <xdr:col>6</xdr:col>
      <xdr:colOff>354145</xdr:colOff>
      <xdr:row>52</xdr:row>
      <xdr:rowOff>23640</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a:stretch>
          <a:fillRect/>
        </a:stretch>
      </xdr:blipFill>
      <xdr:spPr>
        <a:xfrm>
          <a:off x="581025" y="6329640"/>
          <a:ext cx="6754945" cy="3600000"/>
        </a:xfrm>
        <a:prstGeom prst="rect">
          <a:avLst/>
        </a:prstGeom>
        <a:ln>
          <a:solidFill>
            <a:schemeClr val="tx1"/>
          </a:solidFill>
        </a:ln>
      </xdr:spPr>
    </xdr:pic>
    <xdr:clientData/>
  </xdr:twoCellAnchor>
  <xdr:twoCellAnchor editAs="oneCell">
    <xdr:from>
      <xdr:col>6</xdr:col>
      <xdr:colOff>533400</xdr:colOff>
      <xdr:row>14</xdr:row>
      <xdr:rowOff>35560</xdr:rowOff>
    </xdr:from>
    <xdr:to>
      <xdr:col>16</xdr:col>
      <xdr:colOff>135070</xdr:colOff>
      <xdr:row>33</xdr:row>
      <xdr:rowOff>16060</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3"/>
        <a:stretch>
          <a:fillRect/>
        </a:stretch>
      </xdr:blipFill>
      <xdr:spPr>
        <a:xfrm>
          <a:off x="7515225" y="2702560"/>
          <a:ext cx="6754945" cy="3600000"/>
        </a:xfrm>
        <a:prstGeom prst="rect">
          <a:avLst/>
        </a:prstGeom>
        <a:ln>
          <a:solidFill>
            <a:schemeClr val="tx1"/>
          </a:solidFill>
        </a:ln>
      </xdr:spPr>
    </xdr:pic>
    <xdr:clientData/>
  </xdr:twoCellAnchor>
  <xdr:twoCellAnchor editAs="oneCell">
    <xdr:from>
      <xdr:col>6</xdr:col>
      <xdr:colOff>533400</xdr:colOff>
      <xdr:row>33</xdr:row>
      <xdr:rowOff>134706</xdr:rowOff>
    </xdr:from>
    <xdr:to>
      <xdr:col>16</xdr:col>
      <xdr:colOff>135070</xdr:colOff>
      <xdr:row>52</xdr:row>
      <xdr:rowOff>115206</xdr:rowOff>
    </xdr:to>
    <xdr:pic>
      <xdr:nvPicPr>
        <xdr:cNvPr id="5" name="Picture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4"/>
        <a:stretch>
          <a:fillRect/>
        </a:stretch>
      </xdr:blipFill>
      <xdr:spPr>
        <a:xfrm>
          <a:off x="7515225" y="6421206"/>
          <a:ext cx="6754945" cy="3600000"/>
        </a:xfrm>
        <a:prstGeom prst="rect">
          <a:avLst/>
        </a:prstGeom>
        <a:ln>
          <a:solidFill>
            <a:schemeClr val="tx1"/>
          </a:solidFill>
        </a:ln>
      </xdr:spPr>
    </xdr:pic>
    <xdr:clientData/>
  </xdr:twoCellAnchor>
  <xdr:twoCellAnchor editAs="oneCell">
    <xdr:from>
      <xdr:col>16</xdr:col>
      <xdr:colOff>314325</xdr:colOff>
      <xdr:row>14</xdr:row>
      <xdr:rowOff>52870</xdr:rowOff>
    </xdr:from>
    <xdr:to>
      <xdr:col>28</xdr:col>
      <xdr:colOff>96970</xdr:colOff>
      <xdr:row>33</xdr:row>
      <xdr:rowOff>33370</xdr:rowOff>
    </xdr:to>
    <xdr:pic>
      <xdr:nvPicPr>
        <xdr:cNvPr id="6" name="Picture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5"/>
        <a:stretch>
          <a:fillRect/>
        </a:stretch>
      </xdr:blipFill>
      <xdr:spPr>
        <a:xfrm>
          <a:off x="14449425" y="2719870"/>
          <a:ext cx="6754945" cy="360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21</xdr:row>
      <xdr:rowOff>0</xdr:rowOff>
    </xdr:from>
    <xdr:to>
      <xdr:col>7</xdr:col>
      <xdr:colOff>436650</xdr:colOff>
      <xdr:row>32</xdr:row>
      <xdr:rowOff>64500</xdr:rowOff>
    </xdr:to>
    <xdr:pic>
      <xdr:nvPicPr>
        <xdr:cNvPr id="2" name="Picture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3143250" y="4381500"/>
          <a:ext cx="1617750" cy="216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unwalenterprises.com/residential-projects/forests.php?utm_campaign=location_search_kanjurmarg&amp;utm_Keyword=Kanjurmarg%20flat&amp;utm_source=location_search_kanjurmarg&amp;utm_medium=location_search_kanjurmarg&amp;utm_campaign=flats&amp;gad_source=1&amp;gclid=Cj0KCQjw16O_BhDNARIsAC3i2GD0IhW-hzWW5Xh6_Lu9rnwT7SnR4VwxyGxfi7-nfMIDHvMCmMLtVNYaAh8oEALw_wcB" TargetMode="External"/><Relationship Id="rId1" Type="http://schemas.openxmlformats.org/officeDocument/2006/relationships/hyperlink" Target="https://goo.gl/maps/TpDKjFRUeaHch2h67"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46"/>
  <sheetViews>
    <sheetView tabSelected="1" view="pageBreakPreview" topLeftCell="A64" zoomScale="70" zoomScaleNormal="100" zoomScaleSheetLayoutView="70" zoomScalePageLayoutView="85" workbookViewId="0">
      <selection activeCell="S67" sqref="S67"/>
    </sheetView>
  </sheetViews>
  <sheetFormatPr defaultRowHeight="15" x14ac:dyDescent="0.25"/>
  <cols>
    <col min="1" max="1" width="9.7109375" style="48" customWidth="1"/>
    <col min="2" max="2" width="13.42578125" style="48" customWidth="1"/>
    <col min="3" max="3" width="14.42578125" style="48" customWidth="1"/>
    <col min="4" max="4" width="7.28515625" style="48" customWidth="1"/>
    <col min="5" max="5" width="5.5703125" style="48" customWidth="1"/>
    <col min="6" max="6" width="9" style="48" customWidth="1"/>
    <col min="7" max="7" width="9.7109375" style="48" customWidth="1"/>
    <col min="8" max="8" width="11" style="48" customWidth="1"/>
    <col min="9" max="9" width="10.7109375" style="48" customWidth="1"/>
    <col min="10" max="10" width="13" style="48" customWidth="1"/>
    <col min="11" max="11" width="27.7109375" style="48" customWidth="1"/>
    <col min="12" max="12" width="11.28515625" style="48" bestFit="1" customWidth="1"/>
    <col min="13" max="13" width="9.28515625" style="48"/>
    <col min="14" max="14" width="10.28515625" style="48" bestFit="1" customWidth="1"/>
    <col min="15" max="253" width="9.28515625" style="48"/>
    <col min="254" max="254" width="8.7109375" style="48" customWidth="1"/>
    <col min="255" max="255" width="9.7109375" style="48" customWidth="1"/>
    <col min="256" max="256" width="14.42578125" style="48" customWidth="1"/>
    <col min="257" max="257" width="7.28515625" style="48" customWidth="1"/>
    <col min="258" max="258" width="5.5703125" style="48" customWidth="1"/>
    <col min="259" max="259" width="9" style="48" customWidth="1"/>
    <col min="260" max="261" width="9.7109375" style="48" customWidth="1"/>
    <col min="262" max="262" width="11.28515625" style="48" customWidth="1"/>
    <col min="263" max="263" width="2.7109375" style="48" customWidth="1"/>
    <col min="264" max="264" width="3.5703125" style="48" customWidth="1"/>
    <col min="265" max="509" width="9.28515625" style="48"/>
    <col min="510" max="510" width="8.7109375" style="48" customWidth="1"/>
    <col min="511" max="511" width="9.7109375" style="48" customWidth="1"/>
    <col min="512" max="512" width="14.42578125" style="48" customWidth="1"/>
    <col min="513" max="513" width="7.28515625" style="48" customWidth="1"/>
    <col min="514" max="514" width="5.5703125" style="48" customWidth="1"/>
    <col min="515" max="515" width="9" style="48" customWidth="1"/>
    <col min="516" max="517" width="9.7109375" style="48" customWidth="1"/>
    <col min="518" max="518" width="11.28515625" style="48" customWidth="1"/>
    <col min="519" max="519" width="2.7109375" style="48" customWidth="1"/>
    <col min="520" max="520" width="3.5703125" style="48" customWidth="1"/>
    <col min="521" max="765" width="9.28515625" style="48"/>
    <col min="766" max="766" width="8.7109375" style="48" customWidth="1"/>
    <col min="767" max="767" width="9.7109375" style="48" customWidth="1"/>
    <col min="768" max="768" width="14.42578125" style="48" customWidth="1"/>
    <col min="769" max="769" width="7.28515625" style="48" customWidth="1"/>
    <col min="770" max="770" width="5.5703125" style="48" customWidth="1"/>
    <col min="771" max="771" width="9" style="48" customWidth="1"/>
    <col min="772" max="773" width="9.7109375" style="48" customWidth="1"/>
    <col min="774" max="774" width="11.28515625" style="48" customWidth="1"/>
    <col min="775" max="775" width="2.7109375" style="48" customWidth="1"/>
    <col min="776" max="776" width="3.5703125" style="48" customWidth="1"/>
    <col min="777" max="1021" width="9.28515625" style="48"/>
    <col min="1022" max="1022" width="8.7109375" style="48" customWidth="1"/>
    <col min="1023" max="1023" width="9.7109375" style="48" customWidth="1"/>
    <col min="1024" max="1024" width="14.42578125" style="48" customWidth="1"/>
    <col min="1025" max="1025" width="7.28515625" style="48" customWidth="1"/>
    <col min="1026" max="1026" width="5.5703125" style="48" customWidth="1"/>
    <col min="1027" max="1027" width="9" style="48" customWidth="1"/>
    <col min="1028" max="1029" width="9.7109375" style="48" customWidth="1"/>
    <col min="1030" max="1030" width="11.28515625" style="48" customWidth="1"/>
    <col min="1031" max="1031" width="2.7109375" style="48" customWidth="1"/>
    <col min="1032" max="1032" width="3.5703125" style="48" customWidth="1"/>
    <col min="1033" max="1277" width="9.28515625" style="48"/>
    <col min="1278" max="1278" width="8.7109375" style="48" customWidth="1"/>
    <col min="1279" max="1279" width="9.7109375" style="48" customWidth="1"/>
    <col min="1280" max="1280" width="14.42578125" style="48" customWidth="1"/>
    <col min="1281" max="1281" width="7.28515625" style="48" customWidth="1"/>
    <col min="1282" max="1282" width="5.5703125" style="48" customWidth="1"/>
    <col min="1283" max="1283" width="9" style="48" customWidth="1"/>
    <col min="1284" max="1285" width="9.7109375" style="48" customWidth="1"/>
    <col min="1286" max="1286" width="11.28515625" style="48" customWidth="1"/>
    <col min="1287" max="1287" width="2.7109375" style="48" customWidth="1"/>
    <col min="1288" max="1288" width="3.5703125" style="48" customWidth="1"/>
    <col min="1289" max="1533" width="9.28515625" style="48"/>
    <col min="1534" max="1534" width="8.7109375" style="48" customWidth="1"/>
    <col min="1535" max="1535" width="9.7109375" style="48" customWidth="1"/>
    <col min="1536" max="1536" width="14.42578125" style="48" customWidth="1"/>
    <col min="1537" max="1537" width="7.28515625" style="48" customWidth="1"/>
    <col min="1538" max="1538" width="5.5703125" style="48" customWidth="1"/>
    <col min="1539" max="1539" width="9" style="48" customWidth="1"/>
    <col min="1540" max="1541" width="9.7109375" style="48" customWidth="1"/>
    <col min="1542" max="1542" width="11.28515625" style="48" customWidth="1"/>
    <col min="1543" max="1543" width="2.7109375" style="48" customWidth="1"/>
    <col min="1544" max="1544" width="3.5703125" style="48" customWidth="1"/>
    <col min="1545" max="1789" width="9.28515625" style="48"/>
    <col min="1790" max="1790" width="8.7109375" style="48" customWidth="1"/>
    <col min="1791" max="1791" width="9.7109375" style="48" customWidth="1"/>
    <col min="1792" max="1792" width="14.42578125" style="48" customWidth="1"/>
    <col min="1793" max="1793" width="7.28515625" style="48" customWidth="1"/>
    <col min="1794" max="1794" width="5.5703125" style="48" customWidth="1"/>
    <col min="1795" max="1795" width="9" style="48" customWidth="1"/>
    <col min="1796" max="1797" width="9.7109375" style="48" customWidth="1"/>
    <col min="1798" max="1798" width="11.28515625" style="48" customWidth="1"/>
    <col min="1799" max="1799" width="2.7109375" style="48" customWidth="1"/>
    <col min="1800" max="1800" width="3.5703125" style="48" customWidth="1"/>
    <col min="1801" max="2045" width="9.28515625" style="48"/>
    <col min="2046" max="2046" width="8.7109375" style="48" customWidth="1"/>
    <col min="2047" max="2047" width="9.7109375" style="48" customWidth="1"/>
    <col min="2048" max="2048" width="14.42578125" style="48" customWidth="1"/>
    <col min="2049" max="2049" width="7.28515625" style="48" customWidth="1"/>
    <col min="2050" max="2050" width="5.5703125" style="48" customWidth="1"/>
    <col min="2051" max="2051" width="9" style="48" customWidth="1"/>
    <col min="2052" max="2053" width="9.7109375" style="48" customWidth="1"/>
    <col min="2054" max="2054" width="11.28515625" style="48" customWidth="1"/>
    <col min="2055" max="2055" width="2.7109375" style="48" customWidth="1"/>
    <col min="2056" max="2056" width="3.5703125" style="48" customWidth="1"/>
    <col min="2057" max="2301" width="9.28515625" style="48"/>
    <col min="2302" max="2302" width="8.7109375" style="48" customWidth="1"/>
    <col min="2303" max="2303" width="9.7109375" style="48" customWidth="1"/>
    <col min="2304" max="2304" width="14.42578125" style="48" customWidth="1"/>
    <col min="2305" max="2305" width="7.28515625" style="48" customWidth="1"/>
    <col min="2306" max="2306" width="5.5703125" style="48" customWidth="1"/>
    <col min="2307" max="2307" width="9" style="48" customWidth="1"/>
    <col min="2308" max="2309" width="9.7109375" style="48" customWidth="1"/>
    <col min="2310" max="2310" width="11.28515625" style="48" customWidth="1"/>
    <col min="2311" max="2311" width="2.7109375" style="48" customWidth="1"/>
    <col min="2312" max="2312" width="3.5703125" style="48" customWidth="1"/>
    <col min="2313" max="2557" width="9.28515625" style="48"/>
    <col min="2558" max="2558" width="8.7109375" style="48" customWidth="1"/>
    <col min="2559" max="2559" width="9.7109375" style="48" customWidth="1"/>
    <col min="2560" max="2560" width="14.42578125" style="48" customWidth="1"/>
    <col min="2561" max="2561" width="7.28515625" style="48" customWidth="1"/>
    <col min="2562" max="2562" width="5.5703125" style="48" customWidth="1"/>
    <col min="2563" max="2563" width="9" style="48" customWidth="1"/>
    <col min="2564" max="2565" width="9.7109375" style="48" customWidth="1"/>
    <col min="2566" max="2566" width="11.28515625" style="48" customWidth="1"/>
    <col min="2567" max="2567" width="2.7109375" style="48" customWidth="1"/>
    <col min="2568" max="2568" width="3.5703125" style="48" customWidth="1"/>
    <col min="2569" max="2813" width="9.28515625" style="48"/>
    <col min="2814" max="2814" width="8.7109375" style="48" customWidth="1"/>
    <col min="2815" max="2815" width="9.7109375" style="48" customWidth="1"/>
    <col min="2816" max="2816" width="14.42578125" style="48" customWidth="1"/>
    <col min="2817" max="2817" width="7.28515625" style="48" customWidth="1"/>
    <col min="2818" max="2818" width="5.5703125" style="48" customWidth="1"/>
    <col min="2819" max="2819" width="9" style="48" customWidth="1"/>
    <col min="2820" max="2821" width="9.7109375" style="48" customWidth="1"/>
    <col min="2822" max="2822" width="11.28515625" style="48" customWidth="1"/>
    <col min="2823" max="2823" width="2.7109375" style="48" customWidth="1"/>
    <col min="2824" max="2824" width="3.5703125" style="48" customWidth="1"/>
    <col min="2825" max="3069" width="9.28515625" style="48"/>
    <col min="3070" max="3070" width="8.7109375" style="48" customWidth="1"/>
    <col min="3071" max="3071" width="9.7109375" style="48" customWidth="1"/>
    <col min="3072" max="3072" width="14.42578125" style="48" customWidth="1"/>
    <col min="3073" max="3073" width="7.28515625" style="48" customWidth="1"/>
    <col min="3074" max="3074" width="5.5703125" style="48" customWidth="1"/>
    <col min="3075" max="3075" width="9" style="48" customWidth="1"/>
    <col min="3076" max="3077" width="9.7109375" style="48" customWidth="1"/>
    <col min="3078" max="3078" width="11.28515625" style="48" customWidth="1"/>
    <col min="3079" max="3079" width="2.7109375" style="48" customWidth="1"/>
    <col min="3080" max="3080" width="3.5703125" style="48" customWidth="1"/>
    <col min="3081" max="3325" width="9.28515625" style="48"/>
    <col min="3326" max="3326" width="8.7109375" style="48" customWidth="1"/>
    <col min="3327" max="3327" width="9.7109375" style="48" customWidth="1"/>
    <col min="3328" max="3328" width="14.42578125" style="48" customWidth="1"/>
    <col min="3329" max="3329" width="7.28515625" style="48" customWidth="1"/>
    <col min="3330" max="3330" width="5.5703125" style="48" customWidth="1"/>
    <col min="3331" max="3331" width="9" style="48" customWidth="1"/>
    <col min="3332" max="3333" width="9.7109375" style="48" customWidth="1"/>
    <col min="3334" max="3334" width="11.28515625" style="48" customWidth="1"/>
    <col min="3335" max="3335" width="2.7109375" style="48" customWidth="1"/>
    <col min="3336" max="3336" width="3.5703125" style="48" customWidth="1"/>
    <col min="3337" max="3581" width="9.28515625" style="48"/>
    <col min="3582" max="3582" width="8.7109375" style="48" customWidth="1"/>
    <col min="3583" max="3583" width="9.7109375" style="48" customWidth="1"/>
    <col min="3584" max="3584" width="14.42578125" style="48" customWidth="1"/>
    <col min="3585" max="3585" width="7.28515625" style="48" customWidth="1"/>
    <col min="3586" max="3586" width="5.5703125" style="48" customWidth="1"/>
    <col min="3587" max="3587" width="9" style="48" customWidth="1"/>
    <col min="3588" max="3589" width="9.7109375" style="48" customWidth="1"/>
    <col min="3590" max="3590" width="11.28515625" style="48" customWidth="1"/>
    <col min="3591" max="3591" width="2.7109375" style="48" customWidth="1"/>
    <col min="3592" max="3592" width="3.5703125" style="48" customWidth="1"/>
    <col min="3593" max="3837" width="9.28515625" style="48"/>
    <col min="3838" max="3838" width="8.7109375" style="48" customWidth="1"/>
    <col min="3839" max="3839" width="9.7109375" style="48" customWidth="1"/>
    <col min="3840" max="3840" width="14.42578125" style="48" customWidth="1"/>
    <col min="3841" max="3841" width="7.28515625" style="48" customWidth="1"/>
    <col min="3842" max="3842" width="5.5703125" style="48" customWidth="1"/>
    <col min="3843" max="3843" width="9" style="48" customWidth="1"/>
    <col min="3844" max="3845" width="9.7109375" style="48" customWidth="1"/>
    <col min="3846" max="3846" width="11.28515625" style="48" customWidth="1"/>
    <col min="3847" max="3847" width="2.7109375" style="48" customWidth="1"/>
    <col min="3848" max="3848" width="3.5703125" style="48" customWidth="1"/>
    <col min="3849" max="4093" width="9.28515625" style="48"/>
    <col min="4094" max="4094" width="8.7109375" style="48" customWidth="1"/>
    <col min="4095" max="4095" width="9.7109375" style="48" customWidth="1"/>
    <col min="4096" max="4096" width="14.42578125" style="48" customWidth="1"/>
    <col min="4097" max="4097" width="7.28515625" style="48" customWidth="1"/>
    <col min="4098" max="4098" width="5.5703125" style="48" customWidth="1"/>
    <col min="4099" max="4099" width="9" style="48" customWidth="1"/>
    <col min="4100" max="4101" width="9.7109375" style="48" customWidth="1"/>
    <col min="4102" max="4102" width="11.28515625" style="48" customWidth="1"/>
    <col min="4103" max="4103" width="2.7109375" style="48" customWidth="1"/>
    <col min="4104" max="4104" width="3.5703125" style="48" customWidth="1"/>
    <col min="4105" max="4349" width="9.28515625" style="48"/>
    <col min="4350" max="4350" width="8.7109375" style="48" customWidth="1"/>
    <col min="4351" max="4351" width="9.7109375" style="48" customWidth="1"/>
    <col min="4352" max="4352" width="14.42578125" style="48" customWidth="1"/>
    <col min="4353" max="4353" width="7.28515625" style="48" customWidth="1"/>
    <col min="4354" max="4354" width="5.5703125" style="48" customWidth="1"/>
    <col min="4355" max="4355" width="9" style="48" customWidth="1"/>
    <col min="4356" max="4357" width="9.7109375" style="48" customWidth="1"/>
    <col min="4358" max="4358" width="11.28515625" style="48" customWidth="1"/>
    <col min="4359" max="4359" width="2.7109375" style="48" customWidth="1"/>
    <col min="4360" max="4360" width="3.5703125" style="48" customWidth="1"/>
    <col min="4361" max="4605" width="9.28515625" style="48"/>
    <col min="4606" max="4606" width="8.7109375" style="48" customWidth="1"/>
    <col min="4607" max="4607" width="9.7109375" style="48" customWidth="1"/>
    <col min="4608" max="4608" width="14.42578125" style="48" customWidth="1"/>
    <col min="4609" max="4609" width="7.28515625" style="48" customWidth="1"/>
    <col min="4610" max="4610" width="5.5703125" style="48" customWidth="1"/>
    <col min="4611" max="4611" width="9" style="48" customWidth="1"/>
    <col min="4612" max="4613" width="9.7109375" style="48" customWidth="1"/>
    <col min="4614" max="4614" width="11.28515625" style="48" customWidth="1"/>
    <col min="4615" max="4615" width="2.7109375" style="48" customWidth="1"/>
    <col min="4616" max="4616" width="3.5703125" style="48" customWidth="1"/>
    <col min="4617" max="4861" width="9.28515625" style="48"/>
    <col min="4862" max="4862" width="8.7109375" style="48" customWidth="1"/>
    <col min="4863" max="4863" width="9.7109375" style="48" customWidth="1"/>
    <col min="4864" max="4864" width="14.42578125" style="48" customWidth="1"/>
    <col min="4865" max="4865" width="7.28515625" style="48" customWidth="1"/>
    <col min="4866" max="4866" width="5.5703125" style="48" customWidth="1"/>
    <col min="4867" max="4867" width="9" style="48" customWidth="1"/>
    <col min="4868" max="4869" width="9.7109375" style="48" customWidth="1"/>
    <col min="4870" max="4870" width="11.28515625" style="48" customWidth="1"/>
    <col min="4871" max="4871" width="2.7109375" style="48" customWidth="1"/>
    <col min="4872" max="4872" width="3.5703125" style="48" customWidth="1"/>
    <col min="4873" max="5117" width="9.28515625" style="48"/>
    <col min="5118" max="5118" width="8.7109375" style="48" customWidth="1"/>
    <col min="5119" max="5119" width="9.7109375" style="48" customWidth="1"/>
    <col min="5120" max="5120" width="14.42578125" style="48" customWidth="1"/>
    <col min="5121" max="5121" width="7.28515625" style="48" customWidth="1"/>
    <col min="5122" max="5122" width="5.5703125" style="48" customWidth="1"/>
    <col min="5123" max="5123" width="9" style="48" customWidth="1"/>
    <col min="5124" max="5125" width="9.7109375" style="48" customWidth="1"/>
    <col min="5126" max="5126" width="11.28515625" style="48" customWidth="1"/>
    <col min="5127" max="5127" width="2.7109375" style="48" customWidth="1"/>
    <col min="5128" max="5128" width="3.5703125" style="48" customWidth="1"/>
    <col min="5129" max="5373" width="9.28515625" style="48"/>
    <col min="5374" max="5374" width="8.7109375" style="48" customWidth="1"/>
    <col min="5375" max="5375" width="9.7109375" style="48" customWidth="1"/>
    <col min="5376" max="5376" width="14.42578125" style="48" customWidth="1"/>
    <col min="5377" max="5377" width="7.28515625" style="48" customWidth="1"/>
    <col min="5378" max="5378" width="5.5703125" style="48" customWidth="1"/>
    <col min="5379" max="5379" width="9" style="48" customWidth="1"/>
    <col min="5380" max="5381" width="9.7109375" style="48" customWidth="1"/>
    <col min="5382" max="5382" width="11.28515625" style="48" customWidth="1"/>
    <col min="5383" max="5383" width="2.7109375" style="48" customWidth="1"/>
    <col min="5384" max="5384" width="3.5703125" style="48" customWidth="1"/>
    <col min="5385" max="5629" width="9.28515625" style="48"/>
    <col min="5630" max="5630" width="8.7109375" style="48" customWidth="1"/>
    <col min="5631" max="5631" width="9.7109375" style="48" customWidth="1"/>
    <col min="5632" max="5632" width="14.42578125" style="48" customWidth="1"/>
    <col min="5633" max="5633" width="7.28515625" style="48" customWidth="1"/>
    <col min="5634" max="5634" width="5.5703125" style="48" customWidth="1"/>
    <col min="5635" max="5635" width="9" style="48" customWidth="1"/>
    <col min="5636" max="5637" width="9.7109375" style="48" customWidth="1"/>
    <col min="5638" max="5638" width="11.28515625" style="48" customWidth="1"/>
    <col min="5639" max="5639" width="2.7109375" style="48" customWidth="1"/>
    <col min="5640" max="5640" width="3.5703125" style="48" customWidth="1"/>
    <col min="5641" max="5885" width="9.28515625" style="48"/>
    <col min="5886" max="5886" width="8.7109375" style="48" customWidth="1"/>
    <col min="5887" max="5887" width="9.7109375" style="48" customWidth="1"/>
    <col min="5888" max="5888" width="14.42578125" style="48" customWidth="1"/>
    <col min="5889" max="5889" width="7.28515625" style="48" customWidth="1"/>
    <col min="5890" max="5890" width="5.5703125" style="48" customWidth="1"/>
    <col min="5891" max="5891" width="9" style="48" customWidth="1"/>
    <col min="5892" max="5893" width="9.7109375" style="48" customWidth="1"/>
    <col min="5894" max="5894" width="11.28515625" style="48" customWidth="1"/>
    <col min="5895" max="5895" width="2.7109375" style="48" customWidth="1"/>
    <col min="5896" max="5896" width="3.5703125" style="48" customWidth="1"/>
    <col min="5897" max="6141" width="9.28515625" style="48"/>
    <col min="6142" max="6142" width="8.7109375" style="48" customWidth="1"/>
    <col min="6143" max="6143" width="9.7109375" style="48" customWidth="1"/>
    <col min="6144" max="6144" width="14.42578125" style="48" customWidth="1"/>
    <col min="6145" max="6145" width="7.28515625" style="48" customWidth="1"/>
    <col min="6146" max="6146" width="5.5703125" style="48" customWidth="1"/>
    <col min="6147" max="6147" width="9" style="48" customWidth="1"/>
    <col min="6148" max="6149" width="9.7109375" style="48" customWidth="1"/>
    <col min="6150" max="6150" width="11.28515625" style="48" customWidth="1"/>
    <col min="6151" max="6151" width="2.7109375" style="48" customWidth="1"/>
    <col min="6152" max="6152" width="3.5703125" style="48" customWidth="1"/>
    <col min="6153" max="6397" width="9.28515625" style="48"/>
    <col min="6398" max="6398" width="8.7109375" style="48" customWidth="1"/>
    <col min="6399" max="6399" width="9.7109375" style="48" customWidth="1"/>
    <col min="6400" max="6400" width="14.42578125" style="48" customWidth="1"/>
    <col min="6401" max="6401" width="7.28515625" style="48" customWidth="1"/>
    <col min="6402" max="6402" width="5.5703125" style="48" customWidth="1"/>
    <col min="6403" max="6403" width="9" style="48" customWidth="1"/>
    <col min="6404" max="6405" width="9.7109375" style="48" customWidth="1"/>
    <col min="6406" max="6406" width="11.28515625" style="48" customWidth="1"/>
    <col min="6407" max="6407" width="2.7109375" style="48" customWidth="1"/>
    <col min="6408" max="6408" width="3.5703125" style="48" customWidth="1"/>
    <col min="6409" max="6653" width="9.28515625" style="48"/>
    <col min="6654" max="6654" width="8.7109375" style="48" customWidth="1"/>
    <col min="6655" max="6655" width="9.7109375" style="48" customWidth="1"/>
    <col min="6656" max="6656" width="14.42578125" style="48" customWidth="1"/>
    <col min="6657" max="6657" width="7.28515625" style="48" customWidth="1"/>
    <col min="6658" max="6658" width="5.5703125" style="48" customWidth="1"/>
    <col min="6659" max="6659" width="9" style="48" customWidth="1"/>
    <col min="6660" max="6661" width="9.7109375" style="48" customWidth="1"/>
    <col min="6662" max="6662" width="11.28515625" style="48" customWidth="1"/>
    <col min="6663" max="6663" width="2.7109375" style="48" customWidth="1"/>
    <col min="6664" max="6664" width="3.5703125" style="48" customWidth="1"/>
    <col min="6665" max="6909" width="9.28515625" style="48"/>
    <col min="6910" max="6910" width="8.7109375" style="48" customWidth="1"/>
    <col min="6911" max="6911" width="9.7109375" style="48" customWidth="1"/>
    <col min="6912" max="6912" width="14.42578125" style="48" customWidth="1"/>
    <col min="6913" max="6913" width="7.28515625" style="48" customWidth="1"/>
    <col min="6914" max="6914" width="5.5703125" style="48" customWidth="1"/>
    <col min="6915" max="6915" width="9" style="48" customWidth="1"/>
    <col min="6916" max="6917" width="9.7109375" style="48" customWidth="1"/>
    <col min="6918" max="6918" width="11.28515625" style="48" customWidth="1"/>
    <col min="6919" max="6919" width="2.7109375" style="48" customWidth="1"/>
    <col min="6920" max="6920" width="3.5703125" style="48" customWidth="1"/>
    <col min="6921" max="7165" width="9.28515625" style="48"/>
    <col min="7166" max="7166" width="8.7109375" style="48" customWidth="1"/>
    <col min="7167" max="7167" width="9.7109375" style="48" customWidth="1"/>
    <col min="7168" max="7168" width="14.42578125" style="48" customWidth="1"/>
    <col min="7169" max="7169" width="7.28515625" style="48" customWidth="1"/>
    <col min="7170" max="7170" width="5.5703125" style="48" customWidth="1"/>
    <col min="7171" max="7171" width="9" style="48" customWidth="1"/>
    <col min="7172" max="7173" width="9.7109375" style="48" customWidth="1"/>
    <col min="7174" max="7174" width="11.28515625" style="48" customWidth="1"/>
    <col min="7175" max="7175" width="2.7109375" style="48" customWidth="1"/>
    <col min="7176" max="7176" width="3.5703125" style="48" customWidth="1"/>
    <col min="7177" max="7421" width="9.28515625" style="48"/>
    <col min="7422" max="7422" width="8.7109375" style="48" customWidth="1"/>
    <col min="7423" max="7423" width="9.7109375" style="48" customWidth="1"/>
    <col min="7424" max="7424" width="14.42578125" style="48" customWidth="1"/>
    <col min="7425" max="7425" width="7.28515625" style="48" customWidth="1"/>
    <col min="7426" max="7426" width="5.5703125" style="48" customWidth="1"/>
    <col min="7427" max="7427" width="9" style="48" customWidth="1"/>
    <col min="7428" max="7429" width="9.7109375" style="48" customWidth="1"/>
    <col min="7430" max="7430" width="11.28515625" style="48" customWidth="1"/>
    <col min="7431" max="7431" width="2.7109375" style="48" customWidth="1"/>
    <col min="7432" max="7432" width="3.5703125" style="48" customWidth="1"/>
    <col min="7433" max="7677" width="9.28515625" style="48"/>
    <col min="7678" max="7678" width="8.7109375" style="48" customWidth="1"/>
    <col min="7679" max="7679" width="9.7109375" style="48" customWidth="1"/>
    <col min="7680" max="7680" width="14.42578125" style="48" customWidth="1"/>
    <col min="7681" max="7681" width="7.28515625" style="48" customWidth="1"/>
    <col min="7682" max="7682" width="5.5703125" style="48" customWidth="1"/>
    <col min="7683" max="7683" width="9" style="48" customWidth="1"/>
    <col min="7684" max="7685" width="9.7109375" style="48" customWidth="1"/>
    <col min="7686" max="7686" width="11.28515625" style="48" customWidth="1"/>
    <col min="7687" max="7687" width="2.7109375" style="48" customWidth="1"/>
    <col min="7688" max="7688" width="3.5703125" style="48" customWidth="1"/>
    <col min="7689" max="7933" width="9.28515625" style="48"/>
    <col min="7934" max="7934" width="8.7109375" style="48" customWidth="1"/>
    <col min="7935" max="7935" width="9.7109375" style="48" customWidth="1"/>
    <col min="7936" max="7936" width="14.42578125" style="48" customWidth="1"/>
    <col min="7937" max="7937" width="7.28515625" style="48" customWidth="1"/>
    <col min="7938" max="7938" width="5.5703125" style="48" customWidth="1"/>
    <col min="7939" max="7939" width="9" style="48" customWidth="1"/>
    <col min="7940" max="7941" width="9.7109375" style="48" customWidth="1"/>
    <col min="7942" max="7942" width="11.28515625" style="48" customWidth="1"/>
    <col min="7943" max="7943" width="2.7109375" style="48" customWidth="1"/>
    <col min="7944" max="7944" width="3.5703125" style="48" customWidth="1"/>
    <col min="7945" max="8189" width="9.28515625" style="48"/>
    <col min="8190" max="8190" width="8.7109375" style="48" customWidth="1"/>
    <col min="8191" max="8191" width="9.7109375" style="48" customWidth="1"/>
    <col min="8192" max="8192" width="14.42578125" style="48" customWidth="1"/>
    <col min="8193" max="8193" width="7.28515625" style="48" customWidth="1"/>
    <col min="8194" max="8194" width="5.5703125" style="48" customWidth="1"/>
    <col min="8195" max="8195" width="9" style="48" customWidth="1"/>
    <col min="8196" max="8197" width="9.7109375" style="48" customWidth="1"/>
    <col min="8198" max="8198" width="11.28515625" style="48" customWidth="1"/>
    <col min="8199" max="8199" width="2.7109375" style="48" customWidth="1"/>
    <col min="8200" max="8200" width="3.5703125" style="48" customWidth="1"/>
    <col min="8201" max="8445" width="9.28515625" style="48"/>
    <col min="8446" max="8446" width="8.7109375" style="48" customWidth="1"/>
    <col min="8447" max="8447" width="9.7109375" style="48" customWidth="1"/>
    <col min="8448" max="8448" width="14.42578125" style="48" customWidth="1"/>
    <col min="8449" max="8449" width="7.28515625" style="48" customWidth="1"/>
    <col min="8450" max="8450" width="5.5703125" style="48" customWidth="1"/>
    <col min="8451" max="8451" width="9" style="48" customWidth="1"/>
    <col min="8452" max="8453" width="9.7109375" style="48" customWidth="1"/>
    <col min="8454" max="8454" width="11.28515625" style="48" customWidth="1"/>
    <col min="8455" max="8455" width="2.7109375" style="48" customWidth="1"/>
    <col min="8456" max="8456" width="3.5703125" style="48" customWidth="1"/>
    <col min="8457" max="8701" width="9.28515625" style="48"/>
    <col min="8702" max="8702" width="8.7109375" style="48" customWidth="1"/>
    <col min="8703" max="8703" width="9.7109375" style="48" customWidth="1"/>
    <col min="8704" max="8704" width="14.42578125" style="48" customWidth="1"/>
    <col min="8705" max="8705" width="7.28515625" style="48" customWidth="1"/>
    <col min="8706" max="8706" width="5.5703125" style="48" customWidth="1"/>
    <col min="8707" max="8707" width="9" style="48" customWidth="1"/>
    <col min="8708" max="8709" width="9.7109375" style="48" customWidth="1"/>
    <col min="8710" max="8710" width="11.28515625" style="48" customWidth="1"/>
    <col min="8711" max="8711" width="2.7109375" style="48" customWidth="1"/>
    <col min="8712" max="8712" width="3.5703125" style="48" customWidth="1"/>
    <col min="8713" max="8957" width="9.28515625" style="48"/>
    <col min="8958" max="8958" width="8.7109375" style="48" customWidth="1"/>
    <col min="8959" max="8959" width="9.7109375" style="48" customWidth="1"/>
    <col min="8960" max="8960" width="14.42578125" style="48" customWidth="1"/>
    <col min="8961" max="8961" width="7.28515625" style="48" customWidth="1"/>
    <col min="8962" max="8962" width="5.5703125" style="48" customWidth="1"/>
    <col min="8963" max="8963" width="9" style="48" customWidth="1"/>
    <col min="8964" max="8965" width="9.7109375" style="48" customWidth="1"/>
    <col min="8966" max="8966" width="11.28515625" style="48" customWidth="1"/>
    <col min="8967" max="8967" width="2.7109375" style="48" customWidth="1"/>
    <col min="8968" max="8968" width="3.5703125" style="48" customWidth="1"/>
    <col min="8969" max="9213" width="9.28515625" style="48"/>
    <col min="9214" max="9214" width="8.7109375" style="48" customWidth="1"/>
    <col min="9215" max="9215" width="9.7109375" style="48" customWidth="1"/>
    <col min="9216" max="9216" width="14.42578125" style="48" customWidth="1"/>
    <col min="9217" max="9217" width="7.28515625" style="48" customWidth="1"/>
    <col min="9218" max="9218" width="5.5703125" style="48" customWidth="1"/>
    <col min="9219" max="9219" width="9" style="48" customWidth="1"/>
    <col min="9220" max="9221" width="9.7109375" style="48" customWidth="1"/>
    <col min="9222" max="9222" width="11.28515625" style="48" customWidth="1"/>
    <col min="9223" max="9223" width="2.7109375" style="48" customWidth="1"/>
    <col min="9224" max="9224" width="3.5703125" style="48" customWidth="1"/>
    <col min="9225" max="9469" width="9.28515625" style="48"/>
    <col min="9470" max="9470" width="8.7109375" style="48" customWidth="1"/>
    <col min="9471" max="9471" width="9.7109375" style="48" customWidth="1"/>
    <col min="9472" max="9472" width="14.42578125" style="48" customWidth="1"/>
    <col min="9473" max="9473" width="7.28515625" style="48" customWidth="1"/>
    <col min="9474" max="9474" width="5.5703125" style="48" customWidth="1"/>
    <col min="9475" max="9475" width="9" style="48" customWidth="1"/>
    <col min="9476" max="9477" width="9.7109375" style="48" customWidth="1"/>
    <col min="9478" max="9478" width="11.28515625" style="48" customWidth="1"/>
    <col min="9479" max="9479" width="2.7109375" style="48" customWidth="1"/>
    <col min="9480" max="9480" width="3.5703125" style="48" customWidth="1"/>
    <col min="9481" max="9725" width="9.28515625" style="48"/>
    <col min="9726" max="9726" width="8.7109375" style="48" customWidth="1"/>
    <col min="9727" max="9727" width="9.7109375" style="48" customWidth="1"/>
    <col min="9728" max="9728" width="14.42578125" style="48" customWidth="1"/>
    <col min="9729" max="9729" width="7.28515625" style="48" customWidth="1"/>
    <col min="9730" max="9730" width="5.5703125" style="48" customWidth="1"/>
    <col min="9731" max="9731" width="9" style="48" customWidth="1"/>
    <col min="9732" max="9733" width="9.7109375" style="48" customWidth="1"/>
    <col min="9734" max="9734" width="11.28515625" style="48" customWidth="1"/>
    <col min="9735" max="9735" width="2.7109375" style="48" customWidth="1"/>
    <col min="9736" max="9736" width="3.5703125" style="48" customWidth="1"/>
    <col min="9737" max="9981" width="9.28515625" style="48"/>
    <col min="9982" max="9982" width="8.7109375" style="48" customWidth="1"/>
    <col min="9983" max="9983" width="9.7109375" style="48" customWidth="1"/>
    <col min="9984" max="9984" width="14.42578125" style="48" customWidth="1"/>
    <col min="9985" max="9985" width="7.28515625" style="48" customWidth="1"/>
    <col min="9986" max="9986" width="5.5703125" style="48" customWidth="1"/>
    <col min="9987" max="9987" width="9" style="48" customWidth="1"/>
    <col min="9988" max="9989" width="9.7109375" style="48" customWidth="1"/>
    <col min="9990" max="9990" width="11.28515625" style="48" customWidth="1"/>
    <col min="9991" max="9991" width="2.7109375" style="48" customWidth="1"/>
    <col min="9992" max="9992" width="3.5703125" style="48" customWidth="1"/>
    <col min="9993" max="10237" width="9.28515625" style="48"/>
    <col min="10238" max="10238" width="8.7109375" style="48" customWidth="1"/>
    <col min="10239" max="10239" width="9.7109375" style="48" customWidth="1"/>
    <col min="10240" max="10240" width="14.42578125" style="48" customWidth="1"/>
    <col min="10241" max="10241" width="7.28515625" style="48" customWidth="1"/>
    <col min="10242" max="10242" width="5.5703125" style="48" customWidth="1"/>
    <col min="10243" max="10243" width="9" style="48" customWidth="1"/>
    <col min="10244" max="10245" width="9.7109375" style="48" customWidth="1"/>
    <col min="10246" max="10246" width="11.28515625" style="48" customWidth="1"/>
    <col min="10247" max="10247" width="2.7109375" style="48" customWidth="1"/>
    <col min="10248" max="10248" width="3.5703125" style="48" customWidth="1"/>
    <col min="10249" max="10493" width="9.28515625" style="48"/>
    <col min="10494" max="10494" width="8.7109375" style="48" customWidth="1"/>
    <col min="10495" max="10495" width="9.7109375" style="48" customWidth="1"/>
    <col min="10496" max="10496" width="14.42578125" style="48" customWidth="1"/>
    <col min="10497" max="10497" width="7.28515625" style="48" customWidth="1"/>
    <col min="10498" max="10498" width="5.5703125" style="48" customWidth="1"/>
    <col min="10499" max="10499" width="9" style="48" customWidth="1"/>
    <col min="10500" max="10501" width="9.7109375" style="48" customWidth="1"/>
    <col min="10502" max="10502" width="11.28515625" style="48" customWidth="1"/>
    <col min="10503" max="10503" width="2.7109375" style="48" customWidth="1"/>
    <col min="10504" max="10504" width="3.5703125" style="48" customWidth="1"/>
    <col min="10505" max="10749" width="9.28515625" style="48"/>
    <col min="10750" max="10750" width="8.7109375" style="48" customWidth="1"/>
    <col min="10751" max="10751" width="9.7109375" style="48" customWidth="1"/>
    <col min="10752" max="10752" width="14.42578125" style="48" customWidth="1"/>
    <col min="10753" max="10753" width="7.28515625" style="48" customWidth="1"/>
    <col min="10754" max="10754" width="5.5703125" style="48" customWidth="1"/>
    <col min="10755" max="10755" width="9" style="48" customWidth="1"/>
    <col min="10756" max="10757" width="9.7109375" style="48" customWidth="1"/>
    <col min="10758" max="10758" width="11.28515625" style="48" customWidth="1"/>
    <col min="10759" max="10759" width="2.7109375" style="48" customWidth="1"/>
    <col min="10760" max="10760" width="3.5703125" style="48" customWidth="1"/>
    <col min="10761" max="11005" width="9.28515625" style="48"/>
    <col min="11006" max="11006" width="8.7109375" style="48" customWidth="1"/>
    <col min="11007" max="11007" width="9.7109375" style="48" customWidth="1"/>
    <col min="11008" max="11008" width="14.42578125" style="48" customWidth="1"/>
    <col min="11009" max="11009" width="7.28515625" style="48" customWidth="1"/>
    <col min="11010" max="11010" width="5.5703125" style="48" customWidth="1"/>
    <col min="11011" max="11011" width="9" style="48" customWidth="1"/>
    <col min="11012" max="11013" width="9.7109375" style="48" customWidth="1"/>
    <col min="11014" max="11014" width="11.28515625" style="48" customWidth="1"/>
    <col min="11015" max="11015" width="2.7109375" style="48" customWidth="1"/>
    <col min="11016" max="11016" width="3.5703125" style="48" customWidth="1"/>
    <col min="11017" max="11261" width="9.28515625" style="48"/>
    <col min="11262" max="11262" width="8.7109375" style="48" customWidth="1"/>
    <col min="11263" max="11263" width="9.7109375" style="48" customWidth="1"/>
    <col min="11264" max="11264" width="14.42578125" style="48" customWidth="1"/>
    <col min="11265" max="11265" width="7.28515625" style="48" customWidth="1"/>
    <col min="11266" max="11266" width="5.5703125" style="48" customWidth="1"/>
    <col min="11267" max="11267" width="9" style="48" customWidth="1"/>
    <col min="11268" max="11269" width="9.7109375" style="48" customWidth="1"/>
    <col min="11270" max="11270" width="11.28515625" style="48" customWidth="1"/>
    <col min="11271" max="11271" width="2.7109375" style="48" customWidth="1"/>
    <col min="11272" max="11272" width="3.5703125" style="48" customWidth="1"/>
    <col min="11273" max="11517" width="9.28515625" style="48"/>
    <col min="11518" max="11518" width="8.7109375" style="48" customWidth="1"/>
    <col min="11519" max="11519" width="9.7109375" style="48" customWidth="1"/>
    <col min="11520" max="11520" width="14.42578125" style="48" customWidth="1"/>
    <col min="11521" max="11521" width="7.28515625" style="48" customWidth="1"/>
    <col min="11522" max="11522" width="5.5703125" style="48" customWidth="1"/>
    <col min="11523" max="11523" width="9" style="48" customWidth="1"/>
    <col min="11524" max="11525" width="9.7109375" style="48" customWidth="1"/>
    <col min="11526" max="11526" width="11.28515625" style="48" customWidth="1"/>
    <col min="11527" max="11527" width="2.7109375" style="48" customWidth="1"/>
    <col min="11528" max="11528" width="3.5703125" style="48" customWidth="1"/>
    <col min="11529" max="11773" width="9.28515625" style="48"/>
    <col min="11774" max="11774" width="8.7109375" style="48" customWidth="1"/>
    <col min="11775" max="11775" width="9.7109375" style="48" customWidth="1"/>
    <col min="11776" max="11776" width="14.42578125" style="48" customWidth="1"/>
    <col min="11777" max="11777" width="7.28515625" style="48" customWidth="1"/>
    <col min="11778" max="11778" width="5.5703125" style="48" customWidth="1"/>
    <col min="11779" max="11779" width="9" style="48" customWidth="1"/>
    <col min="11780" max="11781" width="9.7109375" style="48" customWidth="1"/>
    <col min="11782" max="11782" width="11.28515625" style="48" customWidth="1"/>
    <col min="11783" max="11783" width="2.7109375" style="48" customWidth="1"/>
    <col min="11784" max="11784" width="3.5703125" style="48" customWidth="1"/>
    <col min="11785" max="12029" width="9.28515625" style="48"/>
    <col min="12030" max="12030" width="8.7109375" style="48" customWidth="1"/>
    <col min="12031" max="12031" width="9.7109375" style="48" customWidth="1"/>
    <col min="12032" max="12032" width="14.42578125" style="48" customWidth="1"/>
    <col min="12033" max="12033" width="7.28515625" style="48" customWidth="1"/>
    <col min="12034" max="12034" width="5.5703125" style="48" customWidth="1"/>
    <col min="12035" max="12035" width="9" style="48" customWidth="1"/>
    <col min="12036" max="12037" width="9.7109375" style="48" customWidth="1"/>
    <col min="12038" max="12038" width="11.28515625" style="48" customWidth="1"/>
    <col min="12039" max="12039" width="2.7109375" style="48" customWidth="1"/>
    <col min="12040" max="12040" width="3.5703125" style="48" customWidth="1"/>
    <col min="12041" max="12285" width="9.28515625" style="48"/>
    <col min="12286" max="12286" width="8.7109375" style="48" customWidth="1"/>
    <col min="12287" max="12287" width="9.7109375" style="48" customWidth="1"/>
    <col min="12288" max="12288" width="14.42578125" style="48" customWidth="1"/>
    <col min="12289" max="12289" width="7.28515625" style="48" customWidth="1"/>
    <col min="12290" max="12290" width="5.5703125" style="48" customWidth="1"/>
    <col min="12291" max="12291" width="9" style="48" customWidth="1"/>
    <col min="12292" max="12293" width="9.7109375" style="48" customWidth="1"/>
    <col min="12294" max="12294" width="11.28515625" style="48" customWidth="1"/>
    <col min="12295" max="12295" width="2.7109375" style="48" customWidth="1"/>
    <col min="12296" max="12296" width="3.5703125" style="48" customWidth="1"/>
    <col min="12297" max="12541" width="9.28515625" style="48"/>
    <col min="12542" max="12542" width="8.7109375" style="48" customWidth="1"/>
    <col min="12543" max="12543" width="9.7109375" style="48" customWidth="1"/>
    <col min="12544" max="12544" width="14.42578125" style="48" customWidth="1"/>
    <col min="12545" max="12545" width="7.28515625" style="48" customWidth="1"/>
    <col min="12546" max="12546" width="5.5703125" style="48" customWidth="1"/>
    <col min="12547" max="12547" width="9" style="48" customWidth="1"/>
    <col min="12548" max="12549" width="9.7109375" style="48" customWidth="1"/>
    <col min="12550" max="12550" width="11.28515625" style="48" customWidth="1"/>
    <col min="12551" max="12551" width="2.7109375" style="48" customWidth="1"/>
    <col min="12552" max="12552" width="3.5703125" style="48" customWidth="1"/>
    <col min="12553" max="12797" width="9.28515625" style="48"/>
    <col min="12798" max="12798" width="8.7109375" style="48" customWidth="1"/>
    <col min="12799" max="12799" width="9.7109375" style="48" customWidth="1"/>
    <col min="12800" max="12800" width="14.42578125" style="48" customWidth="1"/>
    <col min="12801" max="12801" width="7.28515625" style="48" customWidth="1"/>
    <col min="12802" max="12802" width="5.5703125" style="48" customWidth="1"/>
    <col min="12803" max="12803" width="9" style="48" customWidth="1"/>
    <col min="12804" max="12805" width="9.7109375" style="48" customWidth="1"/>
    <col min="12806" max="12806" width="11.28515625" style="48" customWidth="1"/>
    <col min="12807" max="12807" width="2.7109375" style="48" customWidth="1"/>
    <col min="12808" max="12808" width="3.5703125" style="48" customWidth="1"/>
    <col min="12809" max="13053" width="9.28515625" style="48"/>
    <col min="13054" max="13054" width="8.7109375" style="48" customWidth="1"/>
    <col min="13055" max="13055" width="9.7109375" style="48" customWidth="1"/>
    <col min="13056" max="13056" width="14.42578125" style="48" customWidth="1"/>
    <col min="13057" max="13057" width="7.28515625" style="48" customWidth="1"/>
    <col min="13058" max="13058" width="5.5703125" style="48" customWidth="1"/>
    <col min="13059" max="13059" width="9" style="48" customWidth="1"/>
    <col min="13060" max="13061" width="9.7109375" style="48" customWidth="1"/>
    <col min="13062" max="13062" width="11.28515625" style="48" customWidth="1"/>
    <col min="13063" max="13063" width="2.7109375" style="48" customWidth="1"/>
    <col min="13064" max="13064" width="3.5703125" style="48" customWidth="1"/>
    <col min="13065" max="13309" width="9.28515625" style="48"/>
    <col min="13310" max="13310" width="8.7109375" style="48" customWidth="1"/>
    <col min="13311" max="13311" width="9.7109375" style="48" customWidth="1"/>
    <col min="13312" max="13312" width="14.42578125" style="48" customWidth="1"/>
    <col min="13313" max="13313" width="7.28515625" style="48" customWidth="1"/>
    <col min="13314" max="13314" width="5.5703125" style="48" customWidth="1"/>
    <col min="13315" max="13315" width="9" style="48" customWidth="1"/>
    <col min="13316" max="13317" width="9.7109375" style="48" customWidth="1"/>
    <col min="13318" max="13318" width="11.28515625" style="48" customWidth="1"/>
    <col min="13319" max="13319" width="2.7109375" style="48" customWidth="1"/>
    <col min="13320" max="13320" width="3.5703125" style="48" customWidth="1"/>
    <col min="13321" max="13565" width="9.28515625" style="48"/>
    <col min="13566" max="13566" width="8.7109375" style="48" customWidth="1"/>
    <col min="13567" max="13567" width="9.7109375" style="48" customWidth="1"/>
    <col min="13568" max="13568" width="14.42578125" style="48" customWidth="1"/>
    <col min="13569" max="13569" width="7.28515625" style="48" customWidth="1"/>
    <col min="13570" max="13570" width="5.5703125" style="48" customWidth="1"/>
    <col min="13571" max="13571" width="9" style="48" customWidth="1"/>
    <col min="13572" max="13573" width="9.7109375" style="48" customWidth="1"/>
    <col min="13574" max="13574" width="11.28515625" style="48" customWidth="1"/>
    <col min="13575" max="13575" width="2.7109375" style="48" customWidth="1"/>
    <col min="13576" max="13576" width="3.5703125" style="48" customWidth="1"/>
    <col min="13577" max="13821" width="9.28515625" style="48"/>
    <col min="13822" max="13822" width="8.7109375" style="48" customWidth="1"/>
    <col min="13823" max="13823" width="9.7109375" style="48" customWidth="1"/>
    <col min="13824" max="13824" width="14.42578125" style="48" customWidth="1"/>
    <col min="13825" max="13825" width="7.28515625" style="48" customWidth="1"/>
    <col min="13826" max="13826" width="5.5703125" style="48" customWidth="1"/>
    <col min="13827" max="13827" width="9" style="48" customWidth="1"/>
    <col min="13828" max="13829" width="9.7109375" style="48" customWidth="1"/>
    <col min="13830" max="13830" width="11.28515625" style="48" customWidth="1"/>
    <col min="13831" max="13831" width="2.7109375" style="48" customWidth="1"/>
    <col min="13832" max="13832" width="3.5703125" style="48" customWidth="1"/>
    <col min="13833" max="14077" width="9.28515625" style="48"/>
    <col min="14078" max="14078" width="8.7109375" style="48" customWidth="1"/>
    <col min="14079" max="14079" width="9.7109375" style="48" customWidth="1"/>
    <col min="14080" max="14080" width="14.42578125" style="48" customWidth="1"/>
    <col min="14081" max="14081" width="7.28515625" style="48" customWidth="1"/>
    <col min="14082" max="14082" width="5.5703125" style="48" customWidth="1"/>
    <col min="14083" max="14083" width="9" style="48" customWidth="1"/>
    <col min="14084" max="14085" width="9.7109375" style="48" customWidth="1"/>
    <col min="14086" max="14086" width="11.28515625" style="48" customWidth="1"/>
    <col min="14087" max="14087" width="2.7109375" style="48" customWidth="1"/>
    <col min="14088" max="14088" width="3.5703125" style="48" customWidth="1"/>
    <col min="14089" max="14333" width="9.28515625" style="48"/>
    <col min="14334" max="14334" width="8.7109375" style="48" customWidth="1"/>
    <col min="14335" max="14335" width="9.7109375" style="48" customWidth="1"/>
    <col min="14336" max="14336" width="14.42578125" style="48" customWidth="1"/>
    <col min="14337" max="14337" width="7.28515625" style="48" customWidth="1"/>
    <col min="14338" max="14338" width="5.5703125" style="48" customWidth="1"/>
    <col min="14339" max="14339" width="9" style="48" customWidth="1"/>
    <col min="14340" max="14341" width="9.7109375" style="48" customWidth="1"/>
    <col min="14342" max="14342" width="11.28515625" style="48" customWidth="1"/>
    <col min="14343" max="14343" width="2.7109375" style="48" customWidth="1"/>
    <col min="14344" max="14344" width="3.5703125" style="48" customWidth="1"/>
    <col min="14345" max="14589" width="9.28515625" style="48"/>
    <col min="14590" max="14590" width="8.7109375" style="48" customWidth="1"/>
    <col min="14591" max="14591" width="9.7109375" style="48" customWidth="1"/>
    <col min="14592" max="14592" width="14.42578125" style="48" customWidth="1"/>
    <col min="14593" max="14593" width="7.28515625" style="48" customWidth="1"/>
    <col min="14594" max="14594" width="5.5703125" style="48" customWidth="1"/>
    <col min="14595" max="14595" width="9" style="48" customWidth="1"/>
    <col min="14596" max="14597" width="9.7109375" style="48" customWidth="1"/>
    <col min="14598" max="14598" width="11.28515625" style="48" customWidth="1"/>
    <col min="14599" max="14599" width="2.7109375" style="48" customWidth="1"/>
    <col min="14600" max="14600" width="3.5703125" style="48" customWidth="1"/>
    <col min="14601" max="14845" width="9.28515625" style="48"/>
    <col min="14846" max="14846" width="8.7109375" style="48" customWidth="1"/>
    <col min="14847" max="14847" width="9.7109375" style="48" customWidth="1"/>
    <col min="14848" max="14848" width="14.42578125" style="48" customWidth="1"/>
    <col min="14849" max="14849" width="7.28515625" style="48" customWidth="1"/>
    <col min="14850" max="14850" width="5.5703125" style="48" customWidth="1"/>
    <col min="14851" max="14851" width="9" style="48" customWidth="1"/>
    <col min="14852" max="14853" width="9.7109375" style="48" customWidth="1"/>
    <col min="14854" max="14854" width="11.28515625" style="48" customWidth="1"/>
    <col min="14855" max="14855" width="2.7109375" style="48" customWidth="1"/>
    <col min="14856" max="14856" width="3.5703125" style="48" customWidth="1"/>
    <col min="14857" max="15101" width="9.28515625" style="48"/>
    <col min="15102" max="15102" width="8.7109375" style="48" customWidth="1"/>
    <col min="15103" max="15103" width="9.7109375" style="48" customWidth="1"/>
    <col min="15104" max="15104" width="14.42578125" style="48" customWidth="1"/>
    <col min="15105" max="15105" width="7.28515625" style="48" customWidth="1"/>
    <col min="15106" max="15106" width="5.5703125" style="48" customWidth="1"/>
    <col min="15107" max="15107" width="9" style="48" customWidth="1"/>
    <col min="15108" max="15109" width="9.7109375" style="48" customWidth="1"/>
    <col min="15110" max="15110" width="11.28515625" style="48" customWidth="1"/>
    <col min="15111" max="15111" width="2.7109375" style="48" customWidth="1"/>
    <col min="15112" max="15112" width="3.5703125" style="48" customWidth="1"/>
    <col min="15113" max="15357" width="9.28515625" style="48"/>
    <col min="15358" max="15358" width="8.7109375" style="48" customWidth="1"/>
    <col min="15359" max="15359" width="9.7109375" style="48" customWidth="1"/>
    <col min="15360" max="15360" width="14.42578125" style="48" customWidth="1"/>
    <col min="15361" max="15361" width="7.28515625" style="48" customWidth="1"/>
    <col min="15362" max="15362" width="5.5703125" style="48" customWidth="1"/>
    <col min="15363" max="15363" width="9" style="48" customWidth="1"/>
    <col min="15364" max="15365" width="9.7109375" style="48" customWidth="1"/>
    <col min="15366" max="15366" width="11.28515625" style="48" customWidth="1"/>
    <col min="15367" max="15367" width="2.7109375" style="48" customWidth="1"/>
    <col min="15368" max="15368" width="3.5703125" style="48" customWidth="1"/>
    <col min="15369" max="15613" width="9.28515625" style="48"/>
    <col min="15614" max="15614" width="8.7109375" style="48" customWidth="1"/>
    <col min="15615" max="15615" width="9.7109375" style="48" customWidth="1"/>
    <col min="15616" max="15616" width="14.42578125" style="48" customWidth="1"/>
    <col min="15617" max="15617" width="7.28515625" style="48" customWidth="1"/>
    <col min="15618" max="15618" width="5.5703125" style="48" customWidth="1"/>
    <col min="15619" max="15619" width="9" style="48" customWidth="1"/>
    <col min="15620" max="15621" width="9.7109375" style="48" customWidth="1"/>
    <col min="15622" max="15622" width="11.28515625" style="48" customWidth="1"/>
    <col min="15623" max="15623" width="2.7109375" style="48" customWidth="1"/>
    <col min="15624" max="15624" width="3.5703125" style="48" customWidth="1"/>
    <col min="15625" max="15869" width="9.28515625" style="48"/>
    <col min="15870" max="15870" width="8.7109375" style="48" customWidth="1"/>
    <col min="15871" max="15871" width="9.7109375" style="48" customWidth="1"/>
    <col min="15872" max="15872" width="14.42578125" style="48" customWidth="1"/>
    <col min="15873" max="15873" width="7.28515625" style="48" customWidth="1"/>
    <col min="15874" max="15874" width="5.5703125" style="48" customWidth="1"/>
    <col min="15875" max="15875" width="9" style="48" customWidth="1"/>
    <col min="15876" max="15877" width="9.7109375" style="48" customWidth="1"/>
    <col min="15878" max="15878" width="11.28515625" style="48" customWidth="1"/>
    <col min="15879" max="15879" width="2.7109375" style="48" customWidth="1"/>
    <col min="15880" max="15880" width="3.5703125" style="48" customWidth="1"/>
    <col min="15881" max="16125" width="9.28515625" style="48"/>
    <col min="16126" max="16126" width="8.7109375" style="48" customWidth="1"/>
    <col min="16127" max="16127" width="9.7109375" style="48" customWidth="1"/>
    <col min="16128" max="16128" width="14.42578125" style="48" customWidth="1"/>
    <col min="16129" max="16129" width="7.28515625" style="48" customWidth="1"/>
    <col min="16130" max="16130" width="5.5703125" style="48" customWidth="1"/>
    <col min="16131" max="16131" width="9" style="48" customWidth="1"/>
    <col min="16132" max="16133" width="9.7109375" style="48" customWidth="1"/>
    <col min="16134" max="16134" width="11.28515625" style="48" customWidth="1"/>
    <col min="16135" max="16135" width="2.7109375" style="48" customWidth="1"/>
    <col min="16136" max="16136" width="3.5703125" style="48" customWidth="1"/>
    <col min="16137" max="16384" width="9.28515625" style="48"/>
  </cols>
  <sheetData>
    <row r="1" spans="1:18" ht="48" customHeight="1" x14ac:dyDescent="0.25">
      <c r="A1" s="243" t="s">
        <v>257</v>
      </c>
      <c r="B1" s="243"/>
      <c r="C1" s="243"/>
      <c r="D1" s="243"/>
      <c r="E1" s="243"/>
      <c r="F1" s="243"/>
      <c r="G1" s="243"/>
      <c r="H1" s="243"/>
      <c r="I1" s="243"/>
      <c r="J1" s="243"/>
    </row>
    <row r="2" spans="1:18" x14ac:dyDescent="0.25">
      <c r="A2" s="244" t="s">
        <v>0</v>
      </c>
      <c r="B2" s="245"/>
      <c r="C2" s="245"/>
      <c r="D2" s="245"/>
      <c r="E2" s="245"/>
      <c r="F2" s="245"/>
      <c r="G2" s="245"/>
      <c r="H2" s="245"/>
      <c r="I2" s="245"/>
      <c r="J2" s="246"/>
    </row>
    <row r="3" spans="1:18" x14ac:dyDescent="0.25">
      <c r="A3" s="110" t="s">
        <v>1</v>
      </c>
      <c r="B3" s="96"/>
      <c r="C3" s="96"/>
      <c r="D3" s="96"/>
      <c r="E3" s="97"/>
      <c r="F3" s="247" t="str">
        <f ca="1">TEXT(TODAY(),"DD/MM/YYYY")</f>
        <v>19/09/2025</v>
      </c>
      <c r="G3" s="248"/>
      <c r="H3" s="248"/>
      <c r="I3" s="248"/>
      <c r="J3" s="249"/>
    </row>
    <row r="4" spans="1:18" ht="15" customHeight="1" x14ac:dyDescent="0.25">
      <c r="A4" s="110" t="s">
        <v>2</v>
      </c>
      <c r="B4" s="96"/>
      <c r="C4" s="96"/>
      <c r="D4" s="96"/>
      <c r="E4" s="97"/>
      <c r="F4" s="91" t="s">
        <v>138</v>
      </c>
      <c r="G4" s="92"/>
      <c r="H4" s="92"/>
      <c r="I4" s="92"/>
      <c r="J4" s="93"/>
    </row>
    <row r="5" spans="1:18" x14ac:dyDescent="0.25">
      <c r="A5" s="110" t="s">
        <v>3</v>
      </c>
      <c r="B5" s="96"/>
      <c r="C5" s="96"/>
      <c r="D5" s="96"/>
      <c r="E5" s="97"/>
      <c r="F5" s="250">
        <v>45917</v>
      </c>
      <c r="G5" s="251"/>
      <c r="H5" s="251"/>
      <c r="I5" s="251"/>
      <c r="J5" s="252"/>
    </row>
    <row r="6" spans="1:18" ht="16.5" customHeight="1" x14ac:dyDescent="0.25">
      <c r="A6" s="110" t="s">
        <v>4</v>
      </c>
      <c r="B6" s="96"/>
      <c r="C6" s="96"/>
      <c r="D6" s="96"/>
      <c r="E6" s="97"/>
      <c r="F6" s="94" t="s">
        <v>319</v>
      </c>
      <c r="G6" s="109"/>
      <c r="H6" s="109"/>
      <c r="I6" s="109"/>
      <c r="J6" s="95"/>
    </row>
    <row r="7" spans="1:18" ht="15" customHeight="1" x14ac:dyDescent="0.25">
      <c r="A7" s="110" t="s">
        <v>5</v>
      </c>
      <c r="B7" s="96"/>
      <c r="C7" s="96"/>
      <c r="D7" s="96"/>
      <c r="E7" s="97"/>
      <c r="F7" s="94" t="str">
        <f>F6</f>
        <v>M/s. Weelabrator Alloy Castings Ltd.</v>
      </c>
      <c r="G7" s="109"/>
      <c r="H7" s="109"/>
      <c r="I7" s="109"/>
      <c r="J7" s="95"/>
    </row>
    <row r="8" spans="1:18" x14ac:dyDescent="0.25">
      <c r="A8" s="110" t="s">
        <v>6</v>
      </c>
      <c r="B8" s="96"/>
      <c r="C8" s="96"/>
      <c r="D8" s="96"/>
      <c r="E8" s="97"/>
      <c r="F8" s="132" t="s">
        <v>231</v>
      </c>
      <c r="G8" s="133"/>
      <c r="H8" s="133"/>
      <c r="I8" s="133"/>
      <c r="J8" s="134"/>
    </row>
    <row r="9" spans="1:18" x14ac:dyDescent="0.25">
      <c r="A9" s="110" t="s">
        <v>7</v>
      </c>
      <c r="B9" s="96"/>
      <c r="C9" s="96"/>
      <c r="D9" s="96"/>
      <c r="E9" s="97"/>
      <c r="F9" s="110" t="s">
        <v>128</v>
      </c>
      <c r="G9" s="96"/>
      <c r="H9" s="96"/>
      <c r="I9" s="96"/>
      <c r="J9" s="97"/>
    </row>
    <row r="10" spans="1:18" x14ac:dyDescent="0.25">
      <c r="A10" s="110" t="s">
        <v>8</v>
      </c>
      <c r="B10" s="96"/>
      <c r="C10" s="96"/>
      <c r="D10" s="96"/>
      <c r="E10" s="97"/>
      <c r="F10" s="216" t="s">
        <v>230</v>
      </c>
      <c r="G10" s="253"/>
      <c r="H10" s="253"/>
      <c r="I10" s="253"/>
      <c r="J10" s="254"/>
    </row>
    <row r="11" spans="1:18" x14ac:dyDescent="0.25">
      <c r="A11" s="110" t="s">
        <v>9</v>
      </c>
      <c r="B11" s="96"/>
      <c r="C11" s="96"/>
      <c r="D11" s="96"/>
      <c r="E11" s="97"/>
      <c r="F11" s="216" t="s">
        <v>129</v>
      </c>
      <c r="G11" s="217"/>
      <c r="H11" s="217"/>
      <c r="I11" s="217"/>
      <c r="J11" s="218"/>
    </row>
    <row r="12" spans="1:18" ht="48.75" customHeight="1" x14ac:dyDescent="0.25">
      <c r="A12" s="255" t="s">
        <v>10</v>
      </c>
      <c r="B12" s="253"/>
      <c r="C12" s="253"/>
      <c r="D12" s="253"/>
      <c r="E12" s="254"/>
      <c r="F12" s="216" t="s">
        <v>258</v>
      </c>
      <c r="G12" s="253"/>
      <c r="H12" s="253"/>
      <c r="I12" s="253"/>
      <c r="J12" s="254"/>
    </row>
    <row r="13" spans="1:18" ht="46.5" customHeight="1" x14ac:dyDescent="0.25">
      <c r="A13" s="139" t="s">
        <v>11</v>
      </c>
      <c r="B13" s="139"/>
      <c r="C13" s="94" t="str">
        <f>CONCATENATE((IF(OR(F8="",F8="NA"),"",F8)),", ",(IF(OR(A14="",A14="NA"),"",A14)),".",(IF(OR(C14="",C14="NA"),"",C14)),", ",(IF(OR(C16="",C16="NA"),"",C16)),", ",(IF(OR(C15="",C15="NA"),"",C15)),", ",(IF(OR(C17="",C17="NA"),"",C17)),", ",(IF(OR(H16="",H16="NA"),"",H16)),", ",(IF(OR(H17="",H17="NA"),"",H17)),".")</f>
        <v>Runwal Forest (Tower 1 to 11), C.T.S. No..596, 596/1 to 6, 597, 597/1 to 7, 598, 598/1 to 3, 599A, 599A/1 to A81, 601, 602, 602/1 to 9, 603, 604, 605, 605/1 to 17, 606, 606/1 to 83, 607A, 607/1 to 31, 607D, L.B.S. Marg, Bhandup, Kanjurmarg West, Mumbai, 400078.</v>
      </c>
      <c r="D13" s="109"/>
      <c r="E13" s="109"/>
      <c r="F13" s="109"/>
      <c r="G13" s="109"/>
      <c r="H13" s="109"/>
      <c r="I13" s="109"/>
      <c r="J13" s="95"/>
    </row>
    <row r="14" spans="1:18" ht="31.5" customHeight="1" x14ac:dyDescent="0.25">
      <c r="A14" s="94" t="s">
        <v>131</v>
      </c>
      <c r="B14" s="95"/>
      <c r="C14" s="94" t="s">
        <v>320</v>
      </c>
      <c r="D14" s="109"/>
      <c r="E14" s="109"/>
      <c r="F14" s="109"/>
      <c r="G14" s="109"/>
      <c r="H14" s="109"/>
      <c r="I14" s="109"/>
      <c r="J14" s="95"/>
    </row>
    <row r="15" spans="1:18" x14ac:dyDescent="0.25">
      <c r="A15" s="94" t="s">
        <v>12</v>
      </c>
      <c r="B15" s="95"/>
      <c r="C15" s="94" t="s">
        <v>274</v>
      </c>
      <c r="D15" s="109"/>
      <c r="E15" s="109"/>
      <c r="F15" s="109"/>
      <c r="G15" s="109"/>
      <c r="H15" s="109"/>
      <c r="I15" s="109"/>
      <c r="J15" s="109"/>
      <c r="K15" s="98"/>
      <c r="L15" s="98"/>
      <c r="M15" s="98"/>
      <c r="N15" s="98"/>
      <c r="O15" s="98"/>
      <c r="P15" s="98"/>
      <c r="Q15" s="98"/>
      <c r="R15" s="98"/>
    </row>
    <row r="16" spans="1:18" ht="15.75" customHeight="1" x14ac:dyDescent="0.25">
      <c r="A16" s="207" t="s">
        <v>13</v>
      </c>
      <c r="B16" s="207"/>
      <c r="C16" s="207" t="s">
        <v>279</v>
      </c>
      <c r="D16" s="207"/>
      <c r="E16" s="207"/>
      <c r="F16" s="94" t="s">
        <v>14</v>
      </c>
      <c r="G16" s="95"/>
      <c r="H16" s="217" t="s">
        <v>130</v>
      </c>
      <c r="I16" s="217"/>
      <c r="J16" s="218"/>
    </row>
    <row r="17" spans="1:18" x14ac:dyDescent="0.25">
      <c r="A17" s="207" t="s">
        <v>15</v>
      </c>
      <c r="B17" s="207"/>
      <c r="C17" s="207" t="s">
        <v>229</v>
      </c>
      <c r="D17" s="207"/>
      <c r="E17" s="207"/>
      <c r="F17" s="139" t="s">
        <v>16</v>
      </c>
      <c r="G17" s="139"/>
      <c r="H17" s="217">
        <v>400078</v>
      </c>
      <c r="I17" s="217"/>
      <c r="J17" s="218"/>
    </row>
    <row r="18" spans="1:18" ht="32.25" customHeight="1" x14ac:dyDescent="0.25">
      <c r="A18" s="207" t="s">
        <v>17</v>
      </c>
      <c r="B18" s="207"/>
      <c r="C18" s="207" t="s">
        <v>132</v>
      </c>
      <c r="D18" s="207"/>
      <c r="E18" s="207"/>
      <c r="F18" s="139" t="s">
        <v>18</v>
      </c>
      <c r="G18" s="139"/>
      <c r="H18" s="217" t="s">
        <v>275</v>
      </c>
      <c r="I18" s="217"/>
      <c r="J18" s="218"/>
      <c r="O18" s="90" t="s">
        <v>317</v>
      </c>
      <c r="P18" s="90"/>
      <c r="Q18" s="90"/>
      <c r="R18" s="90"/>
    </row>
    <row r="19" spans="1:18" ht="15" customHeight="1" x14ac:dyDescent="0.25">
      <c r="A19" s="101" t="s">
        <v>19</v>
      </c>
      <c r="B19" s="236"/>
      <c r="C19" s="236"/>
      <c r="D19" s="236"/>
      <c r="E19" s="102"/>
      <c r="F19" s="237" t="s">
        <v>20</v>
      </c>
      <c r="G19" s="238"/>
      <c r="H19" s="238"/>
      <c r="I19" s="238"/>
      <c r="J19" s="239"/>
      <c r="O19" s="90"/>
      <c r="P19" s="90"/>
      <c r="Q19" s="90"/>
      <c r="R19" s="90"/>
    </row>
    <row r="20" spans="1:18" x14ac:dyDescent="0.25">
      <c r="A20" s="103"/>
      <c r="B20" s="135"/>
      <c r="C20" s="135"/>
      <c r="D20" s="135"/>
      <c r="E20" s="104"/>
      <c r="F20" s="240"/>
      <c r="G20" s="241"/>
      <c r="H20" s="241"/>
      <c r="I20" s="241"/>
      <c r="J20" s="242"/>
      <c r="O20" s="90"/>
      <c r="P20" s="90"/>
      <c r="Q20" s="90"/>
      <c r="R20" s="90"/>
    </row>
    <row r="21" spans="1:18" ht="15" customHeight="1" x14ac:dyDescent="0.25">
      <c r="A21" s="101" t="s">
        <v>21</v>
      </c>
      <c r="B21" s="236"/>
      <c r="C21" s="236"/>
      <c r="D21" s="236"/>
      <c r="E21" s="102"/>
      <c r="F21" s="101" t="s">
        <v>22</v>
      </c>
      <c r="G21" s="236"/>
      <c r="H21" s="236"/>
      <c r="I21" s="236"/>
      <c r="J21" s="102"/>
      <c r="O21" s="90"/>
      <c r="P21" s="90"/>
      <c r="Q21" s="90"/>
      <c r="R21" s="90"/>
    </row>
    <row r="22" spans="1:18" x14ac:dyDescent="0.25">
      <c r="A22" s="103"/>
      <c r="B22" s="135"/>
      <c r="C22" s="135"/>
      <c r="D22" s="135"/>
      <c r="E22" s="104"/>
      <c r="F22" s="103"/>
      <c r="G22" s="135"/>
      <c r="H22" s="135"/>
      <c r="I22" s="135"/>
      <c r="J22" s="104"/>
      <c r="O22" s="90"/>
      <c r="P22" s="90"/>
      <c r="Q22" s="90"/>
      <c r="R22" s="90"/>
    </row>
    <row r="23" spans="1:18" ht="15" customHeight="1" x14ac:dyDescent="0.25">
      <c r="A23" s="110" t="s">
        <v>23</v>
      </c>
      <c r="B23" s="96"/>
      <c r="C23" s="96"/>
      <c r="D23" s="96"/>
      <c r="E23" s="97"/>
      <c r="F23" s="91" t="s">
        <v>24</v>
      </c>
      <c r="G23" s="92"/>
      <c r="H23" s="92"/>
      <c r="I23" s="92"/>
      <c r="J23" s="93"/>
    </row>
    <row r="24" spans="1:18" x14ac:dyDescent="0.25">
      <c r="A24" s="110" t="s">
        <v>25</v>
      </c>
      <c r="B24" s="96"/>
      <c r="C24" s="96"/>
      <c r="D24" s="96"/>
      <c r="E24" s="97"/>
      <c r="F24" s="157" t="s">
        <v>26</v>
      </c>
      <c r="G24" s="158"/>
      <c r="H24" s="158"/>
      <c r="I24" s="158"/>
      <c r="J24" s="159"/>
    </row>
    <row r="25" spans="1:18" ht="15" customHeight="1" x14ac:dyDescent="0.25">
      <c r="A25" s="110" t="s">
        <v>27</v>
      </c>
      <c r="B25" s="96"/>
      <c r="C25" s="96"/>
      <c r="D25" s="96"/>
      <c r="E25" s="97"/>
      <c r="F25" s="91" t="s">
        <v>133</v>
      </c>
      <c r="G25" s="92"/>
      <c r="H25" s="92"/>
      <c r="I25" s="92"/>
      <c r="J25" s="92"/>
    </row>
    <row r="26" spans="1:18" x14ac:dyDescent="0.25">
      <c r="A26" s="110" t="s">
        <v>28</v>
      </c>
      <c r="B26" s="96"/>
      <c r="C26" s="96"/>
      <c r="D26" s="96"/>
      <c r="E26" s="97"/>
      <c r="F26" s="157" t="s">
        <v>29</v>
      </c>
      <c r="G26" s="158"/>
      <c r="H26" s="158"/>
      <c r="I26" s="158"/>
      <c r="J26" s="158"/>
    </row>
    <row r="27" spans="1:18" x14ac:dyDescent="0.25">
      <c r="A27" s="233" t="s">
        <v>30</v>
      </c>
      <c r="B27" s="234"/>
      <c r="C27" s="233" t="s">
        <v>280</v>
      </c>
      <c r="D27" s="235"/>
      <c r="E27" s="235"/>
      <c r="F27" s="234"/>
      <c r="G27" s="233" t="s">
        <v>36</v>
      </c>
      <c r="H27" s="235"/>
      <c r="I27" s="235"/>
      <c r="J27" s="235"/>
    </row>
    <row r="28" spans="1:18" x14ac:dyDescent="0.25">
      <c r="A28" s="126" t="s">
        <v>31</v>
      </c>
      <c r="B28" s="127"/>
      <c r="C28" s="128" t="s">
        <v>134</v>
      </c>
      <c r="D28" s="129"/>
      <c r="E28" s="129"/>
      <c r="F28" s="130"/>
      <c r="G28" s="128" t="s">
        <v>134</v>
      </c>
      <c r="H28" s="129"/>
      <c r="I28" s="129"/>
      <c r="J28" s="129"/>
    </row>
    <row r="29" spans="1:18" x14ac:dyDescent="0.25">
      <c r="A29" s="126" t="s">
        <v>32</v>
      </c>
      <c r="B29" s="127"/>
      <c r="C29" s="128" t="s">
        <v>282</v>
      </c>
      <c r="D29" s="129"/>
      <c r="E29" s="129"/>
      <c r="F29" s="130"/>
      <c r="G29" s="128" t="s">
        <v>135</v>
      </c>
      <c r="H29" s="129"/>
      <c r="I29" s="129"/>
      <c r="J29" s="129"/>
    </row>
    <row r="30" spans="1:18" x14ac:dyDescent="0.25">
      <c r="A30" s="126" t="s">
        <v>34</v>
      </c>
      <c r="B30" s="127"/>
      <c r="C30" s="128" t="s">
        <v>281</v>
      </c>
      <c r="D30" s="129"/>
      <c r="E30" s="129"/>
      <c r="F30" s="130"/>
      <c r="G30" s="131" t="s">
        <v>137</v>
      </c>
      <c r="H30" s="129"/>
      <c r="I30" s="129"/>
      <c r="J30" s="129"/>
    </row>
    <row r="31" spans="1:18" x14ac:dyDescent="0.25">
      <c r="A31" s="126" t="s">
        <v>33</v>
      </c>
      <c r="B31" s="127"/>
      <c r="C31" s="128" t="s">
        <v>281</v>
      </c>
      <c r="D31" s="129"/>
      <c r="E31" s="129"/>
      <c r="F31" s="130"/>
      <c r="G31" s="131" t="s">
        <v>136</v>
      </c>
      <c r="H31" s="129"/>
      <c r="I31" s="129"/>
      <c r="J31" s="129"/>
    </row>
    <row r="32" spans="1:18" x14ac:dyDescent="0.25">
      <c r="A32" s="110" t="s">
        <v>37</v>
      </c>
      <c r="B32" s="96"/>
      <c r="C32" s="96"/>
      <c r="D32" s="96"/>
      <c r="E32" s="96"/>
      <c r="F32" s="96"/>
      <c r="G32" s="96"/>
      <c r="H32" s="96"/>
      <c r="I32" s="96"/>
      <c r="J32" s="96"/>
    </row>
    <row r="33" spans="1:15" x14ac:dyDescent="0.25">
      <c r="A33" s="110" t="s">
        <v>38</v>
      </c>
      <c r="B33" s="96"/>
      <c r="C33" s="96"/>
      <c r="D33" s="96"/>
      <c r="E33" s="96"/>
      <c r="F33" s="96"/>
      <c r="G33" s="96"/>
      <c r="H33" s="96"/>
      <c r="I33" s="96"/>
      <c r="J33" s="96"/>
    </row>
    <row r="34" spans="1:15" ht="15" customHeight="1" x14ac:dyDescent="0.25">
      <c r="A34" s="110" t="s">
        <v>39</v>
      </c>
      <c r="B34" s="97"/>
      <c r="C34" s="132" t="s">
        <v>245</v>
      </c>
      <c r="D34" s="133"/>
      <c r="E34" s="133"/>
      <c r="F34" s="133"/>
      <c r="G34" s="133"/>
      <c r="H34" s="133"/>
      <c r="I34" s="133"/>
      <c r="J34" s="133"/>
    </row>
    <row r="35" spans="1:15" x14ac:dyDescent="0.25">
      <c r="A35" s="110" t="s">
        <v>244</v>
      </c>
      <c r="B35" s="97"/>
      <c r="C35" s="229" t="s">
        <v>246</v>
      </c>
      <c r="D35" s="96"/>
      <c r="E35" s="96"/>
      <c r="F35" s="96"/>
      <c r="G35" s="96"/>
      <c r="H35" s="96"/>
      <c r="I35" s="96"/>
      <c r="J35" s="96"/>
    </row>
    <row r="36" spans="1:15" x14ac:dyDescent="0.25">
      <c r="A36" s="132" t="s">
        <v>40</v>
      </c>
      <c r="B36" s="133"/>
      <c r="C36" s="133"/>
      <c r="D36" s="133"/>
      <c r="E36" s="133"/>
      <c r="F36" s="133"/>
      <c r="G36" s="133"/>
      <c r="H36" s="133"/>
      <c r="I36" s="133"/>
      <c r="J36" s="134"/>
    </row>
    <row r="37" spans="1:15" ht="15" customHeight="1" x14ac:dyDescent="0.25">
      <c r="A37" s="94" t="s">
        <v>41</v>
      </c>
      <c r="B37" s="109"/>
      <c r="C37" s="109"/>
      <c r="D37" s="109"/>
      <c r="E37" s="95"/>
      <c r="F37" s="230" t="s">
        <v>42</v>
      </c>
      <c r="G37" s="231"/>
      <c r="H37" s="231"/>
      <c r="I37" s="231"/>
      <c r="J37" s="232"/>
    </row>
    <row r="38" spans="1:15" ht="15" customHeight="1" x14ac:dyDescent="0.25">
      <c r="A38" s="103" t="s">
        <v>43</v>
      </c>
      <c r="B38" s="135"/>
      <c r="C38" s="135"/>
      <c r="D38" s="135"/>
      <c r="E38" s="135"/>
      <c r="F38" s="94" t="s">
        <v>44</v>
      </c>
      <c r="G38" s="109"/>
      <c r="H38" s="109"/>
      <c r="I38" s="109"/>
      <c r="J38" s="95"/>
    </row>
    <row r="39" spans="1:15" x14ac:dyDescent="0.25">
      <c r="A39" s="132" t="s">
        <v>45</v>
      </c>
      <c r="B39" s="133"/>
      <c r="C39" s="133"/>
      <c r="D39" s="133"/>
      <c r="E39" s="133"/>
      <c r="F39" s="133"/>
      <c r="G39" s="133"/>
      <c r="H39" s="133"/>
      <c r="I39" s="133"/>
      <c r="J39" s="134"/>
    </row>
    <row r="40" spans="1:15" x14ac:dyDescent="0.25">
      <c r="A40" s="110" t="s">
        <v>46</v>
      </c>
      <c r="B40" s="96"/>
      <c r="C40" s="96"/>
      <c r="D40" s="96"/>
      <c r="E40" s="97"/>
      <c r="F40" s="136">
        <v>47427.55</v>
      </c>
      <c r="G40" s="137"/>
      <c r="H40" s="137"/>
      <c r="I40" s="137"/>
      <c r="J40" s="138"/>
    </row>
    <row r="41" spans="1:15" x14ac:dyDescent="0.25">
      <c r="A41" s="110" t="s">
        <v>47</v>
      </c>
      <c r="B41" s="96"/>
      <c r="C41" s="96"/>
      <c r="D41" s="96"/>
      <c r="E41" s="97"/>
      <c r="F41" s="111">
        <v>1</v>
      </c>
      <c r="G41" s="112"/>
      <c r="H41" s="112"/>
      <c r="I41" s="112"/>
      <c r="J41" s="113"/>
    </row>
    <row r="42" spans="1:15" x14ac:dyDescent="0.25">
      <c r="A42" s="110" t="s">
        <v>48</v>
      </c>
      <c r="B42" s="96"/>
      <c r="C42" s="96"/>
      <c r="D42" s="96"/>
      <c r="E42" s="97"/>
      <c r="F42" s="111">
        <f>F43-F41</f>
        <v>2.6503220174771833</v>
      </c>
      <c r="G42" s="112"/>
      <c r="H42" s="112"/>
      <c r="I42" s="112"/>
      <c r="J42" s="113"/>
    </row>
    <row r="43" spans="1:15" x14ac:dyDescent="0.25">
      <c r="A43" s="110" t="s">
        <v>49</v>
      </c>
      <c r="B43" s="96"/>
      <c r="C43" s="96"/>
      <c r="D43" s="96"/>
      <c r="E43" s="97"/>
      <c r="F43" s="111">
        <f>F44/F40</f>
        <v>3.6503220174771833</v>
      </c>
      <c r="G43" s="112"/>
      <c r="H43" s="112"/>
      <c r="I43" s="112"/>
      <c r="J43" s="113"/>
    </row>
    <row r="44" spans="1:15" x14ac:dyDescent="0.25">
      <c r="A44" s="110" t="s">
        <v>50</v>
      </c>
      <c r="B44" s="96"/>
      <c r="C44" s="96"/>
      <c r="D44" s="96"/>
      <c r="E44" s="97"/>
      <c r="F44" s="111">
        <v>173125.83</v>
      </c>
      <c r="G44" s="112"/>
      <c r="H44" s="112"/>
      <c r="I44" s="112"/>
      <c r="J44" s="113"/>
      <c r="K44" s="111">
        <v>168130.82</v>
      </c>
      <c r="L44" s="112"/>
      <c r="M44" s="112"/>
      <c r="N44" s="112"/>
      <c r="O44" s="113"/>
    </row>
    <row r="45" spans="1:15" x14ac:dyDescent="0.25">
      <c r="A45" s="110" t="s">
        <v>51</v>
      </c>
      <c r="B45" s="96"/>
      <c r="C45" s="96"/>
      <c r="D45" s="96"/>
      <c r="E45" s="97"/>
      <c r="F45" s="114" t="s">
        <v>302</v>
      </c>
      <c r="G45" s="115"/>
      <c r="H45" s="115"/>
      <c r="I45" s="115"/>
      <c r="J45" s="116"/>
    </row>
    <row r="46" spans="1:15" x14ac:dyDescent="0.25">
      <c r="A46" s="132" t="s">
        <v>52</v>
      </c>
      <c r="B46" s="133"/>
      <c r="C46" s="133"/>
      <c r="D46" s="133"/>
      <c r="E46" s="133"/>
      <c r="F46" s="133"/>
      <c r="G46" s="133"/>
      <c r="H46" s="133"/>
      <c r="I46" s="133"/>
      <c r="J46" s="134"/>
    </row>
    <row r="47" spans="1:15" ht="63" customHeight="1" x14ac:dyDescent="0.25">
      <c r="A47" s="94" t="s">
        <v>53</v>
      </c>
      <c r="B47" s="95"/>
      <c r="C47" s="139" t="s">
        <v>250</v>
      </c>
      <c r="D47" s="139"/>
      <c r="E47" s="139"/>
      <c r="F47" s="139"/>
      <c r="G47" s="85" t="s">
        <v>259</v>
      </c>
      <c r="H47" s="94" t="s">
        <v>249</v>
      </c>
      <c r="I47" s="109"/>
      <c r="J47" s="95"/>
    </row>
    <row r="48" spans="1:15" ht="63" customHeight="1" x14ac:dyDescent="0.25">
      <c r="A48" s="110" t="s">
        <v>55</v>
      </c>
      <c r="B48" s="97"/>
      <c r="C48" s="139" t="s">
        <v>250</v>
      </c>
      <c r="D48" s="139"/>
      <c r="E48" s="139"/>
      <c r="F48" s="139"/>
      <c r="G48" s="85" t="s">
        <v>260</v>
      </c>
      <c r="H48" s="94" t="s">
        <v>261</v>
      </c>
      <c r="I48" s="109"/>
      <c r="J48" s="95"/>
    </row>
    <row r="49" spans="1:17" x14ac:dyDescent="0.25">
      <c r="A49" s="244" t="s">
        <v>251</v>
      </c>
      <c r="B49" s="245"/>
      <c r="C49" s="245"/>
      <c r="D49" s="245"/>
      <c r="E49" s="245"/>
      <c r="F49" s="245"/>
      <c r="G49" s="245"/>
      <c r="H49" s="245"/>
      <c r="I49" s="245"/>
      <c r="J49" s="246"/>
    </row>
    <row r="50" spans="1:17" ht="33.75" customHeight="1" x14ac:dyDescent="0.25">
      <c r="A50" s="110" t="s">
        <v>53</v>
      </c>
      <c r="B50" s="97"/>
      <c r="C50" s="139" t="s">
        <v>301</v>
      </c>
      <c r="D50" s="139"/>
      <c r="E50" s="139"/>
      <c r="F50" s="139"/>
      <c r="G50" s="85" t="s">
        <v>54</v>
      </c>
      <c r="H50" s="99">
        <v>45705</v>
      </c>
      <c r="I50" s="109"/>
      <c r="J50" s="95"/>
      <c r="K50" s="139" t="s">
        <v>252</v>
      </c>
      <c r="L50" s="139"/>
      <c r="M50" s="139"/>
      <c r="N50" s="139"/>
      <c r="O50" s="99">
        <v>45356</v>
      </c>
      <c r="P50" s="109"/>
      <c r="Q50" s="95"/>
    </row>
    <row r="51" spans="1:17" ht="32.25" customHeight="1" x14ac:dyDescent="0.25">
      <c r="A51" s="110" t="s">
        <v>55</v>
      </c>
      <c r="B51" s="97"/>
      <c r="C51" s="139" t="s">
        <v>301</v>
      </c>
      <c r="D51" s="139"/>
      <c r="E51" s="139"/>
      <c r="F51" s="139"/>
      <c r="G51" s="85" t="s">
        <v>54</v>
      </c>
      <c r="H51" s="99">
        <f>H50</f>
        <v>45705</v>
      </c>
      <c r="I51" s="109"/>
      <c r="J51" s="95"/>
    </row>
    <row r="52" spans="1:17" ht="30" customHeight="1" x14ac:dyDescent="0.25">
      <c r="A52" s="101" t="s">
        <v>276</v>
      </c>
      <c r="B52" s="102"/>
      <c r="C52" s="94" t="s">
        <v>278</v>
      </c>
      <c r="D52" s="96"/>
      <c r="E52" s="96"/>
      <c r="F52" s="97"/>
      <c r="G52" s="85" t="s">
        <v>202</v>
      </c>
      <c r="H52" s="99">
        <v>45587</v>
      </c>
      <c r="I52" s="109"/>
      <c r="J52" s="95"/>
    </row>
    <row r="53" spans="1:17" ht="181.5" customHeight="1" x14ac:dyDescent="0.25">
      <c r="A53" s="103"/>
      <c r="B53" s="104"/>
      <c r="C53" s="94" t="s">
        <v>296</v>
      </c>
      <c r="D53" s="96"/>
      <c r="E53" s="96"/>
      <c r="F53" s="97"/>
      <c r="G53" s="47" t="s">
        <v>277</v>
      </c>
      <c r="H53" s="99">
        <v>45951</v>
      </c>
      <c r="I53" s="109"/>
      <c r="J53" s="95"/>
    </row>
    <row r="54" spans="1:17" ht="30" x14ac:dyDescent="0.25">
      <c r="A54" s="94" t="s">
        <v>298</v>
      </c>
      <c r="B54" s="95"/>
      <c r="C54" s="94" t="s">
        <v>321</v>
      </c>
      <c r="D54" s="96"/>
      <c r="E54" s="96"/>
      <c r="F54" s="97"/>
      <c r="G54" s="85" t="s">
        <v>202</v>
      </c>
      <c r="H54" s="99">
        <v>45622</v>
      </c>
      <c r="I54" s="100"/>
      <c r="J54" s="100"/>
      <c r="K54" s="98" t="s">
        <v>299</v>
      </c>
      <c r="L54" s="98"/>
    </row>
    <row r="55" spans="1:17" ht="158.25" customHeight="1" x14ac:dyDescent="0.25">
      <c r="A55" s="94" t="s">
        <v>322</v>
      </c>
      <c r="B55" s="95"/>
      <c r="C55" s="94" t="s">
        <v>323</v>
      </c>
      <c r="D55" s="96"/>
      <c r="E55" s="96"/>
      <c r="F55" s="97"/>
      <c r="G55" s="47" t="s">
        <v>277</v>
      </c>
      <c r="H55" s="99">
        <v>45986</v>
      </c>
      <c r="I55" s="100"/>
      <c r="J55" s="100"/>
      <c r="K55" s="98"/>
      <c r="L55" s="98"/>
    </row>
    <row r="56" spans="1:17" ht="30" customHeight="1" x14ac:dyDescent="0.25">
      <c r="A56" s="94" t="s">
        <v>298</v>
      </c>
      <c r="B56" s="95"/>
      <c r="C56" s="94" t="s">
        <v>326</v>
      </c>
      <c r="D56" s="96"/>
      <c r="E56" s="96"/>
      <c r="F56" s="97"/>
      <c r="G56" s="85" t="s">
        <v>202</v>
      </c>
      <c r="H56" s="99">
        <v>45741</v>
      </c>
      <c r="I56" s="109"/>
      <c r="J56" s="95"/>
    </row>
    <row r="57" spans="1:17" ht="156.75" customHeight="1" x14ac:dyDescent="0.25">
      <c r="A57" s="94" t="s">
        <v>322</v>
      </c>
      <c r="B57" s="95"/>
      <c r="C57" s="94" t="s">
        <v>339</v>
      </c>
      <c r="D57" s="96"/>
      <c r="E57" s="96"/>
      <c r="F57" s="97"/>
      <c r="G57" s="85" t="s">
        <v>327</v>
      </c>
      <c r="H57" s="99">
        <v>46028</v>
      </c>
      <c r="I57" s="109"/>
      <c r="J57" s="95"/>
      <c r="K57" s="280"/>
      <c r="L57" s="280"/>
    </row>
    <row r="58" spans="1:17" s="89" customFormat="1" ht="33.75" customHeight="1" x14ac:dyDescent="0.25">
      <c r="A58" s="101" t="s">
        <v>325</v>
      </c>
      <c r="B58" s="102"/>
      <c r="C58" s="105" t="s">
        <v>331</v>
      </c>
      <c r="D58" s="281"/>
      <c r="E58" s="281"/>
      <c r="F58" s="282"/>
      <c r="G58" s="85" t="s">
        <v>54</v>
      </c>
      <c r="H58" s="99">
        <v>45711</v>
      </c>
      <c r="I58" s="100"/>
      <c r="J58" s="283"/>
      <c r="L58" s="108"/>
      <c r="M58" s="108"/>
      <c r="N58" s="108"/>
      <c r="O58" s="108"/>
    </row>
    <row r="59" spans="1:17" ht="15" customHeight="1" x14ac:dyDescent="0.25">
      <c r="A59" s="103"/>
      <c r="B59" s="104"/>
      <c r="C59" s="105" t="s">
        <v>324</v>
      </c>
      <c r="D59" s="106"/>
      <c r="E59" s="106"/>
      <c r="F59" s="106"/>
      <c r="G59" s="106"/>
      <c r="H59" s="106"/>
      <c r="I59" s="106"/>
      <c r="J59" s="107"/>
      <c r="L59" s="108"/>
      <c r="M59" s="108"/>
      <c r="N59" s="108"/>
      <c r="O59" s="108"/>
    </row>
    <row r="60" spans="1:17" ht="30.75" customHeight="1" x14ac:dyDescent="0.25">
      <c r="A60" s="101" t="s">
        <v>329</v>
      </c>
      <c r="B60" s="102"/>
      <c r="C60" s="105" t="s">
        <v>330</v>
      </c>
      <c r="D60" s="292"/>
      <c r="E60" s="292"/>
      <c r="F60" s="293"/>
      <c r="G60" s="86" t="s">
        <v>54</v>
      </c>
      <c r="H60" s="99">
        <v>45711</v>
      </c>
      <c r="I60" s="100"/>
      <c r="J60" s="283"/>
      <c r="L60" s="108"/>
      <c r="M60" s="108"/>
      <c r="N60" s="108"/>
      <c r="O60" s="108"/>
    </row>
    <row r="61" spans="1:17" ht="15" customHeight="1" x14ac:dyDescent="0.25">
      <c r="A61" s="103"/>
      <c r="B61" s="104"/>
      <c r="C61" s="105" t="s">
        <v>332</v>
      </c>
      <c r="D61" s="106"/>
      <c r="E61" s="106"/>
      <c r="F61" s="106"/>
      <c r="G61" s="106"/>
      <c r="H61" s="106"/>
      <c r="I61" s="106"/>
      <c r="J61" s="107"/>
      <c r="L61" s="108"/>
      <c r="M61" s="108"/>
      <c r="N61" s="108"/>
      <c r="O61" s="108"/>
    </row>
    <row r="62" spans="1:17" ht="93.75" customHeight="1" x14ac:dyDescent="0.25">
      <c r="A62" s="140" t="s">
        <v>262</v>
      </c>
      <c r="B62" s="141"/>
      <c r="C62" s="140" t="s">
        <v>165</v>
      </c>
      <c r="D62" s="133"/>
      <c r="E62" s="133"/>
      <c r="F62" s="134" t="s">
        <v>57</v>
      </c>
      <c r="G62" s="87" t="s">
        <v>54</v>
      </c>
      <c r="H62" s="140" t="s">
        <v>163</v>
      </c>
      <c r="I62" s="142" t="s">
        <v>35</v>
      </c>
      <c r="J62" s="141"/>
      <c r="L62" s="287" t="s">
        <v>318</v>
      </c>
      <c r="M62" s="108"/>
      <c r="N62" s="108"/>
      <c r="O62" s="288"/>
    </row>
    <row r="63" spans="1:17" ht="87" customHeight="1" x14ac:dyDescent="0.25">
      <c r="A63" s="140" t="s">
        <v>56</v>
      </c>
      <c r="B63" s="141"/>
      <c r="C63" s="140" t="s">
        <v>162</v>
      </c>
      <c r="D63" s="133"/>
      <c r="E63" s="133"/>
      <c r="F63" s="134" t="s">
        <v>57</v>
      </c>
      <c r="G63" s="87" t="s">
        <v>54</v>
      </c>
      <c r="H63" s="140" t="s">
        <v>161</v>
      </c>
      <c r="I63" s="142" t="s">
        <v>35</v>
      </c>
      <c r="J63" s="141"/>
      <c r="L63" s="289"/>
      <c r="M63" s="290"/>
      <c r="N63" s="290"/>
      <c r="O63" s="291"/>
    </row>
    <row r="64" spans="1:17" ht="101.25" customHeight="1" x14ac:dyDescent="0.25">
      <c r="A64" s="140" t="s">
        <v>56</v>
      </c>
      <c r="B64" s="141"/>
      <c r="C64" s="140" t="s">
        <v>139</v>
      </c>
      <c r="D64" s="133"/>
      <c r="E64" s="133"/>
      <c r="F64" s="134" t="s">
        <v>57</v>
      </c>
      <c r="G64" s="87" t="s">
        <v>54</v>
      </c>
      <c r="H64" s="140" t="s">
        <v>140</v>
      </c>
      <c r="I64" s="142" t="s">
        <v>35</v>
      </c>
      <c r="J64" s="141"/>
    </row>
    <row r="65" spans="1:12" ht="149.65" customHeight="1" x14ac:dyDescent="0.25">
      <c r="A65" s="140" t="s">
        <v>56</v>
      </c>
      <c r="B65" s="141"/>
      <c r="C65" s="140" t="s">
        <v>166</v>
      </c>
      <c r="D65" s="133"/>
      <c r="E65" s="133"/>
      <c r="F65" s="134" t="s">
        <v>57</v>
      </c>
      <c r="G65" s="87" t="s">
        <v>54</v>
      </c>
      <c r="H65" s="140" t="s">
        <v>164</v>
      </c>
      <c r="I65" s="142" t="s">
        <v>35</v>
      </c>
      <c r="J65" s="141"/>
    </row>
    <row r="66" spans="1:12" ht="79.5" customHeight="1" x14ac:dyDescent="0.25">
      <c r="A66" s="140" t="s">
        <v>56</v>
      </c>
      <c r="B66" s="141"/>
      <c r="C66" s="140" t="s">
        <v>248</v>
      </c>
      <c r="D66" s="133"/>
      <c r="E66" s="133"/>
      <c r="F66" s="134" t="s">
        <v>57</v>
      </c>
      <c r="G66" s="87" t="s">
        <v>54</v>
      </c>
      <c r="H66" s="284" t="s">
        <v>247</v>
      </c>
      <c r="I66" s="285" t="s">
        <v>35</v>
      </c>
      <c r="J66" s="286"/>
    </row>
    <row r="67" spans="1:12" ht="30" customHeight="1" x14ac:dyDescent="0.25">
      <c r="A67" s="207" t="s">
        <v>58</v>
      </c>
      <c r="B67" s="207"/>
      <c r="C67" s="207"/>
      <c r="D67" s="208">
        <v>42011</v>
      </c>
      <c r="E67" s="208"/>
      <c r="F67" s="110" t="s">
        <v>59</v>
      </c>
      <c r="G67" s="209"/>
      <c r="H67" s="99" t="s">
        <v>336</v>
      </c>
      <c r="I67" s="96"/>
      <c r="J67" s="97"/>
    </row>
    <row r="68" spans="1:12" x14ac:dyDescent="0.25">
      <c r="A68" s="210" t="s">
        <v>60</v>
      </c>
      <c r="B68" s="211"/>
      <c r="C68" s="211"/>
      <c r="D68" s="211"/>
      <c r="E68" s="211"/>
      <c r="F68" s="211"/>
      <c r="G68" s="211"/>
      <c r="H68" s="211"/>
      <c r="I68" s="211"/>
      <c r="J68" s="212"/>
    </row>
    <row r="69" spans="1:12" ht="29.25" customHeight="1" x14ac:dyDescent="0.25">
      <c r="A69" s="94" t="s">
        <v>337</v>
      </c>
      <c r="B69" s="96"/>
      <c r="C69" s="97"/>
      <c r="D69" s="110">
        <f>20800.11+25681.85+25038.85</f>
        <v>71520.81</v>
      </c>
      <c r="E69" s="96"/>
      <c r="F69" s="96"/>
      <c r="G69" s="96"/>
      <c r="H69" s="96"/>
      <c r="I69" s="96"/>
      <c r="J69" s="97"/>
    </row>
    <row r="70" spans="1:12" x14ac:dyDescent="0.25">
      <c r="A70" s="110" t="s">
        <v>61</v>
      </c>
      <c r="B70" s="96"/>
      <c r="C70" s="97"/>
      <c r="D70" s="114" t="s">
        <v>316</v>
      </c>
      <c r="E70" s="115"/>
      <c r="F70" s="115"/>
      <c r="G70" s="115"/>
      <c r="H70" s="115"/>
      <c r="I70" s="115"/>
      <c r="J70" s="116"/>
      <c r="K70" s="48">
        <f>191+428*2</f>
        <v>1047</v>
      </c>
    </row>
    <row r="71" spans="1:12" ht="136.5" customHeight="1" x14ac:dyDescent="0.25">
      <c r="A71" s="255" t="s">
        <v>62</v>
      </c>
      <c r="B71" s="253"/>
      <c r="C71" s="254"/>
      <c r="D71" s="216" t="s">
        <v>334</v>
      </c>
      <c r="E71" s="217"/>
      <c r="F71" s="217"/>
      <c r="G71" s="217"/>
      <c r="H71" s="217"/>
      <c r="I71" s="217"/>
      <c r="J71" s="218"/>
    </row>
    <row r="72" spans="1:12" ht="107.25" customHeight="1" x14ac:dyDescent="0.25">
      <c r="A72" s="255" t="s">
        <v>333</v>
      </c>
      <c r="B72" s="253"/>
      <c r="C72" s="254"/>
      <c r="D72" s="216" t="s">
        <v>283</v>
      </c>
      <c r="E72" s="217"/>
      <c r="F72" s="217"/>
      <c r="G72" s="217"/>
      <c r="H72" s="217"/>
      <c r="I72" s="217"/>
      <c r="J72" s="218"/>
      <c r="L72" s="48" t="s">
        <v>200</v>
      </c>
    </row>
    <row r="73" spans="1:12" x14ac:dyDescent="0.25">
      <c r="A73" s="110" t="s">
        <v>284</v>
      </c>
      <c r="B73" s="96"/>
      <c r="C73" s="96"/>
      <c r="D73" s="94" t="s">
        <v>29</v>
      </c>
      <c r="E73" s="109"/>
      <c r="F73" s="109"/>
      <c r="G73" s="109"/>
      <c r="H73" s="109"/>
      <c r="I73" s="109"/>
      <c r="J73" s="95"/>
    </row>
    <row r="74" spans="1:12" x14ac:dyDescent="0.25">
      <c r="A74" s="110" t="s">
        <v>285</v>
      </c>
      <c r="B74" s="96"/>
      <c r="C74" s="96"/>
      <c r="D74" s="94" t="s">
        <v>286</v>
      </c>
      <c r="E74" s="109"/>
      <c r="F74" s="109"/>
      <c r="G74" s="109"/>
      <c r="H74" s="109"/>
      <c r="I74" s="109"/>
      <c r="J74" s="95"/>
    </row>
    <row r="75" spans="1:12" x14ac:dyDescent="0.25">
      <c r="A75" s="110" t="s">
        <v>287</v>
      </c>
      <c r="B75" s="96"/>
      <c r="C75" s="96"/>
      <c r="D75" s="94" t="s">
        <v>288</v>
      </c>
      <c r="E75" s="109"/>
      <c r="F75" s="109"/>
      <c r="G75" s="109"/>
      <c r="H75" s="109"/>
      <c r="I75" s="109"/>
      <c r="J75" s="95"/>
    </row>
    <row r="76" spans="1:12" x14ac:dyDescent="0.25">
      <c r="A76" s="110" t="s">
        <v>290</v>
      </c>
      <c r="B76" s="96"/>
      <c r="C76" s="96"/>
      <c r="D76" s="94" t="s">
        <v>35</v>
      </c>
      <c r="E76" s="109"/>
      <c r="F76" s="109"/>
      <c r="G76" s="109"/>
      <c r="H76" s="109"/>
      <c r="I76" s="109"/>
      <c r="J76" s="95"/>
    </row>
    <row r="77" spans="1:12" ht="32.65" customHeight="1" x14ac:dyDescent="0.25">
      <c r="A77" s="110" t="s">
        <v>291</v>
      </c>
      <c r="B77" s="96"/>
      <c r="C77" s="96" t="s">
        <v>289</v>
      </c>
      <c r="D77" s="94" t="s">
        <v>294</v>
      </c>
      <c r="E77" s="109"/>
      <c r="F77" s="109"/>
      <c r="G77" s="109"/>
      <c r="H77" s="109"/>
      <c r="I77" s="109"/>
      <c r="J77" s="95"/>
    </row>
    <row r="78" spans="1:12" ht="28.9" customHeight="1" x14ac:dyDescent="0.25">
      <c r="A78" s="94" t="s">
        <v>292</v>
      </c>
      <c r="B78" s="109"/>
      <c r="C78" s="109"/>
      <c r="D78" s="94" t="s">
        <v>293</v>
      </c>
      <c r="E78" s="109"/>
      <c r="F78" s="109"/>
      <c r="G78" s="109"/>
      <c r="H78" s="109"/>
      <c r="I78" s="109"/>
      <c r="J78" s="95"/>
    </row>
    <row r="79" spans="1:12" ht="15" customHeight="1" thickBot="1" x14ac:dyDescent="0.3">
      <c r="A79" s="213" t="s">
        <v>63</v>
      </c>
      <c r="B79" s="214"/>
      <c r="C79" s="214"/>
      <c r="D79" s="214"/>
      <c r="E79" s="214"/>
      <c r="F79" s="214"/>
      <c r="G79" s="214"/>
      <c r="H79" s="214"/>
      <c r="I79" s="214"/>
      <c r="J79" s="215"/>
    </row>
    <row r="80" spans="1:12" ht="65.25" customHeight="1" x14ac:dyDescent="0.25">
      <c r="A80" s="225" t="s">
        <v>167</v>
      </c>
      <c r="B80" s="226"/>
      <c r="C80" s="227" t="s">
        <v>239</v>
      </c>
      <c r="D80" s="227"/>
      <c r="E80" s="227"/>
      <c r="F80" s="227"/>
      <c r="G80" s="227"/>
      <c r="H80" s="227"/>
      <c r="I80" s="227"/>
      <c r="J80" s="228"/>
      <c r="K80" s="33" t="e">
        <f>(IF(#REF!&gt;99%,"All work completed. Please provide OC.",IF(#REF!&gt;89.8%,"Plinth, RCC, Brick, Plaster, Flooring, Painting work Completed. Finishing work is in process.",IF(#REF!&lt;94%,(IF(#REF!=0,"Work not yet Started.",IF(#REF!=25%,"Piling work in process",IF(#REF!=50%,"Excavation work in process",IF(#REF!=100%,"Excavation work Completed. ","0")))&amp;(IF(#REF!=0%,"",IF(#REF!=#REF!,"Footing work is process",IF(#REF!=#REF!,"Footing work Completed",IF(#REF!=#REF!,"1st Basement Completed",IF(#REF!=#REF!,"1st &amp; 2nd Basement Completed",IF(#REF!=#REF!,"1st to 3rd Basement Completed",IF(#REF!=#REF!,"1st to 4th Basement Completed",IF(#REF!=#REF!,"Plinth work is process",IF(#REF!=#REF!,"Plinth work completed","0")))))))))))&amp;(IF(#REF!=(D81+G81+I81),", RCC Slab",IF(#REF!&gt;0,", RCC upto "&amp;#REF!&amp;" Slab",""))&amp;(IF(#REF!=I81,", Brickwork",IF(#REF!&gt;0,", Brickwork upto "&amp;#REF!&amp;" Floor",""))&amp;(IF(#REF!=I81,", Internal Plaster",IF(#REF!&gt;0,", Internal Plaster upto "&amp;#REF!&amp;" Floor",""))&amp;(IF(#REF!=I81,", External Plaster",IF(#REF!&gt;0,", External Plaster upto "&amp;#REF!&amp;" Floor",""))&amp;(IF(#REF!=I81,", Flooring",IF(#REF!&gt;0,", Flooring upto "&amp;#REF!&amp;" Floor",""))&amp;(IF(#REF!=I81,", Painting",IF(#REF!&gt;0,", Painting upto "&amp;#REF!&amp;" Floor",""))&amp;(IF(#REF!&gt;0,", Finishing upto "&amp;#REF!&amp;" Floor","")&amp;(IF(#REF!&gt;0.5," Completed",""))))))))))))))</f>
        <v>#REF!</v>
      </c>
      <c r="L80" s="49"/>
    </row>
    <row r="81" spans="1:14" ht="15" hidden="1" customHeight="1" x14ac:dyDescent="0.25">
      <c r="A81" s="45" t="s">
        <v>168</v>
      </c>
      <c r="B81" s="46">
        <v>3</v>
      </c>
      <c r="C81" s="46" t="s">
        <v>169</v>
      </c>
      <c r="D81" s="46">
        <v>1</v>
      </c>
      <c r="E81" s="219" t="s">
        <v>170</v>
      </c>
      <c r="F81" s="219"/>
      <c r="G81" s="46">
        <v>1</v>
      </c>
      <c r="H81" s="46" t="s">
        <v>171</v>
      </c>
      <c r="I81" s="219">
        <f ca="1">--TRIM(RIGHT(SUBSTITUTE(LEFT(C80,_xlfn.AGGREGATE(16,6,FIND({0,1,2,3,4,5,6,7,8,9},C80,ROW(INDIRECT("1:"&amp;LEN(C80)))),1))," ",REPT(" ",LEN(C80))),LEN(C80)))</f>
        <v>48</v>
      </c>
      <c r="J81" s="220"/>
      <c r="K81" s="34"/>
      <c r="L81" s="50"/>
    </row>
    <row r="82" spans="1:14" s="52" customFormat="1" ht="16.5" thickBot="1" x14ac:dyDescent="0.3">
      <c r="A82" s="221" t="s">
        <v>172</v>
      </c>
      <c r="B82" s="222"/>
      <c r="C82" s="223" t="str">
        <f>K82</f>
        <v>All work Completed. OC Received.</v>
      </c>
      <c r="D82" s="223"/>
      <c r="E82" s="223"/>
      <c r="F82" s="223"/>
      <c r="G82" s="223"/>
      <c r="H82" s="223"/>
      <c r="I82" s="223"/>
      <c r="J82" s="224"/>
      <c r="K82" s="43" t="s">
        <v>173</v>
      </c>
      <c r="L82" s="51"/>
    </row>
    <row r="83" spans="1:14" s="54" customFormat="1" ht="15.75" x14ac:dyDescent="0.25">
      <c r="A83" s="176" t="s">
        <v>176</v>
      </c>
      <c r="B83" s="177"/>
      <c r="C83" s="180">
        <v>1</v>
      </c>
      <c r="D83" s="177"/>
      <c r="E83" s="177"/>
      <c r="F83" s="177" t="s">
        <v>177</v>
      </c>
      <c r="G83" s="177"/>
      <c r="H83" s="177"/>
      <c r="I83" s="180">
        <v>1</v>
      </c>
      <c r="J83" s="181"/>
      <c r="K83" s="41" t="e">
        <f>(IF(#REF!&gt;99%,"All work completed. Please provide OC.",IF(#REF!&gt;89.8%,"Plinth, RCC, Brick, Plaster, Flooring, Painting work Completed. Finishing work is in process.",IF(#REF!&lt;94%,(IF(#REF!=0,"Work not yet Started.",IF(#REF!=25%,"Piling work in process",IF(#REF!=50%,"Excavation work in process",IF(#REF!=100%,"Excavation work Completed. ","0")))&amp;(IF(#REF!=0%,"",IF(#REF!=#REF!,"Footing work is process",IF(#REF!=#REF!,"Footing work Completed",IF(#REF!=#REF!,"1st Basement Completed",IF(#REF!=#REF!,"1st &amp; 2nd Basement Completed",IF(#REF!=#REF!,"1st to 3rd Basement Completed",IF(#REF!=#REF!,"1st to 4th Basement Completed",IF(#REF!=#REF!,"Plinth work is process",IF(#REF!=#REF!,"Plinth work completed","0")))))))))))&amp;(IF(#REF!=(D84+G84+I84),", RCC Slab",IF(#REF!&gt;0,", RCC upto "&amp;#REF!&amp;" Slab",""))&amp;(IF(#REF!=I84,", Brickwork",IF(#REF!&gt;0,", Brickwork upto "&amp;#REF!&amp;" Floor",""))&amp;(IF(#REF!=I84,", Internal Plaster",IF(#REF!&gt;0,", Internal Plaster upto "&amp;#REF!&amp;" Floor",""))&amp;(IF(#REF!=I84,", External Plaster",IF(#REF!&gt;0,", External Plaster upto "&amp;#REF!&amp;" Floor",""))&amp;(IF(#REF!=I84,", Flooring",IF(#REF!&gt;0,", Flooring upto "&amp;#REF!&amp;" Floor",""))&amp;(IF(#REF!=I84,", Painting",IF(#REF!&gt;0,", Painting upto "&amp;#REF!&amp;" Floor",""))&amp;(IF(#REF!&gt;0,", Finishing upto "&amp;#REF!&amp;" Floor","")&amp;(IF(#REF!&gt;0.5," Completed",""))))))))))))))</f>
        <v>#REF!</v>
      </c>
      <c r="L83" s="53"/>
    </row>
    <row r="84" spans="1:14" s="54" customFormat="1" ht="16.5" thickBot="1" x14ac:dyDescent="0.3">
      <c r="A84" s="178"/>
      <c r="B84" s="179"/>
      <c r="C84" s="179"/>
      <c r="D84" s="179"/>
      <c r="E84" s="179"/>
      <c r="F84" s="179"/>
      <c r="G84" s="179"/>
      <c r="H84" s="179"/>
      <c r="I84" s="179"/>
      <c r="J84" s="182"/>
      <c r="K84" s="42"/>
      <c r="L84" s="55"/>
    </row>
    <row r="85" spans="1:14" ht="15" customHeight="1" x14ac:dyDescent="0.25">
      <c r="A85" s="183" t="s">
        <v>167</v>
      </c>
      <c r="B85" s="184"/>
      <c r="C85" s="185" t="s">
        <v>300</v>
      </c>
      <c r="D85" s="186"/>
      <c r="E85" s="186"/>
      <c r="F85" s="186"/>
      <c r="G85" s="186"/>
      <c r="H85" s="186"/>
      <c r="I85" s="186"/>
      <c r="J85" s="187"/>
      <c r="K85" s="33" t="str">
        <f ca="1">(IF(F89&gt;99%,"All work completed. Please provide OC.",IF(F89&gt;89.8%,"Plinth, RCC, Brick, Plaster, Flooring, Painting work Completed. Finishing work is in process.",IF(F89&lt;94%,(IF(C89=0,"Work not yet Started.",IF(D89=25%,"Piling work in process",IF(D89=50%,"Excavation work in process",IF(D89=100%,"Excavation work Completed. ","0")))&amp;(IF(C90=0%,"",IF(C90=L91,"Footing work is process",IF(C90=L92,"Footing work Completed",IF(C90=L93,"1st Basement Completed",IF(C90=L94,"1st &amp; 2nd Basement Completed",IF(C90=L95,"1st to 3rd Basement Completed",IF(C90=L96,"1st to 4th Basement Completed",IF(C90=L97,"Plinth work is process",IF(C90=L98,"Plinth work completed","0")))))))))))&amp;(IF(C91=(D86+G86+I86),", RCC Slab",IF(C91&gt;0,", RCC upto "&amp;C91&amp;" Slab",""))&amp;(IF(C92=I86,", Brickwork",IF(C92&gt;0,", Brickwork upto "&amp;C92&amp;" Floor",""))&amp;(IF(C93=I86,", Internal Plaster",IF(C93&gt;0,", Internal Plaster upto "&amp;C93&amp;" Floor",""))&amp;(IF(C94=I86,", External Plaster",IF(C94&gt;0,", External Plaster upto "&amp;C94&amp;" Floor",""))&amp;(IF(C95=I86,", Flooring",IF(C95&gt;0,", Flooring upto "&amp;C95&amp;" Floor",""))&amp;(IF(C96=I86,", Painting",IF(C96&gt;0,", Painting upto "&amp;C96&amp;" Floor",""))&amp;(IF(C97&gt;0,", Finishing upto "&amp;C97&amp;" Floor","")&amp;(IF(C91&gt;0.5," Completed",""))))))))))))))</f>
        <v>Plinth, RCC, Brick, Plaster, Flooring, Painting work Completed. Finishing work is in process.</v>
      </c>
      <c r="L85" s="49"/>
    </row>
    <row r="86" spans="1:14" ht="15" customHeight="1" x14ac:dyDescent="0.25">
      <c r="A86" s="45" t="s">
        <v>168</v>
      </c>
      <c r="B86" s="46">
        <v>3</v>
      </c>
      <c r="C86" s="46" t="s">
        <v>169</v>
      </c>
      <c r="D86" s="46">
        <v>1</v>
      </c>
      <c r="E86" s="188" t="s">
        <v>170</v>
      </c>
      <c r="F86" s="189"/>
      <c r="G86" s="46">
        <v>1</v>
      </c>
      <c r="H86" s="46" t="s">
        <v>171</v>
      </c>
      <c r="I86" s="188">
        <f ca="1">--TRIM(RIGHT(SUBSTITUTE(LEFT(C85,_xlfn.AGGREGATE(16,6,FIND({0,1,2,3,4,5,6,7,8,9},C85,ROW(INDIRECT("1:"&amp;LEN(C85)))),1))," ",REPT(" ",LEN(C85))),LEN(C85)))</f>
        <v>48</v>
      </c>
      <c r="J86" s="190"/>
      <c r="K86" s="34"/>
      <c r="L86" s="50"/>
    </row>
    <row r="87" spans="1:14" ht="33" customHeight="1" x14ac:dyDescent="0.25">
      <c r="A87" s="191" t="s">
        <v>172</v>
      </c>
      <c r="B87" s="192"/>
      <c r="C87" s="193" t="str">
        <f ca="1">K85</f>
        <v>Plinth, RCC, Brick, Plaster, Flooring, Painting work Completed. Finishing work is in process.</v>
      </c>
      <c r="D87" s="194"/>
      <c r="E87" s="194"/>
      <c r="F87" s="194"/>
      <c r="G87" s="194"/>
      <c r="H87" s="194"/>
      <c r="I87" s="194"/>
      <c r="J87" s="195"/>
      <c r="K87" s="34" t="s">
        <v>173</v>
      </c>
      <c r="L87" s="50"/>
      <c r="N87" s="77" t="s">
        <v>237</v>
      </c>
    </row>
    <row r="88" spans="1:14" ht="15" customHeight="1" x14ac:dyDescent="0.25">
      <c r="A88" s="196" t="s">
        <v>64</v>
      </c>
      <c r="B88" s="197"/>
      <c r="C88" s="44" t="s">
        <v>174</v>
      </c>
      <c r="D88" s="198" t="s">
        <v>175</v>
      </c>
      <c r="E88" s="198"/>
      <c r="F88" s="198" t="s">
        <v>176</v>
      </c>
      <c r="G88" s="198"/>
      <c r="H88" s="198" t="s">
        <v>177</v>
      </c>
      <c r="I88" s="198"/>
      <c r="J88" s="199"/>
      <c r="K88" s="35" t="s">
        <v>178</v>
      </c>
      <c r="L88" s="56">
        <f ca="1">I86*25%</f>
        <v>12</v>
      </c>
    </row>
    <row r="89" spans="1:14" ht="15" customHeight="1" x14ac:dyDescent="0.25">
      <c r="A89" s="200" t="s">
        <v>179</v>
      </c>
      <c r="B89" s="198"/>
      <c r="C89" s="57">
        <f ca="1">L90</f>
        <v>48</v>
      </c>
      <c r="D89" s="201">
        <f ca="1">((100/I86)*C89)/100</f>
        <v>1</v>
      </c>
      <c r="E89" s="202"/>
      <c r="F89" s="203">
        <f ca="1">(((C90/I86*10)+(40/(D86+G86+I86)*C91)+(7.5/(I86)*C92)+(7.5/(I86)*C93)+(10/I86*C94)+(10/I86*C95)+(5/I86*C96)+(5/I86*C97)+(5/I86*C98))/100)</f>
        <v>0.94062500000000004</v>
      </c>
      <c r="G89" s="203"/>
      <c r="H89" s="256">
        <f ca="1">((((C89/I86)*20)+((C90/I86)*25)+(30/(I86+G86+D86)*C91)+(5/I86*C92)+(5/I86*C93)+(5/I86*C94)+(5/I86*C95)+(0/I86*C96)+(0/I86*C97)+(5/I86*C98))/100)</f>
        <v>0.95</v>
      </c>
      <c r="I89" s="257"/>
      <c r="J89" s="258"/>
      <c r="K89" s="35" t="s">
        <v>180</v>
      </c>
      <c r="L89" s="58">
        <f ca="1">I86*50%</f>
        <v>24</v>
      </c>
      <c r="N89" s="48">
        <f>35+1+1</f>
        <v>37</v>
      </c>
    </row>
    <row r="90" spans="1:14" ht="15" customHeight="1" x14ac:dyDescent="0.25">
      <c r="A90" s="200" t="s">
        <v>65</v>
      </c>
      <c r="B90" s="198"/>
      <c r="C90" s="59">
        <f ca="1">L98</f>
        <v>47.999999999999993</v>
      </c>
      <c r="D90" s="201">
        <f ca="1">((100/I86)*C90)/100</f>
        <v>0.99999999999999989</v>
      </c>
      <c r="E90" s="202"/>
      <c r="F90" s="203"/>
      <c r="G90" s="203"/>
      <c r="H90" s="259"/>
      <c r="I90" s="260"/>
      <c r="J90" s="261"/>
      <c r="K90" s="35" t="s">
        <v>181</v>
      </c>
      <c r="L90" s="58">
        <f ca="1">I86</f>
        <v>48</v>
      </c>
    </row>
    <row r="91" spans="1:14" ht="15" customHeight="1" x14ac:dyDescent="0.25">
      <c r="A91" s="265" t="s">
        <v>182</v>
      </c>
      <c r="B91" s="219"/>
      <c r="C91" s="59">
        <f ca="1">D86+G86+I86</f>
        <v>50</v>
      </c>
      <c r="D91" s="201">
        <f ca="1">((100/(D86+G86+I86))*C91)/100</f>
        <v>1</v>
      </c>
      <c r="E91" s="202"/>
      <c r="F91" s="203"/>
      <c r="G91" s="203"/>
      <c r="H91" s="259"/>
      <c r="I91" s="260"/>
      <c r="J91" s="261"/>
      <c r="K91" s="35" t="s">
        <v>183</v>
      </c>
      <c r="L91" s="60">
        <f ca="1">(IF(B86&gt;1,(I86/(B86+2)),I86/4))</f>
        <v>9.6</v>
      </c>
    </row>
    <row r="92" spans="1:14" ht="15" customHeight="1" x14ac:dyDescent="0.25">
      <c r="A92" s="200" t="s">
        <v>184</v>
      </c>
      <c r="B92" s="198" t="s">
        <v>185</v>
      </c>
      <c r="C92" s="59">
        <f ca="1">C91-G86-D86</f>
        <v>48</v>
      </c>
      <c r="D92" s="201">
        <f ca="1">((100/I86)*C92)/100</f>
        <v>1</v>
      </c>
      <c r="E92" s="202"/>
      <c r="F92" s="203"/>
      <c r="G92" s="203"/>
      <c r="H92" s="259"/>
      <c r="I92" s="260"/>
      <c r="J92" s="261"/>
      <c r="K92" s="35" t="s">
        <v>186</v>
      </c>
      <c r="L92" s="60">
        <f ca="1">(IF(B86&gt;1,(I86/(B86+2)+L91),I86/4+L91))</f>
        <v>19.2</v>
      </c>
    </row>
    <row r="93" spans="1:14" ht="15" customHeight="1" x14ac:dyDescent="0.25">
      <c r="A93" s="200" t="s">
        <v>187</v>
      </c>
      <c r="B93" s="198" t="s">
        <v>185</v>
      </c>
      <c r="C93" s="59">
        <v>48</v>
      </c>
      <c r="D93" s="201">
        <f ca="1">((100/I86)*C93)/100</f>
        <v>1</v>
      </c>
      <c r="E93" s="202"/>
      <c r="F93" s="203"/>
      <c r="G93" s="203"/>
      <c r="H93" s="259"/>
      <c r="I93" s="260"/>
      <c r="J93" s="261"/>
      <c r="K93" s="35" t="s">
        <v>188</v>
      </c>
      <c r="L93" s="60">
        <f ca="1">(IF(B86&gt;1,(I86/(B86+2)+L92),0))</f>
        <v>28.799999999999997</v>
      </c>
    </row>
    <row r="94" spans="1:14" ht="15" customHeight="1" x14ac:dyDescent="0.25">
      <c r="A94" s="200" t="s">
        <v>189</v>
      </c>
      <c r="B94" s="198" t="s">
        <v>190</v>
      </c>
      <c r="C94" s="59">
        <v>48</v>
      </c>
      <c r="D94" s="201">
        <f ca="1">((100/(I86))*C94)/100</f>
        <v>1</v>
      </c>
      <c r="E94" s="202"/>
      <c r="F94" s="203"/>
      <c r="G94" s="203"/>
      <c r="H94" s="259"/>
      <c r="I94" s="260"/>
      <c r="J94" s="261"/>
      <c r="K94" s="35" t="s">
        <v>191</v>
      </c>
      <c r="L94" s="60">
        <f ca="1">(IF(B86&gt;2,(I86/(B86+2)+L93),0))</f>
        <v>38.4</v>
      </c>
    </row>
    <row r="95" spans="1:14" ht="15" customHeight="1" x14ac:dyDescent="0.25">
      <c r="A95" s="200" t="s">
        <v>192</v>
      </c>
      <c r="B95" s="198" t="s">
        <v>192</v>
      </c>
      <c r="C95" s="57">
        <v>48</v>
      </c>
      <c r="D95" s="201">
        <f ca="1">((100/I86)*C95)/100</f>
        <v>1</v>
      </c>
      <c r="E95" s="202"/>
      <c r="F95" s="203"/>
      <c r="G95" s="203"/>
      <c r="H95" s="259"/>
      <c r="I95" s="260"/>
      <c r="J95" s="261"/>
      <c r="K95" s="35" t="s">
        <v>193</v>
      </c>
      <c r="L95" s="61">
        <f>(IF(B86&gt;3,(I86/(B86+2)+L94),0))</f>
        <v>0</v>
      </c>
    </row>
    <row r="96" spans="1:14" ht="15" customHeight="1" x14ac:dyDescent="0.25">
      <c r="A96" s="200" t="s">
        <v>194</v>
      </c>
      <c r="B96" s="198"/>
      <c r="C96" s="57">
        <v>47</v>
      </c>
      <c r="D96" s="201">
        <f ca="1">((100/I86)*C96)/100</f>
        <v>0.97916666666666674</v>
      </c>
      <c r="E96" s="202"/>
      <c r="F96" s="203"/>
      <c r="G96" s="203"/>
      <c r="H96" s="259"/>
      <c r="I96" s="260"/>
      <c r="J96" s="261"/>
      <c r="K96" s="35" t="s">
        <v>195</v>
      </c>
      <c r="L96" s="60">
        <f>(IF(B86&gt;4,(I86/(B86+2)+L95),0))</f>
        <v>0</v>
      </c>
    </row>
    <row r="97" spans="1:12" ht="15" customHeight="1" x14ac:dyDescent="0.25">
      <c r="A97" s="200" t="s">
        <v>196</v>
      </c>
      <c r="B97" s="198" t="s">
        <v>196</v>
      </c>
      <c r="C97" s="57">
        <v>40</v>
      </c>
      <c r="D97" s="201">
        <f ca="1">((100/(I86))*C97)/100</f>
        <v>0.83333333333333348</v>
      </c>
      <c r="E97" s="202"/>
      <c r="F97" s="203"/>
      <c r="G97" s="203"/>
      <c r="H97" s="259"/>
      <c r="I97" s="260"/>
      <c r="J97" s="261"/>
      <c r="K97" s="35" t="s">
        <v>197</v>
      </c>
      <c r="L97" s="60">
        <f>(IF(B86=1,(I86/(B86+3)+L92),IF(B86=0,(I86/4+L92),IF(B86&gt;1,0))))</f>
        <v>0</v>
      </c>
    </row>
    <row r="98" spans="1:12" ht="15" customHeight="1" thickBot="1" x14ac:dyDescent="0.3">
      <c r="A98" s="266" t="s">
        <v>198</v>
      </c>
      <c r="B98" s="267"/>
      <c r="C98" s="62">
        <v>0</v>
      </c>
      <c r="D98" s="205">
        <f ca="1">((100/(I86))*C98)/100</f>
        <v>0</v>
      </c>
      <c r="E98" s="206"/>
      <c r="F98" s="204"/>
      <c r="G98" s="204"/>
      <c r="H98" s="262"/>
      <c r="I98" s="263"/>
      <c r="J98" s="264"/>
      <c r="K98" s="36" t="s">
        <v>199</v>
      </c>
      <c r="L98" s="63">
        <f ca="1">(IF(B86&gt;1.5,(I86/(B86+2)+L92+MAX(0,L93-L92)+MAX(0,L94-L93)+MAX(0,L95-L94)+MAX(0,L96-L95)+MAX(0,L97-L96)),IF(B86=1,(I86/(B86+3)+L97),IF(B86=0,I86/4+L97))))</f>
        <v>47.999999999999993</v>
      </c>
    </row>
    <row r="99" spans="1:12" ht="15" customHeight="1" x14ac:dyDescent="0.25">
      <c r="A99" s="183" t="s">
        <v>167</v>
      </c>
      <c r="B99" s="184"/>
      <c r="C99" s="185" t="s">
        <v>253</v>
      </c>
      <c r="D99" s="186"/>
      <c r="E99" s="186"/>
      <c r="F99" s="186"/>
      <c r="G99" s="186"/>
      <c r="H99" s="186"/>
      <c r="I99" s="186"/>
      <c r="J99" s="187"/>
      <c r="K99" s="33" t="str">
        <f>(IF(F103&gt;99%,"All work completed. Please provide OC.",IF(F103&gt;89.8%,"Plinth, RCC, Brick, Plaster, Flooring, Painting work Completed. Finishing work is in process.",IF(F103&lt;94%,(IF(C103=0,"Work not yet Started.",IF(D103=25%,"Piling work in process",IF(D103=50%,"Excavation work in process",IF(D103=100%,"Excavation work Completed. ","0")))&amp;(IF(C104=0%,"",IF(C104=L105,"Footing work is process",IF(C104=L106,"Footing work Completed",IF(C104=L107,"1st Basement Completed",IF(C104=L108,"1st &amp; 2nd Basement Completed",IF(C104=L109,"1st to 3rd Basement Completed",IF(C104=L110,"1st to 4th Basement Completed",IF(C104=L111,"Plinth work is process",IF(C104=L112,"Plinth work completed","0")))))))))))&amp;(IF(C105=(D100+G100+I100),", RCC Slab",IF(C105&gt;0,", RCC upto "&amp;C105&amp;" Slab",""))&amp;(IF(C106=I100,", Brickwork",IF(C106&gt;0,", Brickwork upto "&amp;C106&amp;" Floor",""))&amp;(IF(C107=I100,", Internal Plaster",IF(C107&gt;0,", Internal Plaster upto "&amp;C107&amp;" Floor",""))&amp;(IF(C108=I100,", External Plaster",IF(C108&gt;0,", External Plaster upto "&amp;C108&amp;" Floor",""))&amp;(IF(C109=I100,", Flooring",IF(C109&gt;0,", Flooring upto "&amp;C109&amp;" Floor",""))&amp;(IF(C110=I100,", Painting",IF(C110&gt;0,", Painting upto "&amp;C110&amp;" Floor",""))&amp;(IF(C111&gt;0,", Finishing upto "&amp;C111&amp;" Floor","")&amp;(IF(C105&gt;0.5," Completed",""))))))))))))))</f>
        <v>Excavation work Completed. Plinth work completed, RCC upto 54 Slab, Brickwork upto 53 Floor, Internal Plaster upto 48 Floor, External Plaster upto 47 Floor, Flooring upto 31 Floor, Painting upto 7 Floor Completed</v>
      </c>
      <c r="L99" s="49"/>
    </row>
    <row r="100" spans="1:12" ht="15" customHeight="1" x14ac:dyDescent="0.25">
      <c r="A100" s="45" t="s">
        <v>168</v>
      </c>
      <c r="B100" s="46">
        <v>3</v>
      </c>
      <c r="C100" s="46" t="s">
        <v>169</v>
      </c>
      <c r="D100" s="46">
        <v>1</v>
      </c>
      <c r="E100" s="188" t="s">
        <v>170</v>
      </c>
      <c r="F100" s="189"/>
      <c r="G100" s="46">
        <v>1</v>
      </c>
      <c r="H100" s="46" t="s">
        <v>171</v>
      </c>
      <c r="I100" s="188">
        <v>54</v>
      </c>
      <c r="J100" s="190"/>
      <c r="K100" s="34"/>
      <c r="L100" s="50"/>
    </row>
    <row r="101" spans="1:12" ht="51" customHeight="1" x14ac:dyDescent="0.25">
      <c r="A101" s="191" t="s">
        <v>172</v>
      </c>
      <c r="B101" s="192"/>
      <c r="C101" s="193" t="str">
        <f>K99</f>
        <v>Excavation work Completed. Plinth work completed, RCC upto 54 Slab, Brickwork upto 53 Floor, Internal Plaster upto 48 Floor, External Plaster upto 47 Floor, Flooring upto 31 Floor, Painting upto 7 Floor Completed</v>
      </c>
      <c r="D101" s="194"/>
      <c r="E101" s="194"/>
      <c r="F101" s="194"/>
      <c r="G101" s="194"/>
      <c r="H101" s="194"/>
      <c r="I101" s="194"/>
      <c r="J101" s="195"/>
      <c r="K101" s="34" t="s">
        <v>173</v>
      </c>
      <c r="L101" s="50"/>
    </row>
    <row r="102" spans="1:12" ht="15" customHeight="1" x14ac:dyDescent="0.25">
      <c r="A102" s="196" t="s">
        <v>64</v>
      </c>
      <c r="B102" s="197"/>
      <c r="C102" s="44" t="s">
        <v>174</v>
      </c>
      <c r="D102" s="198" t="s">
        <v>175</v>
      </c>
      <c r="E102" s="198"/>
      <c r="F102" s="198" t="s">
        <v>176</v>
      </c>
      <c r="G102" s="198"/>
      <c r="H102" s="198" t="s">
        <v>177</v>
      </c>
      <c r="I102" s="198"/>
      <c r="J102" s="199"/>
      <c r="K102" s="35" t="s">
        <v>178</v>
      </c>
      <c r="L102" s="56">
        <f>I100*25%</f>
        <v>13.5</v>
      </c>
    </row>
    <row r="103" spans="1:12" ht="15" customHeight="1" x14ac:dyDescent="0.25">
      <c r="A103" s="200" t="s">
        <v>179</v>
      </c>
      <c r="B103" s="198"/>
      <c r="C103" s="57">
        <f>L104</f>
        <v>54</v>
      </c>
      <c r="D103" s="201">
        <f>((100/I100)*C103)/100</f>
        <v>1</v>
      </c>
      <c r="E103" s="202"/>
      <c r="F103" s="203">
        <f>(((C104/I100*10)+(40/(D100+G100+I100)*C105)+(7.5/(I100)*C106)+(7.5/(I100)*C107)+(10/I100*C108)+(10/I100*C109)+(5/I100*C110)+(5/I100*C111)+(5/I100*C112))/100)</f>
        <v>0.7769179894179894</v>
      </c>
      <c r="G103" s="203"/>
      <c r="H103" s="256">
        <f>((((C103/I100)*20)+((C104/I100)*25)+(30/(I100+G100+D100)*C105)+(5/I100*C106)+(5/I100*C107)+(5/I100*C108)+(5/I100*C109)+(0/I100*C110)+(0/I100*C111)+(5/I100*C112))/100)</f>
        <v>0.90502645502645496</v>
      </c>
      <c r="I103" s="257"/>
      <c r="J103" s="258"/>
      <c r="K103" s="35" t="s">
        <v>180</v>
      </c>
      <c r="L103" s="58">
        <f>I100*50%</f>
        <v>27</v>
      </c>
    </row>
    <row r="104" spans="1:12" ht="15" customHeight="1" x14ac:dyDescent="0.25">
      <c r="A104" s="200" t="s">
        <v>65</v>
      </c>
      <c r="B104" s="198"/>
      <c r="C104" s="59">
        <v>54</v>
      </c>
      <c r="D104" s="201">
        <f>((100/I100)*C104)/100</f>
        <v>1</v>
      </c>
      <c r="E104" s="202"/>
      <c r="F104" s="203"/>
      <c r="G104" s="203"/>
      <c r="H104" s="259"/>
      <c r="I104" s="260"/>
      <c r="J104" s="261"/>
      <c r="K104" s="35" t="s">
        <v>181</v>
      </c>
      <c r="L104" s="58">
        <f>I100</f>
        <v>54</v>
      </c>
    </row>
    <row r="105" spans="1:12" ht="15" customHeight="1" x14ac:dyDescent="0.25">
      <c r="A105" s="265" t="s">
        <v>182</v>
      </c>
      <c r="B105" s="219"/>
      <c r="C105" s="59">
        <v>54</v>
      </c>
      <c r="D105" s="201">
        <f>((100/(D100+G100+I100))*C105)/100</f>
        <v>0.9642857142857143</v>
      </c>
      <c r="E105" s="202"/>
      <c r="F105" s="203"/>
      <c r="G105" s="203"/>
      <c r="H105" s="259"/>
      <c r="I105" s="260"/>
      <c r="J105" s="261"/>
      <c r="K105" s="35" t="s">
        <v>183</v>
      </c>
      <c r="L105" s="60">
        <f>(IF(B100&gt;1,(I100/(B100+2)),I100/4))</f>
        <v>10.8</v>
      </c>
    </row>
    <row r="106" spans="1:12" ht="15" customHeight="1" x14ac:dyDescent="0.25">
      <c r="A106" s="200" t="s">
        <v>184</v>
      </c>
      <c r="B106" s="198" t="s">
        <v>185</v>
      </c>
      <c r="C106" s="59">
        <f>C105-1</f>
        <v>53</v>
      </c>
      <c r="D106" s="201">
        <f>((100/I100)*C106)/100</f>
        <v>0.98148148148148151</v>
      </c>
      <c r="E106" s="202"/>
      <c r="F106" s="203"/>
      <c r="G106" s="203"/>
      <c r="H106" s="259"/>
      <c r="I106" s="260"/>
      <c r="J106" s="261"/>
      <c r="K106" s="35" t="s">
        <v>186</v>
      </c>
      <c r="L106" s="60">
        <f>(IF(B100&gt;1,(I100/(B100+2)+L105),I100/4+L105))</f>
        <v>21.6</v>
      </c>
    </row>
    <row r="107" spans="1:12" ht="15" customHeight="1" x14ac:dyDescent="0.25">
      <c r="A107" s="200" t="s">
        <v>187</v>
      </c>
      <c r="B107" s="198" t="s">
        <v>185</v>
      </c>
      <c r="C107" s="59">
        <v>48</v>
      </c>
      <c r="D107" s="201">
        <f>((100/I100)*C107)/100</f>
        <v>0.88888888888888884</v>
      </c>
      <c r="E107" s="202"/>
      <c r="F107" s="203"/>
      <c r="G107" s="203"/>
      <c r="H107" s="259"/>
      <c r="I107" s="260"/>
      <c r="J107" s="261"/>
      <c r="K107" s="35" t="s">
        <v>188</v>
      </c>
      <c r="L107" s="60">
        <f>(IF(B100&gt;1,(I100/(B100+2)+L106),0))</f>
        <v>32.400000000000006</v>
      </c>
    </row>
    <row r="108" spans="1:12" ht="15" customHeight="1" x14ac:dyDescent="0.25">
      <c r="A108" s="200" t="s">
        <v>189</v>
      </c>
      <c r="B108" s="198" t="s">
        <v>190</v>
      </c>
      <c r="C108" s="59">
        <v>47</v>
      </c>
      <c r="D108" s="201">
        <f>((100/(I100))*C108)/100</f>
        <v>0.87037037037037035</v>
      </c>
      <c r="E108" s="202"/>
      <c r="F108" s="203"/>
      <c r="G108" s="203"/>
      <c r="H108" s="259"/>
      <c r="I108" s="260"/>
      <c r="J108" s="261"/>
      <c r="K108" s="35" t="s">
        <v>191</v>
      </c>
      <c r="L108" s="60">
        <f>(IF(B100&gt;2,(I100/(B100+2)+L107),0))</f>
        <v>43.2</v>
      </c>
    </row>
    <row r="109" spans="1:12" ht="15" customHeight="1" x14ac:dyDescent="0.25">
      <c r="A109" s="200" t="s">
        <v>192</v>
      </c>
      <c r="B109" s="198" t="s">
        <v>192</v>
      </c>
      <c r="C109" s="57">
        <v>31</v>
      </c>
      <c r="D109" s="201">
        <f>((100/I100)*C109)/100</f>
        <v>0.57407407407407407</v>
      </c>
      <c r="E109" s="202"/>
      <c r="F109" s="203"/>
      <c r="G109" s="203"/>
      <c r="H109" s="259"/>
      <c r="I109" s="260"/>
      <c r="J109" s="261"/>
      <c r="K109" s="35" t="s">
        <v>193</v>
      </c>
      <c r="L109" s="61">
        <f>(IF(B100&gt;3,(I100/(B100+2)+L108),0))</f>
        <v>0</v>
      </c>
    </row>
    <row r="110" spans="1:12" ht="15" customHeight="1" x14ac:dyDescent="0.25">
      <c r="A110" s="200" t="s">
        <v>194</v>
      </c>
      <c r="B110" s="198"/>
      <c r="C110" s="57">
        <v>7</v>
      </c>
      <c r="D110" s="201">
        <f>((100/I100)*C110)/100</f>
        <v>0.12962962962962965</v>
      </c>
      <c r="E110" s="202"/>
      <c r="F110" s="203"/>
      <c r="G110" s="203"/>
      <c r="H110" s="259"/>
      <c r="I110" s="260"/>
      <c r="J110" s="261"/>
      <c r="K110" s="35" t="s">
        <v>195</v>
      </c>
      <c r="L110" s="60">
        <f>(IF(B100&gt;4,(I100/(B100+2)+L109),0))</f>
        <v>0</v>
      </c>
    </row>
    <row r="111" spans="1:12" ht="15" customHeight="1" x14ac:dyDescent="0.25">
      <c r="A111" s="200" t="s">
        <v>196</v>
      </c>
      <c r="B111" s="198" t="s">
        <v>196</v>
      </c>
      <c r="C111" s="57">
        <v>0</v>
      </c>
      <c r="D111" s="201">
        <f>((100/(I100))*C111)/100</f>
        <v>0</v>
      </c>
      <c r="E111" s="202"/>
      <c r="F111" s="203"/>
      <c r="G111" s="203"/>
      <c r="H111" s="259"/>
      <c r="I111" s="260"/>
      <c r="J111" s="261"/>
      <c r="K111" s="35" t="s">
        <v>197</v>
      </c>
      <c r="L111" s="60">
        <f>(IF(B100=1,(I100/(B100+3)+L106),IF(B100=0,(I100/4+L106),IF(B100&gt;1,0))))</f>
        <v>0</v>
      </c>
    </row>
    <row r="112" spans="1:12" ht="15" customHeight="1" thickBot="1" x14ac:dyDescent="0.3">
      <c r="A112" s="266" t="s">
        <v>198</v>
      </c>
      <c r="B112" s="267"/>
      <c r="C112" s="62">
        <v>0</v>
      </c>
      <c r="D112" s="205">
        <f>((100/(I100))*C112)/100</f>
        <v>0</v>
      </c>
      <c r="E112" s="206"/>
      <c r="F112" s="204"/>
      <c r="G112" s="204"/>
      <c r="H112" s="262"/>
      <c r="I112" s="263"/>
      <c r="J112" s="264"/>
      <c r="K112" s="36" t="s">
        <v>199</v>
      </c>
      <c r="L112" s="63">
        <f>(IF(B100&gt;1.5,(I100/(B100+2)+L106+MAX(0,L107-L106)+MAX(0,L108-L107)+MAX(0,L109-L108)+MAX(0,L110-L109)+MAX(0,L111-L110)),IF(B100=1,(I100/(B100+3)+L111),IF(B100=0,I100/4+L111))))</f>
        <v>54.000000000000007</v>
      </c>
    </row>
    <row r="113" spans="1:12" ht="15" customHeight="1" x14ac:dyDescent="0.25">
      <c r="A113" s="183" t="s">
        <v>167</v>
      </c>
      <c r="B113" s="184"/>
      <c r="C113" s="185" t="s">
        <v>201</v>
      </c>
      <c r="D113" s="186"/>
      <c r="E113" s="186"/>
      <c r="F113" s="186"/>
      <c r="G113" s="186"/>
      <c r="H113" s="186"/>
      <c r="I113" s="186"/>
      <c r="J113" s="187"/>
      <c r="K113" s="33" t="str">
        <f ca="1">(IF(F117&gt;99%,"All work completed. Please provide OC.",IF(F117&gt;89.8%,"Plinth, RCC, Brick, Plaster, Flooring, Painting work Completed. Finishing work is in process.",IF(F117&lt;94%,(IF(C117=0,"Work not yet Started.",IF(D117=25%,"Piling work in process",IF(D117=50%,"Excavation work in process",IF(D117=100%,"Excavation work Completed. ","0")))&amp;(IF(C118=0%,"",IF(C118=L119,"Footing work is process",IF(C118=L120,"Footing work Completed",IF(C118=L121,"1st Basement Completed",IF(C118=L122,"1st &amp; 2nd Basement Completed",IF(C118=L123,"1st to 3rd Basement Completed",IF(C118=L124,"1st to 4th Basement Completed",IF(C118=L125,"Plinth work is process",IF(C118=L126,"Plinth work completed","0")))))))))))&amp;(IF(C119=(D114+G114+I114),", RCC Slab",IF(C119&gt;0,", RCC upto "&amp;C119&amp;" Slab",""))&amp;(IF(C120=I114,", Brickwork",IF(C120&gt;0,", Brickwork upto "&amp;C120&amp;" Floor",""))&amp;(IF(C121=I114,", Internal Plaster",IF(C121&gt;0,", Internal Plaster upto "&amp;C121&amp;" Floor",""))&amp;(IF(C122=I114,", External Plaster",IF(C122&gt;0,", External Plaster upto "&amp;C122&amp;" Floor",""))&amp;(IF(C123=I114,", Flooring",IF(C123&gt;0,", Flooring upto "&amp;C123&amp;" Floor",""))&amp;(IF(C124=I114,", Painting",IF(C124&gt;0,", Painting upto "&amp;C124&amp;" Floor",""))&amp;(IF(C125&gt;0,", Finishing upto "&amp;C125&amp;" Floor","")&amp;(IF(C119&gt;0.5," Completed",""))))))))))))))</f>
        <v>Excavation work Completed. Plinth work completed, RCC upto 47 Slab, Brickwork upto 46 Floor, Internal Plaster upto 42 Floor, External Plaster upto 40 Floor, Flooring upto 20 Floor, Painting upto 5 Floor Completed</v>
      </c>
      <c r="L113" s="49"/>
    </row>
    <row r="114" spans="1:12" ht="15" customHeight="1" x14ac:dyDescent="0.25">
      <c r="A114" s="45" t="s">
        <v>168</v>
      </c>
      <c r="B114" s="46">
        <v>3</v>
      </c>
      <c r="C114" s="46" t="s">
        <v>169</v>
      </c>
      <c r="D114" s="46">
        <v>1</v>
      </c>
      <c r="E114" s="188" t="s">
        <v>170</v>
      </c>
      <c r="F114" s="189"/>
      <c r="G114" s="46">
        <v>1</v>
      </c>
      <c r="H114" s="46" t="s">
        <v>171</v>
      </c>
      <c r="I114" s="188">
        <f ca="1">--TRIM(RIGHT(SUBSTITUTE(LEFT(C113,_xlfn.AGGREGATE(16,6,FIND({0,1,2,3,4,5,6,7,8,9},C113,ROW(INDIRECT("1:"&amp;LEN(C113)))),1))," ",REPT(" ",LEN(C113))),LEN(C113)))</f>
        <v>57</v>
      </c>
      <c r="J114" s="190"/>
      <c r="K114" s="34"/>
      <c r="L114" s="50"/>
    </row>
    <row r="115" spans="1:12" ht="49.5" customHeight="1" x14ac:dyDescent="0.25">
      <c r="A115" s="191" t="s">
        <v>172</v>
      </c>
      <c r="B115" s="192"/>
      <c r="C115" s="193" t="str">
        <f ca="1">K113</f>
        <v>Excavation work Completed. Plinth work completed, RCC upto 47 Slab, Brickwork upto 46 Floor, Internal Plaster upto 42 Floor, External Plaster upto 40 Floor, Flooring upto 20 Floor, Painting upto 5 Floor Completed</v>
      </c>
      <c r="D115" s="194"/>
      <c r="E115" s="194"/>
      <c r="F115" s="194"/>
      <c r="G115" s="194"/>
      <c r="H115" s="194"/>
      <c r="I115" s="194"/>
      <c r="J115" s="195"/>
      <c r="K115" s="34" t="s">
        <v>173</v>
      </c>
      <c r="L115" s="50"/>
    </row>
    <row r="116" spans="1:12" ht="15" customHeight="1" x14ac:dyDescent="0.25">
      <c r="A116" s="196" t="s">
        <v>64</v>
      </c>
      <c r="B116" s="197"/>
      <c r="C116" s="44" t="s">
        <v>174</v>
      </c>
      <c r="D116" s="198" t="s">
        <v>175</v>
      </c>
      <c r="E116" s="198"/>
      <c r="F116" s="198" t="s">
        <v>176</v>
      </c>
      <c r="G116" s="198"/>
      <c r="H116" s="198" t="s">
        <v>177</v>
      </c>
      <c r="I116" s="198"/>
      <c r="J116" s="199"/>
      <c r="K116" s="35" t="s">
        <v>178</v>
      </c>
      <c r="L116" s="56">
        <f ca="1">I114*25%</f>
        <v>14.25</v>
      </c>
    </row>
    <row r="117" spans="1:12" ht="15" customHeight="1" x14ac:dyDescent="0.25">
      <c r="A117" s="200" t="s">
        <v>179</v>
      </c>
      <c r="B117" s="198"/>
      <c r="C117" s="57">
        <f ca="1">L118</f>
        <v>57</v>
      </c>
      <c r="D117" s="201">
        <f ca="1">((100/I114)*C117)/100</f>
        <v>1</v>
      </c>
      <c r="E117" s="202"/>
      <c r="F117" s="203">
        <f ca="1">(((C118/I114*10)+(40/(D114+G114+I114)*C119)+(7.5/(I114)*C120)+(7.5/(I114)*C121)+(10/I114*C122)+(10/I114*C123)+(5/I114*C124)+(5/I114*C125)+(5/I114*C126))/100)</f>
        <v>0.64408266428783834</v>
      </c>
      <c r="G117" s="203"/>
      <c r="H117" s="256">
        <f ca="1">((((C117/I114)*20)+((C118/I114)*25)+(30/(I114+G114+D114)*C119)+(5/I114*C120)+(5/I114*C121)+(5/I114*C122)+(5/I114*C123)+(0/I114*C124)+(0/I114*C125)+(5/I114*C126))/100)</f>
        <v>0.81880761225096632</v>
      </c>
      <c r="I117" s="257"/>
      <c r="J117" s="258"/>
      <c r="K117" s="35" t="s">
        <v>180</v>
      </c>
      <c r="L117" s="58">
        <f ca="1">I114*50%</f>
        <v>28.5</v>
      </c>
    </row>
    <row r="118" spans="1:12" ht="15" customHeight="1" x14ac:dyDescent="0.25">
      <c r="A118" s="200" t="s">
        <v>65</v>
      </c>
      <c r="B118" s="198"/>
      <c r="C118" s="59">
        <v>57</v>
      </c>
      <c r="D118" s="201">
        <f ca="1">((100/I114)*C118)/100</f>
        <v>1</v>
      </c>
      <c r="E118" s="202"/>
      <c r="F118" s="203"/>
      <c r="G118" s="203"/>
      <c r="H118" s="259"/>
      <c r="I118" s="260"/>
      <c r="J118" s="261"/>
      <c r="K118" s="35" t="s">
        <v>181</v>
      </c>
      <c r="L118" s="58">
        <f ca="1">I114</f>
        <v>57</v>
      </c>
    </row>
    <row r="119" spans="1:12" ht="15" customHeight="1" x14ac:dyDescent="0.25">
      <c r="A119" s="265" t="s">
        <v>182</v>
      </c>
      <c r="B119" s="219"/>
      <c r="C119" s="59">
        <v>47</v>
      </c>
      <c r="D119" s="201">
        <f ca="1">((100/(D114+G114+I114))*C119)/100</f>
        <v>0.79661016949152541</v>
      </c>
      <c r="E119" s="202"/>
      <c r="F119" s="203"/>
      <c r="G119" s="203"/>
      <c r="H119" s="259"/>
      <c r="I119" s="260"/>
      <c r="J119" s="261"/>
      <c r="K119" s="35" t="s">
        <v>183</v>
      </c>
      <c r="L119" s="60">
        <f ca="1">(IF(B114&gt;1,(I114/(B114+2)),I114/4))</f>
        <v>11.4</v>
      </c>
    </row>
    <row r="120" spans="1:12" ht="15" customHeight="1" x14ac:dyDescent="0.25">
      <c r="A120" s="200" t="s">
        <v>184</v>
      </c>
      <c r="B120" s="198" t="s">
        <v>185</v>
      </c>
      <c r="C120" s="59">
        <f>C119-1</f>
        <v>46</v>
      </c>
      <c r="D120" s="201">
        <f ca="1">((100/I114)*C120)/100</f>
        <v>0.80701754385964908</v>
      </c>
      <c r="E120" s="202"/>
      <c r="F120" s="203"/>
      <c r="G120" s="203"/>
      <c r="H120" s="259"/>
      <c r="I120" s="260"/>
      <c r="J120" s="261"/>
      <c r="K120" s="35" t="s">
        <v>186</v>
      </c>
      <c r="L120" s="60">
        <f ca="1">(IF(B114&gt;1,(I114/(B114+2)+L119),I114/4+L119))</f>
        <v>22.8</v>
      </c>
    </row>
    <row r="121" spans="1:12" ht="15" customHeight="1" x14ac:dyDescent="0.25">
      <c r="A121" s="200" t="s">
        <v>187</v>
      </c>
      <c r="B121" s="198" t="s">
        <v>185</v>
      </c>
      <c r="C121" s="59">
        <v>42</v>
      </c>
      <c r="D121" s="201">
        <f ca="1">((100/I114)*C121)/100</f>
        <v>0.73684210526315785</v>
      </c>
      <c r="E121" s="202"/>
      <c r="F121" s="203"/>
      <c r="G121" s="203"/>
      <c r="H121" s="259"/>
      <c r="I121" s="260"/>
      <c r="J121" s="261"/>
      <c r="K121" s="35" t="s">
        <v>188</v>
      </c>
      <c r="L121" s="60">
        <f ca="1">(IF(B114&gt;1,(I114/(B114+2)+L120),0))</f>
        <v>34.200000000000003</v>
      </c>
    </row>
    <row r="122" spans="1:12" ht="15" customHeight="1" x14ac:dyDescent="0.25">
      <c r="A122" s="200" t="s">
        <v>189</v>
      </c>
      <c r="B122" s="198" t="s">
        <v>190</v>
      </c>
      <c r="C122" s="59">
        <v>40</v>
      </c>
      <c r="D122" s="201">
        <f ca="1">((100/(I114))*C122)/100</f>
        <v>0.70175438596491224</v>
      </c>
      <c r="E122" s="202"/>
      <c r="F122" s="203"/>
      <c r="G122" s="203"/>
      <c r="H122" s="259"/>
      <c r="I122" s="260"/>
      <c r="J122" s="261"/>
      <c r="K122" s="35" t="s">
        <v>191</v>
      </c>
      <c r="L122" s="60">
        <f ca="1">(IF(B114&gt;2,(I114/(B114+2)+L121),0))</f>
        <v>45.6</v>
      </c>
    </row>
    <row r="123" spans="1:12" ht="15" customHeight="1" x14ac:dyDescent="0.25">
      <c r="A123" s="200" t="s">
        <v>192</v>
      </c>
      <c r="B123" s="198" t="s">
        <v>192</v>
      </c>
      <c r="C123" s="57">
        <v>20</v>
      </c>
      <c r="D123" s="201">
        <f ca="1">((100/I114)*C123)/100</f>
        <v>0.35087719298245612</v>
      </c>
      <c r="E123" s="202"/>
      <c r="F123" s="203"/>
      <c r="G123" s="203"/>
      <c r="H123" s="259"/>
      <c r="I123" s="260"/>
      <c r="J123" s="261"/>
      <c r="K123" s="35" t="s">
        <v>193</v>
      </c>
      <c r="L123" s="61">
        <f>(IF(B114&gt;3,(I114/(B114+2)+L122),0))</f>
        <v>0</v>
      </c>
    </row>
    <row r="124" spans="1:12" ht="15" customHeight="1" x14ac:dyDescent="0.25">
      <c r="A124" s="200" t="s">
        <v>194</v>
      </c>
      <c r="B124" s="198"/>
      <c r="C124" s="57">
        <v>5</v>
      </c>
      <c r="D124" s="201">
        <f ca="1">((100/I114)*C124)/100</f>
        <v>8.771929824561403E-2</v>
      </c>
      <c r="E124" s="202"/>
      <c r="F124" s="203"/>
      <c r="G124" s="203"/>
      <c r="H124" s="259"/>
      <c r="I124" s="260"/>
      <c r="J124" s="261"/>
      <c r="K124" s="35" t="s">
        <v>195</v>
      </c>
      <c r="L124" s="60">
        <f>(IF(B114&gt;4,(I114/(B114+2)+L123),0))</f>
        <v>0</v>
      </c>
    </row>
    <row r="125" spans="1:12" ht="15" customHeight="1" x14ac:dyDescent="0.25">
      <c r="A125" s="200" t="s">
        <v>196</v>
      </c>
      <c r="B125" s="198" t="s">
        <v>196</v>
      </c>
      <c r="C125" s="57">
        <v>0</v>
      </c>
      <c r="D125" s="201">
        <f ca="1">((100/(I114))*C125)/100</f>
        <v>0</v>
      </c>
      <c r="E125" s="202"/>
      <c r="F125" s="203"/>
      <c r="G125" s="203"/>
      <c r="H125" s="259"/>
      <c r="I125" s="260"/>
      <c r="J125" s="261"/>
      <c r="K125" s="35" t="s">
        <v>197</v>
      </c>
      <c r="L125" s="60">
        <f>(IF(B114=1,(I114/(B114+3)+L120),IF(B114=0,(I114/4+L120),IF(B114&gt;1,0))))</f>
        <v>0</v>
      </c>
    </row>
    <row r="126" spans="1:12" ht="15" customHeight="1" thickBot="1" x14ac:dyDescent="0.3">
      <c r="A126" s="266" t="s">
        <v>198</v>
      </c>
      <c r="B126" s="267"/>
      <c r="C126" s="62">
        <v>0</v>
      </c>
      <c r="D126" s="205">
        <f ca="1">((100/(I114))*C126)/100</f>
        <v>0</v>
      </c>
      <c r="E126" s="206"/>
      <c r="F126" s="204"/>
      <c r="G126" s="204"/>
      <c r="H126" s="262"/>
      <c r="I126" s="263"/>
      <c r="J126" s="264"/>
      <c r="K126" s="36" t="s">
        <v>199</v>
      </c>
      <c r="L126" s="63">
        <f ca="1">(IF(B114&gt;1.5,(I114/(B114+2)+L120+MAX(0,L121-L120)+MAX(0,L122-L121)+MAX(0,L123-L122)+MAX(0,L124-L123)+MAX(0,L125-L124)),IF(B114=1,(I114/(B114+3)+L125),IF(B114=0,I114/4+L125))))</f>
        <v>57.000000000000007</v>
      </c>
    </row>
    <row r="127" spans="1:12" x14ac:dyDescent="0.25">
      <c r="A127" s="132" t="s">
        <v>224</v>
      </c>
      <c r="B127" s="133"/>
      <c r="C127" s="133"/>
      <c r="D127" s="133"/>
      <c r="E127" s="133"/>
      <c r="F127" s="133"/>
      <c r="G127" s="133"/>
      <c r="H127" s="133"/>
      <c r="I127" s="133"/>
      <c r="J127" s="134"/>
    </row>
    <row r="128" spans="1:12" x14ac:dyDescent="0.25">
      <c r="A128" s="110" t="s">
        <v>70</v>
      </c>
      <c r="B128" s="96"/>
      <c r="C128" s="96"/>
      <c r="D128" s="96"/>
      <c r="E128" s="96"/>
      <c r="F128" s="97"/>
      <c r="G128" s="110">
        <v>18500</v>
      </c>
      <c r="H128" s="96"/>
      <c r="I128" s="96"/>
      <c r="J128" s="97"/>
    </row>
    <row r="129" spans="1:14" x14ac:dyDescent="0.25">
      <c r="A129" s="110" t="s">
        <v>226</v>
      </c>
      <c r="B129" s="96"/>
      <c r="C129" s="96"/>
      <c r="D129" s="96"/>
      <c r="E129" s="96"/>
      <c r="F129" s="97"/>
      <c r="G129" s="94" t="s">
        <v>264</v>
      </c>
      <c r="H129" s="109"/>
      <c r="I129" s="109"/>
      <c r="J129" s="95"/>
      <c r="K129" s="78" t="s">
        <v>265</v>
      </c>
      <c r="L129" s="79">
        <v>45320</v>
      </c>
      <c r="M129" s="78"/>
      <c r="N129" s="79"/>
    </row>
    <row r="130" spans="1:14" x14ac:dyDescent="0.25">
      <c r="A130" s="110" t="s">
        <v>125</v>
      </c>
      <c r="B130" s="96"/>
      <c r="C130" s="96"/>
      <c r="D130" s="96"/>
      <c r="E130" s="96"/>
      <c r="F130" s="97"/>
      <c r="G130" s="94" t="s">
        <v>141</v>
      </c>
      <c r="H130" s="109"/>
      <c r="I130" s="109"/>
      <c r="J130" s="95"/>
    </row>
    <row r="131" spans="1:14" s="64" customFormat="1" ht="15" customHeight="1" x14ac:dyDescent="0.25">
      <c r="A131" s="277" t="s">
        <v>71</v>
      </c>
      <c r="B131" s="278"/>
      <c r="C131" s="278"/>
      <c r="D131" s="278"/>
      <c r="E131" s="278"/>
      <c r="F131" s="279"/>
      <c r="G131" s="255">
        <f>G128*0.8</f>
        <v>14800</v>
      </c>
      <c r="H131" s="253"/>
      <c r="I131" s="253"/>
      <c r="J131" s="254"/>
    </row>
    <row r="132" spans="1:14" x14ac:dyDescent="0.25">
      <c r="A132" s="132" t="s">
        <v>225</v>
      </c>
      <c r="B132" s="133"/>
      <c r="C132" s="133"/>
      <c r="D132" s="133"/>
      <c r="E132" s="133"/>
      <c r="F132" s="133"/>
      <c r="G132" s="133"/>
      <c r="H132" s="133"/>
      <c r="I132" s="133"/>
      <c r="J132" s="134"/>
    </row>
    <row r="133" spans="1:14" x14ac:dyDescent="0.25">
      <c r="A133" s="110" t="s">
        <v>70</v>
      </c>
      <c r="B133" s="96"/>
      <c r="C133" s="96"/>
      <c r="D133" s="96"/>
      <c r="E133" s="96"/>
      <c r="F133" s="97"/>
      <c r="G133" s="110">
        <v>16700</v>
      </c>
      <c r="H133" s="96"/>
      <c r="I133" s="96"/>
      <c r="J133" s="97"/>
      <c r="K133" s="75" t="s">
        <v>234</v>
      </c>
      <c r="L133" s="75" t="s">
        <v>235</v>
      </c>
      <c r="M133" s="75" t="s">
        <v>236</v>
      </c>
      <c r="N133" s="76">
        <v>44852</v>
      </c>
    </row>
    <row r="134" spans="1:14" x14ac:dyDescent="0.25">
      <c r="A134" s="110" t="s">
        <v>226</v>
      </c>
      <c r="B134" s="96"/>
      <c r="C134" s="96"/>
      <c r="D134" s="96"/>
      <c r="E134" s="96"/>
      <c r="F134" s="97"/>
      <c r="G134" s="94" t="s">
        <v>241</v>
      </c>
      <c r="H134" s="109"/>
      <c r="I134" s="109"/>
      <c r="J134" s="95"/>
      <c r="K134" s="78" t="s">
        <v>240</v>
      </c>
      <c r="L134" s="78" t="s">
        <v>235</v>
      </c>
      <c r="M134" s="78" t="s">
        <v>236</v>
      </c>
      <c r="N134" s="79">
        <v>44982</v>
      </c>
    </row>
    <row r="135" spans="1:14" x14ac:dyDescent="0.25">
      <c r="A135" s="110" t="s">
        <v>125</v>
      </c>
      <c r="B135" s="96"/>
      <c r="C135" s="96"/>
      <c r="D135" s="96"/>
      <c r="E135" s="96"/>
      <c r="F135" s="97"/>
      <c r="G135" s="94" t="s">
        <v>141</v>
      </c>
      <c r="H135" s="109"/>
      <c r="I135" s="109"/>
      <c r="J135" s="95"/>
    </row>
    <row r="136" spans="1:14" s="64" customFormat="1" ht="15" customHeight="1" x14ac:dyDescent="0.25">
      <c r="A136" s="277" t="s">
        <v>71</v>
      </c>
      <c r="B136" s="278"/>
      <c r="C136" s="278"/>
      <c r="D136" s="278"/>
      <c r="E136" s="278"/>
      <c r="F136" s="279"/>
      <c r="G136" s="255">
        <f>G133*0.8</f>
        <v>13360</v>
      </c>
      <c r="H136" s="253"/>
      <c r="I136" s="253"/>
      <c r="J136" s="254"/>
      <c r="K136" s="80" t="s">
        <v>297</v>
      </c>
    </row>
    <row r="137" spans="1:14" s="65" customFormat="1" ht="15.75" x14ac:dyDescent="0.25">
      <c r="A137" s="160" t="s">
        <v>203</v>
      </c>
      <c r="B137" s="161"/>
      <c r="C137" s="161"/>
      <c r="D137" s="161"/>
      <c r="E137" s="161"/>
      <c r="F137" s="161"/>
      <c r="G137" s="161"/>
      <c r="H137" s="161"/>
      <c r="I137" s="161"/>
      <c r="J137" s="162"/>
    </row>
    <row r="138" spans="1:14" s="65" customFormat="1" ht="15.75" x14ac:dyDescent="0.25">
      <c r="A138" s="163" t="s">
        <v>204</v>
      </c>
      <c r="B138" s="164"/>
      <c r="C138" s="66" t="s">
        <v>205</v>
      </c>
      <c r="D138" s="165" t="s">
        <v>206</v>
      </c>
      <c r="E138" s="166"/>
      <c r="F138" s="167"/>
      <c r="G138" s="163" t="s">
        <v>207</v>
      </c>
      <c r="H138" s="168"/>
      <c r="I138" s="168"/>
      <c r="J138" s="164"/>
    </row>
    <row r="139" spans="1:14" s="65" customFormat="1" ht="15.75" x14ac:dyDescent="0.25">
      <c r="A139" s="169" t="s">
        <v>232</v>
      </c>
      <c r="B139" s="170"/>
      <c r="C139" s="83">
        <f>COUNT(D149,D152)+COUNT(D154:E155,D157)+COUNT(D159:E162)*42+COUNT(D165,D167:E168)*5+COUNT(D170,D172:E173)</f>
        <v>191</v>
      </c>
      <c r="D139" s="171">
        <f>SUM(D149,D152)+SUM(D154:E155,D157)+SUM(D159:E162)*42+SUM(D165,D167:E168)*5+SUM(D170,D172:E173)</f>
        <v>203455.71908999997</v>
      </c>
      <c r="E139" s="172"/>
      <c r="F139" s="173"/>
      <c r="G139" s="171">
        <f>SUM(G149,G152)+SUM(G154:G155,G157)+SUM(G159:G162)*42+SUM(G165,G167:G168)*5+SUM(G170,G172:G173)</f>
        <v>325529.15054400003</v>
      </c>
      <c r="H139" s="172"/>
      <c r="I139" s="172"/>
      <c r="J139" s="173"/>
    </row>
    <row r="140" spans="1:14" s="65" customFormat="1" ht="15.75" x14ac:dyDescent="0.25">
      <c r="A140" s="169" t="s">
        <v>218</v>
      </c>
      <c r="B140" s="170"/>
      <c r="C140" s="83">
        <f>COUNT(D180:E183)+COUNT(D188:E193)+COUNT(D195:E202)*26+COUNT(D204:E209)*4+COUNT(D214:E221)*21+COUNT(D223:E228)*3</f>
        <v>428</v>
      </c>
      <c r="D140" s="171">
        <f>SUM(D180:E183)+SUM(D188:E193)+SUM(D195:E202)*26+SUM(D204:E209)*4+SUM(D214:E221)*21+SUM(D223:E228)*3</f>
        <v>244148.18687999999</v>
      </c>
      <c r="E140" s="172"/>
      <c r="F140" s="173"/>
      <c r="G140" s="171">
        <f>SUM(G180:G183)+SUM(G188:G193)+SUM(G195:G202)*26+SUM(G204:G209)*4+SUM(G214:G221)*21+SUM(G223:G228)*3</f>
        <v>390637.09900800005</v>
      </c>
      <c r="H140" s="172"/>
      <c r="I140" s="172"/>
      <c r="J140" s="173"/>
    </row>
    <row r="141" spans="1:14" s="65" customFormat="1" ht="15.75" x14ac:dyDescent="0.25">
      <c r="A141" s="169" t="s">
        <v>227</v>
      </c>
      <c r="B141" s="170"/>
      <c r="C141" s="83">
        <f>COUNT(D235:E238)+COUNT(D243:E248)+COUNT(D252:E259)*13+COUNT(D263:E268)*2+COUNT(D270:E277)*13+COUNT(D282:E287)*2+COUNT(D289:E296)*9+COUNT(D300:E305)+COUNT(D307:E314)*2+COUNT(D318:E323)+COUNT(D325:E332)*10+COUNT(D336:E341)</f>
        <v>428</v>
      </c>
      <c r="D141" s="171">
        <f>SUM(D235:E238)+SUM(D243:E248)+SUM(D252:E259)*13+SUM(D263:E268)*2+SUM(D270:E277)*13+SUM(D282:E287)*2+SUM(D289:E296)*9+SUM(D300:E305)+SUM(D307:E314)*2+SUM(D318:E323)+SUM(D325:E332)*10+SUM(D336:E341)</f>
        <v>239054.55443999998</v>
      </c>
      <c r="E141" s="172"/>
      <c r="F141" s="173"/>
      <c r="G141" s="171">
        <f>SUM(D235:E238)+SUM(D243:E248)+SUM(D252:E259)*13+SUM(D263:E268)*2+SUM(D270:E277)*13+SUM(D282:E287)*2+SUM(D289:E296)*9+SUM(D300:E305)+SUM(D307:E314)*2+SUM(D318:E323)+SUM(D325:E332)*10+SUM(D336:E341)</f>
        <v>239054.55443999998</v>
      </c>
      <c r="H141" s="172"/>
      <c r="I141" s="172"/>
      <c r="J141" s="173"/>
    </row>
    <row r="142" spans="1:14" s="65" customFormat="1" ht="15.75" x14ac:dyDescent="0.25">
      <c r="A142" s="275" t="s">
        <v>73</v>
      </c>
      <c r="B142" s="276"/>
      <c r="C142" s="66">
        <f>SUM(C139:C141)</f>
        <v>1047</v>
      </c>
      <c r="D142" s="271">
        <f>SUM(D139:D141)</f>
        <v>686658.46040999994</v>
      </c>
      <c r="E142" s="272"/>
      <c r="F142" s="273"/>
      <c r="G142" s="271">
        <f>SUM(G139:G141)</f>
        <v>955220.80399200006</v>
      </c>
      <c r="H142" s="272"/>
      <c r="I142" s="272"/>
      <c r="J142" s="273"/>
    </row>
    <row r="143" spans="1:14" s="67" customFormat="1" ht="15.75" x14ac:dyDescent="0.25">
      <c r="A143" s="268" t="s">
        <v>208</v>
      </c>
      <c r="B143" s="269"/>
      <c r="C143" s="269"/>
      <c r="D143" s="269"/>
      <c r="E143" s="269"/>
      <c r="F143" s="269"/>
      <c r="G143" s="269"/>
      <c r="H143" s="269"/>
      <c r="I143" s="269"/>
      <c r="J143" s="270"/>
      <c r="N143" s="65"/>
    </row>
    <row r="144" spans="1:14" s="68" customFormat="1" ht="15.75" x14ac:dyDescent="0.25">
      <c r="A144" s="268" t="s">
        <v>209</v>
      </c>
      <c r="B144" s="269"/>
      <c r="C144" s="269"/>
      <c r="D144" s="269"/>
      <c r="E144" s="269"/>
      <c r="F144" s="269"/>
      <c r="G144" s="269"/>
      <c r="H144" s="269"/>
      <c r="I144" s="269"/>
      <c r="J144" s="270"/>
    </row>
    <row r="145" spans="1:11" s="68" customFormat="1" ht="63" x14ac:dyDescent="0.25">
      <c r="A145" s="174" t="s">
        <v>210</v>
      </c>
      <c r="B145" s="175"/>
      <c r="C145" s="37" t="s">
        <v>211</v>
      </c>
      <c r="D145" s="174" t="s">
        <v>212</v>
      </c>
      <c r="E145" s="175"/>
      <c r="F145" s="38" t="s">
        <v>213</v>
      </c>
      <c r="G145" s="37" t="s">
        <v>221</v>
      </c>
      <c r="H145" s="37" t="s">
        <v>214</v>
      </c>
      <c r="I145" s="174" t="s">
        <v>215</v>
      </c>
      <c r="J145" s="175"/>
    </row>
    <row r="146" spans="1:11" s="69" customFormat="1" ht="15.75" x14ac:dyDescent="0.25">
      <c r="A146" s="274" t="s">
        <v>232</v>
      </c>
      <c r="B146" s="274"/>
      <c r="C146" s="274"/>
      <c r="D146" s="274"/>
      <c r="E146" s="274"/>
      <c r="F146" s="274"/>
      <c r="G146" s="274"/>
      <c r="H146" s="274"/>
      <c r="I146" s="274"/>
      <c r="J146" s="274"/>
    </row>
    <row r="147" spans="1:11" s="69" customFormat="1" ht="15.75" x14ac:dyDescent="0.25">
      <c r="A147" s="117" t="s">
        <v>216</v>
      </c>
      <c r="B147" s="117"/>
      <c r="C147" s="117"/>
      <c r="D147" s="117"/>
      <c r="E147" s="117"/>
      <c r="F147" s="117"/>
      <c r="G147" s="117"/>
      <c r="H147" s="117"/>
      <c r="I147" s="117"/>
      <c r="J147" s="117"/>
    </row>
    <row r="148" spans="1:11" s="69" customFormat="1" ht="15.75" x14ac:dyDescent="0.25">
      <c r="A148" s="117" t="s">
        <v>242</v>
      </c>
      <c r="B148" s="117"/>
      <c r="C148" s="117"/>
      <c r="D148" s="117"/>
      <c r="E148" s="117"/>
      <c r="F148" s="117"/>
      <c r="G148" s="117"/>
      <c r="H148" s="117"/>
      <c r="I148" s="117"/>
      <c r="J148" s="117"/>
      <c r="K148" s="81"/>
    </row>
    <row r="149" spans="1:11" s="69" customFormat="1" ht="15.75" customHeight="1" x14ac:dyDescent="0.25">
      <c r="A149" s="118">
        <v>1</v>
      </c>
      <c r="B149" s="118"/>
      <c r="C149" s="40" t="s">
        <v>151</v>
      </c>
      <c r="D149" s="119">
        <f>99.93*10.764</f>
        <v>1075.64652</v>
      </c>
      <c r="E149" s="119"/>
      <c r="F149" s="39">
        <v>0</v>
      </c>
      <c r="G149" s="39">
        <f>D149*1.6+F149</f>
        <v>1721.0344320000002</v>
      </c>
      <c r="H149" s="39" t="s">
        <v>217</v>
      </c>
      <c r="I149" s="118" t="str">
        <f>A148</f>
        <v>Ground Floor For Residential, Meter Room, Entrance Lobby</v>
      </c>
      <c r="J149" s="118"/>
      <c r="K149" s="81">
        <f>3.66*3.65+3.87*3.59+2.44*3+1.67*0.05+3.35*4.26+1.52*2.74+3.66*3.05+3.66*3.84+1.52*2.44+1.52*2.44+3.64+1.52*1.83+3.66*1.52</f>
        <v>97.711399999999983</v>
      </c>
    </row>
    <row r="150" spans="1:11" s="69" customFormat="1" ht="15.75" x14ac:dyDescent="0.25">
      <c r="A150" s="118">
        <v>2</v>
      </c>
      <c r="B150" s="118"/>
      <c r="C150" s="143" t="s">
        <v>303</v>
      </c>
      <c r="D150" s="146"/>
      <c r="E150" s="146"/>
      <c r="F150" s="146"/>
      <c r="G150" s="146"/>
      <c r="H150" s="144"/>
      <c r="I150" s="118"/>
      <c r="J150" s="118"/>
    </row>
    <row r="151" spans="1:11" s="69" customFormat="1" ht="15.75" x14ac:dyDescent="0.25">
      <c r="A151" s="118">
        <v>3</v>
      </c>
      <c r="B151" s="118"/>
      <c r="C151" s="143" t="s">
        <v>304</v>
      </c>
      <c r="D151" s="146">
        <f>47.51*10.764</f>
        <v>511.39763999999997</v>
      </c>
      <c r="E151" s="146"/>
      <c r="F151" s="146">
        <v>0</v>
      </c>
      <c r="G151" s="146">
        <f t="shared" ref="G151:G152" si="0">D151*1.6+F151</f>
        <v>818.23622399999999</v>
      </c>
      <c r="H151" s="144" t="s">
        <v>217</v>
      </c>
      <c r="I151" s="118"/>
      <c r="J151" s="118"/>
    </row>
    <row r="152" spans="1:11" s="64" customFormat="1" ht="15" customHeight="1" x14ac:dyDescent="0.25">
      <c r="A152" s="118">
        <v>4</v>
      </c>
      <c r="B152" s="118"/>
      <c r="C152" s="40" t="s">
        <v>151</v>
      </c>
      <c r="D152" s="119">
        <f>102.58*10.764</f>
        <v>1104.17112</v>
      </c>
      <c r="E152" s="119"/>
      <c r="F152" s="39">
        <v>0</v>
      </c>
      <c r="G152" s="39">
        <f t="shared" si="0"/>
        <v>1766.673792</v>
      </c>
      <c r="H152" s="39" t="s">
        <v>217</v>
      </c>
      <c r="I152" s="118"/>
      <c r="J152" s="118"/>
    </row>
    <row r="153" spans="1:11" s="69" customFormat="1" ht="15.75" x14ac:dyDescent="0.25">
      <c r="A153" s="117" t="s">
        <v>233</v>
      </c>
      <c r="B153" s="117"/>
      <c r="C153" s="117"/>
      <c r="D153" s="117"/>
      <c r="E153" s="117"/>
      <c r="F153" s="117"/>
      <c r="G153" s="117"/>
      <c r="H153" s="117"/>
      <c r="I153" s="117"/>
      <c r="J153" s="117"/>
      <c r="K153" s="81">
        <v>1</v>
      </c>
    </row>
    <row r="154" spans="1:11" s="64" customFormat="1" ht="15" customHeight="1" x14ac:dyDescent="0.25">
      <c r="A154" s="118">
        <v>1</v>
      </c>
      <c r="B154" s="118"/>
      <c r="C154" s="40" t="s">
        <v>151</v>
      </c>
      <c r="D154" s="119">
        <f>105.71*10.764</f>
        <v>1137.8624399999999</v>
      </c>
      <c r="E154" s="119"/>
      <c r="F154" s="39">
        <v>0</v>
      </c>
      <c r="G154" s="39">
        <f t="shared" ref="G154:G157" si="1">D154*1.6+F154</f>
        <v>1820.5799039999999</v>
      </c>
      <c r="H154" s="39" t="s">
        <v>217</v>
      </c>
      <c r="I154" s="118" t="str">
        <f>A153</f>
        <v xml:space="preserve">1st Podium Level Floor </v>
      </c>
      <c r="J154" s="118"/>
    </row>
    <row r="155" spans="1:11" s="64" customFormat="1" ht="15" customHeight="1" x14ac:dyDescent="0.25">
      <c r="A155" s="118">
        <v>2</v>
      </c>
      <c r="B155" s="118"/>
      <c r="C155" s="40" t="s">
        <v>151</v>
      </c>
      <c r="D155" s="119">
        <f>91.65*10.764</f>
        <v>986.52059999999994</v>
      </c>
      <c r="E155" s="119"/>
      <c r="F155" s="39">
        <v>0</v>
      </c>
      <c r="G155" s="39">
        <f t="shared" si="1"/>
        <v>1578.4329600000001</v>
      </c>
      <c r="H155" s="39" t="s">
        <v>217</v>
      </c>
      <c r="I155" s="118"/>
      <c r="J155" s="118"/>
    </row>
    <row r="156" spans="1:11" s="64" customFormat="1" ht="15" customHeight="1" x14ac:dyDescent="0.25">
      <c r="A156" s="118">
        <v>3</v>
      </c>
      <c r="B156" s="118"/>
      <c r="C156" s="143" t="s">
        <v>305</v>
      </c>
      <c r="D156" s="146">
        <f>47.51*10.764</f>
        <v>511.39763999999997</v>
      </c>
      <c r="E156" s="146"/>
      <c r="F156" s="146">
        <v>0</v>
      </c>
      <c r="G156" s="146">
        <f t="shared" si="1"/>
        <v>818.23622399999999</v>
      </c>
      <c r="H156" s="144" t="s">
        <v>217</v>
      </c>
      <c r="I156" s="118"/>
      <c r="J156" s="118"/>
    </row>
    <row r="157" spans="1:11" s="64" customFormat="1" ht="15" customHeight="1" x14ac:dyDescent="0.25">
      <c r="A157" s="118">
        <v>4</v>
      </c>
      <c r="B157" s="118">
        <v>5</v>
      </c>
      <c r="C157" s="40" t="s">
        <v>306</v>
      </c>
      <c r="D157" s="119">
        <f>116.1*10.764</f>
        <v>1249.7003999999999</v>
      </c>
      <c r="E157" s="119"/>
      <c r="F157" s="39">
        <v>0</v>
      </c>
      <c r="G157" s="39">
        <f t="shared" si="1"/>
        <v>1999.52064</v>
      </c>
      <c r="H157" s="39" t="s">
        <v>217</v>
      </c>
      <c r="I157" s="118"/>
      <c r="J157" s="118"/>
    </row>
    <row r="158" spans="1:11" s="69" customFormat="1" ht="15.75" x14ac:dyDescent="0.25">
      <c r="A158" s="117" t="s">
        <v>295</v>
      </c>
      <c r="B158" s="117"/>
      <c r="C158" s="117"/>
      <c r="D158" s="117"/>
      <c r="E158" s="117"/>
      <c r="F158" s="117"/>
      <c r="G158" s="117"/>
      <c r="H158" s="117"/>
      <c r="I158" s="117"/>
      <c r="J158" s="117"/>
      <c r="K158" s="81">
        <f>5+6+6+6+6+6+7</f>
        <v>42</v>
      </c>
    </row>
    <row r="159" spans="1:11" s="64" customFormat="1" ht="15" customHeight="1" x14ac:dyDescent="0.25">
      <c r="A159" s="118">
        <v>1</v>
      </c>
      <c r="B159" s="118"/>
      <c r="C159" s="40" t="s">
        <v>151</v>
      </c>
      <c r="D159" s="119">
        <f>105.71*10.764</f>
        <v>1137.8624399999999</v>
      </c>
      <c r="E159" s="119"/>
      <c r="F159" s="39">
        <v>0</v>
      </c>
      <c r="G159" s="39">
        <f t="shared" ref="G159:G162" si="2">D159*1.6+F159</f>
        <v>1820.5799039999999</v>
      </c>
      <c r="H159" s="39" t="s">
        <v>217</v>
      </c>
      <c r="I159" s="118" t="str">
        <f>A158</f>
        <v>1st to 5th, 7th to 12th, 14th to 19th, 21st to 26th, 28th to 33rd, 35th to 40th &amp;  42nd to 48th Floor</v>
      </c>
      <c r="J159" s="118"/>
      <c r="K159" s="82"/>
    </row>
    <row r="160" spans="1:11" s="64" customFormat="1" ht="15" customHeight="1" x14ac:dyDescent="0.25">
      <c r="A160" s="118">
        <v>2</v>
      </c>
      <c r="B160" s="118"/>
      <c r="C160" s="40" t="s">
        <v>151</v>
      </c>
      <c r="D160" s="119">
        <f>91.65*10.764</f>
        <v>986.52059999999994</v>
      </c>
      <c r="E160" s="119"/>
      <c r="F160" s="39">
        <v>0</v>
      </c>
      <c r="G160" s="39">
        <f t="shared" si="2"/>
        <v>1578.4329600000001</v>
      </c>
      <c r="H160" s="39" t="s">
        <v>217</v>
      </c>
      <c r="I160" s="118"/>
      <c r="J160" s="118"/>
    </row>
    <row r="161" spans="1:11" s="64" customFormat="1" ht="15" customHeight="1" x14ac:dyDescent="0.25">
      <c r="A161" s="118">
        <v>3</v>
      </c>
      <c r="B161" s="118"/>
      <c r="C161" s="40" t="s">
        <v>151</v>
      </c>
      <c r="D161" s="119">
        <f>91.65*10.764</f>
        <v>986.52059999999994</v>
      </c>
      <c r="E161" s="119"/>
      <c r="F161" s="39">
        <v>0</v>
      </c>
      <c r="G161" s="39">
        <f t="shared" si="2"/>
        <v>1578.4329600000001</v>
      </c>
      <c r="H161" s="39" t="s">
        <v>217</v>
      </c>
      <c r="I161" s="118"/>
      <c r="J161" s="118"/>
    </row>
    <row r="162" spans="1:11" s="64" customFormat="1" ht="15" customHeight="1" x14ac:dyDescent="0.25">
      <c r="A162" s="118">
        <v>4</v>
      </c>
      <c r="B162" s="118">
        <v>5</v>
      </c>
      <c r="C162" s="40" t="s">
        <v>151</v>
      </c>
      <c r="D162" s="119">
        <f>105.71*10.764</f>
        <v>1137.8624399999999</v>
      </c>
      <c r="E162" s="119"/>
      <c r="F162" s="39">
        <v>0</v>
      </c>
      <c r="G162" s="39">
        <f t="shared" si="2"/>
        <v>1820.5799039999999</v>
      </c>
      <c r="H162" s="39" t="s">
        <v>217</v>
      </c>
      <c r="I162" s="118"/>
      <c r="J162" s="118"/>
    </row>
    <row r="163" spans="1:11" s="69" customFormat="1" ht="15.75" x14ac:dyDescent="0.25">
      <c r="A163" s="117" t="s">
        <v>238</v>
      </c>
      <c r="B163" s="117"/>
      <c r="C163" s="117"/>
      <c r="D163" s="117"/>
      <c r="E163" s="117"/>
      <c r="F163" s="117"/>
      <c r="G163" s="117"/>
      <c r="H163" s="117"/>
      <c r="I163" s="117"/>
      <c r="J163" s="117"/>
    </row>
    <row r="164" spans="1:11" s="69" customFormat="1" ht="15.75" x14ac:dyDescent="0.25">
      <c r="A164" s="117" t="s">
        <v>243</v>
      </c>
      <c r="B164" s="117"/>
      <c r="C164" s="117"/>
      <c r="D164" s="117"/>
      <c r="E164" s="117"/>
      <c r="F164" s="117"/>
      <c r="G164" s="117"/>
      <c r="H164" s="117"/>
      <c r="I164" s="117"/>
      <c r="J164" s="117"/>
      <c r="K164" s="81">
        <v>5</v>
      </c>
    </row>
    <row r="165" spans="1:11" s="69" customFormat="1" ht="15" customHeight="1" x14ac:dyDescent="0.25">
      <c r="A165" s="118">
        <v>1</v>
      </c>
      <c r="B165" s="118"/>
      <c r="C165" s="40" t="s">
        <v>151</v>
      </c>
      <c r="D165" s="119">
        <f>105.71*10.764</f>
        <v>1137.8624399999999</v>
      </c>
      <c r="E165" s="119"/>
      <c r="F165" s="39">
        <v>0</v>
      </c>
      <c r="G165" s="39">
        <f t="shared" ref="G165:G168" si="3">D165*1.6+F165</f>
        <v>1820.5799039999999</v>
      </c>
      <c r="H165" s="39" t="s">
        <v>217</v>
      </c>
      <c r="I165" s="118" t="str">
        <f>A164</f>
        <v>6th, 13th, 20th, 27th &amp; 34th Floor (Part Refuge Area)</v>
      </c>
      <c r="J165" s="118"/>
    </row>
    <row r="166" spans="1:11" s="69" customFormat="1" ht="15.75" customHeight="1" x14ac:dyDescent="0.25">
      <c r="A166" s="118">
        <v>2</v>
      </c>
      <c r="B166" s="118">
        <v>5</v>
      </c>
      <c r="C166" s="143" t="s">
        <v>223</v>
      </c>
      <c r="D166" s="146">
        <f>91.65*10.764</f>
        <v>986.52059999999994</v>
      </c>
      <c r="E166" s="146"/>
      <c r="F166" s="146">
        <v>0</v>
      </c>
      <c r="G166" s="146">
        <f t="shared" si="3"/>
        <v>1578.4329600000001</v>
      </c>
      <c r="H166" s="144" t="s">
        <v>217</v>
      </c>
      <c r="I166" s="118"/>
      <c r="J166" s="118"/>
    </row>
    <row r="167" spans="1:11" s="69" customFormat="1" ht="15.75" x14ac:dyDescent="0.25">
      <c r="A167" s="118">
        <v>3</v>
      </c>
      <c r="B167" s="118">
        <v>5</v>
      </c>
      <c r="C167" s="40" t="s">
        <v>151</v>
      </c>
      <c r="D167" s="119">
        <f>91.65*10.764</f>
        <v>986.52059999999994</v>
      </c>
      <c r="E167" s="119"/>
      <c r="F167" s="39">
        <v>0</v>
      </c>
      <c r="G167" s="39">
        <f t="shared" si="3"/>
        <v>1578.4329600000001</v>
      </c>
      <c r="H167" s="39" t="s">
        <v>217</v>
      </c>
      <c r="I167" s="118"/>
      <c r="J167" s="118"/>
    </row>
    <row r="168" spans="1:11" s="69" customFormat="1" ht="15.75" x14ac:dyDescent="0.25">
      <c r="A168" s="118">
        <v>4</v>
      </c>
      <c r="B168" s="118">
        <v>6</v>
      </c>
      <c r="C168" s="40" t="s">
        <v>151</v>
      </c>
      <c r="D168" s="119">
        <f>105.71*10.764</f>
        <v>1137.8624399999999</v>
      </c>
      <c r="E168" s="119"/>
      <c r="F168" s="39">
        <v>0</v>
      </c>
      <c r="G168" s="39">
        <f t="shared" si="3"/>
        <v>1820.5799039999999</v>
      </c>
      <c r="H168" s="39" t="s">
        <v>217</v>
      </c>
      <c r="I168" s="118"/>
      <c r="J168" s="118"/>
    </row>
    <row r="169" spans="1:11" s="69" customFormat="1" ht="15.75" x14ac:dyDescent="0.25">
      <c r="A169" s="117" t="s">
        <v>254</v>
      </c>
      <c r="B169" s="117"/>
      <c r="C169" s="117"/>
      <c r="D169" s="117"/>
      <c r="E169" s="117"/>
      <c r="F169" s="117"/>
      <c r="G169" s="117"/>
      <c r="H169" s="117"/>
      <c r="I169" s="117"/>
      <c r="J169" s="117"/>
      <c r="K169" s="81">
        <v>1</v>
      </c>
    </row>
    <row r="170" spans="1:11" s="69" customFormat="1" ht="15" customHeight="1" x14ac:dyDescent="0.25">
      <c r="A170" s="118">
        <v>1</v>
      </c>
      <c r="B170" s="118"/>
      <c r="C170" s="40" t="s">
        <v>153</v>
      </c>
      <c r="D170" s="119">
        <f>(105.71-(3.65*3.05))*10.764</f>
        <v>1018.03221</v>
      </c>
      <c r="E170" s="119"/>
      <c r="F170" s="39">
        <v>0</v>
      </c>
      <c r="G170" s="39">
        <f t="shared" ref="G170:G173" si="4">D170*1.6+F170</f>
        <v>1628.8515360000001</v>
      </c>
      <c r="H170" s="39" t="s">
        <v>217</v>
      </c>
      <c r="I170" s="118" t="str">
        <f>A169</f>
        <v>41st Floor (Part Refuge Area)</v>
      </c>
      <c r="J170" s="118"/>
    </row>
    <row r="171" spans="1:11" s="69" customFormat="1" ht="15.75" customHeight="1" x14ac:dyDescent="0.25">
      <c r="A171" s="118">
        <v>2</v>
      </c>
      <c r="B171" s="118">
        <v>5</v>
      </c>
      <c r="C171" s="143" t="s">
        <v>223</v>
      </c>
      <c r="D171" s="146">
        <f>91.65*10.764</f>
        <v>986.52059999999994</v>
      </c>
      <c r="E171" s="146"/>
      <c r="F171" s="146">
        <v>0</v>
      </c>
      <c r="G171" s="146">
        <f t="shared" si="4"/>
        <v>1578.4329600000001</v>
      </c>
      <c r="H171" s="144" t="s">
        <v>217</v>
      </c>
      <c r="I171" s="118"/>
      <c r="J171" s="118"/>
    </row>
    <row r="172" spans="1:11" s="69" customFormat="1" ht="15.75" x14ac:dyDescent="0.25">
      <c r="A172" s="118">
        <v>3</v>
      </c>
      <c r="B172" s="118">
        <v>5</v>
      </c>
      <c r="C172" s="40" t="s">
        <v>151</v>
      </c>
      <c r="D172" s="119">
        <f>91.65*10.764</f>
        <v>986.52059999999994</v>
      </c>
      <c r="E172" s="119"/>
      <c r="F172" s="39">
        <v>0</v>
      </c>
      <c r="G172" s="39">
        <f t="shared" si="4"/>
        <v>1578.4329600000001</v>
      </c>
      <c r="H172" s="39" t="s">
        <v>217</v>
      </c>
      <c r="I172" s="118"/>
      <c r="J172" s="118"/>
    </row>
    <row r="173" spans="1:11" s="69" customFormat="1" ht="15.75" x14ac:dyDescent="0.25">
      <c r="A173" s="118">
        <v>4</v>
      </c>
      <c r="B173" s="118">
        <v>6</v>
      </c>
      <c r="C173" s="40" t="s">
        <v>151</v>
      </c>
      <c r="D173" s="119">
        <f>105.71*10.764</f>
        <v>1137.8624399999999</v>
      </c>
      <c r="E173" s="119"/>
      <c r="F173" s="39">
        <v>0</v>
      </c>
      <c r="G173" s="39">
        <f t="shared" si="4"/>
        <v>1820.5799039999999</v>
      </c>
      <c r="H173" s="39" t="s">
        <v>217</v>
      </c>
      <c r="I173" s="118"/>
      <c r="J173" s="118"/>
    </row>
    <row r="174" spans="1:11" s="69" customFormat="1" ht="15.75" x14ac:dyDescent="0.25">
      <c r="A174" s="117" t="s">
        <v>218</v>
      </c>
      <c r="B174" s="117"/>
      <c r="C174" s="117"/>
      <c r="D174" s="117"/>
      <c r="E174" s="117"/>
      <c r="F174" s="117"/>
      <c r="G174" s="117"/>
      <c r="H174" s="117"/>
      <c r="I174" s="117"/>
      <c r="J174" s="117"/>
    </row>
    <row r="175" spans="1:11" s="69" customFormat="1" ht="15.75" x14ac:dyDescent="0.25">
      <c r="A175" s="117" t="s">
        <v>216</v>
      </c>
      <c r="B175" s="117"/>
      <c r="C175" s="117"/>
      <c r="D175" s="117"/>
      <c r="E175" s="117"/>
      <c r="F175" s="117"/>
      <c r="G175" s="117"/>
      <c r="H175" s="117"/>
      <c r="I175" s="117"/>
      <c r="J175" s="117"/>
    </row>
    <row r="176" spans="1:11" s="69" customFormat="1" ht="15.75" x14ac:dyDescent="0.25">
      <c r="A176" s="117" t="s">
        <v>307</v>
      </c>
      <c r="B176" s="117"/>
      <c r="C176" s="117"/>
      <c r="D176" s="117"/>
      <c r="E176" s="117"/>
      <c r="F176" s="117"/>
      <c r="G176" s="117"/>
      <c r="H176" s="117"/>
      <c r="I176" s="117"/>
      <c r="J176" s="117"/>
      <c r="K176" s="81">
        <v>1</v>
      </c>
    </row>
    <row r="177" spans="1:11" s="69" customFormat="1" ht="15.75" customHeight="1" x14ac:dyDescent="0.25">
      <c r="A177" s="118">
        <v>1</v>
      </c>
      <c r="B177" s="118"/>
      <c r="C177" s="118" t="s">
        <v>219</v>
      </c>
      <c r="D177" s="118"/>
      <c r="E177" s="118"/>
      <c r="F177" s="118"/>
      <c r="G177" s="118"/>
      <c r="H177" s="118"/>
      <c r="I177" s="147" t="str">
        <f>A176</f>
        <v>Ground Floor For Residential &amp; Society Office, Fire Control Room, Meter Room &amp; Parking</v>
      </c>
      <c r="J177" s="148"/>
    </row>
    <row r="178" spans="1:11" s="69" customFormat="1" ht="15.75" x14ac:dyDescent="0.25">
      <c r="A178" s="118">
        <v>2</v>
      </c>
      <c r="B178" s="118"/>
      <c r="C178" s="118"/>
      <c r="D178" s="118"/>
      <c r="E178" s="118"/>
      <c r="F178" s="118"/>
      <c r="G178" s="118"/>
      <c r="H178" s="118"/>
      <c r="I178" s="149"/>
      <c r="J178" s="150"/>
    </row>
    <row r="179" spans="1:11" s="69" customFormat="1" ht="15" customHeight="1" x14ac:dyDescent="0.25">
      <c r="A179" s="118">
        <v>3</v>
      </c>
      <c r="B179" s="118"/>
      <c r="C179" s="119" t="s">
        <v>220</v>
      </c>
      <c r="D179" s="119"/>
      <c r="E179" s="119"/>
      <c r="F179" s="119"/>
      <c r="G179" s="119"/>
      <c r="H179" s="119"/>
      <c r="I179" s="149"/>
      <c r="J179" s="150"/>
    </row>
    <row r="180" spans="1:11" s="69" customFormat="1" ht="15.75" customHeight="1" x14ac:dyDescent="0.25">
      <c r="A180" s="118">
        <v>4</v>
      </c>
      <c r="B180" s="118">
        <v>5</v>
      </c>
      <c r="C180" s="40" t="s">
        <v>153</v>
      </c>
      <c r="D180" s="119">
        <f>54.92*10.764</f>
        <v>591.15887999999995</v>
      </c>
      <c r="E180" s="119"/>
      <c r="F180" s="39">
        <v>0</v>
      </c>
      <c r="G180" s="39">
        <f>D180*1.6+F180</f>
        <v>945.85420799999997</v>
      </c>
      <c r="H180" s="39" t="s">
        <v>217</v>
      </c>
      <c r="I180" s="149"/>
      <c r="J180" s="150"/>
    </row>
    <row r="181" spans="1:11" s="69" customFormat="1" ht="15.75" x14ac:dyDescent="0.25">
      <c r="A181" s="118">
        <v>5</v>
      </c>
      <c r="B181" s="118">
        <v>5</v>
      </c>
      <c r="C181" s="40" t="s">
        <v>153</v>
      </c>
      <c r="D181" s="119">
        <f>59.92*10.764</f>
        <v>644.97888</v>
      </c>
      <c r="E181" s="119"/>
      <c r="F181" s="39">
        <v>0</v>
      </c>
      <c r="G181" s="39">
        <f t="shared" ref="G181:G183" si="5">D181*1.6+F181</f>
        <v>1031.9662080000001</v>
      </c>
      <c r="H181" s="39" t="s">
        <v>217</v>
      </c>
      <c r="I181" s="149"/>
      <c r="J181" s="150"/>
    </row>
    <row r="182" spans="1:11" s="69" customFormat="1" ht="15.75" x14ac:dyDescent="0.25">
      <c r="A182" s="118">
        <v>6</v>
      </c>
      <c r="B182" s="118">
        <v>6</v>
      </c>
      <c r="C182" s="40" t="s">
        <v>153</v>
      </c>
      <c r="D182" s="119">
        <f>59.92*10.764</f>
        <v>644.97888</v>
      </c>
      <c r="E182" s="119"/>
      <c r="F182" s="39">
        <v>0</v>
      </c>
      <c r="G182" s="39">
        <f t="shared" si="5"/>
        <v>1031.9662080000001</v>
      </c>
      <c r="H182" s="39" t="s">
        <v>217</v>
      </c>
      <c r="I182" s="149"/>
      <c r="J182" s="150"/>
    </row>
    <row r="183" spans="1:11" s="64" customFormat="1" ht="15" customHeight="1" x14ac:dyDescent="0.25">
      <c r="A183" s="118">
        <v>7</v>
      </c>
      <c r="B183" s="118">
        <v>6</v>
      </c>
      <c r="C183" s="40" t="s">
        <v>153</v>
      </c>
      <c r="D183" s="119">
        <f>54.92*10.764</f>
        <v>591.15887999999995</v>
      </c>
      <c r="E183" s="119"/>
      <c r="F183" s="39">
        <v>0</v>
      </c>
      <c r="G183" s="39">
        <f t="shared" si="5"/>
        <v>945.85420799999997</v>
      </c>
      <c r="H183" s="39" t="s">
        <v>217</v>
      </c>
      <c r="I183" s="149"/>
      <c r="J183" s="150"/>
    </row>
    <row r="184" spans="1:11" s="64" customFormat="1" ht="15" customHeight="1" x14ac:dyDescent="0.25">
      <c r="A184" s="118">
        <v>8</v>
      </c>
      <c r="B184" s="118">
        <v>6</v>
      </c>
      <c r="C184" s="119" t="s">
        <v>255</v>
      </c>
      <c r="D184" s="119"/>
      <c r="E184" s="119"/>
      <c r="F184" s="119"/>
      <c r="G184" s="119"/>
      <c r="H184" s="119"/>
      <c r="I184" s="151"/>
      <c r="J184" s="152"/>
    </row>
    <row r="185" spans="1:11" s="69" customFormat="1" ht="15.75" x14ac:dyDescent="0.25">
      <c r="A185" s="117" t="s">
        <v>222</v>
      </c>
      <c r="B185" s="117"/>
      <c r="C185" s="117"/>
      <c r="D185" s="117"/>
      <c r="E185" s="117"/>
      <c r="F185" s="117"/>
      <c r="G185" s="117"/>
      <c r="H185" s="117"/>
      <c r="I185" s="117"/>
      <c r="J185" s="117"/>
      <c r="K185" s="81">
        <v>1</v>
      </c>
    </row>
    <row r="186" spans="1:11" s="69" customFormat="1" ht="15.75" customHeight="1" x14ac:dyDescent="0.25">
      <c r="A186" s="118">
        <v>1</v>
      </c>
      <c r="B186" s="118"/>
      <c r="C186" s="118" t="s">
        <v>219</v>
      </c>
      <c r="D186" s="118"/>
      <c r="E186" s="118"/>
      <c r="F186" s="118"/>
      <c r="G186" s="118"/>
      <c r="H186" s="118"/>
      <c r="I186" s="118" t="str">
        <f>A185</f>
        <v>Podium P1 Floor</v>
      </c>
      <c r="J186" s="118"/>
    </row>
    <row r="187" spans="1:11" s="69" customFormat="1" ht="15.75" x14ac:dyDescent="0.25">
      <c r="A187" s="118">
        <v>2</v>
      </c>
      <c r="B187" s="118"/>
      <c r="C187" s="118"/>
      <c r="D187" s="118"/>
      <c r="E187" s="118"/>
      <c r="F187" s="118"/>
      <c r="G187" s="118"/>
      <c r="H187" s="118"/>
      <c r="I187" s="118"/>
      <c r="J187" s="118"/>
    </row>
    <row r="188" spans="1:11" s="69" customFormat="1" ht="15" customHeight="1" x14ac:dyDescent="0.25">
      <c r="A188" s="118">
        <v>3</v>
      </c>
      <c r="B188" s="118"/>
      <c r="C188" s="40" t="s">
        <v>158</v>
      </c>
      <c r="D188" s="119">
        <f>49.79*10.764</f>
        <v>535.93955999999991</v>
      </c>
      <c r="E188" s="119"/>
      <c r="F188" s="39">
        <v>0</v>
      </c>
      <c r="G188" s="39">
        <f t="shared" ref="G188:G193" si="6">D188*1.6+F188</f>
        <v>857.50329599999986</v>
      </c>
      <c r="H188" s="39" t="s">
        <v>217</v>
      </c>
      <c r="I188" s="118"/>
      <c r="J188" s="118"/>
      <c r="K188" s="81">
        <f>2.74*3.05*10.764</f>
        <v>89.954747999999981</v>
      </c>
    </row>
    <row r="189" spans="1:11" s="69" customFormat="1" ht="15.75" customHeight="1" x14ac:dyDescent="0.25">
      <c r="A189" s="118">
        <v>4</v>
      </c>
      <c r="B189" s="118">
        <v>5</v>
      </c>
      <c r="C189" s="40" t="s">
        <v>158</v>
      </c>
      <c r="D189" s="119">
        <f>54.92*10.764</f>
        <v>591.15887999999995</v>
      </c>
      <c r="E189" s="119"/>
      <c r="F189" s="39">
        <v>0</v>
      </c>
      <c r="G189" s="39">
        <f t="shared" si="6"/>
        <v>945.85420799999997</v>
      </c>
      <c r="H189" s="39" t="s">
        <v>217</v>
      </c>
      <c r="I189" s="118"/>
      <c r="J189" s="118"/>
    </row>
    <row r="190" spans="1:11" s="69" customFormat="1" ht="15.75" x14ac:dyDescent="0.25">
      <c r="A190" s="118">
        <v>5</v>
      </c>
      <c r="B190" s="118">
        <v>5</v>
      </c>
      <c r="C190" s="40" t="s">
        <v>153</v>
      </c>
      <c r="D190" s="119">
        <f>62.39*10.764</f>
        <v>671.56596000000002</v>
      </c>
      <c r="E190" s="119"/>
      <c r="F190" s="39">
        <v>0</v>
      </c>
      <c r="G190" s="39">
        <f t="shared" si="6"/>
        <v>1074.5055360000001</v>
      </c>
      <c r="H190" s="39" t="s">
        <v>217</v>
      </c>
      <c r="I190" s="118"/>
      <c r="J190" s="118"/>
    </row>
    <row r="191" spans="1:11" s="69" customFormat="1" ht="15.75" x14ac:dyDescent="0.25">
      <c r="A191" s="118">
        <v>6</v>
      </c>
      <c r="B191" s="118">
        <v>6</v>
      </c>
      <c r="C191" s="40" t="s">
        <v>153</v>
      </c>
      <c r="D191" s="119">
        <f>62.39*10.764</f>
        <v>671.56596000000002</v>
      </c>
      <c r="E191" s="119"/>
      <c r="F191" s="39">
        <v>0</v>
      </c>
      <c r="G191" s="39">
        <f t="shared" si="6"/>
        <v>1074.5055360000001</v>
      </c>
      <c r="H191" s="39" t="s">
        <v>217</v>
      </c>
      <c r="I191" s="118"/>
      <c r="J191" s="118"/>
    </row>
    <row r="192" spans="1:11" s="64" customFormat="1" ht="15" customHeight="1" x14ac:dyDescent="0.25">
      <c r="A192" s="118">
        <v>7</v>
      </c>
      <c r="B192" s="118">
        <v>6</v>
      </c>
      <c r="C192" s="40" t="s">
        <v>158</v>
      </c>
      <c r="D192" s="119">
        <f>54.92*10.764</f>
        <v>591.15887999999995</v>
      </c>
      <c r="E192" s="119"/>
      <c r="F192" s="39">
        <v>0</v>
      </c>
      <c r="G192" s="39">
        <f t="shared" si="6"/>
        <v>945.85420799999997</v>
      </c>
      <c r="H192" s="39" t="s">
        <v>217</v>
      </c>
      <c r="I192" s="118"/>
      <c r="J192" s="118"/>
    </row>
    <row r="193" spans="1:11" s="64" customFormat="1" ht="15" customHeight="1" x14ac:dyDescent="0.25">
      <c r="A193" s="118">
        <v>8</v>
      </c>
      <c r="B193" s="118">
        <v>6</v>
      </c>
      <c r="C193" s="40" t="s">
        <v>158</v>
      </c>
      <c r="D193" s="119">
        <f>49.79*10.764</f>
        <v>535.93955999999991</v>
      </c>
      <c r="E193" s="119"/>
      <c r="F193" s="39">
        <v>0</v>
      </c>
      <c r="G193" s="39">
        <f t="shared" si="6"/>
        <v>857.50329599999986</v>
      </c>
      <c r="H193" s="39" t="s">
        <v>217</v>
      </c>
      <c r="I193" s="118"/>
      <c r="J193" s="118"/>
    </row>
    <row r="194" spans="1:11" s="69" customFormat="1" ht="15.75" x14ac:dyDescent="0.25">
      <c r="A194" s="117" t="s">
        <v>266</v>
      </c>
      <c r="B194" s="117"/>
      <c r="C194" s="117"/>
      <c r="D194" s="117"/>
      <c r="E194" s="117"/>
      <c r="F194" s="117"/>
      <c r="G194" s="117"/>
      <c r="H194" s="117"/>
      <c r="I194" s="117"/>
      <c r="J194" s="117"/>
      <c r="K194" s="81">
        <f>6+6+6+6+2</f>
        <v>26</v>
      </c>
    </row>
    <row r="195" spans="1:11" s="69" customFormat="1" ht="15.75" customHeight="1" x14ac:dyDescent="0.25">
      <c r="A195" s="118">
        <v>1</v>
      </c>
      <c r="B195" s="118"/>
      <c r="C195" s="40" t="s">
        <v>158</v>
      </c>
      <c r="D195" s="119">
        <f>43.31*10.764</f>
        <v>466.18883999999997</v>
      </c>
      <c r="E195" s="119"/>
      <c r="F195" s="39">
        <v>0</v>
      </c>
      <c r="G195" s="39">
        <f t="shared" ref="G195:G196" si="7">D195*1.6+F195</f>
        <v>745.90214400000002</v>
      </c>
      <c r="H195" s="39" t="s">
        <v>217</v>
      </c>
      <c r="I195" s="118" t="str">
        <f>A194</f>
        <v xml:space="preserve">1st to 6th, 8th to 13th, 15th to 20th, 22nd to 27th, 29th &amp; 30th Floor </v>
      </c>
      <c r="J195" s="118"/>
    </row>
    <row r="196" spans="1:11" s="69" customFormat="1" ht="15.75" customHeight="1" x14ac:dyDescent="0.25">
      <c r="A196" s="118">
        <v>2</v>
      </c>
      <c r="B196" s="118"/>
      <c r="C196" s="40" t="s">
        <v>158</v>
      </c>
      <c r="D196" s="119">
        <f>43.31*10.764</f>
        <v>466.18883999999997</v>
      </c>
      <c r="E196" s="119"/>
      <c r="F196" s="39">
        <v>0</v>
      </c>
      <c r="G196" s="39">
        <f t="shared" si="7"/>
        <v>745.90214400000002</v>
      </c>
      <c r="H196" s="39" t="s">
        <v>217</v>
      </c>
      <c r="I196" s="118"/>
      <c r="J196" s="118"/>
      <c r="K196" s="69">
        <v>1</v>
      </c>
    </row>
    <row r="197" spans="1:11" s="64" customFormat="1" ht="15" customHeight="1" x14ac:dyDescent="0.25">
      <c r="A197" s="118">
        <v>3</v>
      </c>
      <c r="B197" s="118"/>
      <c r="C197" s="40" t="s">
        <v>158</v>
      </c>
      <c r="D197" s="119">
        <f>49.79*10.764</f>
        <v>535.93955999999991</v>
      </c>
      <c r="E197" s="119"/>
      <c r="F197" s="39">
        <v>0</v>
      </c>
      <c r="G197" s="39">
        <f t="shared" ref="G197:G202" si="8">D197*1.6+F197</f>
        <v>857.50329599999986</v>
      </c>
      <c r="H197" s="39" t="s">
        <v>217</v>
      </c>
      <c r="I197" s="118"/>
      <c r="J197" s="118"/>
    </row>
    <row r="198" spans="1:11" s="64" customFormat="1" ht="15" customHeight="1" x14ac:dyDescent="0.25">
      <c r="A198" s="118">
        <v>4</v>
      </c>
      <c r="B198" s="118">
        <v>5</v>
      </c>
      <c r="C198" s="40" t="s">
        <v>158</v>
      </c>
      <c r="D198" s="119">
        <f>54.92*10.764</f>
        <v>591.15887999999995</v>
      </c>
      <c r="E198" s="119"/>
      <c r="F198" s="39">
        <v>0</v>
      </c>
      <c r="G198" s="39">
        <f t="shared" si="8"/>
        <v>945.85420799999997</v>
      </c>
      <c r="H198" s="39" t="s">
        <v>217</v>
      </c>
      <c r="I198" s="118"/>
      <c r="J198" s="118"/>
    </row>
    <row r="199" spans="1:11" s="64" customFormat="1" ht="15" customHeight="1" x14ac:dyDescent="0.25">
      <c r="A199" s="118">
        <v>5</v>
      </c>
      <c r="B199" s="118">
        <v>5</v>
      </c>
      <c r="C199" s="40" t="s">
        <v>153</v>
      </c>
      <c r="D199" s="119">
        <f>62.39*10.764</f>
        <v>671.56596000000002</v>
      </c>
      <c r="E199" s="119"/>
      <c r="F199" s="39">
        <v>0</v>
      </c>
      <c r="G199" s="39">
        <f>D199*1.6+F199</f>
        <v>1074.5055360000001</v>
      </c>
      <c r="H199" s="39" t="s">
        <v>217</v>
      </c>
      <c r="I199" s="118"/>
      <c r="J199" s="118"/>
    </row>
    <row r="200" spans="1:11" s="64" customFormat="1" ht="15" customHeight="1" x14ac:dyDescent="0.25">
      <c r="A200" s="118">
        <v>6</v>
      </c>
      <c r="B200" s="118">
        <v>6</v>
      </c>
      <c r="C200" s="40" t="s">
        <v>153</v>
      </c>
      <c r="D200" s="119">
        <f>62.39*10.764</f>
        <v>671.56596000000002</v>
      </c>
      <c r="E200" s="119"/>
      <c r="F200" s="39">
        <v>0</v>
      </c>
      <c r="G200" s="39">
        <f t="shared" si="8"/>
        <v>1074.5055360000001</v>
      </c>
      <c r="H200" s="39" t="s">
        <v>217</v>
      </c>
      <c r="I200" s="118"/>
      <c r="J200" s="118"/>
    </row>
    <row r="201" spans="1:11" s="64" customFormat="1" ht="15" customHeight="1" x14ac:dyDescent="0.25">
      <c r="A201" s="118">
        <v>7</v>
      </c>
      <c r="B201" s="118">
        <v>6</v>
      </c>
      <c r="C201" s="40" t="s">
        <v>158</v>
      </c>
      <c r="D201" s="119">
        <f>54.92*10.764</f>
        <v>591.15887999999995</v>
      </c>
      <c r="E201" s="119"/>
      <c r="F201" s="39">
        <v>0</v>
      </c>
      <c r="G201" s="39">
        <f t="shared" si="8"/>
        <v>945.85420799999997</v>
      </c>
      <c r="H201" s="39" t="s">
        <v>217</v>
      </c>
      <c r="I201" s="118"/>
      <c r="J201" s="118"/>
    </row>
    <row r="202" spans="1:11" s="64" customFormat="1" ht="15" customHeight="1" x14ac:dyDescent="0.25">
      <c r="A202" s="118">
        <v>8</v>
      </c>
      <c r="B202" s="118">
        <v>6</v>
      </c>
      <c r="C202" s="40" t="s">
        <v>158</v>
      </c>
      <c r="D202" s="119">
        <f>49.79*10.764</f>
        <v>535.93955999999991</v>
      </c>
      <c r="E202" s="119"/>
      <c r="F202" s="39">
        <v>0</v>
      </c>
      <c r="G202" s="39">
        <f t="shared" si="8"/>
        <v>857.50329599999986</v>
      </c>
      <c r="H202" s="39" t="s">
        <v>217</v>
      </c>
      <c r="I202" s="118"/>
      <c r="J202" s="118"/>
    </row>
    <row r="203" spans="1:11" s="64" customFormat="1" ht="15" customHeight="1" x14ac:dyDescent="0.25">
      <c r="A203" s="145" t="s">
        <v>267</v>
      </c>
      <c r="B203" s="145"/>
      <c r="C203" s="145"/>
      <c r="D203" s="145"/>
      <c r="E203" s="145"/>
      <c r="F203" s="145"/>
      <c r="G203" s="145"/>
      <c r="H203" s="145"/>
      <c r="I203" s="145"/>
      <c r="J203" s="145"/>
      <c r="K203" s="82">
        <v>4</v>
      </c>
    </row>
    <row r="204" spans="1:11" s="64" customFormat="1" ht="15" customHeight="1" x14ac:dyDescent="0.25">
      <c r="A204" s="118">
        <v>1</v>
      </c>
      <c r="B204" s="118"/>
      <c r="C204" s="40" t="s">
        <v>158</v>
      </c>
      <c r="D204" s="119">
        <f>43.31*10.764</f>
        <v>466.18883999999997</v>
      </c>
      <c r="E204" s="119"/>
      <c r="F204" s="39">
        <v>0</v>
      </c>
      <c r="G204" s="39">
        <f t="shared" ref="G204:G209" si="9">D204*1.6+F204</f>
        <v>745.90214400000002</v>
      </c>
      <c r="H204" s="39" t="s">
        <v>217</v>
      </c>
      <c r="I204" s="118" t="str">
        <f>A203</f>
        <v>7th, 14th, 21st &amp; 28th Floor (Part Refuge Area)</v>
      </c>
      <c r="J204" s="118"/>
    </row>
    <row r="205" spans="1:11" s="64" customFormat="1" ht="15" customHeight="1" x14ac:dyDescent="0.25">
      <c r="A205" s="118">
        <v>2</v>
      </c>
      <c r="B205" s="118"/>
      <c r="C205" s="40" t="s">
        <v>158</v>
      </c>
      <c r="D205" s="119">
        <f>43.31*10.764</f>
        <v>466.18883999999997</v>
      </c>
      <c r="E205" s="119"/>
      <c r="F205" s="39">
        <v>0</v>
      </c>
      <c r="G205" s="39">
        <f t="shared" si="9"/>
        <v>745.90214400000002</v>
      </c>
      <c r="H205" s="39" t="s">
        <v>217</v>
      </c>
      <c r="I205" s="118"/>
      <c r="J205" s="118"/>
    </row>
    <row r="206" spans="1:11" s="64" customFormat="1" ht="15" customHeight="1" x14ac:dyDescent="0.25">
      <c r="A206" s="118">
        <v>3</v>
      </c>
      <c r="B206" s="118"/>
      <c r="C206" s="40" t="s">
        <v>158</v>
      </c>
      <c r="D206" s="119">
        <f>49.79*10.764</f>
        <v>535.93955999999991</v>
      </c>
      <c r="E206" s="119"/>
      <c r="F206" s="39">
        <v>0</v>
      </c>
      <c r="G206" s="39">
        <f t="shared" si="9"/>
        <v>857.50329599999986</v>
      </c>
      <c r="H206" s="39" t="s">
        <v>217</v>
      </c>
      <c r="I206" s="118"/>
      <c r="J206" s="118"/>
    </row>
    <row r="207" spans="1:11" s="64" customFormat="1" ht="15" customHeight="1" x14ac:dyDescent="0.25">
      <c r="A207" s="118">
        <v>4</v>
      </c>
      <c r="B207" s="118">
        <v>5</v>
      </c>
      <c r="C207" s="40" t="s">
        <v>158</v>
      </c>
      <c r="D207" s="119">
        <f>54.92*10.764</f>
        <v>591.15887999999995</v>
      </c>
      <c r="E207" s="119"/>
      <c r="F207" s="39">
        <v>0</v>
      </c>
      <c r="G207" s="39">
        <f t="shared" si="9"/>
        <v>945.85420799999997</v>
      </c>
      <c r="H207" s="39" t="s">
        <v>217</v>
      </c>
      <c r="I207" s="118"/>
      <c r="J207" s="118"/>
    </row>
    <row r="208" spans="1:11" s="64" customFormat="1" ht="15" customHeight="1" x14ac:dyDescent="0.25">
      <c r="A208" s="118">
        <v>5</v>
      </c>
      <c r="B208" s="118">
        <v>5</v>
      </c>
      <c r="C208" s="40" t="s">
        <v>153</v>
      </c>
      <c r="D208" s="119">
        <f>63.42*10.764</f>
        <v>682.65287999999998</v>
      </c>
      <c r="E208" s="119"/>
      <c r="F208" s="39">
        <v>0</v>
      </c>
      <c r="G208" s="39">
        <f t="shared" si="9"/>
        <v>1092.244608</v>
      </c>
      <c r="H208" s="39" t="s">
        <v>217</v>
      </c>
      <c r="I208" s="118"/>
      <c r="J208" s="118"/>
    </row>
    <row r="209" spans="1:11" s="64" customFormat="1" ht="15" customHeight="1" x14ac:dyDescent="0.25">
      <c r="A209" s="118">
        <v>6</v>
      </c>
      <c r="B209" s="118">
        <v>6</v>
      </c>
      <c r="C209" s="40" t="s">
        <v>153</v>
      </c>
      <c r="D209" s="143">
        <f>62.39*10.764</f>
        <v>671.56596000000002</v>
      </c>
      <c r="E209" s="144"/>
      <c r="F209" s="39">
        <v>0</v>
      </c>
      <c r="G209" s="39">
        <f t="shared" si="9"/>
        <v>1074.5055360000001</v>
      </c>
      <c r="H209" s="39" t="s">
        <v>217</v>
      </c>
      <c r="I209" s="118"/>
      <c r="J209" s="118"/>
    </row>
    <row r="210" spans="1:11" s="64" customFormat="1" ht="15" customHeight="1" x14ac:dyDescent="0.25">
      <c r="A210" s="118">
        <v>7</v>
      </c>
      <c r="B210" s="118">
        <v>6</v>
      </c>
      <c r="C210" s="119" t="s">
        <v>223</v>
      </c>
      <c r="D210" s="119"/>
      <c r="E210" s="119"/>
      <c r="F210" s="119"/>
      <c r="G210" s="119"/>
      <c r="H210" s="119"/>
      <c r="I210" s="118"/>
      <c r="J210" s="118"/>
    </row>
    <row r="211" spans="1:11" s="64" customFormat="1" ht="15" customHeight="1" x14ac:dyDescent="0.25">
      <c r="A211" s="118">
        <v>8</v>
      </c>
      <c r="B211" s="118">
        <v>6</v>
      </c>
      <c r="C211" s="119"/>
      <c r="D211" s="119"/>
      <c r="E211" s="119"/>
      <c r="F211" s="119"/>
      <c r="G211" s="119"/>
      <c r="H211" s="119"/>
      <c r="I211" s="118"/>
      <c r="J211" s="118"/>
    </row>
    <row r="212" spans="1:11" s="69" customFormat="1" ht="15.75" x14ac:dyDescent="0.25">
      <c r="A212" s="117" t="s">
        <v>256</v>
      </c>
      <c r="B212" s="117"/>
      <c r="C212" s="117"/>
      <c r="D212" s="117"/>
      <c r="E212" s="117"/>
      <c r="F212" s="117"/>
      <c r="G212" s="117"/>
      <c r="H212" s="117"/>
      <c r="I212" s="117"/>
      <c r="J212" s="117"/>
    </row>
    <row r="213" spans="1:11" s="69" customFormat="1" ht="15.75" x14ac:dyDescent="0.25">
      <c r="A213" s="117" t="s">
        <v>315</v>
      </c>
      <c r="B213" s="117"/>
      <c r="C213" s="117"/>
      <c r="D213" s="117"/>
      <c r="E213" s="117"/>
      <c r="F213" s="117"/>
      <c r="G213" s="117"/>
      <c r="H213" s="117"/>
      <c r="I213" s="117"/>
      <c r="J213" s="117"/>
      <c r="K213" s="81">
        <f>4+6+6+5</f>
        <v>21</v>
      </c>
    </row>
    <row r="214" spans="1:11" s="69" customFormat="1" ht="15.75" customHeight="1" x14ac:dyDescent="0.25">
      <c r="A214" s="118">
        <v>1</v>
      </c>
      <c r="B214" s="118"/>
      <c r="C214" s="40" t="s">
        <v>158</v>
      </c>
      <c r="D214" s="143">
        <f>43.7*10.764</f>
        <v>470.38679999999999</v>
      </c>
      <c r="E214" s="144"/>
      <c r="F214" s="39">
        <v>0</v>
      </c>
      <c r="G214" s="39">
        <f t="shared" ref="G214:G221" si="10">D214*1.6+F214</f>
        <v>752.61887999999999</v>
      </c>
      <c r="H214" s="39" t="s">
        <v>217</v>
      </c>
      <c r="I214" s="118" t="str">
        <f>A213</f>
        <v xml:space="preserve">31st to 34th, 36th to 41st &amp; 43rd to 48th, 50th to 54th Floor </v>
      </c>
      <c r="J214" s="118"/>
    </row>
    <row r="215" spans="1:11" s="69" customFormat="1" ht="15.75" customHeight="1" x14ac:dyDescent="0.25">
      <c r="A215" s="118">
        <v>2</v>
      </c>
      <c r="B215" s="118"/>
      <c r="C215" s="40" t="s">
        <v>158</v>
      </c>
      <c r="D215" s="143">
        <f>43.7*10.764</f>
        <v>470.38679999999999</v>
      </c>
      <c r="E215" s="144"/>
      <c r="F215" s="39">
        <v>0</v>
      </c>
      <c r="G215" s="39">
        <f t="shared" si="10"/>
        <v>752.61887999999999</v>
      </c>
      <c r="H215" s="39" t="s">
        <v>217</v>
      </c>
      <c r="I215" s="118"/>
      <c r="J215" s="118"/>
      <c r="K215" s="69">
        <v>1</v>
      </c>
    </row>
    <row r="216" spans="1:11" s="64" customFormat="1" ht="15" customHeight="1" x14ac:dyDescent="0.25">
      <c r="A216" s="118">
        <v>3</v>
      </c>
      <c r="B216" s="118"/>
      <c r="C216" s="40" t="s">
        <v>158</v>
      </c>
      <c r="D216" s="143">
        <f>50.38*10.764</f>
        <v>542.29031999999995</v>
      </c>
      <c r="E216" s="144"/>
      <c r="F216" s="39">
        <v>0</v>
      </c>
      <c r="G216" s="39">
        <f t="shared" si="10"/>
        <v>867.66451199999995</v>
      </c>
      <c r="H216" s="39" t="s">
        <v>217</v>
      </c>
      <c r="I216" s="118"/>
      <c r="J216" s="118"/>
    </row>
    <row r="217" spans="1:11" s="64" customFormat="1" ht="15" customHeight="1" x14ac:dyDescent="0.25">
      <c r="A217" s="118">
        <v>4</v>
      </c>
      <c r="B217" s="118">
        <v>5</v>
      </c>
      <c r="C217" s="40" t="s">
        <v>153</v>
      </c>
      <c r="D217" s="143">
        <f>55.68*10.764</f>
        <v>599.33951999999999</v>
      </c>
      <c r="E217" s="144"/>
      <c r="F217" s="39">
        <v>0</v>
      </c>
      <c r="G217" s="39">
        <f t="shared" si="10"/>
        <v>958.94323200000008</v>
      </c>
      <c r="H217" s="39" t="s">
        <v>217</v>
      </c>
      <c r="I217" s="118"/>
      <c r="J217" s="118"/>
    </row>
    <row r="218" spans="1:11" s="64" customFormat="1" ht="15" customHeight="1" x14ac:dyDescent="0.25">
      <c r="A218" s="118">
        <v>5</v>
      </c>
      <c r="B218" s="118">
        <v>5</v>
      </c>
      <c r="C218" s="40" t="s">
        <v>153</v>
      </c>
      <c r="D218" s="143">
        <f>63.42*10.764</f>
        <v>682.65287999999998</v>
      </c>
      <c r="E218" s="144"/>
      <c r="F218" s="39">
        <v>0</v>
      </c>
      <c r="G218" s="39">
        <f t="shared" si="10"/>
        <v>1092.244608</v>
      </c>
      <c r="H218" s="39" t="s">
        <v>217</v>
      </c>
      <c r="I218" s="118"/>
      <c r="J218" s="118"/>
    </row>
    <row r="219" spans="1:11" s="64" customFormat="1" ht="15" customHeight="1" x14ac:dyDescent="0.25">
      <c r="A219" s="118">
        <v>6</v>
      </c>
      <c r="B219" s="118">
        <v>6</v>
      </c>
      <c r="C219" s="40" t="s">
        <v>153</v>
      </c>
      <c r="D219" s="143">
        <f>63.42*10.764</f>
        <v>682.65287999999998</v>
      </c>
      <c r="E219" s="144"/>
      <c r="F219" s="39">
        <v>0</v>
      </c>
      <c r="G219" s="39">
        <f t="shared" si="10"/>
        <v>1092.244608</v>
      </c>
      <c r="H219" s="39" t="s">
        <v>217</v>
      </c>
      <c r="I219" s="118"/>
      <c r="J219" s="118"/>
    </row>
    <row r="220" spans="1:11" s="64" customFormat="1" ht="15" customHeight="1" x14ac:dyDescent="0.25">
      <c r="A220" s="118">
        <v>7</v>
      </c>
      <c r="B220" s="118">
        <v>6</v>
      </c>
      <c r="C220" s="40" t="s">
        <v>153</v>
      </c>
      <c r="D220" s="143">
        <f>55.38*10.764</f>
        <v>596.11032</v>
      </c>
      <c r="E220" s="144"/>
      <c r="F220" s="39">
        <v>0</v>
      </c>
      <c r="G220" s="39">
        <f t="shared" si="10"/>
        <v>953.77651200000003</v>
      </c>
      <c r="H220" s="39" t="s">
        <v>217</v>
      </c>
      <c r="I220" s="118"/>
      <c r="J220" s="118"/>
    </row>
    <row r="221" spans="1:11" s="64" customFormat="1" ht="15" customHeight="1" x14ac:dyDescent="0.25">
      <c r="A221" s="118">
        <v>8</v>
      </c>
      <c r="B221" s="118">
        <v>6</v>
      </c>
      <c r="C221" s="40" t="s">
        <v>158</v>
      </c>
      <c r="D221" s="143">
        <f>50.38*10.764</f>
        <v>542.29031999999995</v>
      </c>
      <c r="E221" s="144"/>
      <c r="F221" s="39">
        <v>0</v>
      </c>
      <c r="G221" s="39">
        <f t="shared" si="10"/>
        <v>867.66451199999995</v>
      </c>
      <c r="H221" s="39" t="s">
        <v>217</v>
      </c>
      <c r="I221" s="118"/>
      <c r="J221" s="118"/>
    </row>
    <row r="222" spans="1:11" s="64" customFormat="1" ht="15" customHeight="1" x14ac:dyDescent="0.25">
      <c r="A222" s="145" t="s">
        <v>268</v>
      </c>
      <c r="B222" s="145"/>
      <c r="C222" s="145"/>
      <c r="D222" s="145"/>
      <c r="E222" s="145"/>
      <c r="F222" s="145"/>
      <c r="G222" s="145"/>
      <c r="H222" s="145"/>
      <c r="I222" s="145"/>
      <c r="J222" s="145"/>
      <c r="K222" s="82">
        <v>3</v>
      </c>
    </row>
    <row r="223" spans="1:11" s="64" customFormat="1" ht="15" customHeight="1" x14ac:dyDescent="0.25">
      <c r="A223" s="118">
        <v>1</v>
      </c>
      <c r="B223" s="118"/>
      <c r="C223" s="40" t="s">
        <v>158</v>
      </c>
      <c r="D223" s="143">
        <f>43.7*10.764</f>
        <v>470.38679999999999</v>
      </c>
      <c r="E223" s="144"/>
      <c r="F223" s="39">
        <v>0</v>
      </c>
      <c r="G223" s="39">
        <f t="shared" ref="G223:G228" si="11">D223*1.6+F223</f>
        <v>752.61887999999999</v>
      </c>
      <c r="H223" s="39" t="s">
        <v>217</v>
      </c>
      <c r="I223" s="118" t="str">
        <f>A222</f>
        <v xml:space="preserve">35th, 42nd &amp; 49th Floor (Part Refuge Area) </v>
      </c>
      <c r="J223" s="118"/>
    </row>
    <row r="224" spans="1:11" s="64" customFormat="1" ht="15" customHeight="1" x14ac:dyDescent="0.25">
      <c r="A224" s="118">
        <v>2</v>
      </c>
      <c r="B224" s="118"/>
      <c r="C224" s="40" t="s">
        <v>158</v>
      </c>
      <c r="D224" s="143">
        <f>43.7*10.764</f>
        <v>470.38679999999999</v>
      </c>
      <c r="E224" s="144"/>
      <c r="F224" s="39">
        <v>0</v>
      </c>
      <c r="G224" s="39">
        <f t="shared" si="11"/>
        <v>752.61887999999999</v>
      </c>
      <c r="H224" s="39" t="s">
        <v>217</v>
      </c>
      <c r="I224" s="118"/>
      <c r="J224" s="118"/>
      <c r="K224" s="80" t="s">
        <v>335</v>
      </c>
    </row>
    <row r="225" spans="1:12" s="64" customFormat="1" ht="15" customHeight="1" x14ac:dyDescent="0.25">
      <c r="A225" s="118">
        <v>3</v>
      </c>
      <c r="B225" s="118"/>
      <c r="C225" s="40" t="s">
        <v>158</v>
      </c>
      <c r="D225" s="143">
        <f>50.38*10.764</f>
        <v>542.29031999999995</v>
      </c>
      <c r="E225" s="144"/>
      <c r="F225" s="39">
        <v>0</v>
      </c>
      <c r="G225" s="39">
        <f t="shared" si="11"/>
        <v>867.66451199999995</v>
      </c>
      <c r="H225" s="39" t="s">
        <v>217</v>
      </c>
      <c r="I225" s="118"/>
      <c r="J225" s="118"/>
      <c r="K225" s="88" t="s">
        <v>328</v>
      </c>
    </row>
    <row r="226" spans="1:12" s="64" customFormat="1" ht="15" customHeight="1" x14ac:dyDescent="0.25">
      <c r="A226" s="118">
        <v>4</v>
      </c>
      <c r="B226" s="118">
        <v>5</v>
      </c>
      <c r="C226" s="40" t="s">
        <v>153</v>
      </c>
      <c r="D226" s="143">
        <f>55.68*10.764</f>
        <v>599.33951999999999</v>
      </c>
      <c r="E226" s="144"/>
      <c r="F226" s="39">
        <v>0</v>
      </c>
      <c r="G226" s="39">
        <f t="shared" si="11"/>
        <v>958.94323200000008</v>
      </c>
      <c r="H226" s="39" t="s">
        <v>217</v>
      </c>
      <c r="I226" s="118"/>
      <c r="J226" s="118"/>
    </row>
    <row r="227" spans="1:12" s="64" customFormat="1" ht="15" customHeight="1" x14ac:dyDescent="0.25">
      <c r="A227" s="118">
        <v>5</v>
      </c>
      <c r="B227" s="118">
        <v>5</v>
      </c>
      <c r="C227" s="40" t="s">
        <v>153</v>
      </c>
      <c r="D227" s="143">
        <f>63.42*10.764</f>
        <v>682.65287999999998</v>
      </c>
      <c r="E227" s="144"/>
      <c r="F227" s="39">
        <v>0</v>
      </c>
      <c r="G227" s="39">
        <f t="shared" si="11"/>
        <v>1092.244608</v>
      </c>
      <c r="H227" s="39" t="s">
        <v>217</v>
      </c>
      <c r="I227" s="118"/>
      <c r="J227" s="118"/>
    </row>
    <row r="228" spans="1:12" s="64" customFormat="1" ht="15" customHeight="1" x14ac:dyDescent="0.25">
      <c r="A228" s="118">
        <v>6</v>
      </c>
      <c r="B228" s="118">
        <v>6</v>
      </c>
      <c r="C228" s="40" t="s">
        <v>153</v>
      </c>
      <c r="D228" s="143">
        <f>63.42*10.764</f>
        <v>682.65287999999998</v>
      </c>
      <c r="E228" s="144"/>
      <c r="F228" s="39">
        <v>0</v>
      </c>
      <c r="G228" s="39">
        <f t="shared" si="11"/>
        <v>1092.244608</v>
      </c>
      <c r="H228" s="39" t="s">
        <v>217</v>
      </c>
      <c r="I228" s="118"/>
      <c r="J228" s="118"/>
    </row>
    <row r="229" spans="1:12" s="64" customFormat="1" ht="15" customHeight="1" x14ac:dyDescent="0.25">
      <c r="A229" s="118">
        <v>7</v>
      </c>
      <c r="B229" s="118">
        <v>6</v>
      </c>
      <c r="C229" s="119" t="s">
        <v>223</v>
      </c>
      <c r="D229" s="119"/>
      <c r="E229" s="119"/>
      <c r="F229" s="119"/>
      <c r="G229" s="119"/>
      <c r="H229" s="119"/>
      <c r="I229" s="118"/>
      <c r="J229" s="118"/>
    </row>
    <row r="230" spans="1:12" s="64" customFormat="1" ht="15" customHeight="1" x14ac:dyDescent="0.25">
      <c r="A230" s="118">
        <v>8</v>
      </c>
      <c r="B230" s="118">
        <v>6</v>
      </c>
      <c r="C230" s="119"/>
      <c r="D230" s="119"/>
      <c r="E230" s="119"/>
      <c r="F230" s="119"/>
      <c r="G230" s="119"/>
      <c r="H230" s="119"/>
      <c r="I230" s="118"/>
      <c r="J230" s="118"/>
    </row>
    <row r="231" spans="1:12" s="69" customFormat="1" ht="15.75" x14ac:dyDescent="0.25">
      <c r="A231" s="117" t="s">
        <v>227</v>
      </c>
      <c r="B231" s="117"/>
      <c r="C231" s="117"/>
      <c r="D231" s="117"/>
      <c r="E231" s="117"/>
      <c r="F231" s="117"/>
      <c r="G231" s="117"/>
      <c r="H231" s="117"/>
      <c r="I231" s="117"/>
      <c r="J231" s="117"/>
    </row>
    <row r="232" spans="1:12" s="69" customFormat="1" ht="15.75" x14ac:dyDescent="0.25">
      <c r="A232" s="117" t="s">
        <v>216</v>
      </c>
      <c r="B232" s="117"/>
      <c r="C232" s="117"/>
      <c r="D232" s="117"/>
      <c r="E232" s="117"/>
      <c r="F232" s="117"/>
      <c r="G232" s="117"/>
      <c r="H232" s="117"/>
      <c r="I232" s="117"/>
      <c r="J232" s="117"/>
      <c r="L232" s="69">
        <f>57.64+4.18</f>
        <v>61.82</v>
      </c>
    </row>
    <row r="233" spans="1:12" s="69" customFormat="1" ht="15.75" x14ac:dyDescent="0.25">
      <c r="A233" s="117" t="s">
        <v>309</v>
      </c>
      <c r="B233" s="117"/>
      <c r="C233" s="117"/>
      <c r="D233" s="117"/>
      <c r="E233" s="117"/>
      <c r="F233" s="117"/>
      <c r="G233" s="117"/>
      <c r="H233" s="117"/>
      <c r="I233" s="117"/>
      <c r="J233" s="117"/>
      <c r="K233" s="81">
        <v>1</v>
      </c>
    </row>
    <row r="234" spans="1:12" s="69" customFormat="1" ht="15.75" customHeight="1" x14ac:dyDescent="0.25">
      <c r="A234" s="118">
        <v>1</v>
      </c>
      <c r="B234" s="118"/>
      <c r="C234" s="118" t="s">
        <v>310</v>
      </c>
      <c r="D234" s="118"/>
      <c r="E234" s="118"/>
      <c r="F234" s="118"/>
      <c r="G234" s="118"/>
      <c r="H234" s="118"/>
      <c r="I234" s="147" t="str">
        <f>A233</f>
        <v>Ground Floor For Residential, Meter Room, Society Office, Communication Panel Room &amp; Parking</v>
      </c>
      <c r="J234" s="148"/>
    </row>
    <row r="235" spans="1:12" s="69" customFormat="1" ht="15.75" customHeight="1" x14ac:dyDescent="0.25">
      <c r="A235" s="118">
        <v>2</v>
      </c>
      <c r="B235" s="118"/>
      <c r="C235" s="40" t="s">
        <v>153</v>
      </c>
      <c r="D235" s="119">
        <f>(61.83)*10.764</f>
        <v>665.53811999999994</v>
      </c>
      <c r="E235" s="119"/>
      <c r="F235" s="39">
        <v>0</v>
      </c>
      <c r="G235" s="39">
        <f>D235*1.6+F235</f>
        <v>1064.8609919999999</v>
      </c>
      <c r="H235" s="39" t="s">
        <v>217</v>
      </c>
      <c r="I235" s="149"/>
      <c r="J235" s="150"/>
    </row>
    <row r="236" spans="1:12" s="69" customFormat="1" ht="15.75" x14ac:dyDescent="0.25">
      <c r="A236" s="118">
        <v>3</v>
      </c>
      <c r="B236" s="118"/>
      <c r="C236" s="40" t="s">
        <v>158</v>
      </c>
      <c r="D236" s="119">
        <f>47.35*10.764</f>
        <v>509.67539999999997</v>
      </c>
      <c r="E236" s="119"/>
      <c r="F236" s="39">
        <v>0</v>
      </c>
      <c r="G236" s="39">
        <f t="shared" ref="G236:G238" si="12">D236*1.6+F236</f>
        <v>815.48063999999999</v>
      </c>
      <c r="H236" s="39" t="s">
        <v>217</v>
      </c>
      <c r="I236" s="149"/>
      <c r="J236" s="150"/>
    </row>
    <row r="237" spans="1:12" s="69" customFormat="1" ht="15.75" x14ac:dyDescent="0.25">
      <c r="A237" s="118">
        <v>4</v>
      </c>
      <c r="B237" s="118"/>
      <c r="C237" s="40" t="s">
        <v>158</v>
      </c>
      <c r="D237" s="119">
        <f>47.35*10.764</f>
        <v>509.67539999999997</v>
      </c>
      <c r="E237" s="119"/>
      <c r="F237" s="39">
        <v>0</v>
      </c>
      <c r="G237" s="39">
        <f t="shared" si="12"/>
        <v>815.48063999999999</v>
      </c>
      <c r="H237" s="39" t="s">
        <v>217</v>
      </c>
      <c r="I237" s="149"/>
      <c r="J237" s="150"/>
    </row>
    <row r="238" spans="1:12" s="64" customFormat="1" ht="15" customHeight="1" x14ac:dyDescent="0.25">
      <c r="A238" s="118">
        <v>5</v>
      </c>
      <c r="B238" s="118"/>
      <c r="C238" s="40" t="s">
        <v>153</v>
      </c>
      <c r="D238" s="119">
        <f>(61.96)*10.764</f>
        <v>666.93743999999992</v>
      </c>
      <c r="E238" s="119"/>
      <c r="F238" s="39">
        <v>0</v>
      </c>
      <c r="G238" s="39">
        <f t="shared" si="12"/>
        <v>1067.0999039999999</v>
      </c>
      <c r="H238" s="39" t="s">
        <v>217</v>
      </c>
      <c r="I238" s="149"/>
      <c r="J238" s="150"/>
    </row>
    <row r="239" spans="1:12" s="69" customFormat="1" ht="15.75" x14ac:dyDescent="0.25">
      <c r="A239" s="118">
        <v>6</v>
      </c>
      <c r="B239" s="118"/>
      <c r="C239" s="143" t="s">
        <v>308</v>
      </c>
      <c r="D239" s="146"/>
      <c r="E239" s="146"/>
      <c r="F239" s="146"/>
      <c r="G239" s="146"/>
      <c r="H239" s="144"/>
      <c r="I239" s="149"/>
      <c r="J239" s="150"/>
    </row>
    <row r="240" spans="1:12" s="69" customFormat="1" ht="15.75" x14ac:dyDescent="0.25">
      <c r="A240" s="118">
        <v>7</v>
      </c>
      <c r="B240" s="118"/>
      <c r="C240" s="120" t="s">
        <v>219</v>
      </c>
      <c r="D240" s="121"/>
      <c r="E240" s="121"/>
      <c r="F240" s="121"/>
      <c r="G240" s="121"/>
      <c r="H240" s="122"/>
      <c r="I240" s="149"/>
      <c r="J240" s="150"/>
    </row>
    <row r="241" spans="1:11" s="64" customFormat="1" ht="15" customHeight="1" x14ac:dyDescent="0.25">
      <c r="A241" s="118">
        <v>8</v>
      </c>
      <c r="B241" s="118"/>
      <c r="C241" s="123"/>
      <c r="D241" s="124"/>
      <c r="E241" s="124"/>
      <c r="F241" s="124"/>
      <c r="G241" s="124"/>
      <c r="H241" s="125"/>
      <c r="I241" s="151"/>
      <c r="J241" s="152"/>
    </row>
    <row r="242" spans="1:11" s="69" customFormat="1" ht="15.75" x14ac:dyDescent="0.25">
      <c r="A242" s="117" t="s">
        <v>222</v>
      </c>
      <c r="B242" s="117"/>
      <c r="C242" s="117"/>
      <c r="D242" s="117"/>
      <c r="E242" s="117"/>
      <c r="F242" s="117"/>
      <c r="G242" s="117"/>
      <c r="H242" s="117"/>
      <c r="I242" s="117"/>
      <c r="J242" s="117"/>
      <c r="K242" s="81">
        <v>1</v>
      </c>
    </row>
    <row r="243" spans="1:11" s="64" customFormat="1" ht="15" customHeight="1" x14ac:dyDescent="0.25">
      <c r="A243" s="118">
        <v>1</v>
      </c>
      <c r="B243" s="118"/>
      <c r="C243" s="40" t="s">
        <v>153</v>
      </c>
      <c r="D243" s="119">
        <f>57.33*10.764</f>
        <v>617.10011999999995</v>
      </c>
      <c r="E243" s="119"/>
      <c r="F243" s="39">
        <v>0</v>
      </c>
      <c r="G243" s="39">
        <f t="shared" ref="G243:G248" si="13">D243*1.6+F243</f>
        <v>987.36019199999998</v>
      </c>
      <c r="H243" s="39" t="s">
        <v>217</v>
      </c>
      <c r="I243" s="118" t="str">
        <f>A242</f>
        <v>Podium P1 Floor</v>
      </c>
      <c r="J243" s="118"/>
    </row>
    <row r="244" spans="1:11" s="64" customFormat="1" ht="15" customHeight="1" x14ac:dyDescent="0.25">
      <c r="A244" s="118">
        <v>2</v>
      </c>
      <c r="B244" s="118"/>
      <c r="C244" s="40" t="s">
        <v>153</v>
      </c>
      <c r="D244" s="119">
        <f>61.83*10.764</f>
        <v>665.53811999999994</v>
      </c>
      <c r="E244" s="119"/>
      <c r="F244" s="39">
        <v>0</v>
      </c>
      <c r="G244" s="39">
        <f t="shared" si="13"/>
        <v>1064.8609919999999</v>
      </c>
      <c r="H244" s="39" t="s">
        <v>217</v>
      </c>
      <c r="I244" s="118"/>
      <c r="J244" s="118"/>
    </row>
    <row r="245" spans="1:11" s="64" customFormat="1" ht="15" customHeight="1" x14ac:dyDescent="0.25">
      <c r="A245" s="118">
        <v>3</v>
      </c>
      <c r="B245" s="118"/>
      <c r="C245" s="40" t="s">
        <v>158</v>
      </c>
      <c r="D245" s="119">
        <f>47.35*10.764</f>
        <v>509.67539999999997</v>
      </c>
      <c r="E245" s="119"/>
      <c r="F245" s="39">
        <v>0</v>
      </c>
      <c r="G245" s="39">
        <f t="shared" si="13"/>
        <v>815.48063999999999</v>
      </c>
      <c r="H245" s="39" t="s">
        <v>217</v>
      </c>
      <c r="I245" s="118"/>
      <c r="J245" s="118"/>
    </row>
    <row r="246" spans="1:11" s="64" customFormat="1" ht="15" customHeight="1" x14ac:dyDescent="0.25">
      <c r="A246" s="118">
        <v>4</v>
      </c>
      <c r="B246" s="118">
        <v>5</v>
      </c>
      <c r="C246" s="40" t="s">
        <v>158</v>
      </c>
      <c r="D246" s="119">
        <f>47.35*10.764</f>
        <v>509.67539999999997</v>
      </c>
      <c r="E246" s="119"/>
      <c r="F246" s="39">
        <v>0</v>
      </c>
      <c r="G246" s="39">
        <f t="shared" si="13"/>
        <v>815.48063999999999</v>
      </c>
      <c r="H246" s="39" t="s">
        <v>217</v>
      </c>
      <c r="I246" s="118"/>
      <c r="J246" s="118"/>
    </row>
    <row r="247" spans="1:11" s="64" customFormat="1" ht="15" customHeight="1" x14ac:dyDescent="0.25">
      <c r="A247" s="118">
        <v>5</v>
      </c>
      <c r="B247" s="118">
        <v>5</v>
      </c>
      <c r="C247" s="40" t="s">
        <v>153</v>
      </c>
      <c r="D247" s="119">
        <f>61.96*10.764</f>
        <v>666.93743999999992</v>
      </c>
      <c r="E247" s="119"/>
      <c r="F247" s="39">
        <v>0</v>
      </c>
      <c r="G247" s="39">
        <f t="shared" si="13"/>
        <v>1067.0999039999999</v>
      </c>
      <c r="H247" s="39" t="s">
        <v>217</v>
      </c>
      <c r="I247" s="118"/>
      <c r="J247" s="118"/>
    </row>
    <row r="248" spans="1:11" s="64" customFormat="1" ht="15" customHeight="1" x14ac:dyDescent="0.25">
      <c r="A248" s="118">
        <v>6</v>
      </c>
      <c r="B248" s="118">
        <v>6</v>
      </c>
      <c r="C248" s="40" t="s">
        <v>153</v>
      </c>
      <c r="D248" s="119">
        <f>57.33*10.764</f>
        <v>617.10011999999995</v>
      </c>
      <c r="E248" s="119"/>
      <c r="F248" s="39">
        <v>0</v>
      </c>
      <c r="G248" s="39">
        <f t="shared" si="13"/>
        <v>987.36019199999998</v>
      </c>
      <c r="H248" s="39" t="s">
        <v>217</v>
      </c>
      <c r="I248" s="118"/>
      <c r="J248" s="118"/>
    </row>
    <row r="249" spans="1:11" s="64" customFormat="1" ht="15" customHeight="1" x14ac:dyDescent="0.25">
      <c r="A249" s="118">
        <v>7</v>
      </c>
      <c r="B249" s="118">
        <v>6</v>
      </c>
      <c r="C249" s="119" t="s">
        <v>219</v>
      </c>
      <c r="D249" s="119"/>
      <c r="E249" s="119"/>
      <c r="F249" s="119"/>
      <c r="G249" s="119"/>
      <c r="H249" s="119"/>
      <c r="I249" s="118"/>
      <c r="J249" s="118"/>
    </row>
    <row r="250" spans="1:11" s="64" customFormat="1" ht="15" customHeight="1" x14ac:dyDescent="0.25">
      <c r="A250" s="118">
        <v>8</v>
      </c>
      <c r="B250" s="118">
        <v>6</v>
      </c>
      <c r="C250" s="119"/>
      <c r="D250" s="119"/>
      <c r="E250" s="119"/>
      <c r="F250" s="119"/>
      <c r="G250" s="119"/>
      <c r="H250" s="119"/>
      <c r="I250" s="118"/>
      <c r="J250" s="118"/>
    </row>
    <row r="251" spans="1:11" s="69" customFormat="1" ht="15.75" x14ac:dyDescent="0.25">
      <c r="A251" s="117" t="s">
        <v>311</v>
      </c>
      <c r="B251" s="117"/>
      <c r="C251" s="117"/>
      <c r="D251" s="117"/>
      <c r="E251" s="117"/>
      <c r="F251" s="117"/>
      <c r="G251" s="117"/>
      <c r="H251" s="117"/>
      <c r="I251" s="117"/>
      <c r="J251" s="117"/>
      <c r="K251" s="81">
        <f>6+6+1</f>
        <v>13</v>
      </c>
    </row>
    <row r="252" spans="1:11" s="64" customFormat="1" ht="15" customHeight="1" x14ac:dyDescent="0.25">
      <c r="A252" s="118">
        <v>1</v>
      </c>
      <c r="B252" s="118"/>
      <c r="C252" s="40" t="s">
        <v>153</v>
      </c>
      <c r="D252" s="119">
        <f>57.33*10.764</f>
        <v>617.10011999999995</v>
      </c>
      <c r="E252" s="119"/>
      <c r="F252" s="39">
        <v>0</v>
      </c>
      <c r="G252" s="39">
        <f t="shared" ref="G252:G257" si="14">D252*1.6+F252</f>
        <v>987.36019199999998</v>
      </c>
      <c r="H252" s="39" t="s">
        <v>217</v>
      </c>
      <c r="I252" s="118" t="str">
        <f>A251</f>
        <v>1st to 6th, 8th to 13th &amp; 15th Floor</v>
      </c>
      <c r="J252" s="118"/>
    </row>
    <row r="253" spans="1:11" s="64" customFormat="1" ht="15" customHeight="1" x14ac:dyDescent="0.25">
      <c r="A253" s="118">
        <v>2</v>
      </c>
      <c r="B253" s="118"/>
      <c r="C253" s="40" t="s">
        <v>153</v>
      </c>
      <c r="D253" s="119">
        <f>61.83*10.764</f>
        <v>665.53811999999994</v>
      </c>
      <c r="E253" s="119"/>
      <c r="F253" s="39">
        <v>0</v>
      </c>
      <c r="G253" s="39">
        <f t="shared" si="14"/>
        <v>1064.8609919999999</v>
      </c>
      <c r="H253" s="39" t="s">
        <v>217</v>
      </c>
      <c r="I253" s="118"/>
      <c r="J253" s="118"/>
    </row>
    <row r="254" spans="1:11" s="64" customFormat="1" ht="15" customHeight="1" x14ac:dyDescent="0.25">
      <c r="A254" s="118">
        <v>3</v>
      </c>
      <c r="B254" s="118"/>
      <c r="C254" s="40" t="s">
        <v>158</v>
      </c>
      <c r="D254" s="119">
        <f>47.35*10.764</f>
        <v>509.67539999999997</v>
      </c>
      <c r="E254" s="119"/>
      <c r="F254" s="39">
        <v>0</v>
      </c>
      <c r="G254" s="39">
        <f t="shared" si="14"/>
        <v>815.48063999999999</v>
      </c>
      <c r="H254" s="39" t="s">
        <v>217</v>
      </c>
      <c r="I254" s="118"/>
      <c r="J254" s="118"/>
    </row>
    <row r="255" spans="1:11" s="64" customFormat="1" ht="15" customHeight="1" x14ac:dyDescent="0.25">
      <c r="A255" s="118">
        <v>4</v>
      </c>
      <c r="B255" s="118">
        <v>5</v>
      </c>
      <c r="C255" s="40" t="s">
        <v>158</v>
      </c>
      <c r="D255" s="119">
        <f>47.35*10.764</f>
        <v>509.67539999999997</v>
      </c>
      <c r="E255" s="119"/>
      <c r="F255" s="39">
        <v>0</v>
      </c>
      <c r="G255" s="39">
        <f t="shared" si="14"/>
        <v>815.48063999999999</v>
      </c>
      <c r="H255" s="39" t="s">
        <v>217</v>
      </c>
      <c r="I255" s="118"/>
      <c r="J255" s="118"/>
    </row>
    <row r="256" spans="1:11" s="64" customFormat="1" ht="15" customHeight="1" x14ac:dyDescent="0.25">
      <c r="A256" s="118">
        <v>5</v>
      </c>
      <c r="B256" s="118">
        <v>5</v>
      </c>
      <c r="C256" s="40" t="s">
        <v>153</v>
      </c>
      <c r="D256" s="119">
        <f>61.96*10.764</f>
        <v>666.93743999999992</v>
      </c>
      <c r="E256" s="119"/>
      <c r="F256" s="39">
        <v>0</v>
      </c>
      <c r="G256" s="39">
        <f t="shared" si="14"/>
        <v>1067.0999039999999</v>
      </c>
      <c r="H256" s="39" t="s">
        <v>217</v>
      </c>
      <c r="I256" s="118"/>
      <c r="J256" s="118"/>
    </row>
    <row r="257" spans="1:11" s="64" customFormat="1" ht="15" customHeight="1" x14ac:dyDescent="0.25">
      <c r="A257" s="118">
        <v>6</v>
      </c>
      <c r="B257" s="118">
        <v>6</v>
      </c>
      <c r="C257" s="40" t="s">
        <v>153</v>
      </c>
      <c r="D257" s="119">
        <f>57.33*10.764</f>
        <v>617.10011999999995</v>
      </c>
      <c r="E257" s="119"/>
      <c r="F257" s="39">
        <v>0</v>
      </c>
      <c r="G257" s="39">
        <f t="shared" si="14"/>
        <v>987.36019199999998</v>
      </c>
      <c r="H257" s="39" t="s">
        <v>217</v>
      </c>
      <c r="I257" s="118"/>
      <c r="J257" s="118"/>
    </row>
    <row r="258" spans="1:11" s="64" customFormat="1" ht="15" customHeight="1" x14ac:dyDescent="0.25">
      <c r="A258" s="118">
        <v>7</v>
      </c>
      <c r="B258" s="118">
        <v>5</v>
      </c>
      <c r="C258" s="40" t="s">
        <v>154</v>
      </c>
      <c r="D258" s="119">
        <f>40.27*10.764</f>
        <v>433.46627999999998</v>
      </c>
      <c r="E258" s="119"/>
      <c r="F258" s="39">
        <v>0</v>
      </c>
      <c r="G258" s="39">
        <f t="shared" ref="G258:G259" si="15">D258*1.6+F258</f>
        <v>693.54604800000004</v>
      </c>
      <c r="H258" s="39" t="s">
        <v>217</v>
      </c>
      <c r="I258" s="118"/>
      <c r="J258" s="118"/>
    </row>
    <row r="259" spans="1:11" s="64" customFormat="1" ht="15" customHeight="1" x14ac:dyDescent="0.25">
      <c r="A259" s="118">
        <v>8</v>
      </c>
      <c r="B259" s="118">
        <v>6</v>
      </c>
      <c r="C259" s="40" t="s">
        <v>154</v>
      </c>
      <c r="D259" s="119">
        <f>40.27*10.764</f>
        <v>433.46627999999998</v>
      </c>
      <c r="E259" s="119"/>
      <c r="F259" s="39">
        <v>0</v>
      </c>
      <c r="G259" s="39">
        <f t="shared" si="15"/>
        <v>693.54604800000004</v>
      </c>
      <c r="H259" s="39" t="s">
        <v>217</v>
      </c>
      <c r="I259" s="118"/>
      <c r="J259" s="118"/>
    </row>
    <row r="260" spans="1:11" s="69" customFormat="1" ht="15.75" x14ac:dyDescent="0.25">
      <c r="A260" s="117" t="s">
        <v>228</v>
      </c>
      <c r="B260" s="117"/>
      <c r="C260" s="117"/>
      <c r="D260" s="117"/>
      <c r="E260" s="117"/>
      <c r="F260" s="117"/>
      <c r="G260" s="117"/>
      <c r="H260" s="117"/>
      <c r="I260" s="117"/>
      <c r="J260" s="117"/>
      <c r="K260" s="81">
        <v>2</v>
      </c>
    </row>
    <row r="261" spans="1:11" s="69" customFormat="1" ht="15.75" customHeight="1" x14ac:dyDescent="0.25">
      <c r="A261" s="118">
        <v>1</v>
      </c>
      <c r="B261" s="118"/>
      <c r="C261" s="118" t="s">
        <v>223</v>
      </c>
      <c r="D261" s="118"/>
      <c r="E261" s="118"/>
      <c r="F261" s="118"/>
      <c r="G261" s="118"/>
      <c r="H261" s="118"/>
      <c r="I261" s="118" t="str">
        <f>A260</f>
        <v>7th &amp; 14th Floor (Part Refuge Area)</v>
      </c>
      <c r="J261" s="118"/>
    </row>
    <row r="262" spans="1:11" s="69" customFormat="1" ht="15.75" x14ac:dyDescent="0.25">
      <c r="A262" s="118">
        <v>2</v>
      </c>
      <c r="B262" s="118"/>
      <c r="C262" s="118"/>
      <c r="D262" s="118"/>
      <c r="E262" s="118"/>
      <c r="F262" s="118"/>
      <c r="G262" s="118"/>
      <c r="H262" s="118"/>
      <c r="I262" s="118"/>
      <c r="J262" s="118"/>
    </row>
    <row r="263" spans="1:11" s="69" customFormat="1" ht="15" customHeight="1" x14ac:dyDescent="0.25">
      <c r="A263" s="118">
        <v>3</v>
      </c>
      <c r="B263" s="118"/>
      <c r="C263" s="40" t="s">
        <v>158</v>
      </c>
      <c r="D263" s="119">
        <f>47.35*10.764</f>
        <v>509.67539999999997</v>
      </c>
      <c r="E263" s="119"/>
      <c r="F263" s="39">
        <v>0</v>
      </c>
      <c r="G263" s="39">
        <f t="shared" ref="G263:G268" si="16">D263*1.6+F263</f>
        <v>815.48063999999999</v>
      </c>
      <c r="H263" s="39" t="s">
        <v>217</v>
      </c>
      <c r="I263" s="118"/>
      <c r="J263" s="118"/>
    </row>
    <row r="264" spans="1:11" s="69" customFormat="1" ht="15.75" customHeight="1" x14ac:dyDescent="0.25">
      <c r="A264" s="118">
        <v>4</v>
      </c>
      <c r="B264" s="118">
        <v>5</v>
      </c>
      <c r="C264" s="40" t="s">
        <v>158</v>
      </c>
      <c r="D264" s="119">
        <f>47.35*10.764</f>
        <v>509.67539999999997</v>
      </c>
      <c r="E264" s="119"/>
      <c r="F264" s="39">
        <v>0</v>
      </c>
      <c r="G264" s="39">
        <f t="shared" si="16"/>
        <v>815.48063999999999</v>
      </c>
      <c r="H264" s="39" t="s">
        <v>217</v>
      </c>
      <c r="I264" s="118"/>
      <c r="J264" s="118"/>
    </row>
    <row r="265" spans="1:11" s="69" customFormat="1" ht="15.75" x14ac:dyDescent="0.25">
      <c r="A265" s="118">
        <v>5</v>
      </c>
      <c r="B265" s="118">
        <v>5</v>
      </c>
      <c r="C265" s="40" t="s">
        <v>153</v>
      </c>
      <c r="D265" s="119">
        <f>61.96*10.764</f>
        <v>666.93743999999992</v>
      </c>
      <c r="E265" s="119"/>
      <c r="F265" s="39">
        <v>0</v>
      </c>
      <c r="G265" s="39">
        <f t="shared" si="16"/>
        <v>1067.0999039999999</v>
      </c>
      <c r="H265" s="39" t="s">
        <v>217</v>
      </c>
      <c r="I265" s="118"/>
      <c r="J265" s="118"/>
    </row>
    <row r="266" spans="1:11" s="69" customFormat="1" ht="15.75" x14ac:dyDescent="0.25">
      <c r="A266" s="118">
        <v>6</v>
      </c>
      <c r="B266" s="118">
        <v>6</v>
      </c>
      <c r="C266" s="40" t="s">
        <v>153</v>
      </c>
      <c r="D266" s="119">
        <f>57.33*10.764</f>
        <v>617.10011999999995</v>
      </c>
      <c r="E266" s="119"/>
      <c r="F266" s="39">
        <v>0</v>
      </c>
      <c r="G266" s="39">
        <f t="shared" si="16"/>
        <v>987.36019199999998</v>
      </c>
      <c r="H266" s="39" t="s">
        <v>217</v>
      </c>
      <c r="I266" s="118"/>
      <c r="J266" s="118"/>
    </row>
    <row r="267" spans="1:11" s="64" customFormat="1" ht="15" customHeight="1" x14ac:dyDescent="0.25">
      <c r="A267" s="118">
        <v>7</v>
      </c>
      <c r="B267" s="118">
        <v>6</v>
      </c>
      <c r="C267" s="40" t="s">
        <v>154</v>
      </c>
      <c r="D267" s="119">
        <f>40.27*10.764</f>
        <v>433.46627999999998</v>
      </c>
      <c r="E267" s="119"/>
      <c r="F267" s="39">
        <v>0</v>
      </c>
      <c r="G267" s="39">
        <f t="shared" si="16"/>
        <v>693.54604800000004</v>
      </c>
      <c r="H267" s="39" t="s">
        <v>217</v>
      </c>
      <c r="I267" s="118"/>
      <c r="J267" s="118"/>
    </row>
    <row r="268" spans="1:11" s="64" customFormat="1" ht="15" customHeight="1" x14ac:dyDescent="0.25">
      <c r="A268" s="118">
        <v>8</v>
      </c>
      <c r="B268" s="118">
        <v>6</v>
      </c>
      <c r="C268" s="40" t="s">
        <v>154</v>
      </c>
      <c r="D268" s="119">
        <f>40.27*10.764</f>
        <v>433.46627999999998</v>
      </c>
      <c r="E268" s="119"/>
      <c r="F268" s="39">
        <v>0</v>
      </c>
      <c r="G268" s="39">
        <f t="shared" si="16"/>
        <v>693.54604800000004</v>
      </c>
      <c r="H268" s="39" t="s">
        <v>217</v>
      </c>
      <c r="I268" s="118"/>
      <c r="J268" s="118"/>
    </row>
    <row r="269" spans="1:11" s="69" customFormat="1" ht="15.75" x14ac:dyDescent="0.25">
      <c r="A269" s="117" t="s">
        <v>314</v>
      </c>
      <c r="B269" s="117"/>
      <c r="C269" s="117"/>
      <c r="D269" s="117"/>
      <c r="E269" s="117"/>
      <c r="F269" s="117"/>
      <c r="G269" s="117"/>
      <c r="H269" s="117"/>
      <c r="I269" s="117"/>
      <c r="J269" s="117"/>
      <c r="K269" s="81">
        <f>5+6+2</f>
        <v>13</v>
      </c>
    </row>
    <row r="270" spans="1:11" s="64" customFormat="1" ht="15" customHeight="1" x14ac:dyDescent="0.25">
      <c r="A270" s="118">
        <v>1</v>
      </c>
      <c r="B270" s="118"/>
      <c r="C270" s="40" t="s">
        <v>153</v>
      </c>
      <c r="D270" s="119">
        <f>57.38*10.764</f>
        <v>617.63832000000002</v>
      </c>
      <c r="E270" s="119"/>
      <c r="F270" s="39">
        <v>0</v>
      </c>
      <c r="G270" s="39">
        <f t="shared" ref="G270:G277" si="17">D270*1.6+F270</f>
        <v>988.22131200000013</v>
      </c>
      <c r="H270" s="39" t="s">
        <v>217</v>
      </c>
      <c r="I270" s="118" t="str">
        <f>A269</f>
        <v xml:space="preserve">16th to 20th &amp; 22nd to 27th &amp; 29th &amp; 30th Floor </v>
      </c>
      <c r="J270" s="118"/>
    </row>
    <row r="271" spans="1:11" s="64" customFormat="1" ht="15" customHeight="1" x14ac:dyDescent="0.25">
      <c r="A271" s="118">
        <v>2</v>
      </c>
      <c r="B271" s="118"/>
      <c r="C271" s="40" t="s">
        <v>153</v>
      </c>
      <c r="D271" s="119">
        <f>61.83*10.764</f>
        <v>665.53811999999994</v>
      </c>
      <c r="E271" s="119"/>
      <c r="F271" s="39">
        <v>0</v>
      </c>
      <c r="G271" s="39">
        <f t="shared" si="17"/>
        <v>1064.8609919999999</v>
      </c>
      <c r="H271" s="39" t="s">
        <v>217</v>
      </c>
      <c r="I271" s="118"/>
      <c r="J271" s="118"/>
      <c r="K271" s="64">
        <f>2.43*1.05+2.13*2.7+1.56*0.65+3.05*5.49+1.67*0.66+1.42*2.13+2.79*3.05+3.05*3.5+1.37*0.99+2.13*1.37</f>
        <v>53.646699999999996</v>
      </c>
    </row>
    <row r="272" spans="1:11" s="64" customFormat="1" ht="15" customHeight="1" x14ac:dyDescent="0.25">
      <c r="A272" s="118">
        <v>3</v>
      </c>
      <c r="B272" s="118"/>
      <c r="C272" s="40" t="s">
        <v>158</v>
      </c>
      <c r="D272" s="119">
        <f>47.35*10.764</f>
        <v>509.67539999999997</v>
      </c>
      <c r="E272" s="119"/>
      <c r="F272" s="39">
        <v>0</v>
      </c>
      <c r="G272" s="39">
        <f t="shared" si="17"/>
        <v>815.48063999999999</v>
      </c>
      <c r="H272" s="39" t="s">
        <v>217</v>
      </c>
      <c r="I272" s="118"/>
      <c r="J272" s="118"/>
    </row>
    <row r="273" spans="1:11" s="64" customFormat="1" ht="15" customHeight="1" x14ac:dyDescent="0.25">
      <c r="A273" s="118">
        <v>4</v>
      </c>
      <c r="B273" s="118">
        <v>5</v>
      </c>
      <c r="C273" s="40" t="s">
        <v>158</v>
      </c>
      <c r="D273" s="119">
        <f>47.35*10.764</f>
        <v>509.67539999999997</v>
      </c>
      <c r="E273" s="119"/>
      <c r="F273" s="39">
        <v>0</v>
      </c>
      <c r="G273" s="39">
        <f t="shared" si="17"/>
        <v>815.48063999999999</v>
      </c>
      <c r="H273" s="39" t="s">
        <v>217</v>
      </c>
      <c r="I273" s="118"/>
      <c r="J273" s="118"/>
    </row>
    <row r="274" spans="1:11" s="64" customFormat="1" ht="15" customHeight="1" x14ac:dyDescent="0.25">
      <c r="A274" s="118">
        <v>5</v>
      </c>
      <c r="B274" s="118">
        <v>5</v>
      </c>
      <c r="C274" s="40" t="s">
        <v>153</v>
      </c>
      <c r="D274" s="119">
        <f>61.96*10.764</f>
        <v>666.93743999999992</v>
      </c>
      <c r="E274" s="119"/>
      <c r="F274" s="39">
        <v>0</v>
      </c>
      <c r="G274" s="39">
        <f t="shared" si="17"/>
        <v>1067.0999039999999</v>
      </c>
      <c r="H274" s="39" t="s">
        <v>217</v>
      </c>
      <c r="I274" s="118"/>
      <c r="J274" s="118"/>
    </row>
    <row r="275" spans="1:11" s="64" customFormat="1" ht="15" customHeight="1" x14ac:dyDescent="0.25">
      <c r="A275" s="118">
        <v>6</v>
      </c>
      <c r="B275" s="118">
        <v>6</v>
      </c>
      <c r="C275" s="40" t="s">
        <v>153</v>
      </c>
      <c r="D275" s="119">
        <f>57.38*10.764</f>
        <v>617.63832000000002</v>
      </c>
      <c r="E275" s="119"/>
      <c r="F275" s="39">
        <v>0</v>
      </c>
      <c r="G275" s="39">
        <f t="shared" si="17"/>
        <v>988.22131200000013</v>
      </c>
      <c r="H275" s="39" t="s">
        <v>217</v>
      </c>
      <c r="I275" s="118"/>
      <c r="J275" s="118"/>
    </row>
    <row r="276" spans="1:11" s="64" customFormat="1" ht="15" customHeight="1" x14ac:dyDescent="0.25">
      <c r="A276" s="118">
        <v>7</v>
      </c>
      <c r="B276" s="118">
        <v>5</v>
      </c>
      <c r="C276" s="40" t="s">
        <v>154</v>
      </c>
      <c r="D276" s="119">
        <f>40.1*10.764</f>
        <v>431.63639999999998</v>
      </c>
      <c r="E276" s="119"/>
      <c r="F276" s="39">
        <v>0</v>
      </c>
      <c r="G276" s="39">
        <f t="shared" si="17"/>
        <v>690.61824000000001</v>
      </c>
      <c r="H276" s="39" t="s">
        <v>217</v>
      </c>
      <c r="I276" s="118"/>
      <c r="J276" s="118"/>
    </row>
    <row r="277" spans="1:11" s="64" customFormat="1" ht="15" customHeight="1" x14ac:dyDescent="0.25">
      <c r="A277" s="118">
        <v>8</v>
      </c>
      <c r="B277" s="118">
        <v>6</v>
      </c>
      <c r="C277" s="40" t="s">
        <v>154</v>
      </c>
      <c r="D277" s="119">
        <f>40.1*10.764</f>
        <v>431.63639999999998</v>
      </c>
      <c r="E277" s="119"/>
      <c r="F277" s="39">
        <v>0</v>
      </c>
      <c r="G277" s="39">
        <f t="shared" si="17"/>
        <v>690.61824000000001</v>
      </c>
      <c r="H277" s="39" t="s">
        <v>217</v>
      </c>
      <c r="I277" s="118"/>
      <c r="J277" s="118"/>
    </row>
    <row r="278" spans="1:11" s="69" customFormat="1" ht="15.75" x14ac:dyDescent="0.25">
      <c r="A278" s="117" t="s">
        <v>256</v>
      </c>
      <c r="B278" s="117"/>
      <c r="C278" s="117"/>
      <c r="D278" s="117"/>
      <c r="E278" s="117"/>
      <c r="F278" s="117"/>
      <c r="G278" s="117"/>
      <c r="H278" s="117"/>
      <c r="I278" s="117"/>
      <c r="J278" s="117"/>
    </row>
    <row r="279" spans="1:11" s="69" customFormat="1" ht="15.75" x14ac:dyDescent="0.25">
      <c r="A279" s="117" t="s">
        <v>269</v>
      </c>
      <c r="B279" s="117"/>
      <c r="C279" s="117"/>
      <c r="D279" s="117"/>
      <c r="E279" s="117"/>
      <c r="F279" s="117"/>
      <c r="G279" s="117"/>
      <c r="H279" s="117"/>
      <c r="I279" s="117"/>
      <c r="J279" s="117"/>
      <c r="K279" s="81">
        <v>2</v>
      </c>
    </row>
    <row r="280" spans="1:11" s="69" customFormat="1" ht="15.75" customHeight="1" x14ac:dyDescent="0.25">
      <c r="A280" s="118">
        <v>1</v>
      </c>
      <c r="B280" s="118"/>
      <c r="C280" s="118" t="s">
        <v>223</v>
      </c>
      <c r="D280" s="118"/>
      <c r="E280" s="118"/>
      <c r="F280" s="118"/>
      <c r="G280" s="118"/>
      <c r="H280" s="118"/>
      <c r="I280" s="118" t="str">
        <f>A279</f>
        <v>21st &amp; 28th Floor (Part Refuge Area)</v>
      </c>
      <c r="J280" s="118"/>
    </row>
    <row r="281" spans="1:11" s="69" customFormat="1" ht="15.75" x14ac:dyDescent="0.25">
      <c r="A281" s="118">
        <v>2</v>
      </c>
      <c r="B281" s="118"/>
      <c r="C281" s="118"/>
      <c r="D281" s="118"/>
      <c r="E281" s="118"/>
      <c r="F281" s="118"/>
      <c r="G281" s="118"/>
      <c r="H281" s="118"/>
      <c r="I281" s="118"/>
      <c r="J281" s="118"/>
    </row>
    <row r="282" spans="1:11" s="69" customFormat="1" ht="15" customHeight="1" x14ac:dyDescent="0.25">
      <c r="A282" s="118">
        <v>3</v>
      </c>
      <c r="B282" s="118"/>
      <c r="C282" s="40" t="s">
        <v>158</v>
      </c>
      <c r="D282" s="119">
        <f>47.35*10.764</f>
        <v>509.67539999999997</v>
      </c>
      <c r="E282" s="119"/>
      <c r="F282" s="39">
        <v>0</v>
      </c>
      <c r="G282" s="39">
        <f t="shared" ref="G282:G287" si="18">D282*1.6+F282</f>
        <v>815.48063999999999</v>
      </c>
      <c r="H282" s="39" t="s">
        <v>217</v>
      </c>
      <c r="I282" s="118"/>
      <c r="J282" s="118"/>
    </row>
    <row r="283" spans="1:11" s="69" customFormat="1" ht="15.75" customHeight="1" x14ac:dyDescent="0.25">
      <c r="A283" s="118">
        <v>4</v>
      </c>
      <c r="B283" s="118">
        <v>5</v>
      </c>
      <c r="C283" s="40" t="s">
        <v>158</v>
      </c>
      <c r="D283" s="119">
        <f>47.35*10.764</f>
        <v>509.67539999999997</v>
      </c>
      <c r="E283" s="119"/>
      <c r="F283" s="39">
        <v>0</v>
      </c>
      <c r="G283" s="39">
        <f t="shared" si="18"/>
        <v>815.48063999999999</v>
      </c>
      <c r="H283" s="39" t="s">
        <v>217</v>
      </c>
      <c r="I283" s="118"/>
      <c r="J283" s="118"/>
    </row>
    <row r="284" spans="1:11" s="69" customFormat="1" ht="15.75" x14ac:dyDescent="0.25">
      <c r="A284" s="118">
        <v>5</v>
      </c>
      <c r="B284" s="118">
        <v>5</v>
      </c>
      <c r="C284" s="40" t="s">
        <v>153</v>
      </c>
      <c r="D284" s="119">
        <f>61.96*10.764</f>
        <v>666.93743999999992</v>
      </c>
      <c r="E284" s="119"/>
      <c r="F284" s="39">
        <v>0</v>
      </c>
      <c r="G284" s="39">
        <f t="shared" si="18"/>
        <v>1067.0999039999999</v>
      </c>
      <c r="H284" s="39" t="s">
        <v>217</v>
      </c>
      <c r="I284" s="118"/>
      <c r="J284" s="118"/>
    </row>
    <row r="285" spans="1:11" s="69" customFormat="1" ht="15.75" x14ac:dyDescent="0.25">
      <c r="A285" s="118">
        <v>6</v>
      </c>
      <c r="B285" s="118">
        <v>6</v>
      </c>
      <c r="C285" s="40" t="s">
        <v>153</v>
      </c>
      <c r="D285" s="119">
        <f>57.38*10.764</f>
        <v>617.63832000000002</v>
      </c>
      <c r="E285" s="119"/>
      <c r="F285" s="39">
        <v>0</v>
      </c>
      <c r="G285" s="39">
        <f t="shared" si="18"/>
        <v>988.22131200000013</v>
      </c>
      <c r="H285" s="39" t="s">
        <v>217</v>
      </c>
      <c r="I285" s="118"/>
      <c r="J285" s="118"/>
    </row>
    <row r="286" spans="1:11" s="64" customFormat="1" ht="15" customHeight="1" x14ac:dyDescent="0.25">
      <c r="A286" s="118">
        <v>7</v>
      </c>
      <c r="B286" s="118">
        <v>6</v>
      </c>
      <c r="C286" s="40" t="s">
        <v>154</v>
      </c>
      <c r="D286" s="119">
        <f>40.1*10.764</f>
        <v>431.63639999999998</v>
      </c>
      <c r="E286" s="119"/>
      <c r="F286" s="39">
        <v>0</v>
      </c>
      <c r="G286" s="39">
        <f t="shared" si="18"/>
        <v>690.61824000000001</v>
      </c>
      <c r="H286" s="39" t="s">
        <v>217</v>
      </c>
      <c r="I286" s="118"/>
      <c r="J286" s="118"/>
    </row>
    <row r="287" spans="1:11" s="64" customFormat="1" ht="15" customHeight="1" x14ac:dyDescent="0.25">
      <c r="A287" s="118">
        <v>8</v>
      </c>
      <c r="B287" s="118">
        <v>6</v>
      </c>
      <c r="C287" s="40" t="s">
        <v>154</v>
      </c>
      <c r="D287" s="119">
        <f>40.1*10.764</f>
        <v>431.63639999999998</v>
      </c>
      <c r="E287" s="119"/>
      <c r="F287" s="39">
        <v>0</v>
      </c>
      <c r="G287" s="39">
        <f t="shared" si="18"/>
        <v>690.61824000000001</v>
      </c>
      <c r="H287" s="39" t="s">
        <v>217</v>
      </c>
      <c r="I287" s="118"/>
      <c r="J287" s="118"/>
    </row>
    <row r="288" spans="1:11" s="69" customFormat="1" ht="15.75" x14ac:dyDescent="0.25">
      <c r="A288" s="117" t="s">
        <v>270</v>
      </c>
      <c r="B288" s="117"/>
      <c r="C288" s="117"/>
      <c r="D288" s="117"/>
      <c r="E288" s="117"/>
      <c r="F288" s="117"/>
      <c r="G288" s="117"/>
      <c r="H288" s="117"/>
      <c r="I288" s="117"/>
      <c r="J288" s="117"/>
      <c r="K288" s="81">
        <f>4+5</f>
        <v>9</v>
      </c>
    </row>
    <row r="289" spans="1:11" s="64" customFormat="1" ht="15" customHeight="1" x14ac:dyDescent="0.25">
      <c r="A289" s="118">
        <v>1</v>
      </c>
      <c r="B289" s="118"/>
      <c r="C289" s="40" t="s">
        <v>153</v>
      </c>
      <c r="D289" s="119">
        <f>57.94*10.764</f>
        <v>623.66615999999999</v>
      </c>
      <c r="E289" s="119"/>
      <c r="F289" s="39">
        <v>0</v>
      </c>
      <c r="G289" s="39">
        <f t="shared" ref="G289:G296" si="19">D289*1.6+F289</f>
        <v>997.86585600000001</v>
      </c>
      <c r="H289" s="39" t="s">
        <v>217</v>
      </c>
      <c r="I289" s="118" t="str">
        <f>A288</f>
        <v xml:space="preserve">31st to 34th &amp; 36th to 40th Floor </v>
      </c>
      <c r="J289" s="118"/>
    </row>
    <row r="290" spans="1:11" s="64" customFormat="1" ht="15" customHeight="1" x14ac:dyDescent="0.25">
      <c r="A290" s="118">
        <v>2</v>
      </c>
      <c r="B290" s="118"/>
      <c r="C290" s="40" t="s">
        <v>153</v>
      </c>
      <c r="D290" s="119">
        <f>61.83*10.764</f>
        <v>665.53811999999994</v>
      </c>
      <c r="E290" s="119"/>
      <c r="F290" s="39">
        <v>0</v>
      </c>
      <c r="G290" s="39">
        <f t="shared" si="19"/>
        <v>1064.8609919999999</v>
      </c>
      <c r="H290" s="39" t="s">
        <v>217</v>
      </c>
      <c r="I290" s="118"/>
      <c r="J290" s="118"/>
    </row>
    <row r="291" spans="1:11" s="64" customFormat="1" ht="15" customHeight="1" x14ac:dyDescent="0.25">
      <c r="A291" s="118">
        <v>3</v>
      </c>
      <c r="B291" s="118"/>
      <c r="C291" s="40" t="s">
        <v>158</v>
      </c>
      <c r="D291" s="119">
        <f>47.85*10.764</f>
        <v>515.05740000000003</v>
      </c>
      <c r="E291" s="119"/>
      <c r="F291" s="39">
        <v>0</v>
      </c>
      <c r="G291" s="39">
        <f t="shared" si="19"/>
        <v>824.09184000000005</v>
      </c>
      <c r="H291" s="39" t="s">
        <v>217</v>
      </c>
      <c r="I291" s="118"/>
      <c r="J291" s="118"/>
    </row>
    <row r="292" spans="1:11" s="64" customFormat="1" ht="15" customHeight="1" x14ac:dyDescent="0.25">
      <c r="A292" s="118">
        <v>4</v>
      </c>
      <c r="B292" s="118">
        <v>5</v>
      </c>
      <c r="C292" s="40" t="s">
        <v>158</v>
      </c>
      <c r="D292" s="119">
        <f>47.85*10.764</f>
        <v>515.05740000000003</v>
      </c>
      <c r="E292" s="119"/>
      <c r="F292" s="39">
        <v>0</v>
      </c>
      <c r="G292" s="39">
        <f t="shared" si="19"/>
        <v>824.09184000000005</v>
      </c>
      <c r="H292" s="39" t="s">
        <v>217</v>
      </c>
      <c r="I292" s="118"/>
      <c r="J292" s="118"/>
    </row>
    <row r="293" spans="1:11" s="64" customFormat="1" ht="15" customHeight="1" x14ac:dyDescent="0.25">
      <c r="A293" s="118">
        <v>5</v>
      </c>
      <c r="B293" s="118">
        <v>5</v>
      </c>
      <c r="C293" s="40" t="s">
        <v>153</v>
      </c>
      <c r="D293" s="119">
        <f>62.31*10.764</f>
        <v>670.70483999999999</v>
      </c>
      <c r="E293" s="119"/>
      <c r="F293" s="39">
        <v>0</v>
      </c>
      <c r="G293" s="39">
        <f t="shared" si="19"/>
        <v>1073.1277440000001</v>
      </c>
      <c r="H293" s="39" t="s">
        <v>217</v>
      </c>
      <c r="I293" s="118"/>
      <c r="J293" s="118"/>
    </row>
    <row r="294" spans="1:11" s="64" customFormat="1" ht="15" customHeight="1" x14ac:dyDescent="0.25">
      <c r="A294" s="118">
        <v>6</v>
      </c>
      <c r="B294" s="118">
        <v>6</v>
      </c>
      <c r="C294" s="40" t="s">
        <v>153</v>
      </c>
      <c r="D294" s="119">
        <f>57.94*10.764</f>
        <v>623.66615999999999</v>
      </c>
      <c r="E294" s="119"/>
      <c r="F294" s="39">
        <v>0</v>
      </c>
      <c r="G294" s="39">
        <f t="shared" si="19"/>
        <v>997.86585600000001</v>
      </c>
      <c r="H294" s="39" t="s">
        <v>217</v>
      </c>
      <c r="I294" s="118"/>
      <c r="J294" s="118"/>
    </row>
    <row r="295" spans="1:11" s="64" customFormat="1" ht="15" customHeight="1" x14ac:dyDescent="0.25">
      <c r="A295" s="118">
        <v>7</v>
      </c>
      <c r="B295" s="118">
        <v>5</v>
      </c>
      <c r="C295" s="40" t="s">
        <v>154</v>
      </c>
      <c r="D295" s="119">
        <f>40.45*10.764</f>
        <v>435.40379999999999</v>
      </c>
      <c r="E295" s="119"/>
      <c r="F295" s="39">
        <v>0</v>
      </c>
      <c r="G295" s="39">
        <f t="shared" si="19"/>
        <v>696.64607999999998</v>
      </c>
      <c r="H295" s="39" t="s">
        <v>217</v>
      </c>
      <c r="I295" s="118"/>
      <c r="J295" s="118"/>
    </row>
    <row r="296" spans="1:11" s="64" customFormat="1" ht="15" customHeight="1" x14ac:dyDescent="0.25">
      <c r="A296" s="118">
        <v>8</v>
      </c>
      <c r="B296" s="118">
        <v>6</v>
      </c>
      <c r="C296" s="40" t="s">
        <v>154</v>
      </c>
      <c r="D296" s="119">
        <f>40.45*10.764</f>
        <v>435.40379999999999</v>
      </c>
      <c r="E296" s="119"/>
      <c r="F296" s="39">
        <v>0</v>
      </c>
      <c r="G296" s="39">
        <f t="shared" si="19"/>
        <v>696.64607999999998</v>
      </c>
      <c r="H296" s="39" t="s">
        <v>217</v>
      </c>
      <c r="I296" s="118"/>
      <c r="J296" s="118"/>
    </row>
    <row r="297" spans="1:11" s="69" customFormat="1" ht="15.75" x14ac:dyDescent="0.25">
      <c r="A297" s="117" t="s">
        <v>271</v>
      </c>
      <c r="B297" s="117"/>
      <c r="C297" s="117"/>
      <c r="D297" s="117"/>
      <c r="E297" s="117"/>
      <c r="F297" s="117"/>
      <c r="G297" s="117"/>
      <c r="H297" s="117"/>
      <c r="I297" s="117"/>
      <c r="J297" s="117"/>
      <c r="K297" s="81">
        <v>1</v>
      </c>
    </row>
    <row r="298" spans="1:11" s="69" customFormat="1" ht="15.75" customHeight="1" x14ac:dyDescent="0.25">
      <c r="A298" s="118">
        <v>1</v>
      </c>
      <c r="B298" s="118"/>
      <c r="C298" s="118" t="s">
        <v>223</v>
      </c>
      <c r="D298" s="118"/>
      <c r="E298" s="118"/>
      <c r="F298" s="118"/>
      <c r="G298" s="118"/>
      <c r="H298" s="118"/>
      <c r="I298" s="118" t="str">
        <f>A297</f>
        <v>35th Floor (Part Refuge Area)</v>
      </c>
      <c r="J298" s="118"/>
    </row>
    <row r="299" spans="1:11" s="69" customFormat="1" ht="15.75" x14ac:dyDescent="0.25">
      <c r="A299" s="118">
        <v>2</v>
      </c>
      <c r="B299" s="118"/>
      <c r="C299" s="118"/>
      <c r="D299" s="118"/>
      <c r="E299" s="118"/>
      <c r="F299" s="118"/>
      <c r="G299" s="118"/>
      <c r="H299" s="118"/>
      <c r="I299" s="118"/>
      <c r="J299" s="118"/>
    </row>
    <row r="300" spans="1:11" s="69" customFormat="1" ht="15" customHeight="1" x14ac:dyDescent="0.25">
      <c r="A300" s="118">
        <v>3</v>
      </c>
      <c r="B300" s="118"/>
      <c r="C300" s="40" t="s">
        <v>158</v>
      </c>
      <c r="D300" s="119">
        <f>47.85*10.764</f>
        <v>515.05740000000003</v>
      </c>
      <c r="E300" s="119"/>
      <c r="F300" s="39">
        <v>0</v>
      </c>
      <c r="G300" s="39">
        <f t="shared" ref="G300:G305" si="20">D300*1.6+F300</f>
        <v>824.09184000000005</v>
      </c>
      <c r="H300" s="39" t="s">
        <v>217</v>
      </c>
      <c r="I300" s="118"/>
      <c r="J300" s="118"/>
    </row>
    <row r="301" spans="1:11" s="69" customFormat="1" ht="15.75" customHeight="1" x14ac:dyDescent="0.25">
      <c r="A301" s="118">
        <v>4</v>
      </c>
      <c r="B301" s="118">
        <v>5</v>
      </c>
      <c r="C301" s="40" t="s">
        <v>158</v>
      </c>
      <c r="D301" s="119">
        <f>47.85*10.764</f>
        <v>515.05740000000003</v>
      </c>
      <c r="E301" s="119"/>
      <c r="F301" s="39">
        <v>0</v>
      </c>
      <c r="G301" s="39">
        <f t="shared" si="20"/>
        <v>824.09184000000005</v>
      </c>
      <c r="H301" s="39" t="s">
        <v>217</v>
      </c>
      <c r="I301" s="118"/>
      <c r="J301" s="118"/>
    </row>
    <row r="302" spans="1:11" s="69" customFormat="1" ht="15.75" x14ac:dyDescent="0.25">
      <c r="A302" s="118">
        <v>5</v>
      </c>
      <c r="B302" s="118">
        <v>5</v>
      </c>
      <c r="C302" s="40" t="s">
        <v>153</v>
      </c>
      <c r="D302" s="119">
        <f>62.31*10.764</f>
        <v>670.70483999999999</v>
      </c>
      <c r="E302" s="119"/>
      <c r="F302" s="39">
        <v>0</v>
      </c>
      <c r="G302" s="39">
        <f t="shared" si="20"/>
        <v>1073.1277440000001</v>
      </c>
      <c r="H302" s="39" t="s">
        <v>217</v>
      </c>
      <c r="I302" s="118"/>
      <c r="J302" s="118"/>
    </row>
    <row r="303" spans="1:11" s="69" customFormat="1" ht="15.75" x14ac:dyDescent="0.25">
      <c r="A303" s="118">
        <v>6</v>
      </c>
      <c r="B303" s="118">
        <v>6</v>
      </c>
      <c r="C303" s="40" t="s">
        <v>153</v>
      </c>
      <c r="D303" s="119">
        <f>57.94*10.764</f>
        <v>623.66615999999999</v>
      </c>
      <c r="E303" s="119"/>
      <c r="F303" s="39">
        <v>0</v>
      </c>
      <c r="G303" s="39">
        <f t="shared" si="20"/>
        <v>997.86585600000001</v>
      </c>
      <c r="H303" s="39" t="s">
        <v>217</v>
      </c>
      <c r="I303" s="118"/>
      <c r="J303" s="118"/>
    </row>
    <row r="304" spans="1:11" s="64" customFormat="1" ht="15" customHeight="1" x14ac:dyDescent="0.25">
      <c r="A304" s="118">
        <v>7</v>
      </c>
      <c r="B304" s="118">
        <v>6</v>
      </c>
      <c r="C304" s="40" t="s">
        <v>154</v>
      </c>
      <c r="D304" s="119">
        <f>40.45*10.764</f>
        <v>435.40379999999999</v>
      </c>
      <c r="E304" s="119"/>
      <c r="F304" s="39">
        <v>0</v>
      </c>
      <c r="G304" s="39">
        <f t="shared" si="20"/>
        <v>696.64607999999998</v>
      </c>
      <c r="H304" s="39" t="s">
        <v>217</v>
      </c>
      <c r="I304" s="118"/>
      <c r="J304" s="118"/>
    </row>
    <row r="305" spans="1:11" s="64" customFormat="1" ht="15" customHeight="1" x14ac:dyDescent="0.25">
      <c r="A305" s="118">
        <v>8</v>
      </c>
      <c r="B305" s="118">
        <v>6</v>
      </c>
      <c r="C305" s="40" t="s">
        <v>154</v>
      </c>
      <c r="D305" s="119">
        <f>40.45*10.764</f>
        <v>435.40379999999999</v>
      </c>
      <c r="E305" s="119"/>
      <c r="F305" s="39">
        <v>0</v>
      </c>
      <c r="G305" s="39">
        <f t="shared" si="20"/>
        <v>696.64607999999998</v>
      </c>
      <c r="H305" s="39" t="s">
        <v>217</v>
      </c>
      <c r="I305" s="118"/>
      <c r="J305" s="118"/>
    </row>
    <row r="306" spans="1:11" s="69" customFormat="1" ht="15.75" x14ac:dyDescent="0.25">
      <c r="A306" s="117" t="s">
        <v>272</v>
      </c>
      <c r="B306" s="117"/>
      <c r="C306" s="117"/>
      <c r="D306" s="117"/>
      <c r="E306" s="117"/>
      <c r="F306" s="117"/>
      <c r="G306" s="117"/>
      <c r="H306" s="117"/>
      <c r="I306" s="117"/>
      <c r="J306" s="117"/>
      <c r="K306" s="81">
        <v>2</v>
      </c>
    </row>
    <row r="307" spans="1:11" s="64" customFormat="1" ht="15" customHeight="1" x14ac:dyDescent="0.25">
      <c r="A307" s="118">
        <v>1</v>
      </c>
      <c r="B307" s="118"/>
      <c r="C307" s="40" t="s">
        <v>153</v>
      </c>
      <c r="D307" s="119">
        <f>57.94*10.764</f>
        <v>623.66615999999999</v>
      </c>
      <c r="E307" s="119"/>
      <c r="F307" s="39">
        <v>0</v>
      </c>
      <c r="G307" s="39">
        <f t="shared" ref="G307:G314" si="21">D307*1.6+F307</f>
        <v>997.86585600000001</v>
      </c>
      <c r="H307" s="39" t="s">
        <v>217</v>
      </c>
      <c r="I307" s="118" t="str">
        <f>A306</f>
        <v xml:space="preserve">41st &amp; 43rd Floor </v>
      </c>
      <c r="J307" s="118"/>
    </row>
    <row r="308" spans="1:11" s="64" customFormat="1" ht="15" customHeight="1" x14ac:dyDescent="0.25">
      <c r="A308" s="118">
        <v>2</v>
      </c>
      <c r="B308" s="118"/>
      <c r="C308" s="40" t="s">
        <v>153</v>
      </c>
      <c r="D308" s="119">
        <f>62.18*10.764</f>
        <v>669.30552</v>
      </c>
      <c r="E308" s="119"/>
      <c r="F308" s="39">
        <v>0</v>
      </c>
      <c r="G308" s="39">
        <f t="shared" si="21"/>
        <v>1070.8888320000001</v>
      </c>
      <c r="H308" s="39" t="s">
        <v>217</v>
      </c>
      <c r="I308" s="118"/>
      <c r="J308" s="118"/>
      <c r="K308" s="64">
        <f>2.43*1.05+2.13*2.7+1.56*0.65+3.05*5.49+1.67*0.66+1.42*2.13+2.79*3.05+3.05*3.5+1.37*0.99+2.13*1.37</f>
        <v>53.646699999999996</v>
      </c>
    </row>
    <row r="309" spans="1:11" s="64" customFormat="1" ht="15" customHeight="1" x14ac:dyDescent="0.25">
      <c r="A309" s="118">
        <v>3</v>
      </c>
      <c r="B309" s="118"/>
      <c r="C309" s="40" t="s">
        <v>158</v>
      </c>
      <c r="D309" s="119">
        <f>47.85*10.764</f>
        <v>515.05740000000003</v>
      </c>
      <c r="E309" s="119"/>
      <c r="F309" s="39">
        <v>0</v>
      </c>
      <c r="G309" s="39">
        <f t="shared" si="21"/>
        <v>824.09184000000005</v>
      </c>
      <c r="H309" s="39" t="s">
        <v>217</v>
      </c>
      <c r="I309" s="118"/>
      <c r="J309" s="118"/>
    </row>
    <row r="310" spans="1:11" s="64" customFormat="1" ht="15" customHeight="1" x14ac:dyDescent="0.25">
      <c r="A310" s="118">
        <v>4</v>
      </c>
      <c r="B310" s="118">
        <v>5</v>
      </c>
      <c r="C310" s="40" t="s">
        <v>158</v>
      </c>
      <c r="D310" s="119">
        <f>47.85*10.764</f>
        <v>515.05740000000003</v>
      </c>
      <c r="E310" s="119"/>
      <c r="F310" s="39">
        <v>0</v>
      </c>
      <c r="G310" s="39">
        <f t="shared" si="21"/>
        <v>824.09184000000005</v>
      </c>
      <c r="H310" s="39" t="s">
        <v>217</v>
      </c>
      <c r="I310" s="118"/>
      <c r="J310" s="118"/>
    </row>
    <row r="311" spans="1:11" s="64" customFormat="1" ht="15" customHeight="1" x14ac:dyDescent="0.25">
      <c r="A311" s="118">
        <v>5</v>
      </c>
      <c r="B311" s="118">
        <v>5</v>
      </c>
      <c r="C311" s="40" t="s">
        <v>153</v>
      </c>
      <c r="D311" s="119">
        <f>62.31*10.764</f>
        <v>670.70483999999999</v>
      </c>
      <c r="E311" s="119"/>
      <c r="F311" s="39">
        <v>0</v>
      </c>
      <c r="G311" s="39">
        <f t="shared" si="21"/>
        <v>1073.1277440000001</v>
      </c>
      <c r="H311" s="39" t="s">
        <v>217</v>
      </c>
      <c r="I311" s="118"/>
      <c r="J311" s="118"/>
    </row>
    <row r="312" spans="1:11" s="64" customFormat="1" ht="15" customHeight="1" x14ac:dyDescent="0.25">
      <c r="A312" s="118">
        <v>6</v>
      </c>
      <c r="B312" s="118">
        <v>6</v>
      </c>
      <c r="C312" s="40" t="s">
        <v>153</v>
      </c>
      <c r="D312" s="119">
        <f>57.94*10.764</f>
        <v>623.66615999999999</v>
      </c>
      <c r="E312" s="119"/>
      <c r="F312" s="39">
        <v>0</v>
      </c>
      <c r="G312" s="39">
        <f t="shared" si="21"/>
        <v>997.86585600000001</v>
      </c>
      <c r="H312" s="39" t="s">
        <v>217</v>
      </c>
      <c r="I312" s="118"/>
      <c r="J312" s="118"/>
    </row>
    <row r="313" spans="1:11" s="64" customFormat="1" ht="15" customHeight="1" x14ac:dyDescent="0.25">
      <c r="A313" s="118">
        <v>7</v>
      </c>
      <c r="B313" s="118">
        <v>5</v>
      </c>
      <c r="C313" s="40" t="s">
        <v>154</v>
      </c>
      <c r="D313" s="119">
        <f>40.45*10.764</f>
        <v>435.40379999999999</v>
      </c>
      <c r="E313" s="119"/>
      <c r="F313" s="39">
        <v>0</v>
      </c>
      <c r="G313" s="39">
        <f t="shared" si="21"/>
        <v>696.64607999999998</v>
      </c>
      <c r="H313" s="39" t="s">
        <v>217</v>
      </c>
      <c r="I313" s="118"/>
      <c r="J313" s="118"/>
    </row>
    <row r="314" spans="1:11" s="64" customFormat="1" ht="15" customHeight="1" x14ac:dyDescent="0.25">
      <c r="A314" s="118">
        <v>8</v>
      </c>
      <c r="B314" s="118">
        <v>6</v>
      </c>
      <c r="C314" s="40" t="s">
        <v>154</v>
      </c>
      <c r="D314" s="119">
        <f>40.45*10.764</f>
        <v>435.40379999999999</v>
      </c>
      <c r="E314" s="119"/>
      <c r="F314" s="39">
        <v>0</v>
      </c>
      <c r="G314" s="39">
        <f t="shared" si="21"/>
        <v>696.64607999999998</v>
      </c>
      <c r="H314" s="39" t="s">
        <v>217</v>
      </c>
      <c r="I314" s="118"/>
      <c r="J314" s="118"/>
    </row>
    <row r="315" spans="1:11" s="69" customFormat="1" ht="15.75" x14ac:dyDescent="0.25">
      <c r="A315" s="117" t="s">
        <v>273</v>
      </c>
      <c r="B315" s="117"/>
      <c r="C315" s="117"/>
      <c r="D315" s="117"/>
      <c r="E315" s="117"/>
      <c r="F315" s="117"/>
      <c r="G315" s="117"/>
      <c r="H315" s="117"/>
      <c r="I315" s="117"/>
      <c r="J315" s="117"/>
      <c r="K315" s="81">
        <v>1</v>
      </c>
    </row>
    <row r="316" spans="1:11" s="69" customFormat="1" ht="15.75" customHeight="1" x14ac:dyDescent="0.25">
      <c r="A316" s="118">
        <v>1</v>
      </c>
      <c r="B316" s="118"/>
      <c r="C316" s="118" t="s">
        <v>223</v>
      </c>
      <c r="D316" s="118"/>
      <c r="E316" s="118"/>
      <c r="F316" s="118"/>
      <c r="G316" s="118"/>
      <c r="H316" s="118"/>
      <c r="I316" s="118" t="str">
        <f>A315</f>
        <v>42nd Floor (Part Refuge Area)</v>
      </c>
      <c r="J316" s="118"/>
    </row>
    <row r="317" spans="1:11" s="69" customFormat="1" ht="15.75" x14ac:dyDescent="0.25">
      <c r="A317" s="118">
        <v>2</v>
      </c>
      <c r="B317" s="118"/>
      <c r="C317" s="118"/>
      <c r="D317" s="118"/>
      <c r="E317" s="118"/>
      <c r="F317" s="118"/>
      <c r="G317" s="118"/>
      <c r="H317" s="118"/>
      <c r="I317" s="118"/>
      <c r="J317" s="118"/>
    </row>
    <row r="318" spans="1:11" s="69" customFormat="1" ht="15" customHeight="1" x14ac:dyDescent="0.25">
      <c r="A318" s="118">
        <v>3</v>
      </c>
      <c r="B318" s="118"/>
      <c r="C318" s="40" t="s">
        <v>158</v>
      </c>
      <c r="D318" s="119">
        <f>47.85*10.764</f>
        <v>515.05740000000003</v>
      </c>
      <c r="E318" s="119"/>
      <c r="F318" s="39">
        <v>0</v>
      </c>
      <c r="G318" s="39">
        <f t="shared" ref="G318:G323" si="22">D318*1.6+F318</f>
        <v>824.09184000000005</v>
      </c>
      <c r="H318" s="39" t="s">
        <v>217</v>
      </c>
      <c r="I318" s="118"/>
      <c r="J318" s="118"/>
    </row>
    <row r="319" spans="1:11" s="69" customFormat="1" ht="15.75" customHeight="1" x14ac:dyDescent="0.25">
      <c r="A319" s="118">
        <v>4</v>
      </c>
      <c r="B319" s="118">
        <v>5</v>
      </c>
      <c r="C319" s="40" t="s">
        <v>158</v>
      </c>
      <c r="D319" s="119">
        <f>47.85*10.764</f>
        <v>515.05740000000003</v>
      </c>
      <c r="E319" s="119"/>
      <c r="F319" s="39">
        <v>0</v>
      </c>
      <c r="G319" s="39">
        <f t="shared" si="22"/>
        <v>824.09184000000005</v>
      </c>
      <c r="H319" s="39" t="s">
        <v>217</v>
      </c>
      <c r="I319" s="118"/>
      <c r="J319" s="118"/>
    </row>
    <row r="320" spans="1:11" s="69" customFormat="1" ht="15.75" x14ac:dyDescent="0.25">
      <c r="A320" s="118">
        <v>5</v>
      </c>
      <c r="B320" s="118">
        <v>5</v>
      </c>
      <c r="C320" s="40" t="s">
        <v>153</v>
      </c>
      <c r="D320" s="119">
        <f>62.31*10.764</f>
        <v>670.70483999999999</v>
      </c>
      <c r="E320" s="119"/>
      <c r="F320" s="39">
        <v>0</v>
      </c>
      <c r="G320" s="39">
        <f t="shared" si="22"/>
        <v>1073.1277440000001</v>
      </c>
      <c r="H320" s="39" t="s">
        <v>217</v>
      </c>
      <c r="I320" s="118"/>
      <c r="J320" s="118"/>
    </row>
    <row r="321" spans="1:11" s="69" customFormat="1" ht="15.75" x14ac:dyDescent="0.25">
      <c r="A321" s="118">
        <v>6</v>
      </c>
      <c r="B321" s="118">
        <v>6</v>
      </c>
      <c r="C321" s="40" t="s">
        <v>153</v>
      </c>
      <c r="D321" s="119">
        <f>57.94*10.764</f>
        <v>623.66615999999999</v>
      </c>
      <c r="E321" s="119"/>
      <c r="F321" s="39">
        <v>0</v>
      </c>
      <c r="G321" s="39">
        <f t="shared" si="22"/>
        <v>997.86585600000001</v>
      </c>
      <c r="H321" s="39" t="s">
        <v>217</v>
      </c>
      <c r="I321" s="118"/>
      <c r="J321" s="118"/>
    </row>
    <row r="322" spans="1:11" s="64" customFormat="1" ht="15" customHeight="1" x14ac:dyDescent="0.25">
      <c r="A322" s="118">
        <v>7</v>
      </c>
      <c r="B322" s="118">
        <v>6</v>
      </c>
      <c r="C322" s="40" t="s">
        <v>154</v>
      </c>
      <c r="D322" s="119">
        <f>40.45*10.764</f>
        <v>435.40379999999999</v>
      </c>
      <c r="E322" s="119"/>
      <c r="F322" s="39">
        <v>0</v>
      </c>
      <c r="G322" s="39">
        <f t="shared" si="22"/>
        <v>696.64607999999998</v>
      </c>
      <c r="H322" s="39" t="s">
        <v>217</v>
      </c>
      <c r="I322" s="118"/>
      <c r="J322" s="118"/>
    </row>
    <row r="323" spans="1:11" s="64" customFormat="1" ht="15" customHeight="1" x14ac:dyDescent="0.25">
      <c r="A323" s="118">
        <v>8</v>
      </c>
      <c r="B323" s="118">
        <v>6</v>
      </c>
      <c r="C323" s="40" t="s">
        <v>154</v>
      </c>
      <c r="D323" s="119">
        <f>40.45*10.764</f>
        <v>435.40379999999999</v>
      </c>
      <c r="E323" s="119"/>
      <c r="F323" s="39">
        <v>0</v>
      </c>
      <c r="G323" s="39">
        <f t="shared" si="22"/>
        <v>696.64607999999998</v>
      </c>
      <c r="H323" s="39" t="s">
        <v>217</v>
      </c>
      <c r="I323" s="118"/>
      <c r="J323" s="118"/>
    </row>
    <row r="324" spans="1:11" s="69" customFormat="1" ht="15.75" x14ac:dyDescent="0.25">
      <c r="A324" s="117" t="s">
        <v>312</v>
      </c>
      <c r="B324" s="117"/>
      <c r="C324" s="117"/>
      <c r="D324" s="117"/>
      <c r="E324" s="117"/>
      <c r="F324" s="117"/>
      <c r="G324" s="117"/>
      <c r="H324" s="117"/>
      <c r="I324" s="117"/>
      <c r="J324" s="117"/>
      <c r="K324" s="81">
        <f>5+5</f>
        <v>10</v>
      </c>
    </row>
    <row r="325" spans="1:11" s="64" customFormat="1" ht="15" customHeight="1" x14ac:dyDescent="0.25">
      <c r="A325" s="118">
        <v>1</v>
      </c>
      <c r="B325" s="118"/>
      <c r="C325" s="40" t="s">
        <v>153</v>
      </c>
      <c r="D325" s="119">
        <f>57.94*10.764</f>
        <v>623.66615999999999</v>
      </c>
      <c r="E325" s="119"/>
      <c r="F325" s="39">
        <v>0</v>
      </c>
      <c r="G325" s="39">
        <f t="shared" ref="G325:G332" si="23">D325*1.6+F325</f>
        <v>997.86585600000001</v>
      </c>
      <c r="H325" s="39" t="s">
        <v>217</v>
      </c>
      <c r="I325" s="118" t="str">
        <f>A324</f>
        <v>44th to 48th &amp; 50th to 54th Floor</v>
      </c>
      <c r="J325" s="118"/>
    </row>
    <row r="326" spans="1:11" s="64" customFormat="1" ht="15" customHeight="1" x14ac:dyDescent="0.25">
      <c r="A326" s="118">
        <v>2</v>
      </c>
      <c r="B326" s="118"/>
      <c r="C326" s="40" t="s">
        <v>153</v>
      </c>
      <c r="D326" s="119">
        <f>62.18*10.764</f>
        <v>669.30552</v>
      </c>
      <c r="E326" s="119"/>
      <c r="F326" s="39">
        <v>0</v>
      </c>
      <c r="G326" s="39">
        <f t="shared" si="23"/>
        <v>1070.8888320000001</v>
      </c>
      <c r="H326" s="39" t="s">
        <v>217</v>
      </c>
      <c r="I326" s="118"/>
      <c r="J326" s="118"/>
      <c r="K326" s="64">
        <f>2.43*1.05+2.13*2.7+1.56*0.65+3.05*5.49+1.67*0.66+1.42*2.13+2.79*3.05+3.05*3.5+1.37*0.99+2.13*1.37</f>
        <v>53.646699999999996</v>
      </c>
    </row>
    <row r="327" spans="1:11" s="64" customFormat="1" ht="15" customHeight="1" x14ac:dyDescent="0.25">
      <c r="A327" s="118">
        <v>3</v>
      </c>
      <c r="B327" s="118"/>
      <c r="C327" s="40" t="s">
        <v>158</v>
      </c>
      <c r="D327" s="119">
        <f>51.62*10.764</f>
        <v>555.63767999999993</v>
      </c>
      <c r="E327" s="119"/>
      <c r="F327" s="39">
        <v>0</v>
      </c>
      <c r="G327" s="39">
        <f t="shared" si="23"/>
        <v>889.02028799999994</v>
      </c>
      <c r="H327" s="39" t="s">
        <v>217</v>
      </c>
      <c r="I327" s="118"/>
      <c r="J327" s="118"/>
    </row>
    <row r="328" spans="1:11" s="64" customFormat="1" ht="15" customHeight="1" x14ac:dyDescent="0.25">
      <c r="A328" s="118">
        <v>4</v>
      </c>
      <c r="B328" s="118">
        <v>5</v>
      </c>
      <c r="C328" s="40" t="s">
        <v>158</v>
      </c>
      <c r="D328" s="119">
        <f>51.62*10.764</f>
        <v>555.63767999999993</v>
      </c>
      <c r="E328" s="119"/>
      <c r="F328" s="39">
        <v>0</v>
      </c>
      <c r="G328" s="39">
        <f t="shared" si="23"/>
        <v>889.02028799999994</v>
      </c>
      <c r="H328" s="39" t="s">
        <v>217</v>
      </c>
      <c r="I328" s="118"/>
      <c r="J328" s="118"/>
    </row>
    <row r="329" spans="1:11" s="64" customFormat="1" ht="15" customHeight="1" x14ac:dyDescent="0.25">
      <c r="A329" s="118">
        <v>5</v>
      </c>
      <c r="B329" s="118">
        <v>5</v>
      </c>
      <c r="C329" s="40" t="s">
        <v>153</v>
      </c>
      <c r="D329" s="119">
        <f>62.31*10.764</f>
        <v>670.70483999999999</v>
      </c>
      <c r="E329" s="119"/>
      <c r="F329" s="39">
        <v>0</v>
      </c>
      <c r="G329" s="39">
        <f t="shared" si="23"/>
        <v>1073.1277440000001</v>
      </c>
      <c r="H329" s="39" t="s">
        <v>217</v>
      </c>
      <c r="I329" s="118"/>
      <c r="J329" s="118"/>
    </row>
    <row r="330" spans="1:11" s="64" customFormat="1" ht="15" customHeight="1" x14ac:dyDescent="0.25">
      <c r="A330" s="118">
        <v>6</v>
      </c>
      <c r="B330" s="118">
        <v>6</v>
      </c>
      <c r="C330" s="40" t="s">
        <v>153</v>
      </c>
      <c r="D330" s="119">
        <f>57.94*10.764</f>
        <v>623.66615999999999</v>
      </c>
      <c r="E330" s="119"/>
      <c r="F330" s="39">
        <v>0</v>
      </c>
      <c r="G330" s="39">
        <f t="shared" si="23"/>
        <v>997.86585600000001</v>
      </c>
      <c r="H330" s="39" t="s">
        <v>217</v>
      </c>
      <c r="I330" s="118"/>
      <c r="J330" s="118"/>
    </row>
    <row r="331" spans="1:11" s="64" customFormat="1" ht="15" customHeight="1" x14ac:dyDescent="0.25">
      <c r="A331" s="118">
        <v>7</v>
      </c>
      <c r="B331" s="118">
        <v>5</v>
      </c>
      <c r="C331" s="40" t="s">
        <v>154</v>
      </c>
      <c r="D331" s="119">
        <f>40.45*10.764</f>
        <v>435.40379999999999</v>
      </c>
      <c r="E331" s="119"/>
      <c r="F331" s="39">
        <v>0</v>
      </c>
      <c r="G331" s="39">
        <f t="shared" si="23"/>
        <v>696.64607999999998</v>
      </c>
      <c r="H331" s="39" t="s">
        <v>217</v>
      </c>
      <c r="I331" s="118"/>
      <c r="J331" s="118"/>
    </row>
    <row r="332" spans="1:11" s="64" customFormat="1" ht="15" customHeight="1" x14ac:dyDescent="0.25">
      <c r="A332" s="118">
        <v>8</v>
      </c>
      <c r="B332" s="118">
        <v>6</v>
      </c>
      <c r="C332" s="40" t="s">
        <v>154</v>
      </c>
      <c r="D332" s="119">
        <f>40.45*10.764</f>
        <v>435.40379999999999</v>
      </c>
      <c r="E332" s="119"/>
      <c r="F332" s="39">
        <v>0</v>
      </c>
      <c r="G332" s="39">
        <f t="shared" si="23"/>
        <v>696.64607999999998</v>
      </c>
      <c r="H332" s="39" t="s">
        <v>217</v>
      </c>
      <c r="I332" s="118"/>
      <c r="J332" s="118"/>
    </row>
    <row r="333" spans="1:11" s="69" customFormat="1" ht="15.75" x14ac:dyDescent="0.25">
      <c r="A333" s="117" t="s">
        <v>313</v>
      </c>
      <c r="B333" s="117"/>
      <c r="C333" s="117"/>
      <c r="D333" s="117"/>
      <c r="E333" s="117"/>
      <c r="F333" s="117"/>
      <c r="G333" s="117"/>
      <c r="H333" s="117"/>
      <c r="I333" s="117"/>
      <c r="J333" s="117"/>
      <c r="K333" s="81">
        <v>1</v>
      </c>
    </row>
    <row r="334" spans="1:11" s="64" customFormat="1" ht="15" customHeight="1" x14ac:dyDescent="0.25">
      <c r="A334" s="118">
        <v>1</v>
      </c>
      <c r="B334" s="118"/>
      <c r="C334" s="120" t="s">
        <v>223</v>
      </c>
      <c r="D334" s="121"/>
      <c r="E334" s="121"/>
      <c r="F334" s="121"/>
      <c r="G334" s="121"/>
      <c r="H334" s="122"/>
      <c r="I334" s="118" t="str">
        <f>A333</f>
        <v>49th Floor</v>
      </c>
      <c r="J334" s="118"/>
    </row>
    <row r="335" spans="1:11" s="64" customFormat="1" ht="15" customHeight="1" x14ac:dyDescent="0.25">
      <c r="A335" s="118">
        <v>2</v>
      </c>
      <c r="B335" s="118"/>
      <c r="C335" s="123"/>
      <c r="D335" s="124"/>
      <c r="E335" s="124"/>
      <c r="F335" s="124"/>
      <c r="G335" s="124"/>
      <c r="H335" s="125"/>
      <c r="I335" s="118"/>
      <c r="J335" s="118"/>
      <c r="K335" s="64">
        <f>2.43*1.05+2.13*2.7+1.56*0.65+3.05*5.49+1.67*0.66+1.42*2.13+2.79*3.05+3.05*3.5+1.37*0.99+2.13*1.37</f>
        <v>53.646699999999996</v>
      </c>
    </row>
    <row r="336" spans="1:11" s="64" customFormat="1" ht="15" customHeight="1" x14ac:dyDescent="0.25">
      <c r="A336" s="118">
        <v>3</v>
      </c>
      <c r="B336" s="118"/>
      <c r="C336" s="40" t="s">
        <v>158</v>
      </c>
      <c r="D336" s="119">
        <f>51.62*10.764</f>
        <v>555.63767999999993</v>
      </c>
      <c r="E336" s="119"/>
      <c r="F336" s="39">
        <v>0</v>
      </c>
      <c r="G336" s="39">
        <f t="shared" ref="G336:G341" si="24">D336*1.6+F336</f>
        <v>889.02028799999994</v>
      </c>
      <c r="H336" s="39" t="s">
        <v>217</v>
      </c>
      <c r="I336" s="118"/>
      <c r="J336" s="118"/>
    </row>
    <row r="337" spans="1:10" s="64" customFormat="1" ht="15" customHeight="1" x14ac:dyDescent="0.25">
      <c r="A337" s="118">
        <v>4</v>
      </c>
      <c r="B337" s="118">
        <v>5</v>
      </c>
      <c r="C337" s="40" t="s">
        <v>158</v>
      </c>
      <c r="D337" s="119">
        <f>51.62*10.764</f>
        <v>555.63767999999993</v>
      </c>
      <c r="E337" s="119"/>
      <c r="F337" s="39">
        <v>0</v>
      </c>
      <c r="G337" s="39">
        <f t="shared" si="24"/>
        <v>889.02028799999994</v>
      </c>
      <c r="H337" s="39" t="s">
        <v>217</v>
      </c>
      <c r="I337" s="118"/>
      <c r="J337" s="118"/>
    </row>
    <row r="338" spans="1:10" s="64" customFormat="1" ht="15" customHeight="1" x14ac:dyDescent="0.25">
      <c r="A338" s="118">
        <v>5</v>
      </c>
      <c r="B338" s="118">
        <v>5</v>
      </c>
      <c r="C338" s="40" t="s">
        <v>153</v>
      </c>
      <c r="D338" s="119">
        <f>62.31*10.764</f>
        <v>670.70483999999999</v>
      </c>
      <c r="E338" s="119"/>
      <c r="F338" s="39">
        <v>0</v>
      </c>
      <c r="G338" s="39">
        <f t="shared" si="24"/>
        <v>1073.1277440000001</v>
      </c>
      <c r="H338" s="39" t="s">
        <v>217</v>
      </c>
      <c r="I338" s="118"/>
      <c r="J338" s="118"/>
    </row>
    <row r="339" spans="1:10" s="64" customFormat="1" ht="15" customHeight="1" x14ac:dyDescent="0.25">
      <c r="A339" s="118">
        <v>6</v>
      </c>
      <c r="B339" s="118">
        <v>6</v>
      </c>
      <c r="C339" s="40" t="s">
        <v>153</v>
      </c>
      <c r="D339" s="119">
        <f>57.94*10.764</f>
        <v>623.66615999999999</v>
      </c>
      <c r="E339" s="119"/>
      <c r="F339" s="39">
        <v>0</v>
      </c>
      <c r="G339" s="39">
        <f>D339*1.6+F339</f>
        <v>997.86585600000001</v>
      </c>
      <c r="H339" s="39" t="s">
        <v>217</v>
      </c>
      <c r="I339" s="118"/>
      <c r="J339" s="118"/>
    </row>
    <row r="340" spans="1:10" s="64" customFormat="1" ht="15" customHeight="1" x14ac:dyDescent="0.25">
      <c r="A340" s="118">
        <v>7</v>
      </c>
      <c r="B340" s="118">
        <v>5</v>
      </c>
      <c r="C340" s="40" t="s">
        <v>154</v>
      </c>
      <c r="D340" s="119">
        <f>40.45*10.764</f>
        <v>435.40379999999999</v>
      </c>
      <c r="E340" s="119"/>
      <c r="F340" s="39">
        <v>0</v>
      </c>
      <c r="G340" s="39">
        <f t="shared" si="24"/>
        <v>696.64607999999998</v>
      </c>
      <c r="H340" s="39" t="s">
        <v>217</v>
      </c>
      <c r="I340" s="118"/>
      <c r="J340" s="118"/>
    </row>
    <row r="341" spans="1:10" s="64" customFormat="1" ht="15" customHeight="1" x14ac:dyDescent="0.25">
      <c r="A341" s="118">
        <v>8</v>
      </c>
      <c r="B341" s="118">
        <v>6</v>
      </c>
      <c r="C341" s="40" t="s">
        <v>154</v>
      </c>
      <c r="D341" s="119">
        <f>40.45*10.764</f>
        <v>435.40379999999999</v>
      </c>
      <c r="E341" s="119"/>
      <c r="F341" s="39">
        <v>0</v>
      </c>
      <c r="G341" s="39">
        <f t="shared" si="24"/>
        <v>696.64607999999998</v>
      </c>
      <c r="H341" s="39" t="s">
        <v>217</v>
      </c>
      <c r="I341" s="118"/>
      <c r="J341" s="118"/>
    </row>
    <row r="342" spans="1:10" s="70" customFormat="1" ht="291" customHeight="1" x14ac:dyDescent="0.25">
      <c r="A342" s="154" t="s">
        <v>338</v>
      </c>
      <c r="B342" s="155"/>
      <c r="C342" s="155"/>
      <c r="D342" s="155"/>
      <c r="E342" s="155"/>
      <c r="F342" s="155"/>
      <c r="G342" s="155"/>
      <c r="H342" s="155"/>
      <c r="I342" s="155"/>
      <c r="J342" s="156"/>
    </row>
    <row r="343" spans="1:10" x14ac:dyDescent="0.25">
      <c r="A343" s="157" t="s">
        <v>74</v>
      </c>
      <c r="B343" s="158"/>
      <c r="C343" s="158"/>
      <c r="D343" s="158"/>
      <c r="E343" s="158"/>
      <c r="F343" s="158"/>
      <c r="G343" s="158"/>
      <c r="H343" s="158"/>
      <c r="I343" s="158"/>
      <c r="J343" s="159"/>
    </row>
    <row r="344" spans="1:10" x14ac:dyDescent="0.25">
      <c r="A344" s="110" t="s">
        <v>75</v>
      </c>
      <c r="B344" s="96"/>
      <c r="C344" s="96"/>
      <c r="D344" s="96"/>
      <c r="E344" s="96"/>
      <c r="F344" s="96"/>
      <c r="G344" s="96"/>
      <c r="H344" s="96"/>
      <c r="I344" s="96"/>
      <c r="J344" s="97"/>
    </row>
    <row r="345" spans="1:10" x14ac:dyDescent="0.25">
      <c r="A345" s="157" t="s">
        <v>76</v>
      </c>
      <c r="B345" s="158"/>
      <c r="C345" s="158"/>
      <c r="D345" s="158"/>
      <c r="E345" s="158"/>
      <c r="F345" s="158"/>
      <c r="G345" s="158"/>
      <c r="H345" s="158"/>
      <c r="I345" s="158"/>
      <c r="J345" s="159"/>
    </row>
    <row r="346" spans="1:10" x14ac:dyDescent="0.25">
      <c r="A346" s="110" t="s">
        <v>77</v>
      </c>
      <c r="B346" s="96"/>
      <c r="C346" s="96"/>
      <c r="D346" s="96"/>
      <c r="E346" s="96"/>
      <c r="F346" s="96"/>
      <c r="G346" s="96"/>
      <c r="H346" s="96"/>
      <c r="I346" s="96"/>
      <c r="J346" s="97"/>
    </row>
    <row r="347" spans="1:10" x14ac:dyDescent="0.25">
      <c r="A347" s="110" t="s">
        <v>78</v>
      </c>
      <c r="B347" s="96"/>
      <c r="C347" s="96"/>
      <c r="D347" s="96"/>
      <c r="E347" s="96"/>
      <c r="F347" s="96"/>
      <c r="G347" s="96"/>
      <c r="H347" s="96"/>
      <c r="I347" s="96"/>
      <c r="J347" s="97"/>
    </row>
    <row r="348" spans="1:10" ht="15" customHeight="1" x14ac:dyDescent="0.25">
      <c r="A348" s="153" t="s">
        <v>79</v>
      </c>
      <c r="B348" s="153"/>
      <c r="C348" s="153"/>
      <c r="D348" s="153"/>
      <c r="E348" s="153"/>
      <c r="F348" s="153"/>
      <c r="G348" s="153"/>
      <c r="H348" s="153"/>
      <c r="I348" s="153"/>
      <c r="J348" s="153"/>
    </row>
    <row r="349" spans="1:10" x14ac:dyDescent="0.25">
      <c r="A349" s="153"/>
      <c r="B349" s="153"/>
      <c r="C349" s="153"/>
      <c r="D349" s="153"/>
      <c r="E349" s="153"/>
      <c r="F349" s="153"/>
      <c r="G349" s="153"/>
      <c r="H349" s="153"/>
      <c r="I349" s="153"/>
      <c r="J349" s="153"/>
    </row>
    <row r="350" spans="1:10" x14ac:dyDescent="0.25">
      <c r="A350" s="153"/>
      <c r="B350" s="153"/>
      <c r="C350" s="153"/>
      <c r="D350" s="153"/>
      <c r="E350" s="153"/>
      <c r="F350" s="153"/>
      <c r="G350" s="153"/>
      <c r="H350" s="153"/>
      <c r="I350" s="153"/>
      <c r="J350" s="153"/>
    </row>
    <row r="351" spans="1:10" x14ac:dyDescent="0.25">
      <c r="A351" s="153"/>
      <c r="B351" s="153"/>
      <c r="C351" s="153"/>
      <c r="D351" s="153"/>
      <c r="E351" s="153"/>
      <c r="F351" s="153"/>
      <c r="G351" s="153"/>
      <c r="H351" s="153"/>
      <c r="I351" s="153"/>
      <c r="J351" s="153"/>
    </row>
    <row r="352" spans="1:10" x14ac:dyDescent="0.25">
      <c r="A352" s="71" t="s">
        <v>80</v>
      </c>
      <c r="B352" s="72"/>
      <c r="C352" s="72"/>
      <c r="D352" s="73" t="str">
        <f>F8</f>
        <v>Runwal Forest (Tower 1 to 11)</v>
      </c>
      <c r="G352" s="72"/>
      <c r="H352" s="72"/>
      <c r="I352" s="72"/>
      <c r="J352" s="72"/>
    </row>
    <row r="353" spans="1:10" x14ac:dyDescent="0.25">
      <c r="A353" s="72"/>
      <c r="B353" s="72"/>
      <c r="C353" s="72"/>
      <c r="D353" s="72"/>
      <c r="E353" s="72"/>
      <c r="F353" s="72"/>
      <c r="G353" s="72"/>
      <c r="H353" s="72"/>
      <c r="I353" s="72"/>
      <c r="J353" s="72"/>
    </row>
    <row r="354" spans="1:10" x14ac:dyDescent="0.25">
      <c r="A354" s="72"/>
      <c r="B354" s="72"/>
      <c r="C354" s="72"/>
      <c r="D354" s="72"/>
      <c r="E354" s="72"/>
      <c r="F354" s="72"/>
      <c r="G354" s="72"/>
      <c r="H354" s="72"/>
      <c r="I354" s="72"/>
      <c r="J354" s="72"/>
    </row>
    <row r="396" hidden="1" x14ac:dyDescent="0.25"/>
    <row r="397" hidden="1" x14ac:dyDescent="0.25"/>
    <row r="398" hidden="1" x14ac:dyDescent="0.25"/>
    <row r="399" hidden="1" x14ac:dyDescent="0.25"/>
    <row r="400" hidden="1" x14ac:dyDescent="0.25"/>
    <row r="401" spans="1:1" hidden="1" x14ac:dyDescent="0.25"/>
    <row r="402" spans="1:1" hidden="1" x14ac:dyDescent="0.25"/>
    <row r="403" spans="1:1" x14ac:dyDescent="0.25">
      <c r="A403" s="74" t="s">
        <v>263</v>
      </c>
    </row>
    <row r="425" spans="12:12" ht="20.25" x14ac:dyDescent="0.3">
      <c r="L425" s="84"/>
    </row>
    <row r="446" spans="1:1" x14ac:dyDescent="0.25">
      <c r="A446" s="74" t="s">
        <v>81</v>
      </c>
    </row>
  </sheetData>
  <mergeCells count="706">
    <mergeCell ref="K44:O44"/>
    <mergeCell ref="D69:J69"/>
    <mergeCell ref="A65:B65"/>
    <mergeCell ref="C65:F65"/>
    <mergeCell ref="H65:J65"/>
    <mergeCell ref="A66:B66"/>
    <mergeCell ref="C66:F66"/>
    <mergeCell ref="H66:J66"/>
    <mergeCell ref="C62:F62"/>
    <mergeCell ref="H62:J62"/>
    <mergeCell ref="A51:B51"/>
    <mergeCell ref="C51:F51"/>
    <mergeCell ref="H51:J51"/>
    <mergeCell ref="A49:J49"/>
    <mergeCell ref="A50:B50"/>
    <mergeCell ref="C53:F53"/>
    <mergeCell ref="A52:B53"/>
    <mergeCell ref="L62:O63"/>
    <mergeCell ref="A60:B61"/>
    <mergeCell ref="C60:F60"/>
    <mergeCell ref="H60:J60"/>
    <mergeCell ref="L60:O61"/>
    <mergeCell ref="C61:J61"/>
    <mergeCell ref="K55:L55"/>
    <mergeCell ref="K50:N50"/>
    <mergeCell ref="O50:Q50"/>
    <mergeCell ref="D70:J70"/>
    <mergeCell ref="A71:C71"/>
    <mergeCell ref="C50:F50"/>
    <mergeCell ref="H50:J50"/>
    <mergeCell ref="A55:B55"/>
    <mergeCell ref="C55:F55"/>
    <mergeCell ref="K57:L57"/>
    <mergeCell ref="C58:F58"/>
    <mergeCell ref="H58:J58"/>
    <mergeCell ref="A64:B64"/>
    <mergeCell ref="C64:F64"/>
    <mergeCell ref="H64:J64"/>
    <mergeCell ref="A131:F131"/>
    <mergeCell ref="A134:F134"/>
    <mergeCell ref="A72:C72"/>
    <mergeCell ref="D72:J72"/>
    <mergeCell ref="H52:J52"/>
    <mergeCell ref="H53:J53"/>
    <mergeCell ref="A153:J153"/>
    <mergeCell ref="D204:E204"/>
    <mergeCell ref="I204:J211"/>
    <mergeCell ref="I195:J202"/>
    <mergeCell ref="I170:J173"/>
    <mergeCell ref="A171:B171"/>
    <mergeCell ref="C171:H171"/>
    <mergeCell ref="A172:B172"/>
    <mergeCell ref="D172:E172"/>
    <mergeCell ref="A173:B173"/>
    <mergeCell ref="D173:E173"/>
    <mergeCell ref="H117:J126"/>
    <mergeCell ref="A118:B118"/>
    <mergeCell ref="A123:B123"/>
    <mergeCell ref="D123:E123"/>
    <mergeCell ref="A124:B124"/>
    <mergeCell ref="D124:E124"/>
    <mergeCell ref="G135:J135"/>
    <mergeCell ref="A125:B125"/>
    <mergeCell ref="D125:E125"/>
    <mergeCell ref="D117:E117"/>
    <mergeCell ref="F117:G126"/>
    <mergeCell ref="A126:B126"/>
    <mergeCell ref="D126:E126"/>
    <mergeCell ref="A117:B117"/>
    <mergeCell ref="D118:E118"/>
    <mergeCell ref="A119:B119"/>
    <mergeCell ref="D119:E119"/>
    <mergeCell ref="A120:B120"/>
    <mergeCell ref="D120:E120"/>
    <mergeCell ref="A121:B121"/>
    <mergeCell ref="D121:E121"/>
    <mergeCell ref="A122:B122"/>
    <mergeCell ref="D122:E122"/>
    <mergeCell ref="D205:E205"/>
    <mergeCell ref="A206:B206"/>
    <mergeCell ref="D206:E206"/>
    <mergeCell ref="A207:B207"/>
    <mergeCell ref="D207:E207"/>
    <mergeCell ref="A208:B208"/>
    <mergeCell ref="D208:E208"/>
    <mergeCell ref="A135:F135"/>
    <mergeCell ref="D168:E168"/>
    <mergeCell ref="A170:B170"/>
    <mergeCell ref="D170:E170"/>
    <mergeCell ref="A204:B204"/>
    <mergeCell ref="A193:B193"/>
    <mergeCell ref="D193:E193"/>
    <mergeCell ref="A200:B200"/>
    <mergeCell ref="D200:E200"/>
    <mergeCell ref="A201:B201"/>
    <mergeCell ref="D201:E201"/>
    <mergeCell ref="A202:B202"/>
    <mergeCell ref="D202:E202"/>
    <mergeCell ref="D195:E195"/>
    <mergeCell ref="D196:E196"/>
    <mergeCell ref="A199:B199"/>
    <mergeCell ref="A136:F136"/>
    <mergeCell ref="A130:F130"/>
    <mergeCell ref="G130:J130"/>
    <mergeCell ref="A146:J146"/>
    <mergeCell ref="A147:J147"/>
    <mergeCell ref="A148:J148"/>
    <mergeCell ref="I149:J152"/>
    <mergeCell ref="A149:B149"/>
    <mergeCell ref="D149:E149"/>
    <mergeCell ref="A150:B150"/>
    <mergeCell ref="A151:B151"/>
    <mergeCell ref="A152:B152"/>
    <mergeCell ref="D152:E152"/>
    <mergeCell ref="C150:H150"/>
    <mergeCell ref="C151:H151"/>
    <mergeCell ref="A141:B141"/>
    <mergeCell ref="D141:F141"/>
    <mergeCell ref="G141:J141"/>
    <mergeCell ref="A142:B142"/>
    <mergeCell ref="A132:J132"/>
    <mergeCell ref="A133:F133"/>
    <mergeCell ref="G133:J133"/>
    <mergeCell ref="G134:J134"/>
    <mergeCell ref="G131:J131"/>
    <mergeCell ref="G136:J136"/>
    <mergeCell ref="A210:B210"/>
    <mergeCell ref="A211:B211"/>
    <mergeCell ref="C210:H211"/>
    <mergeCell ref="A189:B189"/>
    <mergeCell ref="D189:E189"/>
    <mergeCell ref="A190:B190"/>
    <mergeCell ref="D198:E198"/>
    <mergeCell ref="A194:J194"/>
    <mergeCell ref="A178:B178"/>
    <mergeCell ref="A188:B188"/>
    <mergeCell ref="A195:B195"/>
    <mergeCell ref="C177:H178"/>
    <mergeCell ref="C179:H179"/>
    <mergeCell ref="D188:E188"/>
    <mergeCell ref="A183:B183"/>
    <mergeCell ref="D183:E183"/>
    <mergeCell ref="A184:B184"/>
    <mergeCell ref="C184:H184"/>
    <mergeCell ref="I177:J184"/>
    <mergeCell ref="A203:J203"/>
    <mergeCell ref="A209:B209"/>
    <mergeCell ref="D209:E209"/>
    <mergeCell ref="I186:J193"/>
    <mergeCell ref="A205:B205"/>
    <mergeCell ref="A154:B154"/>
    <mergeCell ref="D154:E154"/>
    <mergeCell ref="A139:B139"/>
    <mergeCell ref="D139:F139"/>
    <mergeCell ref="G139:J139"/>
    <mergeCell ref="A164:J164"/>
    <mergeCell ref="A158:J158"/>
    <mergeCell ref="A159:B159"/>
    <mergeCell ref="A162:B162"/>
    <mergeCell ref="I154:J157"/>
    <mergeCell ref="A155:B155"/>
    <mergeCell ref="D155:E155"/>
    <mergeCell ref="C156:H156"/>
    <mergeCell ref="D162:E162"/>
    <mergeCell ref="A156:B156"/>
    <mergeCell ref="A157:B157"/>
    <mergeCell ref="D157:E157"/>
    <mergeCell ref="D142:F142"/>
    <mergeCell ref="G142:J142"/>
    <mergeCell ref="D145:E145"/>
    <mergeCell ref="A186:B186"/>
    <mergeCell ref="D182:E182"/>
    <mergeCell ref="A185:J185"/>
    <mergeCell ref="D180:E180"/>
    <mergeCell ref="D191:E191"/>
    <mergeCell ref="A192:B192"/>
    <mergeCell ref="D192:E192"/>
    <mergeCell ref="C186:H187"/>
    <mergeCell ref="A187:B187"/>
    <mergeCell ref="A167:B167"/>
    <mergeCell ref="D167:E167"/>
    <mergeCell ref="A168:B168"/>
    <mergeCell ref="A175:J175"/>
    <mergeCell ref="I159:J162"/>
    <mergeCell ref="A160:B160"/>
    <mergeCell ref="D160:E160"/>
    <mergeCell ref="D161:E161"/>
    <mergeCell ref="C166:H166"/>
    <mergeCell ref="A163:J163"/>
    <mergeCell ref="A161:B161"/>
    <mergeCell ref="A169:J169"/>
    <mergeCell ref="D159:E159"/>
    <mergeCell ref="I165:J168"/>
    <mergeCell ref="A165:B165"/>
    <mergeCell ref="D165:E165"/>
    <mergeCell ref="A166:B166"/>
    <mergeCell ref="D110:E110"/>
    <mergeCell ref="A111:B111"/>
    <mergeCell ref="D111:E111"/>
    <mergeCell ref="A112:B112"/>
    <mergeCell ref="D112:E112"/>
    <mergeCell ref="D199:E199"/>
    <mergeCell ref="A196:B196"/>
    <mergeCell ref="A197:B197"/>
    <mergeCell ref="D197:E197"/>
    <mergeCell ref="A198:B198"/>
    <mergeCell ref="A113:B113"/>
    <mergeCell ref="C113:J113"/>
    <mergeCell ref="E114:F114"/>
    <mergeCell ref="I114:J114"/>
    <mergeCell ref="A115:B115"/>
    <mergeCell ref="C115:J115"/>
    <mergeCell ref="A116:B116"/>
    <mergeCell ref="D116:E116"/>
    <mergeCell ref="F116:G116"/>
    <mergeCell ref="H116:J116"/>
    <mergeCell ref="A176:J176"/>
    <mergeCell ref="A143:J143"/>
    <mergeCell ref="A144:J144"/>
    <mergeCell ref="A145:B145"/>
    <mergeCell ref="I100:J100"/>
    <mergeCell ref="A101:B101"/>
    <mergeCell ref="C101:J101"/>
    <mergeCell ref="A102:B102"/>
    <mergeCell ref="D102:E102"/>
    <mergeCell ref="F102:G102"/>
    <mergeCell ref="H102:J102"/>
    <mergeCell ref="A103:B103"/>
    <mergeCell ref="D103:E103"/>
    <mergeCell ref="F103:G112"/>
    <mergeCell ref="H103:J112"/>
    <mergeCell ref="A104:B104"/>
    <mergeCell ref="D104:E104"/>
    <mergeCell ref="A105:B105"/>
    <mergeCell ref="D105:E105"/>
    <mergeCell ref="A106:B106"/>
    <mergeCell ref="D106:E106"/>
    <mergeCell ref="A107:B107"/>
    <mergeCell ref="D107:E107"/>
    <mergeCell ref="A108:B108"/>
    <mergeCell ref="D108:E108"/>
    <mergeCell ref="A109:B109"/>
    <mergeCell ref="D109:E109"/>
    <mergeCell ref="A110:B110"/>
    <mergeCell ref="H89:J98"/>
    <mergeCell ref="A90:B90"/>
    <mergeCell ref="D90:E90"/>
    <mergeCell ref="A91:B91"/>
    <mergeCell ref="D91:E91"/>
    <mergeCell ref="A92:B92"/>
    <mergeCell ref="D92:E92"/>
    <mergeCell ref="A93:B93"/>
    <mergeCell ref="D93:E93"/>
    <mergeCell ref="A94:B94"/>
    <mergeCell ref="D94:E94"/>
    <mergeCell ref="A95:B95"/>
    <mergeCell ref="D95:E95"/>
    <mergeCell ref="A96:B96"/>
    <mergeCell ref="D96:E96"/>
    <mergeCell ref="A97:B97"/>
    <mergeCell ref="D97:E97"/>
    <mergeCell ref="A98:B98"/>
    <mergeCell ref="A16:B16"/>
    <mergeCell ref="C16:E16"/>
    <mergeCell ref="F16:G16"/>
    <mergeCell ref="A17:B17"/>
    <mergeCell ref="C17:E17"/>
    <mergeCell ref="F17:G17"/>
    <mergeCell ref="H16:J16"/>
    <mergeCell ref="H17:J17"/>
    <mergeCell ref="A10:E10"/>
    <mergeCell ref="F10:J10"/>
    <mergeCell ref="A14:B14"/>
    <mergeCell ref="A11:E11"/>
    <mergeCell ref="F11:J11"/>
    <mergeCell ref="A12:E12"/>
    <mergeCell ref="F12:J12"/>
    <mergeCell ref="A13:B13"/>
    <mergeCell ref="C13:J13"/>
    <mergeCell ref="C14:J14"/>
    <mergeCell ref="C15:J15"/>
    <mergeCell ref="A15:B15"/>
    <mergeCell ref="A18:B18"/>
    <mergeCell ref="C18:E18"/>
    <mergeCell ref="F18:G18"/>
    <mergeCell ref="H18:J18"/>
    <mergeCell ref="A19:E20"/>
    <mergeCell ref="F19:J20"/>
    <mergeCell ref="A21:E22"/>
    <mergeCell ref="F21:J22"/>
    <mergeCell ref="A1:J1"/>
    <mergeCell ref="A2:J2"/>
    <mergeCell ref="A3:E3"/>
    <mergeCell ref="F3:J3"/>
    <mergeCell ref="A4:E4"/>
    <mergeCell ref="A8:E8"/>
    <mergeCell ref="F8:J8"/>
    <mergeCell ref="A9:E9"/>
    <mergeCell ref="F9:J9"/>
    <mergeCell ref="F4:J4"/>
    <mergeCell ref="A5:E5"/>
    <mergeCell ref="F5:J5"/>
    <mergeCell ref="A6:E6"/>
    <mergeCell ref="F6:J6"/>
    <mergeCell ref="A7:E7"/>
    <mergeCell ref="F7:J7"/>
    <mergeCell ref="A25:E25"/>
    <mergeCell ref="A26:E26"/>
    <mergeCell ref="F26:J26"/>
    <mergeCell ref="A27:B27"/>
    <mergeCell ref="C27:F27"/>
    <mergeCell ref="G27:J27"/>
    <mergeCell ref="A23:E23"/>
    <mergeCell ref="A24:E24"/>
    <mergeCell ref="F24:J24"/>
    <mergeCell ref="A33:J33"/>
    <mergeCell ref="A34:B34"/>
    <mergeCell ref="A35:B35"/>
    <mergeCell ref="C34:J34"/>
    <mergeCell ref="C35:J35"/>
    <mergeCell ref="F37:J37"/>
    <mergeCell ref="A28:B28"/>
    <mergeCell ref="A29:B29"/>
    <mergeCell ref="C28:F28"/>
    <mergeCell ref="G28:J28"/>
    <mergeCell ref="C29:F29"/>
    <mergeCell ref="G29:J29"/>
    <mergeCell ref="G31:J31"/>
    <mergeCell ref="A32:J32"/>
    <mergeCell ref="E81:F81"/>
    <mergeCell ref="I81:J81"/>
    <mergeCell ref="A82:B82"/>
    <mergeCell ref="C82:J82"/>
    <mergeCell ref="D77:J77"/>
    <mergeCell ref="A78:C78"/>
    <mergeCell ref="D78:J78"/>
    <mergeCell ref="A80:B80"/>
    <mergeCell ref="C80:J80"/>
    <mergeCell ref="A77:C77"/>
    <mergeCell ref="A73:C73"/>
    <mergeCell ref="D73:J73"/>
    <mergeCell ref="A67:C67"/>
    <mergeCell ref="D67:E67"/>
    <mergeCell ref="F67:G67"/>
    <mergeCell ref="H67:J67"/>
    <mergeCell ref="A68:J68"/>
    <mergeCell ref="A69:C69"/>
    <mergeCell ref="A79:J79"/>
    <mergeCell ref="A74:C74"/>
    <mergeCell ref="D74:J74"/>
    <mergeCell ref="A75:C75"/>
    <mergeCell ref="D75:J75"/>
    <mergeCell ref="A76:C76"/>
    <mergeCell ref="D76:J76"/>
    <mergeCell ref="D71:J71"/>
    <mergeCell ref="A70:C70"/>
    <mergeCell ref="A128:F128"/>
    <mergeCell ref="G128:J128"/>
    <mergeCell ref="A127:J127"/>
    <mergeCell ref="A83:B84"/>
    <mergeCell ref="C83:E84"/>
    <mergeCell ref="F83:H84"/>
    <mergeCell ref="I83:J84"/>
    <mergeCell ref="A85:B85"/>
    <mergeCell ref="C85:J85"/>
    <mergeCell ref="E86:F86"/>
    <mergeCell ref="I86:J86"/>
    <mergeCell ref="A87:B87"/>
    <mergeCell ref="C87:J87"/>
    <mergeCell ref="A88:B88"/>
    <mergeCell ref="D88:E88"/>
    <mergeCell ref="F88:G88"/>
    <mergeCell ref="H88:J88"/>
    <mergeCell ref="A89:B89"/>
    <mergeCell ref="D89:E89"/>
    <mergeCell ref="F89:G98"/>
    <mergeCell ref="D98:E98"/>
    <mergeCell ref="A99:B99"/>
    <mergeCell ref="C99:J99"/>
    <mergeCell ref="E100:F100"/>
    <mergeCell ref="A348:J351"/>
    <mergeCell ref="A342:J342"/>
    <mergeCell ref="A343:J343"/>
    <mergeCell ref="A344:J344"/>
    <mergeCell ref="A345:J345"/>
    <mergeCell ref="A346:J346"/>
    <mergeCell ref="A347:J347"/>
    <mergeCell ref="A137:J137"/>
    <mergeCell ref="A138:B138"/>
    <mergeCell ref="D138:F138"/>
    <mergeCell ref="G138:J138"/>
    <mergeCell ref="A140:B140"/>
    <mergeCell ref="D140:F140"/>
    <mergeCell ref="G140:J140"/>
    <mergeCell ref="A174:J174"/>
    <mergeCell ref="I145:J145"/>
    <mergeCell ref="D190:E190"/>
    <mergeCell ref="A191:B191"/>
    <mergeCell ref="A177:B177"/>
    <mergeCell ref="A179:B179"/>
    <mergeCell ref="A180:B180"/>
    <mergeCell ref="A181:B181"/>
    <mergeCell ref="D181:E181"/>
    <mergeCell ref="A182:B182"/>
    <mergeCell ref="A213:J213"/>
    <mergeCell ref="A214:B214"/>
    <mergeCell ref="D214:E214"/>
    <mergeCell ref="I214:J221"/>
    <mergeCell ref="A215:B215"/>
    <mergeCell ref="D215:E215"/>
    <mergeCell ref="A216:B216"/>
    <mergeCell ref="D216:E216"/>
    <mergeCell ref="A217:B217"/>
    <mergeCell ref="D217:E217"/>
    <mergeCell ref="A218:B218"/>
    <mergeCell ref="D218:E218"/>
    <mergeCell ref="A219:B219"/>
    <mergeCell ref="D219:E219"/>
    <mergeCell ref="D220:E220"/>
    <mergeCell ref="A221:B221"/>
    <mergeCell ref="A248:B248"/>
    <mergeCell ref="A246:B246"/>
    <mergeCell ref="A249:B249"/>
    <mergeCell ref="C249:H250"/>
    <mergeCell ref="A250:B250"/>
    <mergeCell ref="A235:B235"/>
    <mergeCell ref="A231:J231"/>
    <mergeCell ref="A232:J232"/>
    <mergeCell ref="A233:J233"/>
    <mergeCell ref="D245:E245"/>
    <mergeCell ref="C239:H239"/>
    <mergeCell ref="C240:H241"/>
    <mergeCell ref="I234:J241"/>
    <mergeCell ref="A245:B245"/>
    <mergeCell ref="A267:B267"/>
    <mergeCell ref="D267:E267"/>
    <mergeCell ref="A261:B261"/>
    <mergeCell ref="A258:B258"/>
    <mergeCell ref="A255:B255"/>
    <mergeCell ref="A260:J260"/>
    <mergeCell ref="C261:H262"/>
    <mergeCell ref="I261:J268"/>
    <mergeCell ref="A263:B263"/>
    <mergeCell ref="D263:E263"/>
    <mergeCell ref="D268:E268"/>
    <mergeCell ref="A268:B268"/>
    <mergeCell ref="A278:J278"/>
    <mergeCell ref="A234:B234"/>
    <mergeCell ref="A265:B265"/>
    <mergeCell ref="A280:B280"/>
    <mergeCell ref="C280:H281"/>
    <mergeCell ref="I280:J287"/>
    <mergeCell ref="A281:B281"/>
    <mergeCell ref="A282:B282"/>
    <mergeCell ref="D282:E282"/>
    <mergeCell ref="A283:B283"/>
    <mergeCell ref="D283:E283"/>
    <mergeCell ref="A284:B284"/>
    <mergeCell ref="D284:E284"/>
    <mergeCell ref="A285:B285"/>
    <mergeCell ref="D285:E285"/>
    <mergeCell ref="A286:B286"/>
    <mergeCell ref="D286:E286"/>
    <mergeCell ref="A287:B287"/>
    <mergeCell ref="D287:E287"/>
    <mergeCell ref="A251:J251"/>
    <mergeCell ref="A253:B253"/>
    <mergeCell ref="D265:E265"/>
    <mergeCell ref="A266:B266"/>
    <mergeCell ref="D266:E266"/>
    <mergeCell ref="A264:B264"/>
    <mergeCell ref="D264:E264"/>
    <mergeCell ref="I252:J259"/>
    <mergeCell ref="D255:E255"/>
    <mergeCell ref="A229:B229"/>
    <mergeCell ref="C229:H230"/>
    <mergeCell ref="A230:B230"/>
    <mergeCell ref="A262:B262"/>
    <mergeCell ref="A257:B257"/>
    <mergeCell ref="D257:E257"/>
    <mergeCell ref="D258:E258"/>
    <mergeCell ref="D259:E259"/>
    <mergeCell ref="A256:B256"/>
    <mergeCell ref="D256:E256"/>
    <mergeCell ref="A259:B259"/>
    <mergeCell ref="A236:B236"/>
    <mergeCell ref="A237:B237"/>
    <mergeCell ref="A238:B238"/>
    <mergeCell ref="A252:B252"/>
    <mergeCell ref="C234:H234"/>
    <mergeCell ref="D236:E236"/>
    <mergeCell ref="D237:E237"/>
    <mergeCell ref="D238:E238"/>
    <mergeCell ref="A243:B243"/>
    <mergeCell ref="A129:F129"/>
    <mergeCell ref="G129:J129"/>
    <mergeCell ref="A279:J279"/>
    <mergeCell ref="A275:B275"/>
    <mergeCell ref="D275:E275"/>
    <mergeCell ref="A276:B276"/>
    <mergeCell ref="D276:E276"/>
    <mergeCell ref="A277:B277"/>
    <mergeCell ref="D277:E277"/>
    <mergeCell ref="I270:J277"/>
    <mergeCell ref="A269:J269"/>
    <mergeCell ref="A270:B270"/>
    <mergeCell ref="D270:E270"/>
    <mergeCell ref="A271:B271"/>
    <mergeCell ref="D271:E271"/>
    <mergeCell ref="A272:B272"/>
    <mergeCell ref="D272:E272"/>
    <mergeCell ref="A273:B273"/>
    <mergeCell ref="D273:E273"/>
    <mergeCell ref="A274:B274"/>
    <mergeCell ref="D274:E274"/>
    <mergeCell ref="A224:B224"/>
    <mergeCell ref="D224:E224"/>
    <mergeCell ref="A225:B225"/>
    <mergeCell ref="D225:E225"/>
    <mergeCell ref="A226:B226"/>
    <mergeCell ref="D226:E226"/>
    <mergeCell ref="A227:B227"/>
    <mergeCell ref="D227:E227"/>
    <mergeCell ref="A228:B228"/>
    <mergeCell ref="D228:E228"/>
    <mergeCell ref="A254:B254"/>
    <mergeCell ref="D254:E254"/>
    <mergeCell ref="D252:E252"/>
    <mergeCell ref="D253:E253"/>
    <mergeCell ref="D243:E243"/>
    <mergeCell ref="A239:B239"/>
    <mergeCell ref="A240:B240"/>
    <mergeCell ref="A241:B241"/>
    <mergeCell ref="A242:J242"/>
    <mergeCell ref="D235:E235"/>
    <mergeCell ref="I243:J250"/>
    <mergeCell ref="A244:B244"/>
    <mergeCell ref="D244:E244"/>
    <mergeCell ref="D246:E246"/>
    <mergeCell ref="D248:E248"/>
    <mergeCell ref="A247:B247"/>
    <mergeCell ref="D247:E247"/>
    <mergeCell ref="A220:B220"/>
    <mergeCell ref="A288:J288"/>
    <mergeCell ref="A289:B289"/>
    <mergeCell ref="D289:E289"/>
    <mergeCell ref="I289:J296"/>
    <mergeCell ref="A290:B290"/>
    <mergeCell ref="D290:E290"/>
    <mergeCell ref="A291:B291"/>
    <mergeCell ref="D291:E291"/>
    <mergeCell ref="A292:B292"/>
    <mergeCell ref="D292:E292"/>
    <mergeCell ref="A293:B293"/>
    <mergeCell ref="D293:E293"/>
    <mergeCell ref="A294:B294"/>
    <mergeCell ref="D294:E294"/>
    <mergeCell ref="A295:B295"/>
    <mergeCell ref="D295:E295"/>
    <mergeCell ref="A296:B296"/>
    <mergeCell ref="D296:E296"/>
    <mergeCell ref="D221:E221"/>
    <mergeCell ref="A222:J222"/>
    <mergeCell ref="A223:B223"/>
    <mergeCell ref="D223:E223"/>
    <mergeCell ref="I223:J230"/>
    <mergeCell ref="A315:J315"/>
    <mergeCell ref="A316:B316"/>
    <mergeCell ref="C316:H317"/>
    <mergeCell ref="I316:J323"/>
    <mergeCell ref="A317:B317"/>
    <mergeCell ref="A297:J297"/>
    <mergeCell ref="A298:B298"/>
    <mergeCell ref="C298:H299"/>
    <mergeCell ref="I298:J305"/>
    <mergeCell ref="A299:B299"/>
    <mergeCell ref="A300:B300"/>
    <mergeCell ref="D300:E300"/>
    <mergeCell ref="A301:B301"/>
    <mergeCell ref="D301:E301"/>
    <mergeCell ref="A302:B302"/>
    <mergeCell ref="D302:E302"/>
    <mergeCell ref="A303:B303"/>
    <mergeCell ref="D303:E303"/>
    <mergeCell ref="A304:B304"/>
    <mergeCell ref="D304:E304"/>
    <mergeCell ref="A305:B305"/>
    <mergeCell ref="D305:E305"/>
    <mergeCell ref="A306:J306"/>
    <mergeCell ref="A307:B307"/>
    <mergeCell ref="D307:E307"/>
    <mergeCell ref="I307:J314"/>
    <mergeCell ref="A308:B308"/>
    <mergeCell ref="D308:E308"/>
    <mergeCell ref="A309:B309"/>
    <mergeCell ref="D309:E309"/>
    <mergeCell ref="A310:B310"/>
    <mergeCell ref="D310:E310"/>
    <mergeCell ref="A311:B311"/>
    <mergeCell ref="D311:E311"/>
    <mergeCell ref="A312:B312"/>
    <mergeCell ref="D312:E312"/>
    <mergeCell ref="A313:B313"/>
    <mergeCell ref="D313:E313"/>
    <mergeCell ref="A314:B314"/>
    <mergeCell ref="D314:E314"/>
    <mergeCell ref="A324:J324"/>
    <mergeCell ref="A318:B318"/>
    <mergeCell ref="D318:E318"/>
    <mergeCell ref="A319:B319"/>
    <mergeCell ref="D319:E319"/>
    <mergeCell ref="A320:B320"/>
    <mergeCell ref="D320:E320"/>
    <mergeCell ref="A321:B321"/>
    <mergeCell ref="D321:E321"/>
    <mergeCell ref="A322:B322"/>
    <mergeCell ref="D322:E322"/>
    <mergeCell ref="A323:B323"/>
    <mergeCell ref="D323:E323"/>
    <mergeCell ref="D325:E325"/>
    <mergeCell ref="I325:J332"/>
    <mergeCell ref="A326:B326"/>
    <mergeCell ref="D326:E326"/>
    <mergeCell ref="A327:B327"/>
    <mergeCell ref="D327:E327"/>
    <mergeCell ref="A328:B328"/>
    <mergeCell ref="D328:E328"/>
    <mergeCell ref="A329:B329"/>
    <mergeCell ref="D329:E329"/>
    <mergeCell ref="A330:B330"/>
    <mergeCell ref="D330:E330"/>
    <mergeCell ref="A331:B331"/>
    <mergeCell ref="D331:E331"/>
    <mergeCell ref="A332:B332"/>
    <mergeCell ref="D332:E332"/>
    <mergeCell ref="A325:B325"/>
    <mergeCell ref="A46:J46"/>
    <mergeCell ref="A47:B47"/>
    <mergeCell ref="C47:F47"/>
    <mergeCell ref="H47:J47"/>
    <mergeCell ref="A48:B48"/>
    <mergeCell ref="C48:F48"/>
    <mergeCell ref="H48:J48"/>
    <mergeCell ref="A63:B63"/>
    <mergeCell ref="C63:F63"/>
    <mergeCell ref="H63:J63"/>
    <mergeCell ref="A62:B62"/>
    <mergeCell ref="A57:B57"/>
    <mergeCell ref="C57:F57"/>
    <mergeCell ref="F41:J41"/>
    <mergeCell ref="A42:E42"/>
    <mergeCell ref="F42:J42"/>
    <mergeCell ref="A36:J36"/>
    <mergeCell ref="A37:E37"/>
    <mergeCell ref="A38:E38"/>
    <mergeCell ref="F38:J38"/>
    <mergeCell ref="A39:J39"/>
    <mergeCell ref="F40:J40"/>
    <mergeCell ref="K15:R15"/>
    <mergeCell ref="A333:J333"/>
    <mergeCell ref="A334:B334"/>
    <mergeCell ref="I334:J341"/>
    <mergeCell ref="A335:B335"/>
    <mergeCell ref="A336:B336"/>
    <mergeCell ref="D336:E336"/>
    <mergeCell ref="A337:B337"/>
    <mergeCell ref="D337:E337"/>
    <mergeCell ref="A338:B338"/>
    <mergeCell ref="D338:E338"/>
    <mergeCell ref="A339:B339"/>
    <mergeCell ref="D339:E339"/>
    <mergeCell ref="A340:B340"/>
    <mergeCell ref="D340:E340"/>
    <mergeCell ref="A341:B341"/>
    <mergeCell ref="D341:E341"/>
    <mergeCell ref="C334:H335"/>
    <mergeCell ref="A30:B30"/>
    <mergeCell ref="A31:B31"/>
    <mergeCell ref="C30:F30"/>
    <mergeCell ref="G30:J30"/>
    <mergeCell ref="C31:F31"/>
    <mergeCell ref="A212:J212"/>
    <mergeCell ref="O18:R22"/>
    <mergeCell ref="F23:J23"/>
    <mergeCell ref="F25:J25"/>
    <mergeCell ref="A54:B54"/>
    <mergeCell ref="C54:F54"/>
    <mergeCell ref="K54:L54"/>
    <mergeCell ref="H54:J54"/>
    <mergeCell ref="H55:J55"/>
    <mergeCell ref="A58:B59"/>
    <mergeCell ref="C59:J59"/>
    <mergeCell ref="L58:O59"/>
    <mergeCell ref="C56:F56"/>
    <mergeCell ref="H56:J56"/>
    <mergeCell ref="A56:B56"/>
    <mergeCell ref="H57:J57"/>
    <mergeCell ref="C52:F52"/>
    <mergeCell ref="A43:E43"/>
    <mergeCell ref="F43:J43"/>
    <mergeCell ref="A44:E44"/>
    <mergeCell ref="F44:J44"/>
    <mergeCell ref="A45:E45"/>
    <mergeCell ref="F45:J45"/>
    <mergeCell ref="A40:E40"/>
    <mergeCell ref="A41:E41"/>
  </mergeCells>
  <hyperlinks>
    <hyperlink ref="C35" r:id="rId1"/>
    <hyperlink ref="K225" r:id="rId2" location="lg=1&amp;slide=3" display="https://runwalenterprises.com/residential-projects/forests.php?utm_campaign=location_search_kanjurmarg&amp;utm_Keyword=Kanjurmarg%20flat&amp;utm_source=location_search_kanjurmarg&amp;utm_medium=location_search_kanjurmarg&amp;utm_campaign=flats&amp;gad_source=1&amp;gclid=Cj0KCQjw16O_BhDNARIsAC3i2GD0IhW-hzWW5Xh6_Lu9rnwT7SnR4VwxyGxfi7-nfMIDHvMCmMLtVNYaAh8oEALw_wcB#lg=1&amp;slide=3"/>
  </hyperlinks>
  <printOptions horizontalCentered="1"/>
  <pageMargins left="0.43307086614173229" right="0.35433070866141736" top="0.78740157480314965" bottom="0.78740157480314965" header="0.19685039370078741" footer="0.19685039370078741"/>
  <pageSetup paperSize="9" scale="91" fitToHeight="0" orientation="portrait" r:id="rId3"/>
  <headerFooter>
    <oddHeader>&amp;C&amp;G</oddHeader>
    <oddFooter>&amp;L&amp;"Times New Roman,Bold"Ref No: &amp;F&amp;C&amp;G&amp;R&amp;P</oddFooter>
  </headerFooter>
  <rowBreaks count="5" manualBreakCount="5">
    <brk id="55" max="9" man="1"/>
    <brk id="84" max="9" man="1"/>
    <brk id="351" max="16383" man="1"/>
    <brk id="402" max="16383" man="1"/>
    <brk id="444" max="16383" man="1"/>
  </rowBreaks>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C9" sqref="C9"/>
    </sheetView>
  </sheetViews>
  <sheetFormatPr defaultColWidth="8.7109375" defaultRowHeight="15" x14ac:dyDescent="0.25"/>
  <cols>
    <col min="1" max="1" width="8.7109375" style="16"/>
    <col min="2" max="2" width="22.28515625" style="16" customWidth="1"/>
    <col min="3" max="3" width="37" style="16" customWidth="1"/>
    <col min="4" max="5" width="11.42578125" style="16" customWidth="1"/>
    <col min="6" max="6" width="14" style="16" customWidth="1"/>
    <col min="7" max="7" width="20" style="16" customWidth="1"/>
    <col min="8" max="8" width="16.42578125" style="16" customWidth="1"/>
    <col min="9" max="9" width="8.7109375" style="16"/>
    <col min="10" max="10" width="9.7109375" style="16" bestFit="1" customWidth="1"/>
    <col min="11" max="16384" width="8.7109375" style="16"/>
  </cols>
  <sheetData>
    <row r="1" spans="1:10" ht="15" customHeight="1" x14ac:dyDescent="0.25"/>
    <row r="2" spans="1:10" ht="15" customHeight="1" x14ac:dyDescent="0.25">
      <c r="A2" s="17"/>
      <c r="B2" s="17"/>
      <c r="C2" s="17"/>
      <c r="D2" s="17"/>
      <c r="E2" s="17"/>
      <c r="F2" s="17"/>
      <c r="G2" s="17"/>
      <c r="H2" s="17"/>
    </row>
    <row r="3" spans="1:10" x14ac:dyDescent="0.25">
      <c r="A3" s="17"/>
      <c r="B3" s="18" t="s">
        <v>144</v>
      </c>
      <c r="C3" s="18"/>
      <c r="D3" s="18"/>
      <c r="E3" s="18"/>
      <c r="F3" s="18"/>
      <c r="G3" s="18"/>
      <c r="H3" s="18"/>
    </row>
    <row r="4" spans="1:10" x14ac:dyDescent="0.25">
      <c r="A4" s="17"/>
      <c r="B4" s="19" t="s">
        <v>145</v>
      </c>
      <c r="C4" s="19" t="s">
        <v>146</v>
      </c>
      <c r="D4" s="19" t="s">
        <v>104</v>
      </c>
      <c r="E4" s="19" t="s">
        <v>147</v>
      </c>
      <c r="F4" s="19" t="s">
        <v>148</v>
      </c>
      <c r="G4" s="19" t="s">
        <v>149</v>
      </c>
      <c r="H4" s="19" t="s">
        <v>150</v>
      </c>
    </row>
    <row r="5" spans="1:10" x14ac:dyDescent="0.25">
      <c r="A5" s="17"/>
      <c r="B5" s="20" t="s">
        <v>157</v>
      </c>
      <c r="C5" s="21" t="s">
        <v>142</v>
      </c>
      <c r="D5" s="22" t="s">
        <v>154</v>
      </c>
      <c r="E5" s="22">
        <v>430</v>
      </c>
      <c r="F5" s="23">
        <f>E5*1.5</f>
        <v>645</v>
      </c>
      <c r="G5" s="23">
        <f>H5/F5</f>
        <v>16434.108527131782</v>
      </c>
      <c r="H5" s="24">
        <v>10600000</v>
      </c>
      <c r="J5" s="25"/>
    </row>
    <row r="6" spans="1:10" x14ac:dyDescent="0.25">
      <c r="A6" s="17"/>
      <c r="B6" s="20" t="s">
        <v>157</v>
      </c>
      <c r="C6" s="21" t="s">
        <v>142</v>
      </c>
      <c r="D6" s="22" t="s">
        <v>153</v>
      </c>
      <c r="E6" s="22">
        <v>452</v>
      </c>
      <c r="F6" s="23">
        <f t="shared" ref="F6:F11" si="0">E6*1.5</f>
        <v>678</v>
      </c>
      <c r="G6" s="23">
        <f t="shared" ref="G6:G11" si="1">H6/F6</f>
        <v>21386.430678466077</v>
      </c>
      <c r="H6" s="24">
        <v>14500000</v>
      </c>
      <c r="J6" s="25"/>
    </row>
    <row r="7" spans="1:10" x14ac:dyDescent="0.25">
      <c r="A7" s="17"/>
      <c r="B7" s="20" t="s">
        <v>157</v>
      </c>
      <c r="C7" s="21" t="s">
        <v>142</v>
      </c>
      <c r="D7" s="22" t="s">
        <v>151</v>
      </c>
      <c r="E7" s="22">
        <v>723</v>
      </c>
      <c r="F7" s="23">
        <f t="shared" si="0"/>
        <v>1084.5</v>
      </c>
      <c r="G7" s="23">
        <f t="shared" si="1"/>
        <v>16320.88520055325</v>
      </c>
      <c r="H7" s="24">
        <v>17700000</v>
      </c>
      <c r="J7" s="25"/>
    </row>
    <row r="8" spans="1:10" ht="15" customHeight="1" x14ac:dyDescent="0.25">
      <c r="A8" s="17"/>
      <c r="B8" s="20" t="s">
        <v>152</v>
      </c>
      <c r="C8" s="21" t="s">
        <v>142</v>
      </c>
      <c r="D8" s="22" t="s">
        <v>158</v>
      </c>
      <c r="E8" s="22">
        <v>465</v>
      </c>
      <c r="F8" s="23">
        <f t="shared" si="0"/>
        <v>697.5</v>
      </c>
      <c r="G8" s="23">
        <f t="shared" si="1"/>
        <v>15053.763440860215</v>
      </c>
      <c r="H8" s="24">
        <v>10500000</v>
      </c>
      <c r="J8" s="25"/>
    </row>
    <row r="9" spans="1:10" x14ac:dyDescent="0.25">
      <c r="A9" s="17"/>
      <c r="B9" s="20" t="s">
        <v>152</v>
      </c>
      <c r="C9" s="21" t="s">
        <v>142</v>
      </c>
      <c r="D9" s="22" t="s">
        <v>158</v>
      </c>
      <c r="E9" s="22">
        <v>535</v>
      </c>
      <c r="F9" s="23">
        <f t="shared" si="0"/>
        <v>802.5</v>
      </c>
      <c r="G9" s="23">
        <f t="shared" si="1"/>
        <v>14704.049844236761</v>
      </c>
      <c r="H9" s="24">
        <v>11800000</v>
      </c>
      <c r="J9" s="25"/>
    </row>
    <row r="10" spans="1:10" ht="15" customHeight="1" x14ac:dyDescent="0.25">
      <c r="A10" s="17"/>
      <c r="B10" s="20" t="s">
        <v>152</v>
      </c>
      <c r="C10" s="21" t="s">
        <v>142</v>
      </c>
      <c r="D10" s="26" t="s">
        <v>153</v>
      </c>
      <c r="E10" s="22">
        <v>590</v>
      </c>
      <c r="F10" s="23">
        <f t="shared" si="0"/>
        <v>885</v>
      </c>
      <c r="G10" s="23">
        <f t="shared" si="1"/>
        <v>15028.248587570621</v>
      </c>
      <c r="H10" s="24">
        <v>13300000</v>
      </c>
      <c r="J10" s="25"/>
    </row>
    <row r="11" spans="1:10" x14ac:dyDescent="0.25">
      <c r="A11" s="17"/>
      <c r="B11" s="20" t="s">
        <v>152</v>
      </c>
      <c r="C11" s="21" t="s">
        <v>142</v>
      </c>
      <c r="D11" s="26" t="s">
        <v>153</v>
      </c>
      <c r="E11" s="22">
        <v>669</v>
      </c>
      <c r="F11" s="23">
        <f t="shared" si="0"/>
        <v>1003.5</v>
      </c>
      <c r="G11" s="23">
        <f t="shared" si="1"/>
        <v>15146.985550572994</v>
      </c>
      <c r="H11" s="24">
        <v>15200000</v>
      </c>
      <c r="J11" s="25"/>
    </row>
    <row r="12" spans="1:10" ht="15" customHeight="1" x14ac:dyDescent="0.25">
      <c r="A12" s="17"/>
      <c r="B12" s="27" t="s">
        <v>155</v>
      </c>
      <c r="C12" s="22"/>
      <c r="D12" s="22"/>
      <c r="E12" s="22">
        <v>0</v>
      </c>
      <c r="F12" s="23">
        <f>E12*1.5</f>
        <v>0</v>
      </c>
      <c r="G12" s="28">
        <f>AVERAGE(G5:G11)</f>
        <v>16296.353118484531</v>
      </c>
      <c r="H12" s="22"/>
      <c r="J12" s="25"/>
    </row>
    <row r="13" spans="1:10" ht="15" customHeight="1" x14ac:dyDescent="0.25">
      <c r="B13" s="27" t="s">
        <v>156</v>
      </c>
      <c r="C13" s="22"/>
      <c r="D13" s="22"/>
      <c r="E13" s="22"/>
      <c r="F13" s="29"/>
      <c r="G13" s="27">
        <v>16300</v>
      </c>
      <c r="H13" s="27"/>
      <c r="I13" s="30"/>
      <c r="J13" s="25"/>
    </row>
    <row r="14" spans="1:10" ht="15" customHeight="1" x14ac:dyDescent="0.25">
      <c r="G14" s="31"/>
    </row>
    <row r="15" spans="1:10" x14ac:dyDescent="0.25">
      <c r="E15" s="31"/>
      <c r="G15" s="31"/>
    </row>
    <row r="16" spans="1:10" x14ac:dyDescent="0.25">
      <c r="E16" s="31"/>
      <c r="G16" s="31"/>
    </row>
    <row r="17" spans="2:7" x14ac:dyDescent="0.25">
      <c r="E17" s="31"/>
      <c r="G17" s="31"/>
    </row>
    <row r="18" spans="2:7" x14ac:dyDescent="0.25">
      <c r="E18" s="31"/>
      <c r="G18" s="31"/>
    </row>
    <row r="19" spans="2:7" x14ac:dyDescent="0.25">
      <c r="E19" s="31"/>
      <c r="G19" s="31"/>
    </row>
    <row r="20" spans="2:7" x14ac:dyDescent="0.25">
      <c r="E20" s="31"/>
      <c r="G20" s="31"/>
    </row>
    <row r="21" spans="2:7" x14ac:dyDescent="0.25">
      <c r="G21" s="31"/>
    </row>
    <row r="22" spans="2:7" x14ac:dyDescent="0.25">
      <c r="G22" s="31"/>
    </row>
    <row r="23" spans="2:7" x14ac:dyDescent="0.25">
      <c r="B23" s="32"/>
      <c r="G23" s="31"/>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7" workbookViewId="0">
      <selection activeCell="B24" sqref="B24:B28"/>
    </sheetView>
  </sheetViews>
  <sheetFormatPr defaultRowHeight="15" x14ac:dyDescent="0.25"/>
  <cols>
    <col min="1" max="1" width="10.42578125" bestFit="1" customWidth="1"/>
    <col min="2" max="2" width="12.28515625" customWidth="1"/>
  </cols>
  <sheetData>
    <row r="1" spans="1:3" x14ac:dyDescent="0.25">
      <c r="A1" s="14">
        <v>43901</v>
      </c>
      <c r="B1" t="s">
        <v>126</v>
      </c>
      <c r="C1" t="s">
        <v>127</v>
      </c>
    </row>
    <row r="3" spans="1:3" x14ac:dyDescent="0.25">
      <c r="A3" t="s">
        <v>143</v>
      </c>
      <c r="B3" t="s">
        <v>159</v>
      </c>
      <c r="C3" t="s">
        <v>127</v>
      </c>
    </row>
    <row r="4" spans="1:3" x14ac:dyDescent="0.25">
      <c r="C4" t="s">
        <v>160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20" sqref="C20"/>
    </sheetView>
  </sheetViews>
  <sheetFormatPr defaultRowHeight="15" x14ac:dyDescent="0.25"/>
  <cols>
    <col min="1" max="1" width="9.28515625" style="1"/>
    <col min="2" max="2" width="11.7109375" style="1" customWidth="1"/>
    <col min="3" max="257" width="9.28515625" style="1"/>
    <col min="258" max="258" width="11.7109375" style="1" customWidth="1"/>
    <col min="259" max="513" width="9.28515625" style="1"/>
    <col min="514" max="514" width="11.7109375" style="1" customWidth="1"/>
    <col min="515" max="769" width="9.28515625" style="1"/>
    <col min="770" max="770" width="11.7109375" style="1" customWidth="1"/>
    <col min="771" max="1025" width="9.28515625" style="1"/>
    <col min="1026" max="1026" width="11.7109375" style="1" customWidth="1"/>
    <col min="1027" max="1281" width="9.28515625" style="1"/>
    <col min="1282" max="1282" width="11.7109375" style="1" customWidth="1"/>
    <col min="1283" max="1537" width="9.28515625" style="1"/>
    <col min="1538" max="1538" width="11.7109375" style="1" customWidth="1"/>
    <col min="1539" max="1793" width="9.28515625" style="1"/>
    <col min="1794" max="1794" width="11.7109375" style="1" customWidth="1"/>
    <col min="1795" max="2049" width="9.28515625" style="1"/>
    <col min="2050" max="2050" width="11.7109375" style="1" customWidth="1"/>
    <col min="2051" max="2305" width="9.28515625" style="1"/>
    <col min="2306" max="2306" width="11.7109375" style="1" customWidth="1"/>
    <col min="2307" max="2561" width="9.28515625" style="1"/>
    <col min="2562" max="2562" width="11.7109375" style="1" customWidth="1"/>
    <col min="2563" max="2817" width="9.28515625" style="1"/>
    <col min="2818" max="2818" width="11.7109375" style="1" customWidth="1"/>
    <col min="2819" max="3073" width="9.28515625" style="1"/>
    <col min="3074" max="3074" width="11.7109375" style="1" customWidth="1"/>
    <col min="3075" max="3329" width="9.28515625" style="1"/>
    <col min="3330" max="3330" width="11.7109375" style="1" customWidth="1"/>
    <col min="3331" max="3585" width="9.28515625" style="1"/>
    <col min="3586" max="3586" width="11.7109375" style="1" customWidth="1"/>
    <col min="3587" max="3841" width="9.28515625" style="1"/>
    <col min="3842" max="3842" width="11.7109375" style="1" customWidth="1"/>
    <col min="3843" max="4097" width="9.28515625" style="1"/>
    <col min="4098" max="4098" width="11.7109375" style="1" customWidth="1"/>
    <col min="4099" max="4353" width="9.28515625" style="1"/>
    <col min="4354" max="4354" width="11.7109375" style="1" customWidth="1"/>
    <col min="4355" max="4609" width="9.28515625" style="1"/>
    <col min="4610" max="4610" width="11.7109375" style="1" customWidth="1"/>
    <col min="4611" max="4865" width="9.28515625" style="1"/>
    <col min="4866" max="4866" width="11.7109375" style="1" customWidth="1"/>
    <col min="4867" max="5121" width="9.28515625" style="1"/>
    <col min="5122" max="5122" width="11.7109375" style="1" customWidth="1"/>
    <col min="5123" max="5377" width="9.28515625" style="1"/>
    <col min="5378" max="5378" width="11.7109375" style="1" customWidth="1"/>
    <col min="5379" max="5633" width="9.28515625" style="1"/>
    <col min="5634" max="5634" width="11.7109375" style="1" customWidth="1"/>
    <col min="5635" max="5889" width="9.28515625" style="1"/>
    <col min="5890" max="5890" width="11.7109375" style="1" customWidth="1"/>
    <col min="5891" max="6145" width="9.28515625" style="1"/>
    <col min="6146" max="6146" width="11.7109375" style="1" customWidth="1"/>
    <col min="6147" max="6401" width="9.28515625" style="1"/>
    <col min="6402" max="6402" width="11.7109375" style="1" customWidth="1"/>
    <col min="6403" max="6657" width="9.28515625" style="1"/>
    <col min="6658" max="6658" width="11.7109375" style="1" customWidth="1"/>
    <col min="6659" max="6913" width="9.28515625" style="1"/>
    <col min="6914" max="6914" width="11.7109375" style="1" customWidth="1"/>
    <col min="6915" max="7169" width="9.28515625" style="1"/>
    <col min="7170" max="7170" width="11.7109375" style="1" customWidth="1"/>
    <col min="7171" max="7425" width="9.28515625" style="1"/>
    <col min="7426" max="7426" width="11.7109375" style="1" customWidth="1"/>
    <col min="7427" max="7681" width="9.28515625" style="1"/>
    <col min="7682" max="7682" width="11.7109375" style="1" customWidth="1"/>
    <col min="7683" max="7937" width="9.28515625" style="1"/>
    <col min="7938" max="7938" width="11.7109375" style="1" customWidth="1"/>
    <col min="7939" max="8193" width="9.28515625" style="1"/>
    <col min="8194" max="8194" width="11.7109375" style="1" customWidth="1"/>
    <col min="8195" max="8449" width="9.28515625" style="1"/>
    <col min="8450" max="8450" width="11.7109375" style="1" customWidth="1"/>
    <col min="8451" max="8705" width="9.28515625" style="1"/>
    <col min="8706" max="8706" width="11.7109375" style="1" customWidth="1"/>
    <col min="8707" max="8961" width="9.28515625" style="1"/>
    <col min="8962" max="8962" width="11.7109375" style="1" customWidth="1"/>
    <col min="8963" max="9217" width="9.28515625" style="1"/>
    <col min="9218" max="9218" width="11.7109375" style="1" customWidth="1"/>
    <col min="9219" max="9473" width="9.28515625" style="1"/>
    <col min="9474" max="9474" width="11.7109375" style="1" customWidth="1"/>
    <col min="9475" max="9729" width="9.28515625" style="1"/>
    <col min="9730" max="9730" width="11.7109375" style="1" customWidth="1"/>
    <col min="9731" max="9985" width="9.28515625" style="1"/>
    <col min="9986" max="9986" width="11.7109375" style="1" customWidth="1"/>
    <col min="9987" max="10241" width="9.28515625" style="1"/>
    <col min="10242" max="10242" width="11.7109375" style="1" customWidth="1"/>
    <col min="10243" max="10497" width="9.28515625" style="1"/>
    <col min="10498" max="10498" width="11.7109375" style="1" customWidth="1"/>
    <col min="10499" max="10753" width="9.28515625" style="1"/>
    <col min="10754" max="10754" width="11.7109375" style="1" customWidth="1"/>
    <col min="10755" max="11009" width="9.28515625" style="1"/>
    <col min="11010" max="11010" width="11.7109375" style="1" customWidth="1"/>
    <col min="11011" max="11265" width="9.28515625" style="1"/>
    <col min="11266" max="11266" width="11.7109375" style="1" customWidth="1"/>
    <col min="11267" max="11521" width="9.28515625" style="1"/>
    <col min="11522" max="11522" width="11.7109375" style="1" customWidth="1"/>
    <col min="11523" max="11777" width="9.28515625" style="1"/>
    <col min="11778" max="11778" width="11.7109375" style="1" customWidth="1"/>
    <col min="11779" max="12033" width="9.28515625" style="1"/>
    <col min="12034" max="12034" width="11.7109375" style="1" customWidth="1"/>
    <col min="12035" max="12289" width="9.28515625" style="1"/>
    <col min="12290" max="12290" width="11.7109375" style="1" customWidth="1"/>
    <col min="12291" max="12545" width="9.28515625" style="1"/>
    <col min="12546" max="12546" width="11.7109375" style="1" customWidth="1"/>
    <col min="12547" max="12801" width="9.28515625" style="1"/>
    <col min="12802" max="12802" width="11.7109375" style="1" customWidth="1"/>
    <col min="12803" max="13057" width="9.28515625" style="1"/>
    <col min="13058" max="13058" width="11.7109375" style="1" customWidth="1"/>
    <col min="13059" max="13313" width="9.28515625" style="1"/>
    <col min="13314" max="13314" width="11.7109375" style="1" customWidth="1"/>
    <col min="13315" max="13569" width="9.28515625" style="1"/>
    <col min="13570" max="13570" width="11.7109375" style="1" customWidth="1"/>
    <col min="13571" max="13825" width="9.28515625" style="1"/>
    <col min="13826" max="13826" width="11.7109375" style="1" customWidth="1"/>
    <col min="13827" max="14081" width="9.28515625" style="1"/>
    <col min="14082" max="14082" width="11.7109375" style="1" customWidth="1"/>
    <col min="14083" max="14337" width="9.28515625" style="1"/>
    <col min="14338" max="14338" width="11.7109375" style="1" customWidth="1"/>
    <col min="14339" max="14593" width="9.28515625" style="1"/>
    <col min="14594" max="14594" width="11.7109375" style="1" customWidth="1"/>
    <col min="14595" max="14849" width="9.28515625" style="1"/>
    <col min="14850" max="14850" width="11.7109375" style="1" customWidth="1"/>
    <col min="14851" max="15105" width="9.28515625" style="1"/>
    <col min="15106" max="15106" width="11.7109375" style="1" customWidth="1"/>
    <col min="15107" max="15361" width="9.28515625" style="1"/>
    <col min="15362" max="15362" width="11.7109375" style="1" customWidth="1"/>
    <col min="15363" max="15617" width="9.28515625" style="1"/>
    <col min="15618" max="15618" width="11.7109375" style="1" customWidth="1"/>
    <col min="15619" max="15873" width="9.28515625" style="1"/>
    <col min="15874" max="15874" width="11.7109375" style="1" customWidth="1"/>
    <col min="15875" max="16129" width="9.28515625" style="1"/>
    <col min="16130" max="16130" width="11.7109375" style="1" customWidth="1"/>
    <col min="16131" max="16384" width="9.28515625" style="1"/>
  </cols>
  <sheetData>
    <row r="2" spans="1:15" x14ac:dyDescent="0.25">
      <c r="A2" s="1" t="s">
        <v>82</v>
      </c>
      <c r="B2" s="2" t="s">
        <v>83</v>
      </c>
      <c r="C2" s="2">
        <v>36</v>
      </c>
    </row>
    <row r="3" spans="1:15" x14ac:dyDescent="0.25">
      <c r="B3" s="1" t="s">
        <v>84</v>
      </c>
      <c r="C3" s="1" t="s">
        <v>85</v>
      </c>
    </row>
    <row r="4" spans="1:15" x14ac:dyDescent="0.25">
      <c r="A4" s="1" t="s">
        <v>86</v>
      </c>
      <c r="B4" s="3">
        <v>10</v>
      </c>
      <c r="C4" s="3">
        <v>10</v>
      </c>
      <c r="E4" s="1">
        <f>(100/B4)*C4</f>
        <v>100</v>
      </c>
    </row>
    <row r="5" spans="1:15" x14ac:dyDescent="0.25">
      <c r="A5" s="1" t="s">
        <v>87</v>
      </c>
      <c r="B5" s="1" t="s">
        <v>88</v>
      </c>
      <c r="C5" s="1" t="s">
        <v>89</v>
      </c>
      <c r="E5" s="1">
        <f>(100/B6)*C6</f>
        <v>100</v>
      </c>
      <c r="I5" s="3" t="s">
        <v>90</v>
      </c>
      <c r="J5" s="3" t="s">
        <v>91</v>
      </c>
      <c r="K5" s="3" t="s">
        <v>92</v>
      </c>
      <c r="L5" s="3" t="s">
        <v>67</v>
      </c>
      <c r="M5" s="3" t="s">
        <v>68</v>
      </c>
      <c r="N5" s="3" t="s">
        <v>93</v>
      </c>
      <c r="O5" s="3" t="s">
        <v>69</v>
      </c>
    </row>
    <row r="6" spans="1:15" x14ac:dyDescent="0.25">
      <c r="B6" s="3">
        <f>C2+1</f>
        <v>37</v>
      </c>
      <c r="C6" s="3">
        <v>37</v>
      </c>
      <c r="E6" s="1">
        <f>(100/B8)*C8</f>
        <v>100</v>
      </c>
      <c r="F6" s="4" t="s">
        <v>94</v>
      </c>
      <c r="I6" s="4">
        <f>C4</f>
        <v>10</v>
      </c>
      <c r="J6" s="4">
        <f>40/B6*C6</f>
        <v>40</v>
      </c>
      <c r="K6" s="4">
        <f>15/B8*C8</f>
        <v>15</v>
      </c>
      <c r="L6" s="4">
        <f>10/B10*C10</f>
        <v>10</v>
      </c>
      <c r="M6" s="4">
        <f>10/B12*C12</f>
        <v>10</v>
      </c>
      <c r="N6" s="4">
        <f>5/B14*C14</f>
        <v>5</v>
      </c>
      <c r="O6" s="4">
        <f>5/B16*C16</f>
        <v>5</v>
      </c>
    </row>
    <row r="7" spans="1:15" x14ac:dyDescent="0.25">
      <c r="A7" s="1" t="s">
        <v>95</v>
      </c>
      <c r="B7" s="1" t="s">
        <v>96</v>
      </c>
      <c r="C7" s="13" t="s">
        <v>97</v>
      </c>
      <c r="E7" s="1">
        <f>(100/B10)*C10</f>
        <v>100</v>
      </c>
      <c r="F7" s="3" t="s">
        <v>98</v>
      </c>
      <c r="G7" s="3"/>
      <c r="H7" s="3"/>
      <c r="I7" s="3">
        <f>I6+20</f>
        <v>30</v>
      </c>
      <c r="J7" s="3">
        <f>30/B6*C6</f>
        <v>30</v>
      </c>
      <c r="K7" s="3">
        <f>15/B8*C8</f>
        <v>15</v>
      </c>
      <c r="L7" s="3">
        <f>10/B10*C10</f>
        <v>10</v>
      </c>
      <c r="M7" s="3">
        <f>5/B12*C12</f>
        <v>5</v>
      </c>
      <c r="N7" s="3">
        <f>5/B14*C14</f>
        <v>5</v>
      </c>
      <c r="O7" s="3">
        <f>5/B16*C16</f>
        <v>5</v>
      </c>
    </row>
    <row r="8" spans="1:15" x14ac:dyDescent="0.25">
      <c r="B8" s="3">
        <f>C2</f>
        <v>36</v>
      </c>
      <c r="C8" s="3">
        <v>36</v>
      </c>
      <c r="E8" s="1">
        <f>(100/B12)*C12</f>
        <v>100</v>
      </c>
    </row>
    <row r="9" spans="1:15" x14ac:dyDescent="0.25">
      <c r="A9" s="1" t="s">
        <v>99</v>
      </c>
      <c r="B9" s="1" t="s">
        <v>96</v>
      </c>
      <c r="C9" s="1" t="s">
        <v>97</v>
      </c>
      <c r="E9" s="1">
        <f>(100/B14)*C14</f>
        <v>100</v>
      </c>
    </row>
    <row r="10" spans="1:15" x14ac:dyDescent="0.25">
      <c r="B10" s="3">
        <f>C2</f>
        <v>36</v>
      </c>
      <c r="C10" s="3">
        <v>36</v>
      </c>
      <c r="E10" s="1">
        <f>(100/B16)*C16</f>
        <v>100</v>
      </c>
    </row>
    <row r="11" spans="1:15" x14ac:dyDescent="0.25">
      <c r="A11" s="1" t="s">
        <v>68</v>
      </c>
      <c r="B11" s="1" t="s">
        <v>96</v>
      </c>
      <c r="C11" s="1" t="s">
        <v>97</v>
      </c>
    </row>
    <row r="12" spans="1:15" x14ac:dyDescent="0.25">
      <c r="B12" s="3">
        <f>C2</f>
        <v>36</v>
      </c>
      <c r="C12" s="3">
        <v>36</v>
      </c>
      <c r="F12" s="3"/>
      <c r="G12" s="3" t="s">
        <v>94</v>
      </c>
      <c r="H12" s="3" t="s">
        <v>100</v>
      </c>
      <c r="L12" s="1" t="s">
        <v>101</v>
      </c>
    </row>
    <row r="13" spans="1:15" ht="30" x14ac:dyDescent="0.25">
      <c r="A13" s="5" t="s">
        <v>93</v>
      </c>
      <c r="B13" s="1" t="s">
        <v>96</v>
      </c>
      <c r="C13" s="1" t="s">
        <v>97</v>
      </c>
      <c r="F13" s="3" t="s">
        <v>65</v>
      </c>
      <c r="G13" s="3">
        <f>I6</f>
        <v>10</v>
      </c>
      <c r="H13" s="3">
        <f>I7</f>
        <v>30</v>
      </c>
      <c r="L13" s="1" t="s">
        <v>101</v>
      </c>
    </row>
    <row r="14" spans="1:15" x14ac:dyDescent="0.25">
      <c r="B14" s="3">
        <f>C2</f>
        <v>36</v>
      </c>
      <c r="C14" s="3">
        <v>36</v>
      </c>
      <c r="F14" s="3" t="s">
        <v>66</v>
      </c>
      <c r="G14" s="3">
        <f>J6</f>
        <v>40</v>
      </c>
      <c r="H14" s="3">
        <f>J7</f>
        <v>30</v>
      </c>
    </row>
    <row r="15" spans="1:15" x14ac:dyDescent="0.25">
      <c r="A15" s="1" t="s">
        <v>69</v>
      </c>
      <c r="B15" s="1" t="s">
        <v>96</v>
      </c>
      <c r="C15" s="1" t="s">
        <v>97</v>
      </c>
      <c r="F15" s="3" t="s">
        <v>92</v>
      </c>
      <c r="G15" s="3">
        <f>K6</f>
        <v>15</v>
      </c>
      <c r="H15" s="3">
        <f>K7</f>
        <v>15</v>
      </c>
    </row>
    <row r="16" spans="1:15" x14ac:dyDescent="0.25">
      <c r="B16" s="3">
        <f>C2</f>
        <v>36</v>
      </c>
      <c r="C16" s="3">
        <v>36</v>
      </c>
      <c r="F16" s="3" t="s">
        <v>67</v>
      </c>
      <c r="G16" s="3">
        <f>L6</f>
        <v>10</v>
      </c>
      <c r="H16" s="3">
        <f>L7</f>
        <v>10</v>
      </c>
    </row>
    <row r="17" spans="5:8" x14ac:dyDescent="0.25">
      <c r="F17" s="3" t="s">
        <v>68</v>
      </c>
      <c r="G17" s="3">
        <f>M6</f>
        <v>10</v>
      </c>
      <c r="H17" s="3">
        <f>M7</f>
        <v>5</v>
      </c>
    </row>
    <row r="18" spans="5:8" ht="30" x14ac:dyDescent="0.25">
      <c r="F18" s="6" t="s">
        <v>93</v>
      </c>
      <c r="G18" s="3">
        <f>N6</f>
        <v>5</v>
      </c>
      <c r="H18" s="3">
        <f>N7</f>
        <v>5</v>
      </c>
    </row>
    <row r="19" spans="5:8" x14ac:dyDescent="0.25">
      <c r="F19" s="3" t="s">
        <v>69</v>
      </c>
      <c r="G19" s="3">
        <f>O6</f>
        <v>5</v>
      </c>
      <c r="H19" s="3">
        <f>O7</f>
        <v>5</v>
      </c>
    </row>
    <row r="20" spans="5:8" x14ac:dyDescent="0.25">
      <c r="F20" s="3" t="s">
        <v>102</v>
      </c>
      <c r="G20" s="15">
        <f>G13+G14+G15+G16+G17+G18+G19</f>
        <v>95</v>
      </c>
      <c r="H20" s="15">
        <f>H13+H14+H15+H16+H17+H18+H19</f>
        <v>100</v>
      </c>
    </row>
    <row r="21" spans="5:8" x14ac:dyDescent="0.25">
      <c r="E21"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topLeftCell="A7" workbookViewId="0">
      <selection activeCell="C9" sqref="C9"/>
    </sheetView>
  </sheetViews>
  <sheetFormatPr defaultRowHeight="15" x14ac:dyDescent="0.25"/>
  <cols>
    <col min="1" max="1" width="8.7109375" style="1"/>
    <col min="2" max="2" width="11.7109375" style="1" customWidth="1"/>
    <col min="3" max="257" width="8.7109375" style="1"/>
    <col min="258" max="258" width="11.7109375" style="1" customWidth="1"/>
    <col min="259" max="513" width="8.7109375" style="1"/>
    <col min="514" max="514" width="11.7109375" style="1" customWidth="1"/>
    <col min="515" max="769" width="8.7109375" style="1"/>
    <col min="770" max="770" width="11.7109375" style="1" customWidth="1"/>
    <col min="771" max="1025" width="8.7109375" style="1"/>
    <col min="1026" max="1026" width="11.7109375" style="1" customWidth="1"/>
    <col min="1027" max="1281" width="8.7109375" style="1"/>
    <col min="1282" max="1282" width="11.7109375" style="1" customWidth="1"/>
    <col min="1283" max="1537" width="8.7109375" style="1"/>
    <col min="1538" max="1538" width="11.7109375" style="1" customWidth="1"/>
    <col min="1539" max="1793" width="8.7109375" style="1"/>
    <col min="1794" max="1794" width="11.7109375" style="1" customWidth="1"/>
    <col min="1795" max="2049" width="8.7109375" style="1"/>
    <col min="2050" max="2050" width="11.7109375" style="1" customWidth="1"/>
    <col min="2051" max="2305" width="8.7109375" style="1"/>
    <col min="2306" max="2306" width="11.7109375" style="1" customWidth="1"/>
    <col min="2307" max="2561" width="8.7109375" style="1"/>
    <col min="2562" max="2562" width="11.7109375" style="1" customWidth="1"/>
    <col min="2563" max="2817" width="8.7109375" style="1"/>
    <col min="2818" max="2818" width="11.7109375" style="1" customWidth="1"/>
    <col min="2819" max="3073" width="8.7109375" style="1"/>
    <col min="3074" max="3074" width="11.7109375" style="1" customWidth="1"/>
    <col min="3075" max="3329" width="8.7109375" style="1"/>
    <col min="3330" max="3330" width="11.7109375" style="1" customWidth="1"/>
    <col min="3331" max="3585" width="8.7109375" style="1"/>
    <col min="3586" max="3586" width="11.7109375" style="1" customWidth="1"/>
    <col min="3587" max="3841" width="8.7109375" style="1"/>
    <col min="3842" max="3842" width="11.7109375" style="1" customWidth="1"/>
    <col min="3843" max="4097" width="8.7109375" style="1"/>
    <col min="4098" max="4098" width="11.7109375" style="1" customWidth="1"/>
    <col min="4099" max="4353" width="8.7109375" style="1"/>
    <col min="4354" max="4354" width="11.7109375" style="1" customWidth="1"/>
    <col min="4355" max="4609" width="8.7109375" style="1"/>
    <col min="4610" max="4610" width="11.7109375" style="1" customWidth="1"/>
    <col min="4611" max="4865" width="8.7109375" style="1"/>
    <col min="4866" max="4866" width="11.7109375" style="1" customWidth="1"/>
    <col min="4867" max="5121" width="8.7109375" style="1"/>
    <col min="5122" max="5122" width="11.7109375" style="1" customWidth="1"/>
    <col min="5123" max="5377" width="8.7109375" style="1"/>
    <col min="5378" max="5378" width="11.7109375" style="1" customWidth="1"/>
    <col min="5379" max="5633" width="8.7109375" style="1"/>
    <col min="5634" max="5634" width="11.7109375" style="1" customWidth="1"/>
    <col min="5635" max="5889" width="8.7109375" style="1"/>
    <col min="5890" max="5890" width="11.7109375" style="1" customWidth="1"/>
    <col min="5891" max="6145" width="8.7109375" style="1"/>
    <col min="6146" max="6146" width="11.7109375" style="1" customWidth="1"/>
    <col min="6147" max="6401" width="8.7109375" style="1"/>
    <col min="6402" max="6402" width="11.7109375" style="1" customWidth="1"/>
    <col min="6403" max="6657" width="8.7109375" style="1"/>
    <col min="6658" max="6658" width="11.7109375" style="1" customWidth="1"/>
    <col min="6659" max="6913" width="8.7109375" style="1"/>
    <col min="6914" max="6914" width="11.7109375" style="1" customWidth="1"/>
    <col min="6915" max="7169" width="8.7109375" style="1"/>
    <col min="7170" max="7170" width="11.7109375" style="1" customWidth="1"/>
    <col min="7171" max="7425" width="8.7109375" style="1"/>
    <col min="7426" max="7426" width="11.7109375" style="1" customWidth="1"/>
    <col min="7427" max="7681" width="8.7109375" style="1"/>
    <col min="7682" max="7682" width="11.7109375" style="1" customWidth="1"/>
    <col min="7683" max="7937" width="8.7109375" style="1"/>
    <col min="7938" max="7938" width="11.7109375" style="1" customWidth="1"/>
    <col min="7939" max="8193" width="8.7109375" style="1"/>
    <col min="8194" max="8194" width="11.7109375" style="1" customWidth="1"/>
    <col min="8195" max="8449" width="8.7109375" style="1"/>
    <col min="8450" max="8450" width="11.7109375" style="1" customWidth="1"/>
    <col min="8451" max="8705" width="8.7109375" style="1"/>
    <col min="8706" max="8706" width="11.7109375" style="1" customWidth="1"/>
    <col min="8707" max="8961" width="8.7109375" style="1"/>
    <col min="8962" max="8962" width="11.7109375" style="1" customWidth="1"/>
    <col min="8963" max="9217" width="8.7109375" style="1"/>
    <col min="9218" max="9218" width="11.7109375" style="1" customWidth="1"/>
    <col min="9219" max="9473" width="8.7109375" style="1"/>
    <col min="9474" max="9474" width="11.7109375" style="1" customWidth="1"/>
    <col min="9475" max="9729" width="8.7109375" style="1"/>
    <col min="9730" max="9730" width="11.7109375" style="1" customWidth="1"/>
    <col min="9731" max="9985" width="8.7109375" style="1"/>
    <col min="9986" max="9986" width="11.7109375" style="1" customWidth="1"/>
    <col min="9987" max="10241" width="8.7109375" style="1"/>
    <col min="10242" max="10242" width="11.7109375" style="1" customWidth="1"/>
    <col min="10243" max="10497" width="8.7109375" style="1"/>
    <col min="10498" max="10498" width="11.7109375" style="1" customWidth="1"/>
    <col min="10499" max="10753" width="8.7109375" style="1"/>
    <col min="10754" max="10754" width="11.7109375" style="1" customWidth="1"/>
    <col min="10755" max="11009" width="8.7109375" style="1"/>
    <col min="11010" max="11010" width="11.7109375" style="1" customWidth="1"/>
    <col min="11011" max="11265" width="8.7109375" style="1"/>
    <col min="11266" max="11266" width="11.7109375" style="1" customWidth="1"/>
    <col min="11267" max="11521" width="8.7109375" style="1"/>
    <col min="11522" max="11522" width="11.7109375" style="1" customWidth="1"/>
    <col min="11523" max="11777" width="8.7109375" style="1"/>
    <col min="11778" max="11778" width="11.7109375" style="1" customWidth="1"/>
    <col min="11779" max="12033" width="8.7109375" style="1"/>
    <col min="12034" max="12034" width="11.7109375" style="1" customWidth="1"/>
    <col min="12035" max="12289" width="8.7109375" style="1"/>
    <col min="12290" max="12290" width="11.7109375" style="1" customWidth="1"/>
    <col min="12291" max="12545" width="8.7109375" style="1"/>
    <col min="12546" max="12546" width="11.7109375" style="1" customWidth="1"/>
    <col min="12547" max="12801" width="8.7109375" style="1"/>
    <col min="12802" max="12802" width="11.7109375" style="1" customWidth="1"/>
    <col min="12803" max="13057" width="8.7109375" style="1"/>
    <col min="13058" max="13058" width="11.7109375" style="1" customWidth="1"/>
    <col min="13059" max="13313" width="8.7109375" style="1"/>
    <col min="13314" max="13314" width="11.7109375" style="1" customWidth="1"/>
    <col min="13315" max="13569" width="8.7109375" style="1"/>
    <col min="13570" max="13570" width="11.7109375" style="1" customWidth="1"/>
    <col min="13571" max="13825" width="8.7109375" style="1"/>
    <col min="13826" max="13826" width="11.7109375" style="1" customWidth="1"/>
    <col min="13827" max="14081" width="8.7109375" style="1"/>
    <col min="14082" max="14082" width="11.7109375" style="1" customWidth="1"/>
    <col min="14083" max="14337" width="8.7109375" style="1"/>
    <col min="14338" max="14338" width="11.7109375" style="1" customWidth="1"/>
    <col min="14339" max="14593" width="8.7109375" style="1"/>
    <col min="14594" max="14594" width="11.7109375" style="1" customWidth="1"/>
    <col min="14595" max="14849" width="8.7109375" style="1"/>
    <col min="14850" max="14850" width="11.7109375" style="1" customWidth="1"/>
    <col min="14851" max="15105" width="8.7109375" style="1"/>
    <col min="15106" max="15106" width="11.7109375" style="1" customWidth="1"/>
    <col min="15107" max="15361" width="8.7109375" style="1"/>
    <col min="15362" max="15362" width="11.7109375" style="1" customWidth="1"/>
    <col min="15363" max="15617" width="8.7109375" style="1"/>
    <col min="15618" max="15618" width="11.7109375" style="1" customWidth="1"/>
    <col min="15619" max="15873" width="8.7109375" style="1"/>
    <col min="15874" max="15874" width="11.7109375" style="1" customWidth="1"/>
    <col min="15875" max="16129" width="8.7109375" style="1"/>
    <col min="16130" max="16130" width="11.7109375" style="1" customWidth="1"/>
    <col min="16131" max="16384" width="8.7109375" style="1"/>
  </cols>
  <sheetData>
    <row r="2" spans="1:15" x14ac:dyDescent="0.25">
      <c r="A2" s="1" t="s">
        <v>82</v>
      </c>
      <c r="B2" s="2" t="s">
        <v>83</v>
      </c>
      <c r="C2" s="2">
        <v>50</v>
      </c>
      <c r="E2" s="1">
        <f>48+5</f>
        <v>53</v>
      </c>
    </row>
    <row r="3" spans="1:15" x14ac:dyDescent="0.25">
      <c r="B3" s="1" t="s">
        <v>84</v>
      </c>
      <c r="C3" s="1" t="s">
        <v>85</v>
      </c>
    </row>
    <row r="4" spans="1:15" x14ac:dyDescent="0.25">
      <c r="A4" s="1" t="s">
        <v>86</v>
      </c>
      <c r="B4" s="3">
        <v>10</v>
      </c>
      <c r="C4" s="3">
        <v>10</v>
      </c>
      <c r="E4" s="1">
        <f>(100/B4)*C4</f>
        <v>100</v>
      </c>
    </row>
    <row r="5" spans="1:15" x14ac:dyDescent="0.25">
      <c r="A5" s="1" t="s">
        <v>87</v>
      </c>
      <c r="B5" s="1" t="s">
        <v>88</v>
      </c>
      <c r="C5" s="1" t="s">
        <v>89</v>
      </c>
      <c r="E5" s="1">
        <f>(100/B6)*C6</f>
        <v>80.392156862745097</v>
      </c>
      <c r="I5" s="3" t="s">
        <v>90</v>
      </c>
      <c r="J5" s="3" t="s">
        <v>91</v>
      </c>
      <c r="K5" s="3" t="s">
        <v>92</v>
      </c>
      <c r="L5" s="3" t="s">
        <v>67</v>
      </c>
      <c r="M5" s="3" t="s">
        <v>68</v>
      </c>
      <c r="N5" s="3" t="s">
        <v>93</v>
      </c>
      <c r="O5" s="3" t="s">
        <v>69</v>
      </c>
    </row>
    <row r="6" spans="1:15" x14ac:dyDescent="0.25">
      <c r="B6" s="3">
        <f>C2+1</f>
        <v>51</v>
      </c>
      <c r="C6" s="3">
        <v>41</v>
      </c>
      <c r="E6" s="1">
        <f>(100/B8)*C8</f>
        <v>80</v>
      </c>
      <c r="F6" s="4" t="s">
        <v>94</v>
      </c>
      <c r="I6" s="4">
        <f>C4</f>
        <v>10</v>
      </c>
      <c r="J6" s="4">
        <f>40/B6*C6</f>
        <v>32.156862745098039</v>
      </c>
      <c r="K6" s="4">
        <f>15/B8*C8</f>
        <v>12</v>
      </c>
      <c r="L6" s="4">
        <f>10/B10*C10</f>
        <v>4</v>
      </c>
      <c r="M6" s="4">
        <f>10/B12*C12</f>
        <v>0</v>
      </c>
      <c r="N6" s="4">
        <f>5/B14*C14</f>
        <v>0</v>
      </c>
      <c r="O6" s="4">
        <f>5/B16*C16</f>
        <v>0</v>
      </c>
    </row>
    <row r="7" spans="1:15" x14ac:dyDescent="0.25">
      <c r="A7" s="1" t="s">
        <v>95</v>
      </c>
      <c r="B7" s="1" t="s">
        <v>96</v>
      </c>
      <c r="C7" s="13" t="s">
        <v>97</v>
      </c>
      <c r="E7" s="1">
        <f>(100/B10)*C10</f>
        <v>40</v>
      </c>
      <c r="F7" s="3" t="s">
        <v>98</v>
      </c>
      <c r="G7" s="3"/>
      <c r="H7" s="3"/>
      <c r="I7" s="3">
        <f>I6+20</f>
        <v>30</v>
      </c>
      <c r="J7" s="3">
        <f>30/B6*C6</f>
        <v>24.117647058823529</v>
      </c>
      <c r="K7" s="3">
        <f>15/B8*C8</f>
        <v>12</v>
      </c>
      <c r="L7" s="3">
        <f>10/B10*C10</f>
        <v>4</v>
      </c>
      <c r="M7" s="3">
        <f>5/B12*C12</f>
        <v>0</v>
      </c>
      <c r="N7" s="3">
        <f>5/B14*C14</f>
        <v>0</v>
      </c>
      <c r="O7" s="3">
        <f>5/B16*C16</f>
        <v>0</v>
      </c>
    </row>
    <row r="8" spans="1:15" x14ac:dyDescent="0.25">
      <c r="B8" s="3">
        <f>C2</f>
        <v>50</v>
      </c>
      <c r="C8" s="3">
        <f>C6-1</f>
        <v>40</v>
      </c>
      <c r="E8" s="1">
        <f>(100/B12)*C12</f>
        <v>0</v>
      </c>
    </row>
    <row r="9" spans="1:15" x14ac:dyDescent="0.25">
      <c r="A9" s="1" t="s">
        <v>99</v>
      </c>
      <c r="B9" s="1" t="s">
        <v>96</v>
      </c>
      <c r="C9" s="1" t="s">
        <v>97</v>
      </c>
      <c r="E9" s="1">
        <f>(100/B14)*C14</f>
        <v>0</v>
      </c>
    </row>
    <row r="10" spans="1:15" x14ac:dyDescent="0.25">
      <c r="B10" s="3">
        <f>C2</f>
        <v>50</v>
      </c>
      <c r="C10" s="3">
        <f>C8/2</f>
        <v>20</v>
      </c>
      <c r="E10" s="1">
        <f>(100/B16)*C16</f>
        <v>0</v>
      </c>
    </row>
    <row r="11" spans="1:15" x14ac:dyDescent="0.25">
      <c r="A11" s="1" t="s">
        <v>68</v>
      </c>
      <c r="B11" s="1" t="s">
        <v>96</v>
      </c>
      <c r="C11" s="1" t="s">
        <v>97</v>
      </c>
    </row>
    <row r="12" spans="1:15" x14ac:dyDescent="0.25">
      <c r="B12" s="3">
        <f>C2</f>
        <v>50</v>
      </c>
      <c r="C12" s="3">
        <v>0</v>
      </c>
      <c r="F12" s="3"/>
      <c r="G12" s="3" t="s">
        <v>94</v>
      </c>
      <c r="H12" s="3" t="s">
        <v>100</v>
      </c>
      <c r="L12" s="1" t="s">
        <v>101</v>
      </c>
    </row>
    <row r="13" spans="1:15" ht="30" x14ac:dyDescent="0.25">
      <c r="A13" s="5" t="s">
        <v>93</v>
      </c>
      <c r="B13" s="1" t="s">
        <v>96</v>
      </c>
      <c r="C13" s="1" t="s">
        <v>97</v>
      </c>
      <c r="F13" s="3" t="s">
        <v>65</v>
      </c>
      <c r="G13" s="3">
        <f>I6</f>
        <v>10</v>
      </c>
      <c r="H13" s="3">
        <f>I7</f>
        <v>30</v>
      </c>
      <c r="L13" s="1" t="s">
        <v>101</v>
      </c>
    </row>
    <row r="14" spans="1:15" x14ac:dyDescent="0.25">
      <c r="B14" s="3">
        <f>C2</f>
        <v>50</v>
      </c>
      <c r="C14" s="3">
        <v>0</v>
      </c>
      <c r="F14" s="3" t="s">
        <v>66</v>
      </c>
      <c r="G14" s="3">
        <f>J6</f>
        <v>32.156862745098039</v>
      </c>
      <c r="H14" s="3">
        <f>J7</f>
        <v>24.117647058823529</v>
      </c>
    </row>
    <row r="15" spans="1:15" x14ac:dyDescent="0.25">
      <c r="A15" s="1" t="s">
        <v>69</v>
      </c>
      <c r="B15" s="1" t="s">
        <v>96</v>
      </c>
      <c r="C15" s="1" t="s">
        <v>97</v>
      </c>
      <c r="F15" s="3" t="s">
        <v>92</v>
      </c>
      <c r="G15" s="3">
        <f>K6</f>
        <v>12</v>
      </c>
      <c r="H15" s="3">
        <f>K7</f>
        <v>12</v>
      </c>
    </row>
    <row r="16" spans="1:15" x14ac:dyDescent="0.25">
      <c r="B16" s="3">
        <f>C2</f>
        <v>50</v>
      </c>
      <c r="C16" s="3">
        <v>0</v>
      </c>
      <c r="F16" s="3" t="s">
        <v>67</v>
      </c>
      <c r="G16" s="3">
        <f>L6</f>
        <v>4</v>
      </c>
      <c r="H16" s="3">
        <f>L7</f>
        <v>4</v>
      </c>
    </row>
    <row r="17" spans="5:8" x14ac:dyDescent="0.25">
      <c r="F17" s="3" t="s">
        <v>68</v>
      </c>
      <c r="G17" s="3">
        <f>M6</f>
        <v>0</v>
      </c>
      <c r="H17" s="3">
        <f>M7</f>
        <v>0</v>
      </c>
    </row>
    <row r="18" spans="5:8" ht="30" x14ac:dyDescent="0.25">
      <c r="F18" s="6" t="s">
        <v>93</v>
      </c>
      <c r="G18" s="3">
        <f>N6</f>
        <v>0</v>
      </c>
      <c r="H18" s="3">
        <f>N7</f>
        <v>0</v>
      </c>
    </row>
    <row r="19" spans="5:8" x14ac:dyDescent="0.25">
      <c r="F19" s="3" t="s">
        <v>69</v>
      </c>
      <c r="G19" s="3">
        <f>O6</f>
        <v>0</v>
      </c>
      <c r="H19" s="3">
        <f>O7</f>
        <v>0</v>
      </c>
    </row>
    <row r="20" spans="5:8" x14ac:dyDescent="0.25">
      <c r="F20" s="3" t="s">
        <v>102</v>
      </c>
      <c r="G20" s="15">
        <f>G13+G14+G15+G16+G17+G18+G19</f>
        <v>58.156862745098039</v>
      </c>
      <c r="H20" s="15">
        <f>H13+H14+H15+H16+H17+H18+H19</f>
        <v>70.117647058823536</v>
      </c>
    </row>
    <row r="21" spans="5:8" x14ac:dyDescent="0.25">
      <c r="E21" s="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topLeftCell="A7" workbookViewId="0">
      <selection activeCell="C7" sqref="C7"/>
    </sheetView>
  </sheetViews>
  <sheetFormatPr defaultRowHeight="15" x14ac:dyDescent="0.25"/>
  <cols>
    <col min="1" max="1" width="8.7109375" style="1"/>
    <col min="2" max="2" width="11.7109375" style="1" customWidth="1"/>
    <col min="3" max="257" width="8.7109375" style="1"/>
    <col min="258" max="258" width="11.7109375" style="1" customWidth="1"/>
    <col min="259" max="513" width="8.7109375" style="1"/>
    <col min="514" max="514" width="11.7109375" style="1" customWidth="1"/>
    <col min="515" max="769" width="8.7109375" style="1"/>
    <col min="770" max="770" width="11.7109375" style="1" customWidth="1"/>
    <col min="771" max="1025" width="8.7109375" style="1"/>
    <col min="1026" max="1026" width="11.7109375" style="1" customWidth="1"/>
    <col min="1027" max="1281" width="8.7109375" style="1"/>
    <col min="1282" max="1282" width="11.7109375" style="1" customWidth="1"/>
    <col min="1283" max="1537" width="8.7109375" style="1"/>
    <col min="1538" max="1538" width="11.7109375" style="1" customWidth="1"/>
    <col min="1539" max="1793" width="8.7109375" style="1"/>
    <col min="1794" max="1794" width="11.7109375" style="1" customWidth="1"/>
    <col min="1795" max="2049" width="8.7109375" style="1"/>
    <col min="2050" max="2050" width="11.7109375" style="1" customWidth="1"/>
    <col min="2051" max="2305" width="8.7109375" style="1"/>
    <col min="2306" max="2306" width="11.7109375" style="1" customWidth="1"/>
    <col min="2307" max="2561" width="8.7109375" style="1"/>
    <col min="2562" max="2562" width="11.7109375" style="1" customWidth="1"/>
    <col min="2563" max="2817" width="8.7109375" style="1"/>
    <col min="2818" max="2818" width="11.7109375" style="1" customWidth="1"/>
    <col min="2819" max="3073" width="8.7109375" style="1"/>
    <col min="3074" max="3074" width="11.7109375" style="1" customWidth="1"/>
    <col min="3075" max="3329" width="8.7109375" style="1"/>
    <col min="3330" max="3330" width="11.7109375" style="1" customWidth="1"/>
    <col min="3331" max="3585" width="8.7109375" style="1"/>
    <col min="3586" max="3586" width="11.7109375" style="1" customWidth="1"/>
    <col min="3587" max="3841" width="8.7109375" style="1"/>
    <col min="3842" max="3842" width="11.7109375" style="1" customWidth="1"/>
    <col min="3843" max="4097" width="8.7109375" style="1"/>
    <col min="4098" max="4098" width="11.7109375" style="1" customWidth="1"/>
    <col min="4099" max="4353" width="8.7109375" style="1"/>
    <col min="4354" max="4354" width="11.7109375" style="1" customWidth="1"/>
    <col min="4355" max="4609" width="8.7109375" style="1"/>
    <col min="4610" max="4610" width="11.7109375" style="1" customWidth="1"/>
    <col min="4611" max="4865" width="8.7109375" style="1"/>
    <col min="4866" max="4866" width="11.7109375" style="1" customWidth="1"/>
    <col min="4867" max="5121" width="8.7109375" style="1"/>
    <col min="5122" max="5122" width="11.7109375" style="1" customWidth="1"/>
    <col min="5123" max="5377" width="8.7109375" style="1"/>
    <col min="5378" max="5378" width="11.7109375" style="1" customWidth="1"/>
    <col min="5379" max="5633" width="8.7109375" style="1"/>
    <col min="5634" max="5634" width="11.7109375" style="1" customWidth="1"/>
    <col min="5635" max="5889" width="8.7109375" style="1"/>
    <col min="5890" max="5890" width="11.7109375" style="1" customWidth="1"/>
    <col min="5891" max="6145" width="8.7109375" style="1"/>
    <col min="6146" max="6146" width="11.7109375" style="1" customWidth="1"/>
    <col min="6147" max="6401" width="8.7109375" style="1"/>
    <col min="6402" max="6402" width="11.7109375" style="1" customWidth="1"/>
    <col min="6403" max="6657" width="8.7109375" style="1"/>
    <col min="6658" max="6658" width="11.7109375" style="1" customWidth="1"/>
    <col min="6659" max="6913" width="8.7109375" style="1"/>
    <col min="6914" max="6914" width="11.7109375" style="1" customWidth="1"/>
    <col min="6915" max="7169" width="8.7109375" style="1"/>
    <col min="7170" max="7170" width="11.7109375" style="1" customWidth="1"/>
    <col min="7171" max="7425" width="8.7109375" style="1"/>
    <col min="7426" max="7426" width="11.7109375" style="1" customWidth="1"/>
    <col min="7427" max="7681" width="8.7109375" style="1"/>
    <col min="7682" max="7682" width="11.7109375" style="1" customWidth="1"/>
    <col min="7683" max="7937" width="8.7109375" style="1"/>
    <col min="7938" max="7938" width="11.7109375" style="1" customWidth="1"/>
    <col min="7939" max="8193" width="8.7109375" style="1"/>
    <col min="8194" max="8194" width="11.7109375" style="1" customWidth="1"/>
    <col min="8195" max="8449" width="8.7109375" style="1"/>
    <col min="8450" max="8450" width="11.7109375" style="1" customWidth="1"/>
    <col min="8451" max="8705" width="8.7109375" style="1"/>
    <col min="8706" max="8706" width="11.7109375" style="1" customWidth="1"/>
    <col min="8707" max="8961" width="8.7109375" style="1"/>
    <col min="8962" max="8962" width="11.7109375" style="1" customWidth="1"/>
    <col min="8963" max="9217" width="8.7109375" style="1"/>
    <col min="9218" max="9218" width="11.7109375" style="1" customWidth="1"/>
    <col min="9219" max="9473" width="8.7109375" style="1"/>
    <col min="9474" max="9474" width="11.7109375" style="1" customWidth="1"/>
    <col min="9475" max="9729" width="8.7109375" style="1"/>
    <col min="9730" max="9730" width="11.7109375" style="1" customWidth="1"/>
    <col min="9731" max="9985" width="8.7109375" style="1"/>
    <col min="9986" max="9986" width="11.7109375" style="1" customWidth="1"/>
    <col min="9987" max="10241" width="8.7109375" style="1"/>
    <col min="10242" max="10242" width="11.7109375" style="1" customWidth="1"/>
    <col min="10243" max="10497" width="8.7109375" style="1"/>
    <col min="10498" max="10498" width="11.7109375" style="1" customWidth="1"/>
    <col min="10499" max="10753" width="8.7109375" style="1"/>
    <col min="10754" max="10754" width="11.7109375" style="1" customWidth="1"/>
    <col min="10755" max="11009" width="8.7109375" style="1"/>
    <col min="11010" max="11010" width="11.7109375" style="1" customWidth="1"/>
    <col min="11011" max="11265" width="8.7109375" style="1"/>
    <col min="11266" max="11266" width="11.7109375" style="1" customWidth="1"/>
    <col min="11267" max="11521" width="8.7109375" style="1"/>
    <col min="11522" max="11522" width="11.7109375" style="1" customWidth="1"/>
    <col min="11523" max="11777" width="8.7109375" style="1"/>
    <col min="11778" max="11778" width="11.7109375" style="1" customWidth="1"/>
    <col min="11779" max="12033" width="8.7109375" style="1"/>
    <col min="12034" max="12034" width="11.7109375" style="1" customWidth="1"/>
    <col min="12035" max="12289" width="8.7109375" style="1"/>
    <col min="12290" max="12290" width="11.7109375" style="1" customWidth="1"/>
    <col min="12291" max="12545" width="8.7109375" style="1"/>
    <col min="12546" max="12546" width="11.7109375" style="1" customWidth="1"/>
    <col min="12547" max="12801" width="8.7109375" style="1"/>
    <col min="12802" max="12802" width="11.7109375" style="1" customWidth="1"/>
    <col min="12803" max="13057" width="8.7109375" style="1"/>
    <col min="13058" max="13058" width="11.7109375" style="1" customWidth="1"/>
    <col min="13059" max="13313" width="8.7109375" style="1"/>
    <col min="13314" max="13314" width="11.7109375" style="1" customWidth="1"/>
    <col min="13315" max="13569" width="8.7109375" style="1"/>
    <col min="13570" max="13570" width="11.7109375" style="1" customWidth="1"/>
    <col min="13571" max="13825" width="8.7109375" style="1"/>
    <col min="13826" max="13826" width="11.7109375" style="1" customWidth="1"/>
    <col min="13827" max="14081" width="8.7109375" style="1"/>
    <col min="14082" max="14082" width="11.7109375" style="1" customWidth="1"/>
    <col min="14083" max="14337" width="8.7109375" style="1"/>
    <col min="14338" max="14338" width="11.7109375" style="1" customWidth="1"/>
    <col min="14339" max="14593" width="8.7109375" style="1"/>
    <col min="14594" max="14594" width="11.7109375" style="1" customWidth="1"/>
    <col min="14595" max="14849" width="8.7109375" style="1"/>
    <col min="14850" max="14850" width="11.7109375" style="1" customWidth="1"/>
    <col min="14851" max="15105" width="8.7109375" style="1"/>
    <col min="15106" max="15106" width="11.7109375" style="1" customWidth="1"/>
    <col min="15107" max="15361" width="8.7109375" style="1"/>
    <col min="15362" max="15362" width="11.7109375" style="1" customWidth="1"/>
    <col min="15363" max="15617" width="8.7109375" style="1"/>
    <col min="15618" max="15618" width="11.7109375" style="1" customWidth="1"/>
    <col min="15619" max="15873" width="8.7109375" style="1"/>
    <col min="15874" max="15874" width="11.7109375" style="1" customWidth="1"/>
    <col min="15875" max="16129" width="8.7109375" style="1"/>
    <col min="16130" max="16130" width="11.7109375" style="1" customWidth="1"/>
    <col min="16131" max="16384" width="8.7109375" style="1"/>
  </cols>
  <sheetData>
    <row r="2" spans="1:15" x14ac:dyDescent="0.25">
      <c r="A2" s="1" t="s">
        <v>82</v>
      </c>
      <c r="B2" s="2" t="s">
        <v>83</v>
      </c>
      <c r="C2" s="2">
        <v>17</v>
      </c>
    </row>
    <row r="3" spans="1:15" x14ac:dyDescent="0.25">
      <c r="B3" s="1" t="s">
        <v>84</v>
      </c>
      <c r="C3" s="1" t="s">
        <v>85</v>
      </c>
    </row>
    <row r="4" spans="1:15" x14ac:dyDescent="0.25">
      <c r="A4" s="1" t="s">
        <v>86</v>
      </c>
      <c r="B4" s="3">
        <v>10</v>
      </c>
      <c r="C4" s="3">
        <v>10</v>
      </c>
      <c r="E4" s="1">
        <f>(100/B4)*C4</f>
        <v>100</v>
      </c>
    </row>
    <row r="5" spans="1:15" x14ac:dyDescent="0.25">
      <c r="A5" s="1" t="s">
        <v>87</v>
      </c>
      <c r="B5" s="1" t="s">
        <v>88</v>
      </c>
      <c r="C5" s="1" t="s">
        <v>89</v>
      </c>
      <c r="E5" s="1">
        <f>(100/B6)*C6</f>
        <v>94.444444444444443</v>
      </c>
      <c r="I5" s="3" t="s">
        <v>90</v>
      </c>
      <c r="J5" s="3" t="s">
        <v>91</v>
      </c>
      <c r="K5" s="3" t="s">
        <v>92</v>
      </c>
      <c r="L5" s="3" t="s">
        <v>67</v>
      </c>
      <c r="M5" s="3" t="s">
        <v>68</v>
      </c>
      <c r="N5" s="3" t="s">
        <v>93</v>
      </c>
      <c r="O5" s="3" t="s">
        <v>69</v>
      </c>
    </row>
    <row r="6" spans="1:15" x14ac:dyDescent="0.25">
      <c r="B6" s="3">
        <f>C2+1</f>
        <v>18</v>
      </c>
      <c r="C6" s="3">
        <f>4+13</f>
        <v>17</v>
      </c>
      <c r="E6" s="1">
        <f>(100/B8)*C8</f>
        <v>94.117647058823536</v>
      </c>
      <c r="F6" s="4" t="s">
        <v>94</v>
      </c>
      <c r="I6" s="4">
        <f>C4</f>
        <v>10</v>
      </c>
      <c r="J6" s="4">
        <f>40/B6*C6</f>
        <v>37.777777777777779</v>
      </c>
      <c r="K6" s="4">
        <f>15/B8*C8</f>
        <v>14.117647058823529</v>
      </c>
      <c r="L6" s="4">
        <f>10/B10*C10</f>
        <v>4.7058823529411766</v>
      </c>
      <c r="M6" s="4">
        <f>10/B12*C12</f>
        <v>0</v>
      </c>
      <c r="N6" s="4">
        <f>5/B14*C14</f>
        <v>0</v>
      </c>
      <c r="O6" s="4">
        <f>5/B16*C16</f>
        <v>0</v>
      </c>
    </row>
    <row r="7" spans="1:15" x14ac:dyDescent="0.25">
      <c r="A7" s="1" t="s">
        <v>95</v>
      </c>
      <c r="B7" s="1" t="s">
        <v>96</v>
      </c>
      <c r="C7" s="13" t="s">
        <v>97</v>
      </c>
      <c r="E7" s="1">
        <f>(100/B10)*C10</f>
        <v>47.058823529411768</v>
      </c>
      <c r="F7" s="3" t="s">
        <v>98</v>
      </c>
      <c r="G7" s="3"/>
      <c r="H7" s="3"/>
      <c r="I7" s="3">
        <f>I6+20</f>
        <v>30</v>
      </c>
      <c r="J7" s="3">
        <f>30/B6*C6</f>
        <v>28.333333333333336</v>
      </c>
      <c r="K7" s="3">
        <f>15/B8*C8</f>
        <v>14.117647058823529</v>
      </c>
      <c r="L7" s="3">
        <f>10/B10*C10</f>
        <v>4.7058823529411766</v>
      </c>
      <c r="M7" s="3">
        <f>5/B12*C12</f>
        <v>0</v>
      </c>
      <c r="N7" s="3">
        <f>5/B14*C14</f>
        <v>0</v>
      </c>
      <c r="O7" s="3">
        <f>5/B16*C16</f>
        <v>0</v>
      </c>
    </row>
    <row r="8" spans="1:15" x14ac:dyDescent="0.25">
      <c r="B8" s="3">
        <f>C2</f>
        <v>17</v>
      </c>
      <c r="C8" s="3">
        <f>C6-1</f>
        <v>16</v>
      </c>
      <c r="E8" s="1">
        <f>(100/B12)*C12</f>
        <v>0</v>
      </c>
    </row>
    <row r="9" spans="1:15" x14ac:dyDescent="0.25">
      <c r="A9" s="1" t="s">
        <v>99</v>
      </c>
      <c r="B9" s="1" t="s">
        <v>96</v>
      </c>
      <c r="C9" s="1" t="s">
        <v>97</v>
      </c>
      <c r="E9" s="1">
        <f>(100/B14)*C14</f>
        <v>0</v>
      </c>
    </row>
    <row r="10" spans="1:15" x14ac:dyDescent="0.25">
      <c r="B10" s="3">
        <f>C2</f>
        <v>17</v>
      </c>
      <c r="C10" s="3">
        <f>C8/2</f>
        <v>8</v>
      </c>
      <c r="E10" s="1">
        <f>(100/B16)*C16</f>
        <v>0</v>
      </c>
    </row>
    <row r="11" spans="1:15" x14ac:dyDescent="0.25">
      <c r="A11" s="1" t="s">
        <v>68</v>
      </c>
      <c r="B11" s="1" t="s">
        <v>96</v>
      </c>
      <c r="C11" s="1" t="s">
        <v>97</v>
      </c>
    </row>
    <row r="12" spans="1:15" x14ac:dyDescent="0.25">
      <c r="B12" s="3">
        <f>C2</f>
        <v>17</v>
      </c>
      <c r="C12" s="3">
        <v>0</v>
      </c>
      <c r="F12" s="3"/>
      <c r="G12" s="3" t="s">
        <v>94</v>
      </c>
      <c r="H12" s="3" t="s">
        <v>100</v>
      </c>
      <c r="L12" s="1" t="s">
        <v>101</v>
      </c>
    </row>
    <row r="13" spans="1:15" ht="30" x14ac:dyDescent="0.25">
      <c r="A13" s="5" t="s">
        <v>93</v>
      </c>
      <c r="B13" s="1" t="s">
        <v>96</v>
      </c>
      <c r="C13" s="1" t="s">
        <v>97</v>
      </c>
      <c r="F13" s="3" t="s">
        <v>65</v>
      </c>
      <c r="G13" s="3">
        <f>I6</f>
        <v>10</v>
      </c>
      <c r="H13" s="3">
        <f>I7</f>
        <v>30</v>
      </c>
      <c r="L13" s="1" t="s">
        <v>101</v>
      </c>
    </row>
    <row r="14" spans="1:15" x14ac:dyDescent="0.25">
      <c r="B14" s="3">
        <f>C2</f>
        <v>17</v>
      </c>
      <c r="C14" s="3">
        <v>0</v>
      </c>
      <c r="F14" s="3" t="s">
        <v>66</v>
      </c>
      <c r="G14" s="3">
        <f>J6</f>
        <v>37.777777777777779</v>
      </c>
      <c r="H14" s="3">
        <f>J7</f>
        <v>28.333333333333336</v>
      </c>
    </row>
    <row r="15" spans="1:15" x14ac:dyDescent="0.25">
      <c r="A15" s="1" t="s">
        <v>69</v>
      </c>
      <c r="B15" s="1" t="s">
        <v>96</v>
      </c>
      <c r="C15" s="1" t="s">
        <v>97</v>
      </c>
      <c r="F15" s="3" t="s">
        <v>92</v>
      </c>
      <c r="G15" s="3">
        <f>K6</f>
        <v>14.117647058823529</v>
      </c>
      <c r="H15" s="3">
        <f>K7</f>
        <v>14.117647058823529</v>
      </c>
    </row>
    <row r="16" spans="1:15" x14ac:dyDescent="0.25">
      <c r="B16" s="3">
        <f>C2</f>
        <v>17</v>
      </c>
      <c r="C16" s="3">
        <v>0</v>
      </c>
      <c r="F16" s="3" t="s">
        <v>67</v>
      </c>
      <c r="G16" s="3">
        <f>L6</f>
        <v>4.7058823529411766</v>
      </c>
      <c r="H16" s="3">
        <f>L7</f>
        <v>4.7058823529411766</v>
      </c>
    </row>
    <row r="17" spans="5:8" x14ac:dyDescent="0.25">
      <c r="F17" s="3" t="s">
        <v>68</v>
      </c>
      <c r="G17" s="3">
        <f>M6</f>
        <v>0</v>
      </c>
      <c r="H17" s="3">
        <f>M7</f>
        <v>0</v>
      </c>
    </row>
    <row r="18" spans="5:8" ht="30" x14ac:dyDescent="0.25">
      <c r="F18" s="6" t="s">
        <v>93</v>
      </c>
      <c r="G18" s="3">
        <f>N6</f>
        <v>0</v>
      </c>
      <c r="H18" s="3">
        <f>N7</f>
        <v>0</v>
      </c>
    </row>
    <row r="19" spans="5:8" x14ac:dyDescent="0.25">
      <c r="F19" s="3" t="s">
        <v>69</v>
      </c>
      <c r="G19" s="3">
        <f>O6</f>
        <v>0</v>
      </c>
      <c r="H19" s="3">
        <f>O7</f>
        <v>0</v>
      </c>
    </row>
    <row r="20" spans="5:8" x14ac:dyDescent="0.25">
      <c r="F20" s="3" t="s">
        <v>102</v>
      </c>
      <c r="G20" s="15">
        <f>G13+G14+G15+G16+G17+G18+G19</f>
        <v>66.601307189542482</v>
      </c>
      <c r="H20" s="15">
        <f>H13+H14+H15+H16+H17+H18+H19</f>
        <v>77.156862745098039</v>
      </c>
    </row>
    <row r="21" spans="5:8" x14ac:dyDescent="0.25">
      <c r="E21" s="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topLeftCell="A7" workbookViewId="0">
      <selection activeCell="B23" sqref="B23"/>
    </sheetView>
  </sheetViews>
  <sheetFormatPr defaultRowHeight="15" x14ac:dyDescent="0.25"/>
  <cols>
    <col min="1" max="1" width="8.7109375" style="1"/>
    <col min="2" max="2" width="11.7109375" style="1" customWidth="1"/>
    <col min="3" max="257" width="8.7109375" style="1"/>
    <col min="258" max="258" width="11.7109375" style="1" customWidth="1"/>
    <col min="259" max="513" width="8.7109375" style="1"/>
    <col min="514" max="514" width="11.7109375" style="1" customWidth="1"/>
    <col min="515" max="769" width="8.7109375" style="1"/>
    <col min="770" max="770" width="11.7109375" style="1" customWidth="1"/>
    <col min="771" max="1025" width="8.7109375" style="1"/>
    <col min="1026" max="1026" width="11.7109375" style="1" customWidth="1"/>
    <col min="1027" max="1281" width="8.7109375" style="1"/>
    <col min="1282" max="1282" width="11.7109375" style="1" customWidth="1"/>
    <col min="1283" max="1537" width="8.7109375" style="1"/>
    <col min="1538" max="1538" width="11.7109375" style="1" customWidth="1"/>
    <col min="1539" max="1793" width="8.7109375" style="1"/>
    <col min="1794" max="1794" width="11.7109375" style="1" customWidth="1"/>
    <col min="1795" max="2049" width="8.7109375" style="1"/>
    <col min="2050" max="2050" width="11.7109375" style="1" customWidth="1"/>
    <col min="2051" max="2305" width="8.7109375" style="1"/>
    <col min="2306" max="2306" width="11.7109375" style="1" customWidth="1"/>
    <col min="2307" max="2561" width="8.7109375" style="1"/>
    <col min="2562" max="2562" width="11.7109375" style="1" customWidth="1"/>
    <col min="2563" max="2817" width="8.7109375" style="1"/>
    <col min="2818" max="2818" width="11.7109375" style="1" customWidth="1"/>
    <col min="2819" max="3073" width="8.7109375" style="1"/>
    <col min="3074" max="3074" width="11.7109375" style="1" customWidth="1"/>
    <col min="3075" max="3329" width="8.7109375" style="1"/>
    <col min="3330" max="3330" width="11.7109375" style="1" customWidth="1"/>
    <col min="3331" max="3585" width="8.7109375" style="1"/>
    <col min="3586" max="3586" width="11.7109375" style="1" customWidth="1"/>
    <col min="3587" max="3841" width="8.7109375" style="1"/>
    <col min="3842" max="3842" width="11.7109375" style="1" customWidth="1"/>
    <col min="3843" max="4097" width="8.7109375" style="1"/>
    <col min="4098" max="4098" width="11.7109375" style="1" customWidth="1"/>
    <col min="4099" max="4353" width="8.7109375" style="1"/>
    <col min="4354" max="4354" width="11.7109375" style="1" customWidth="1"/>
    <col min="4355" max="4609" width="8.7109375" style="1"/>
    <col min="4610" max="4610" width="11.7109375" style="1" customWidth="1"/>
    <col min="4611" max="4865" width="8.7109375" style="1"/>
    <col min="4866" max="4866" width="11.7109375" style="1" customWidth="1"/>
    <col min="4867" max="5121" width="8.7109375" style="1"/>
    <col min="5122" max="5122" width="11.7109375" style="1" customWidth="1"/>
    <col min="5123" max="5377" width="8.7109375" style="1"/>
    <col min="5378" max="5378" width="11.7109375" style="1" customWidth="1"/>
    <col min="5379" max="5633" width="8.7109375" style="1"/>
    <col min="5634" max="5634" width="11.7109375" style="1" customWidth="1"/>
    <col min="5635" max="5889" width="8.7109375" style="1"/>
    <col min="5890" max="5890" width="11.7109375" style="1" customWidth="1"/>
    <col min="5891" max="6145" width="8.7109375" style="1"/>
    <col min="6146" max="6146" width="11.7109375" style="1" customWidth="1"/>
    <col min="6147" max="6401" width="8.7109375" style="1"/>
    <col min="6402" max="6402" width="11.7109375" style="1" customWidth="1"/>
    <col min="6403" max="6657" width="8.7109375" style="1"/>
    <col min="6658" max="6658" width="11.7109375" style="1" customWidth="1"/>
    <col min="6659" max="6913" width="8.7109375" style="1"/>
    <col min="6914" max="6914" width="11.7109375" style="1" customWidth="1"/>
    <col min="6915" max="7169" width="8.7109375" style="1"/>
    <col min="7170" max="7170" width="11.7109375" style="1" customWidth="1"/>
    <col min="7171" max="7425" width="8.7109375" style="1"/>
    <col min="7426" max="7426" width="11.7109375" style="1" customWidth="1"/>
    <col min="7427" max="7681" width="8.7109375" style="1"/>
    <col min="7682" max="7682" width="11.7109375" style="1" customWidth="1"/>
    <col min="7683" max="7937" width="8.7109375" style="1"/>
    <col min="7938" max="7938" width="11.7109375" style="1" customWidth="1"/>
    <col min="7939" max="8193" width="8.7109375" style="1"/>
    <col min="8194" max="8194" width="11.7109375" style="1" customWidth="1"/>
    <col min="8195" max="8449" width="8.7109375" style="1"/>
    <col min="8450" max="8450" width="11.7109375" style="1" customWidth="1"/>
    <col min="8451" max="8705" width="8.7109375" style="1"/>
    <col min="8706" max="8706" width="11.7109375" style="1" customWidth="1"/>
    <col min="8707" max="8961" width="8.7109375" style="1"/>
    <col min="8962" max="8962" width="11.7109375" style="1" customWidth="1"/>
    <col min="8963" max="9217" width="8.7109375" style="1"/>
    <col min="9218" max="9218" width="11.7109375" style="1" customWidth="1"/>
    <col min="9219" max="9473" width="8.7109375" style="1"/>
    <col min="9474" max="9474" width="11.7109375" style="1" customWidth="1"/>
    <col min="9475" max="9729" width="8.7109375" style="1"/>
    <col min="9730" max="9730" width="11.7109375" style="1" customWidth="1"/>
    <col min="9731" max="9985" width="8.7109375" style="1"/>
    <col min="9986" max="9986" width="11.7109375" style="1" customWidth="1"/>
    <col min="9987" max="10241" width="8.7109375" style="1"/>
    <col min="10242" max="10242" width="11.7109375" style="1" customWidth="1"/>
    <col min="10243" max="10497" width="8.7109375" style="1"/>
    <col min="10498" max="10498" width="11.7109375" style="1" customWidth="1"/>
    <col min="10499" max="10753" width="8.7109375" style="1"/>
    <col min="10754" max="10754" width="11.7109375" style="1" customWidth="1"/>
    <col min="10755" max="11009" width="8.7109375" style="1"/>
    <col min="11010" max="11010" width="11.7109375" style="1" customWidth="1"/>
    <col min="11011" max="11265" width="8.7109375" style="1"/>
    <col min="11266" max="11266" width="11.7109375" style="1" customWidth="1"/>
    <col min="11267" max="11521" width="8.7109375" style="1"/>
    <col min="11522" max="11522" width="11.7109375" style="1" customWidth="1"/>
    <col min="11523" max="11777" width="8.7109375" style="1"/>
    <col min="11778" max="11778" width="11.7109375" style="1" customWidth="1"/>
    <col min="11779" max="12033" width="8.7109375" style="1"/>
    <col min="12034" max="12034" width="11.7109375" style="1" customWidth="1"/>
    <col min="12035" max="12289" width="8.7109375" style="1"/>
    <col min="12290" max="12290" width="11.7109375" style="1" customWidth="1"/>
    <col min="12291" max="12545" width="8.7109375" style="1"/>
    <col min="12546" max="12546" width="11.7109375" style="1" customWidth="1"/>
    <col min="12547" max="12801" width="8.7109375" style="1"/>
    <col min="12802" max="12802" width="11.7109375" style="1" customWidth="1"/>
    <col min="12803" max="13057" width="8.7109375" style="1"/>
    <col min="13058" max="13058" width="11.7109375" style="1" customWidth="1"/>
    <col min="13059" max="13313" width="8.7109375" style="1"/>
    <col min="13314" max="13314" width="11.7109375" style="1" customWidth="1"/>
    <col min="13315" max="13569" width="8.7109375" style="1"/>
    <col min="13570" max="13570" width="11.7109375" style="1" customWidth="1"/>
    <col min="13571" max="13825" width="8.7109375" style="1"/>
    <col min="13826" max="13826" width="11.7109375" style="1" customWidth="1"/>
    <col min="13827" max="14081" width="8.7109375" style="1"/>
    <col min="14082" max="14082" width="11.7109375" style="1" customWidth="1"/>
    <col min="14083" max="14337" width="8.7109375" style="1"/>
    <col min="14338" max="14338" width="11.7109375" style="1" customWidth="1"/>
    <col min="14339" max="14593" width="8.7109375" style="1"/>
    <col min="14594" max="14594" width="11.7109375" style="1" customWidth="1"/>
    <col min="14595" max="14849" width="8.7109375" style="1"/>
    <col min="14850" max="14850" width="11.7109375" style="1" customWidth="1"/>
    <col min="14851" max="15105" width="8.7109375" style="1"/>
    <col min="15106" max="15106" width="11.7109375" style="1" customWidth="1"/>
    <col min="15107" max="15361" width="8.7109375" style="1"/>
    <col min="15362" max="15362" width="11.7109375" style="1" customWidth="1"/>
    <col min="15363" max="15617" width="8.7109375" style="1"/>
    <col min="15618" max="15618" width="11.7109375" style="1" customWidth="1"/>
    <col min="15619" max="15873" width="8.7109375" style="1"/>
    <col min="15874" max="15874" width="11.7109375" style="1" customWidth="1"/>
    <col min="15875" max="16129" width="8.7109375" style="1"/>
    <col min="16130" max="16130" width="11.7109375" style="1" customWidth="1"/>
    <col min="16131" max="16384" width="8.7109375" style="1"/>
  </cols>
  <sheetData>
    <row r="2" spans="1:15" x14ac:dyDescent="0.25">
      <c r="A2" s="1" t="s">
        <v>82</v>
      </c>
      <c r="B2" s="2" t="s">
        <v>83</v>
      </c>
      <c r="C2" s="2">
        <v>36</v>
      </c>
    </row>
    <row r="3" spans="1:15" x14ac:dyDescent="0.25">
      <c r="B3" s="1" t="s">
        <v>84</v>
      </c>
      <c r="C3" s="1" t="s">
        <v>85</v>
      </c>
    </row>
    <row r="4" spans="1:15" x14ac:dyDescent="0.25">
      <c r="A4" s="1" t="s">
        <v>86</v>
      </c>
      <c r="B4" s="3">
        <v>10</v>
      </c>
      <c r="C4" s="3">
        <v>10</v>
      </c>
      <c r="E4" s="1">
        <f>(100/B4)*C4</f>
        <v>100</v>
      </c>
    </row>
    <row r="5" spans="1:15" x14ac:dyDescent="0.25">
      <c r="A5" s="1" t="s">
        <v>87</v>
      </c>
      <c r="B5" s="1" t="s">
        <v>88</v>
      </c>
      <c r="C5" s="1" t="s">
        <v>89</v>
      </c>
      <c r="E5" s="1">
        <f>(100/B6)*C6</f>
        <v>94.594594594594597</v>
      </c>
      <c r="I5" s="3" t="s">
        <v>90</v>
      </c>
      <c r="J5" s="3" t="s">
        <v>91</v>
      </c>
      <c r="K5" s="3" t="s">
        <v>92</v>
      </c>
      <c r="L5" s="3" t="s">
        <v>67</v>
      </c>
      <c r="M5" s="3" t="s">
        <v>68</v>
      </c>
      <c r="N5" s="3" t="s">
        <v>93</v>
      </c>
      <c r="O5" s="3" t="s">
        <v>69</v>
      </c>
    </row>
    <row r="6" spans="1:15" x14ac:dyDescent="0.25">
      <c r="B6" s="3">
        <f>C2+1</f>
        <v>37</v>
      </c>
      <c r="C6" s="3">
        <v>35</v>
      </c>
      <c r="E6" s="1">
        <f>(100/B8)*C8</f>
        <v>94.444444444444443</v>
      </c>
      <c r="F6" s="4" t="s">
        <v>94</v>
      </c>
      <c r="I6" s="4">
        <f>C4</f>
        <v>10</v>
      </c>
      <c r="J6" s="4">
        <f>40/B6*C6</f>
        <v>37.837837837837839</v>
      </c>
      <c r="K6" s="4">
        <f>15/B8*C8</f>
        <v>14.166666666666668</v>
      </c>
      <c r="L6" s="4">
        <f>10/B10*C10</f>
        <v>9.4444444444444446</v>
      </c>
      <c r="M6" s="4">
        <f>10/B12*C12</f>
        <v>9.4444444444444446</v>
      </c>
      <c r="N6" s="4">
        <f>5/B14*C14</f>
        <v>4.7222222222222223</v>
      </c>
      <c r="O6" s="4">
        <f>5/B16*C16</f>
        <v>4.7222222222222223</v>
      </c>
    </row>
    <row r="7" spans="1:15" x14ac:dyDescent="0.25">
      <c r="A7" s="1" t="s">
        <v>95</v>
      </c>
      <c r="B7" s="1" t="s">
        <v>96</v>
      </c>
      <c r="C7" s="13" t="s">
        <v>97</v>
      </c>
      <c r="E7" s="1">
        <f>(100/B10)*C10</f>
        <v>94.444444444444443</v>
      </c>
      <c r="F7" s="3" t="s">
        <v>98</v>
      </c>
      <c r="G7" s="3"/>
      <c r="H7" s="3"/>
      <c r="I7" s="3">
        <f>I6+20</f>
        <v>30</v>
      </c>
      <c r="J7" s="3">
        <f>30/B6*C6</f>
        <v>28.378378378378379</v>
      </c>
      <c r="K7" s="3">
        <f>15/B8*C8</f>
        <v>14.166666666666668</v>
      </c>
      <c r="L7" s="3">
        <f>10/B10*C10</f>
        <v>9.4444444444444446</v>
      </c>
      <c r="M7" s="3">
        <f>5/B12*C12</f>
        <v>4.7222222222222223</v>
      </c>
      <c r="N7" s="3">
        <f>5/B14*C14</f>
        <v>4.7222222222222223</v>
      </c>
      <c r="O7" s="3">
        <f>5/B16*C16</f>
        <v>4.7222222222222223</v>
      </c>
    </row>
    <row r="8" spans="1:15" x14ac:dyDescent="0.25">
      <c r="B8" s="3">
        <f>C2</f>
        <v>36</v>
      </c>
      <c r="C8" s="3">
        <v>34</v>
      </c>
      <c r="E8" s="1">
        <f>(100/B12)*C12</f>
        <v>94.444444444444443</v>
      </c>
    </row>
    <row r="9" spans="1:15" x14ac:dyDescent="0.25">
      <c r="A9" s="1" t="s">
        <v>99</v>
      </c>
      <c r="B9" s="1" t="s">
        <v>96</v>
      </c>
      <c r="C9" s="1" t="s">
        <v>97</v>
      </c>
      <c r="E9" s="1">
        <f>(100/B14)*C14</f>
        <v>94.444444444444443</v>
      </c>
    </row>
    <row r="10" spans="1:15" x14ac:dyDescent="0.25">
      <c r="B10" s="3">
        <f>C2</f>
        <v>36</v>
      </c>
      <c r="C10" s="3">
        <v>34</v>
      </c>
      <c r="E10" s="1">
        <f>(100/B16)*C16</f>
        <v>94.444444444444443</v>
      </c>
    </row>
    <row r="11" spans="1:15" x14ac:dyDescent="0.25">
      <c r="A11" s="1" t="s">
        <v>68</v>
      </c>
      <c r="B11" s="1" t="s">
        <v>96</v>
      </c>
      <c r="C11" s="1" t="s">
        <v>97</v>
      </c>
    </row>
    <row r="12" spans="1:15" x14ac:dyDescent="0.25">
      <c r="B12" s="3">
        <f>C2</f>
        <v>36</v>
      </c>
      <c r="C12" s="3">
        <v>34</v>
      </c>
      <c r="F12" s="3"/>
      <c r="G12" s="3" t="s">
        <v>94</v>
      </c>
      <c r="H12" s="3" t="s">
        <v>100</v>
      </c>
      <c r="L12" s="1" t="s">
        <v>101</v>
      </c>
    </row>
    <row r="13" spans="1:15" ht="30" x14ac:dyDescent="0.25">
      <c r="A13" s="5" t="s">
        <v>93</v>
      </c>
      <c r="B13" s="1" t="s">
        <v>96</v>
      </c>
      <c r="C13" s="1" t="s">
        <v>97</v>
      </c>
      <c r="F13" s="3" t="s">
        <v>65</v>
      </c>
      <c r="G13" s="3">
        <f>I6</f>
        <v>10</v>
      </c>
      <c r="H13" s="3">
        <f>I7</f>
        <v>30</v>
      </c>
      <c r="L13" s="1" t="s">
        <v>101</v>
      </c>
    </row>
    <row r="14" spans="1:15" x14ac:dyDescent="0.25">
      <c r="B14" s="3">
        <f>C2</f>
        <v>36</v>
      </c>
      <c r="C14" s="3">
        <v>34</v>
      </c>
      <c r="F14" s="3" t="s">
        <v>66</v>
      </c>
      <c r="G14" s="3">
        <f>J6</f>
        <v>37.837837837837839</v>
      </c>
      <c r="H14" s="3">
        <f>J7</f>
        <v>28.378378378378379</v>
      </c>
    </row>
    <row r="15" spans="1:15" x14ac:dyDescent="0.25">
      <c r="A15" s="1" t="s">
        <v>69</v>
      </c>
      <c r="B15" s="1" t="s">
        <v>96</v>
      </c>
      <c r="C15" s="1" t="s">
        <v>97</v>
      </c>
      <c r="F15" s="3" t="s">
        <v>92</v>
      </c>
      <c r="G15" s="3">
        <f>K6</f>
        <v>14.166666666666668</v>
      </c>
      <c r="H15" s="3">
        <f>K7</f>
        <v>14.166666666666668</v>
      </c>
    </row>
    <row r="16" spans="1:15" x14ac:dyDescent="0.25">
      <c r="B16" s="3">
        <f>C2</f>
        <v>36</v>
      </c>
      <c r="C16" s="3">
        <v>34</v>
      </c>
      <c r="F16" s="3" t="s">
        <v>67</v>
      </c>
      <c r="G16" s="3">
        <f>L6</f>
        <v>9.4444444444444446</v>
      </c>
      <c r="H16" s="3">
        <f>L7</f>
        <v>9.4444444444444446</v>
      </c>
    </row>
    <row r="17" spans="5:8" x14ac:dyDescent="0.25">
      <c r="F17" s="3" t="s">
        <v>68</v>
      </c>
      <c r="G17" s="3">
        <f>M6</f>
        <v>9.4444444444444446</v>
      </c>
      <c r="H17" s="3">
        <f>M7</f>
        <v>4.7222222222222223</v>
      </c>
    </row>
    <row r="18" spans="5:8" ht="30" x14ac:dyDescent="0.25">
      <c r="F18" s="6" t="s">
        <v>93</v>
      </c>
      <c r="G18" s="3">
        <f>N6</f>
        <v>4.7222222222222223</v>
      </c>
      <c r="H18" s="3">
        <f>N7</f>
        <v>4.7222222222222223</v>
      </c>
    </row>
    <row r="19" spans="5:8" x14ac:dyDescent="0.25">
      <c r="F19" s="3" t="s">
        <v>69</v>
      </c>
      <c r="G19" s="3">
        <f>O6</f>
        <v>4.7222222222222223</v>
      </c>
      <c r="H19" s="3">
        <f>O7</f>
        <v>4.7222222222222223</v>
      </c>
    </row>
    <row r="20" spans="5:8" x14ac:dyDescent="0.25">
      <c r="F20" s="3" t="s">
        <v>102</v>
      </c>
      <c r="G20" s="15">
        <f>G13+G14+G15+G16+G17+G18+G19</f>
        <v>90.337837837837853</v>
      </c>
      <c r="H20" s="15">
        <f>H13+H14+H15+H16+H17+H18+H19</f>
        <v>96.156156156156172</v>
      </c>
    </row>
    <row r="21" spans="5:8" x14ac:dyDescent="0.25">
      <c r="E21" s="7"/>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C16" sqref="C16"/>
    </sheetView>
  </sheetViews>
  <sheetFormatPr defaultRowHeight="15" x14ac:dyDescent="0.25"/>
  <cols>
    <col min="2" max="2" width="12.28515625" customWidth="1"/>
  </cols>
  <sheetData>
    <row r="2" spans="1:12" x14ac:dyDescent="0.25">
      <c r="B2" s="8" t="s">
        <v>103</v>
      </c>
      <c r="C2" s="294"/>
      <c r="D2" s="294"/>
    </row>
    <row r="3" spans="1:12" x14ac:dyDescent="0.25">
      <c r="D3" s="9"/>
      <c r="E3" s="9"/>
      <c r="F3" s="9"/>
      <c r="G3" s="9"/>
      <c r="H3" s="9"/>
      <c r="I3" s="9"/>
    </row>
    <row r="4" spans="1:12" x14ac:dyDescent="0.25">
      <c r="A4" s="8" t="s">
        <v>104</v>
      </c>
      <c r="B4" s="10" t="s">
        <v>105</v>
      </c>
      <c r="C4" s="295" t="s">
        <v>106</v>
      </c>
      <c r="D4" s="295"/>
      <c r="E4" s="295"/>
      <c r="F4" s="11"/>
      <c r="G4" s="295" t="s">
        <v>107</v>
      </c>
      <c r="H4" s="295"/>
      <c r="I4" s="295"/>
      <c r="J4" s="295" t="s">
        <v>108</v>
      </c>
      <c r="K4" s="295"/>
      <c r="L4" s="295"/>
    </row>
    <row r="5" spans="1:12" x14ac:dyDescent="0.25">
      <c r="A5" s="8">
        <v>1</v>
      </c>
      <c r="B5" s="10"/>
      <c r="C5" s="10" t="s">
        <v>109</v>
      </c>
      <c r="D5" s="10" t="s">
        <v>110</v>
      </c>
      <c r="E5" s="10" t="s">
        <v>72</v>
      </c>
      <c r="F5" s="10"/>
      <c r="G5" s="10" t="s">
        <v>109</v>
      </c>
      <c r="H5" s="10" t="s">
        <v>110</v>
      </c>
      <c r="I5" s="10" t="s">
        <v>72</v>
      </c>
      <c r="J5" s="10" t="s">
        <v>109</v>
      </c>
      <c r="K5" s="10" t="s">
        <v>110</v>
      </c>
      <c r="L5" s="10" t="s">
        <v>72</v>
      </c>
    </row>
    <row r="6" spans="1:12" x14ac:dyDescent="0.25">
      <c r="B6" s="12" t="s">
        <v>111</v>
      </c>
      <c r="C6" s="12"/>
      <c r="D6" s="12"/>
      <c r="E6" s="12">
        <f>C6*D6</f>
        <v>0</v>
      </c>
      <c r="F6" s="12" t="s">
        <v>112</v>
      </c>
      <c r="G6" s="12"/>
      <c r="H6" s="12"/>
      <c r="I6" s="12">
        <f>G6*H6</f>
        <v>0</v>
      </c>
      <c r="J6" s="12"/>
      <c r="K6" s="12"/>
      <c r="L6" s="12">
        <f>J6*K6</f>
        <v>0</v>
      </c>
    </row>
    <row r="7" spans="1:12" x14ac:dyDescent="0.25">
      <c r="B7" s="12"/>
      <c r="C7" s="12"/>
      <c r="D7" s="12"/>
      <c r="E7" s="12">
        <f t="shared" ref="E7:E33" si="0">C7*D7</f>
        <v>0</v>
      </c>
      <c r="F7" s="12" t="s">
        <v>113</v>
      </c>
      <c r="G7" s="12"/>
      <c r="H7" s="12"/>
      <c r="I7" s="12">
        <f t="shared" ref="I7:I29" si="1">G7*H7</f>
        <v>0</v>
      </c>
      <c r="J7" s="12"/>
      <c r="K7" s="12"/>
      <c r="L7" s="12">
        <f t="shared" ref="L7:L29" si="2">J7*K7</f>
        <v>0</v>
      </c>
    </row>
    <row r="8" spans="1:12" x14ac:dyDescent="0.25">
      <c r="B8" s="12"/>
      <c r="C8" s="12"/>
      <c r="D8" s="12"/>
      <c r="E8" s="12">
        <f t="shared" si="0"/>
        <v>0</v>
      </c>
      <c r="F8" s="12"/>
      <c r="G8" s="12"/>
      <c r="H8" s="12"/>
      <c r="I8" s="12">
        <f t="shared" si="1"/>
        <v>0</v>
      </c>
      <c r="J8" s="12"/>
      <c r="K8" s="12"/>
      <c r="L8" s="12">
        <f t="shared" si="2"/>
        <v>0</v>
      </c>
    </row>
    <row r="9" spans="1:12" x14ac:dyDescent="0.25">
      <c r="B9" s="12" t="s">
        <v>114</v>
      </c>
      <c r="C9" s="12"/>
      <c r="D9" s="12"/>
      <c r="E9" s="12">
        <f t="shared" si="0"/>
        <v>0</v>
      </c>
      <c r="F9" s="12" t="s">
        <v>112</v>
      </c>
      <c r="G9" s="12"/>
      <c r="H9" s="12"/>
      <c r="I9" s="12">
        <f t="shared" si="1"/>
        <v>0</v>
      </c>
      <c r="J9" s="12"/>
      <c r="K9" s="12"/>
      <c r="L9" s="12">
        <f t="shared" si="2"/>
        <v>0</v>
      </c>
    </row>
    <row r="10" spans="1:12" x14ac:dyDescent="0.25">
      <c r="B10" s="12"/>
      <c r="C10" s="12"/>
      <c r="D10" s="12"/>
      <c r="E10" s="12">
        <f t="shared" si="0"/>
        <v>0</v>
      </c>
      <c r="F10" s="12" t="s">
        <v>113</v>
      </c>
      <c r="G10" s="12"/>
      <c r="H10" s="12"/>
      <c r="I10" s="12">
        <f t="shared" si="1"/>
        <v>0</v>
      </c>
      <c r="J10" s="12"/>
      <c r="K10" s="12"/>
      <c r="L10" s="12">
        <f t="shared" si="2"/>
        <v>0</v>
      </c>
    </row>
    <row r="11" spans="1:12" x14ac:dyDescent="0.25">
      <c r="B11" s="12"/>
      <c r="C11" s="12"/>
      <c r="D11" s="12"/>
      <c r="E11" s="12">
        <f t="shared" si="0"/>
        <v>0</v>
      </c>
      <c r="F11" s="12"/>
      <c r="G11" s="12"/>
      <c r="H11" s="12"/>
      <c r="I11" s="12">
        <f t="shared" si="1"/>
        <v>0</v>
      </c>
      <c r="J11" s="12"/>
      <c r="K11" s="12"/>
      <c r="L11" s="12">
        <f t="shared" si="2"/>
        <v>0</v>
      </c>
    </row>
    <row r="12" spans="1:12" x14ac:dyDescent="0.25">
      <c r="B12" s="12"/>
      <c r="C12" s="12"/>
      <c r="D12" s="12"/>
      <c r="E12" s="12">
        <f t="shared" si="0"/>
        <v>0</v>
      </c>
      <c r="F12" s="12"/>
      <c r="G12" s="12"/>
      <c r="H12" s="12"/>
      <c r="I12" s="12">
        <f t="shared" si="1"/>
        <v>0</v>
      </c>
      <c r="J12" s="12"/>
      <c r="K12" s="12"/>
      <c r="L12" s="12">
        <f t="shared" si="2"/>
        <v>0</v>
      </c>
    </row>
    <row r="13" spans="1:12" x14ac:dyDescent="0.25">
      <c r="B13" s="12" t="s">
        <v>115</v>
      </c>
      <c r="C13" s="12"/>
      <c r="D13" s="12"/>
      <c r="E13" s="12">
        <f t="shared" si="0"/>
        <v>0</v>
      </c>
      <c r="F13" s="12" t="s">
        <v>112</v>
      </c>
      <c r="G13" s="12"/>
      <c r="H13" s="12"/>
      <c r="I13" s="12">
        <f t="shared" si="1"/>
        <v>0</v>
      </c>
      <c r="J13" s="12"/>
      <c r="K13" s="12"/>
      <c r="L13" s="12">
        <f t="shared" si="2"/>
        <v>0</v>
      </c>
    </row>
    <row r="14" spans="1:12" x14ac:dyDescent="0.25">
      <c r="B14" s="12"/>
      <c r="C14" s="12"/>
      <c r="D14" s="12"/>
      <c r="E14" s="12">
        <f t="shared" si="0"/>
        <v>0</v>
      </c>
      <c r="F14" s="12" t="s">
        <v>113</v>
      </c>
      <c r="G14" s="12"/>
      <c r="H14" s="12"/>
      <c r="I14" s="12">
        <f t="shared" si="1"/>
        <v>0</v>
      </c>
      <c r="J14" s="12"/>
      <c r="K14" s="12"/>
      <c r="L14" s="12">
        <f t="shared" si="2"/>
        <v>0</v>
      </c>
    </row>
    <row r="15" spans="1:12" x14ac:dyDescent="0.25">
      <c r="B15" s="12"/>
      <c r="C15" s="12"/>
      <c r="D15" s="12"/>
      <c r="E15" s="12">
        <f t="shared" si="0"/>
        <v>0</v>
      </c>
      <c r="F15" s="12"/>
      <c r="G15" s="12"/>
      <c r="H15" s="12"/>
      <c r="I15" s="12">
        <f t="shared" si="1"/>
        <v>0</v>
      </c>
      <c r="J15" s="12"/>
      <c r="K15" s="12"/>
      <c r="L15" s="12">
        <f t="shared" si="2"/>
        <v>0</v>
      </c>
    </row>
    <row r="16" spans="1:12" x14ac:dyDescent="0.25">
      <c r="B16" s="12"/>
      <c r="C16" s="12"/>
      <c r="D16" s="12"/>
      <c r="E16" s="12">
        <f t="shared" si="0"/>
        <v>0</v>
      </c>
      <c r="F16" s="12"/>
      <c r="G16" s="12"/>
      <c r="H16" s="12"/>
      <c r="I16" s="12">
        <f t="shared" si="1"/>
        <v>0</v>
      </c>
      <c r="J16" s="12"/>
      <c r="K16" s="12"/>
      <c r="L16" s="12">
        <f t="shared" si="2"/>
        <v>0</v>
      </c>
    </row>
    <row r="17" spans="2:12" x14ac:dyDescent="0.25">
      <c r="B17" s="12" t="s">
        <v>116</v>
      </c>
      <c r="C17" s="12"/>
      <c r="D17" s="12"/>
      <c r="E17" s="12">
        <f t="shared" si="0"/>
        <v>0</v>
      </c>
      <c r="F17" s="12" t="s">
        <v>112</v>
      </c>
      <c r="G17" s="12"/>
      <c r="H17" s="12"/>
      <c r="I17" s="12">
        <f t="shared" si="1"/>
        <v>0</v>
      </c>
      <c r="J17" s="12"/>
      <c r="K17" s="12"/>
      <c r="L17" s="12">
        <f t="shared" si="2"/>
        <v>0</v>
      </c>
    </row>
    <row r="18" spans="2:12" x14ac:dyDescent="0.25">
      <c r="B18" s="12"/>
      <c r="C18" s="12"/>
      <c r="D18" s="12"/>
      <c r="E18" s="12">
        <f t="shared" si="0"/>
        <v>0</v>
      </c>
      <c r="F18" s="12" t="s">
        <v>113</v>
      </c>
      <c r="G18" s="12"/>
      <c r="H18" s="12"/>
      <c r="I18" s="12">
        <f t="shared" si="1"/>
        <v>0</v>
      </c>
      <c r="J18" s="12"/>
      <c r="K18" s="12"/>
      <c r="L18" s="12">
        <f t="shared" si="2"/>
        <v>0</v>
      </c>
    </row>
    <row r="19" spans="2:12" x14ac:dyDescent="0.25">
      <c r="B19" s="12"/>
      <c r="C19" s="12"/>
      <c r="D19" s="12"/>
      <c r="E19" s="12">
        <f t="shared" si="0"/>
        <v>0</v>
      </c>
      <c r="F19" s="12"/>
      <c r="G19" s="12"/>
      <c r="H19" s="12"/>
      <c r="I19" s="12">
        <f t="shared" si="1"/>
        <v>0</v>
      </c>
      <c r="J19" s="12"/>
      <c r="K19" s="12"/>
      <c r="L19" s="12">
        <f t="shared" si="2"/>
        <v>0</v>
      </c>
    </row>
    <row r="20" spans="2:12" x14ac:dyDescent="0.25">
      <c r="B20" s="12" t="s">
        <v>116</v>
      </c>
      <c r="C20" s="12"/>
      <c r="D20" s="12"/>
      <c r="E20" s="12">
        <f t="shared" si="0"/>
        <v>0</v>
      </c>
      <c r="F20" s="12" t="s">
        <v>112</v>
      </c>
      <c r="G20" s="12"/>
      <c r="H20" s="12"/>
      <c r="I20" s="12">
        <f t="shared" si="1"/>
        <v>0</v>
      </c>
      <c r="J20" s="12"/>
      <c r="K20" s="12"/>
      <c r="L20" s="12">
        <f t="shared" si="2"/>
        <v>0</v>
      </c>
    </row>
    <row r="21" spans="2:12" x14ac:dyDescent="0.25">
      <c r="B21" s="12"/>
      <c r="C21" s="12"/>
      <c r="D21" s="12"/>
      <c r="E21" s="12">
        <f t="shared" si="0"/>
        <v>0</v>
      </c>
      <c r="F21" s="12" t="s">
        <v>113</v>
      </c>
      <c r="G21" s="12"/>
      <c r="H21" s="12"/>
      <c r="I21" s="12">
        <f t="shared" si="1"/>
        <v>0</v>
      </c>
      <c r="J21" s="12"/>
      <c r="K21" s="12"/>
      <c r="L21" s="12">
        <f t="shared" si="2"/>
        <v>0</v>
      </c>
    </row>
    <row r="22" spans="2:12" x14ac:dyDescent="0.25">
      <c r="B22" s="12"/>
      <c r="C22" s="12"/>
      <c r="D22" s="12"/>
      <c r="E22" s="12">
        <f t="shared" si="0"/>
        <v>0</v>
      </c>
      <c r="F22" s="12"/>
      <c r="G22" s="12"/>
      <c r="H22" s="12"/>
      <c r="I22" s="12">
        <f t="shared" si="1"/>
        <v>0</v>
      </c>
      <c r="J22" s="12"/>
      <c r="K22" s="12"/>
      <c r="L22" s="12">
        <f t="shared" si="2"/>
        <v>0</v>
      </c>
    </row>
    <row r="23" spans="2:12" x14ac:dyDescent="0.25">
      <c r="B23" s="12" t="s">
        <v>117</v>
      </c>
      <c r="C23" s="12"/>
      <c r="D23" s="12"/>
      <c r="E23" s="12">
        <f t="shared" si="0"/>
        <v>0</v>
      </c>
      <c r="F23" s="12" t="s">
        <v>118</v>
      </c>
      <c r="G23" s="12"/>
      <c r="H23" s="12"/>
      <c r="I23" s="12">
        <f t="shared" si="1"/>
        <v>0</v>
      </c>
      <c r="J23" s="12"/>
      <c r="K23" s="12"/>
      <c r="L23" s="12">
        <f t="shared" si="2"/>
        <v>0</v>
      </c>
    </row>
    <row r="24" spans="2:12" x14ac:dyDescent="0.25">
      <c r="B24" s="12" t="s">
        <v>119</v>
      </c>
      <c r="C24" s="12"/>
      <c r="D24" s="12"/>
      <c r="E24" s="12">
        <f t="shared" si="0"/>
        <v>0</v>
      </c>
      <c r="F24" s="12" t="s">
        <v>118</v>
      </c>
      <c r="G24" s="12"/>
      <c r="H24" s="12"/>
      <c r="I24" s="12">
        <f t="shared" si="1"/>
        <v>0</v>
      </c>
      <c r="J24" s="12"/>
      <c r="K24" s="12"/>
      <c r="L24" s="12">
        <f t="shared" si="2"/>
        <v>0</v>
      </c>
    </row>
    <row r="25" spans="2:12" x14ac:dyDescent="0.25">
      <c r="B25" s="12" t="s">
        <v>120</v>
      </c>
      <c r="C25" s="12"/>
      <c r="D25" s="12"/>
      <c r="E25" s="12">
        <f t="shared" si="0"/>
        <v>0</v>
      </c>
      <c r="F25" s="12" t="s">
        <v>118</v>
      </c>
      <c r="G25" s="12"/>
      <c r="H25" s="12"/>
      <c r="I25" s="12">
        <f t="shared" si="1"/>
        <v>0</v>
      </c>
      <c r="J25" s="12"/>
      <c r="K25" s="12"/>
      <c r="L25" s="12">
        <f t="shared" si="2"/>
        <v>0</v>
      </c>
    </row>
    <row r="26" spans="2:12" x14ac:dyDescent="0.25">
      <c r="B26" s="12"/>
      <c r="C26" s="12"/>
      <c r="D26" s="12"/>
      <c r="E26" s="12">
        <f t="shared" si="0"/>
        <v>0</v>
      </c>
      <c r="F26" s="12"/>
      <c r="G26" s="12"/>
      <c r="H26" s="12"/>
      <c r="I26" s="12">
        <f t="shared" si="1"/>
        <v>0</v>
      </c>
      <c r="J26" s="12"/>
      <c r="K26" s="12"/>
      <c r="L26" s="12">
        <f t="shared" si="2"/>
        <v>0</v>
      </c>
    </row>
    <row r="27" spans="2:12" x14ac:dyDescent="0.25">
      <c r="B27" s="12" t="s">
        <v>121</v>
      </c>
      <c r="C27" s="12"/>
      <c r="D27" s="12"/>
      <c r="E27" s="12">
        <f t="shared" si="0"/>
        <v>0</v>
      </c>
      <c r="F27" s="12"/>
      <c r="G27" s="12"/>
      <c r="H27" s="12"/>
      <c r="I27" s="12">
        <f t="shared" si="1"/>
        <v>0</v>
      </c>
      <c r="J27" s="12"/>
      <c r="K27" s="12"/>
      <c r="L27" s="12">
        <f t="shared" si="2"/>
        <v>0</v>
      </c>
    </row>
    <row r="28" spans="2:12" x14ac:dyDescent="0.25">
      <c r="B28" s="12" t="s">
        <v>122</v>
      </c>
      <c r="C28" s="12"/>
      <c r="D28" s="12"/>
      <c r="E28" s="12">
        <f t="shared" si="0"/>
        <v>0</v>
      </c>
      <c r="F28" s="12"/>
      <c r="G28" s="12"/>
      <c r="H28" s="12"/>
      <c r="I28" s="12">
        <f t="shared" si="1"/>
        <v>0</v>
      </c>
      <c r="J28" s="12"/>
      <c r="K28" s="12"/>
      <c r="L28" s="12">
        <f t="shared" si="2"/>
        <v>0</v>
      </c>
    </row>
    <row r="29" spans="2:12" x14ac:dyDescent="0.25">
      <c r="B29" s="12" t="s">
        <v>123</v>
      </c>
      <c r="C29" s="12"/>
      <c r="D29" s="12"/>
      <c r="E29" s="12">
        <f t="shared" si="0"/>
        <v>0</v>
      </c>
      <c r="F29" s="12"/>
      <c r="G29" s="12"/>
      <c r="H29" s="12"/>
      <c r="I29" s="12">
        <f t="shared" si="1"/>
        <v>0</v>
      </c>
      <c r="J29" s="12"/>
      <c r="K29" s="12"/>
      <c r="L29" s="12">
        <f t="shared" si="2"/>
        <v>0</v>
      </c>
    </row>
    <row r="30" spans="2:12" x14ac:dyDescent="0.25">
      <c r="B30" s="12" t="s">
        <v>124</v>
      </c>
      <c r="C30" s="12"/>
      <c r="D30" s="12"/>
      <c r="E30" s="12">
        <f t="shared" si="0"/>
        <v>0</v>
      </c>
      <c r="F30" s="12"/>
      <c r="G30" s="12"/>
      <c r="H30" s="12"/>
      <c r="I30" s="12">
        <f>G30*H30</f>
        <v>0</v>
      </c>
      <c r="J30" s="12"/>
      <c r="K30" s="12"/>
      <c r="L30" s="12">
        <f>J30*K30</f>
        <v>0</v>
      </c>
    </row>
    <row r="31" spans="2:12" x14ac:dyDescent="0.25">
      <c r="B31" s="12"/>
      <c r="C31" s="12"/>
      <c r="D31" s="12"/>
      <c r="E31" s="12">
        <f t="shared" si="0"/>
        <v>0</v>
      </c>
      <c r="F31" s="12"/>
      <c r="G31" s="12"/>
      <c r="H31" s="12"/>
      <c r="I31" s="12">
        <f>G31*H31</f>
        <v>0</v>
      </c>
      <c r="J31" s="12"/>
      <c r="K31" s="12"/>
      <c r="L31" s="12">
        <f>J31*K31</f>
        <v>0</v>
      </c>
    </row>
    <row r="32" spans="2:12" x14ac:dyDescent="0.25">
      <c r="B32" s="12"/>
      <c r="C32" s="12"/>
      <c r="D32" s="12"/>
      <c r="E32" s="12">
        <f t="shared" si="0"/>
        <v>0</v>
      </c>
      <c r="F32" s="12"/>
      <c r="G32" s="12"/>
      <c r="H32" s="12"/>
      <c r="I32" s="12">
        <f>G32*H32</f>
        <v>0</v>
      </c>
      <c r="J32" s="12"/>
      <c r="K32" s="12"/>
      <c r="L32" s="12">
        <f>J32*K32</f>
        <v>0</v>
      </c>
    </row>
    <row r="33" spans="2:12" x14ac:dyDescent="0.25">
      <c r="B33" s="12"/>
      <c r="C33" s="12"/>
      <c r="D33" s="12"/>
      <c r="E33" s="12">
        <f t="shared" si="0"/>
        <v>0</v>
      </c>
      <c r="F33" s="12"/>
      <c r="G33" s="12"/>
      <c r="H33" s="12"/>
      <c r="I33" s="12">
        <f>G33*H33</f>
        <v>0</v>
      </c>
      <c r="J33" s="12"/>
      <c r="K33" s="12"/>
      <c r="L33" s="12">
        <f>J33*K33</f>
        <v>0</v>
      </c>
    </row>
    <row r="34" spans="2:12" x14ac:dyDescent="0.25">
      <c r="B34" s="12" t="s">
        <v>73</v>
      </c>
      <c r="C34" s="12"/>
      <c r="D34" s="12">
        <f>E34*10.764</f>
        <v>0</v>
      </c>
      <c r="E34" s="12">
        <f>SUM(E6:E33)</f>
        <v>0</v>
      </c>
      <c r="F34" s="12"/>
      <c r="G34" s="12"/>
      <c r="H34" s="12">
        <f>I34*10.764</f>
        <v>0</v>
      </c>
      <c r="I34" s="12">
        <f>SUM(I6:I33)</f>
        <v>0</v>
      </c>
      <c r="J34" s="12"/>
      <c r="K34" s="12">
        <f>L34*10.764</f>
        <v>0</v>
      </c>
      <c r="L34" s="12">
        <f>SUM(L6:L33)</f>
        <v>0</v>
      </c>
    </row>
    <row r="36" spans="2:12" x14ac:dyDescent="0.25">
      <c r="D36">
        <f>D34+H34</f>
        <v>0</v>
      </c>
      <c r="E36">
        <f>E34+I34</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Report (2)</vt:lpstr>
      <vt:lpstr>VALUATION</vt:lpstr>
      <vt:lpstr>Note</vt:lpstr>
      <vt:lpstr>5</vt:lpstr>
      <vt:lpstr>8</vt:lpstr>
      <vt:lpstr>9</vt:lpstr>
      <vt:lpstr>10, 11</vt:lpstr>
      <vt:lpstr>Flat detail</vt:lpstr>
      <vt:lpstr>'Report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2025-09-19T05:39:32Z</cp:lastPrinted>
  <dcterms:created xsi:type="dcterms:W3CDTF">2019-07-16T09:29:46Z</dcterms:created>
  <dcterms:modified xsi:type="dcterms:W3CDTF">2025-09-19T05:40:55Z</dcterms:modified>
</cp:coreProperties>
</file>