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Sept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3" i="1" l="1"/>
  <c r="E3" i="1" l="1"/>
  <c r="K196" i="1" l="1"/>
  <c r="D172" i="1" l="1"/>
  <c r="D171" i="1"/>
  <c r="D170" i="1"/>
  <c r="D169" i="1"/>
  <c r="D168" i="1"/>
  <c r="D167" i="1"/>
  <c r="E128" i="1" l="1"/>
  <c r="D8" i="5"/>
  <c r="C8" i="5"/>
  <c r="E18" i="5"/>
  <c r="D200" i="1"/>
  <c r="F200" i="1" s="1"/>
  <c r="K200" i="1" s="1"/>
  <c r="D199" i="1"/>
  <c r="F199" i="1" s="1"/>
  <c r="D198" i="1"/>
  <c r="F198" i="1" s="1"/>
  <c r="D197" i="1"/>
  <c r="D184" i="1"/>
  <c r="F184" i="1" s="1"/>
  <c r="I184" i="1" s="1"/>
  <c r="D183" i="1"/>
  <c r="F183" i="1" s="1"/>
  <c r="I183" i="1" s="1"/>
  <c r="D182" i="1"/>
  <c r="F182" i="1" s="1"/>
  <c r="D181" i="1"/>
  <c r="F172" i="1"/>
  <c r="F171" i="1"/>
  <c r="F170" i="1"/>
  <c r="F169" i="1"/>
  <c r="F168" i="1"/>
  <c r="F167" i="1"/>
  <c r="D164" i="1"/>
  <c r="F164" i="1" s="1"/>
  <c r="D163" i="1"/>
  <c r="F163" i="1" s="1"/>
  <c r="D162" i="1"/>
  <c r="F162" i="1" s="1"/>
  <c r="D161" i="1"/>
  <c r="F161" i="1" s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D149" i="1"/>
  <c r="F149" i="1" s="1"/>
  <c r="D148" i="1"/>
  <c r="F148" i="1" s="1"/>
  <c r="D147" i="1"/>
  <c r="D146" i="1"/>
  <c r="D145" i="1"/>
  <c r="D144" i="1"/>
  <c r="D193" i="1"/>
  <c r="F193" i="1" s="1"/>
  <c r="D192" i="1"/>
  <c r="F192" i="1" s="1"/>
  <c r="I192" i="1" s="1"/>
  <c r="D191" i="1"/>
  <c r="F191" i="1" s="1"/>
  <c r="I191" i="1" s="1"/>
  <c r="D190" i="1"/>
  <c r="F190" i="1" s="1"/>
  <c r="D189" i="1"/>
  <c r="F189" i="1" s="1"/>
  <c r="E12" i="5" s="1"/>
  <c r="D188" i="1"/>
  <c r="I188" i="1"/>
  <c r="I181" i="1"/>
  <c r="G188" i="1"/>
  <c r="A189" i="1"/>
  <c r="A190" i="1" s="1"/>
  <c r="A191" i="1" s="1"/>
  <c r="A192" i="1" s="1"/>
  <c r="A193" i="1" s="1"/>
  <c r="I152" i="1"/>
  <c r="A153" i="1"/>
  <c r="A154" i="1" s="1"/>
  <c r="A155" i="1" s="1"/>
  <c r="A156" i="1" s="1"/>
  <c r="A157" i="1" s="1"/>
  <c r="G152" i="1"/>
  <c r="A198" i="1"/>
  <c r="A199" i="1" s="1"/>
  <c r="A200" i="1" s="1"/>
  <c r="G197" i="1"/>
  <c r="A168" i="1"/>
  <c r="A169" i="1" s="1"/>
  <c r="A170" i="1" s="1"/>
  <c r="A171" i="1" s="1"/>
  <c r="A172" i="1" s="1"/>
  <c r="I167" i="1"/>
  <c r="G167" i="1"/>
  <c r="I144" i="1"/>
  <c r="B203" i="1"/>
  <c r="A182" i="1"/>
  <c r="A183" i="1" s="1"/>
  <c r="A184" i="1" s="1"/>
  <c r="G181" i="1"/>
  <c r="E126" i="1" l="1"/>
  <c r="I190" i="1"/>
  <c r="I189" i="1"/>
  <c r="F181" i="1"/>
  <c r="E132" i="1"/>
  <c r="E134" i="1"/>
  <c r="F197" i="1"/>
  <c r="E133" i="1"/>
  <c r="F188" i="1"/>
  <c r="E127" i="1"/>
  <c r="I198" i="1"/>
  <c r="K198" i="1"/>
  <c r="I199" i="1"/>
  <c r="K199" i="1"/>
  <c r="C134" i="1"/>
  <c r="C132" i="1"/>
  <c r="C126" i="1"/>
  <c r="C128" i="1"/>
  <c r="C133" i="1"/>
  <c r="C127" i="1"/>
  <c r="G128" i="1"/>
  <c r="F152" i="1"/>
  <c r="G127" i="1" s="1"/>
  <c r="A158" i="1"/>
  <c r="A159" i="1" s="1"/>
  <c r="A160" i="1" s="1"/>
  <c r="A161" i="1" s="1"/>
  <c r="A162" i="1" s="1"/>
  <c r="A163" i="1" s="1"/>
  <c r="A164" i="1" s="1"/>
  <c r="C14" i="1"/>
  <c r="I197" i="1" l="1"/>
  <c r="G134" i="1"/>
  <c r="K197" i="1"/>
  <c r="G133" i="1"/>
  <c r="J188" i="1"/>
  <c r="E13" i="5"/>
  <c r="G132" i="1"/>
  <c r="E11" i="5"/>
  <c r="F11" i="5" s="1"/>
  <c r="G11" i="5" s="1"/>
  <c r="E129" i="1"/>
  <c r="E135" i="1"/>
  <c r="C135" i="1"/>
  <c r="C129" i="1"/>
  <c r="E29" i="1"/>
  <c r="G135" i="1" l="1"/>
  <c r="F145" i="1" l="1"/>
  <c r="F146" i="1"/>
  <c r="F147" i="1"/>
  <c r="F144" i="1"/>
  <c r="G126" i="1" l="1"/>
  <c r="G129" i="1" s="1"/>
  <c r="B204" i="1"/>
  <c r="D226" i="1" l="1"/>
  <c r="A145" i="1"/>
  <c r="A146" i="1" s="1"/>
  <c r="A147" i="1" s="1"/>
  <c r="A148" i="1" s="1"/>
  <c r="A149" i="1" s="1"/>
  <c r="G144" i="1"/>
  <c r="J106" i="1"/>
  <c r="J105" i="1"/>
  <c r="J104" i="1"/>
  <c r="J103" i="1"/>
  <c r="C95" i="1"/>
  <c r="J92" i="1"/>
  <c r="J91" i="1"/>
  <c r="J90" i="1"/>
  <c r="J89" i="1"/>
  <c r="C81" i="1"/>
  <c r="J78" i="1"/>
  <c r="J77" i="1"/>
  <c r="J76" i="1"/>
  <c r="J75" i="1"/>
  <c r="D54" i="1"/>
  <c r="G49" i="1"/>
  <c r="G50" i="1" s="1"/>
  <c r="C49" i="1"/>
  <c r="C50" i="1" s="1"/>
  <c r="E42" i="1"/>
  <c r="E43" i="1" s="1"/>
  <c r="E26" i="1"/>
  <c r="E24" i="1"/>
  <c r="E7" i="1"/>
  <c r="H82" i="1"/>
  <c r="H68" i="1"/>
  <c r="H96" i="1"/>
  <c r="D61" i="1" l="1"/>
  <c r="D92" i="1"/>
  <c r="D93" i="1"/>
  <c r="D94" i="1"/>
  <c r="D88" i="1"/>
  <c r="D89" i="1"/>
  <c r="D90" i="1"/>
  <c r="D91" i="1"/>
  <c r="J81" i="1"/>
  <c r="J83" i="1" s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80" i="1" s="1"/>
  <c r="C72" i="1" s="1"/>
  <c r="J95" i="1"/>
  <c r="J97" i="1" s="1"/>
  <c r="J99" i="1"/>
  <c r="D108" i="1"/>
  <c r="D106" i="1"/>
  <c r="D104" i="1"/>
  <c r="D102" i="1"/>
  <c r="J100" i="1"/>
  <c r="C99" i="1" s="1"/>
  <c r="J98" i="1"/>
  <c r="J101" i="1"/>
  <c r="J102" i="1" s="1"/>
  <c r="J107" i="1" s="1"/>
  <c r="J108" i="1" s="1"/>
  <c r="C100" i="1" s="1"/>
  <c r="D107" i="1"/>
  <c r="D105" i="1"/>
  <c r="D103" i="1"/>
  <c r="J87" i="1"/>
  <c r="J88" i="1" s="1"/>
  <c r="J93" i="1" s="1"/>
  <c r="J85" i="1"/>
  <c r="J86" i="1"/>
  <c r="C85" i="1" s="1"/>
  <c r="J84" i="1"/>
  <c r="J94" i="1" l="1"/>
  <c r="C86" i="1" s="1"/>
  <c r="D86" i="1" s="1"/>
  <c r="D101" i="1"/>
  <c r="D99" i="1"/>
  <c r="D87" i="1"/>
  <c r="D73" i="1"/>
  <c r="J69" i="1"/>
  <c r="E71" i="1"/>
  <c r="D72" i="1"/>
  <c r="G71" i="1"/>
  <c r="D65" i="1" s="1"/>
  <c r="D66" i="1" s="1"/>
  <c r="D71" i="1"/>
  <c r="D85" i="1"/>
  <c r="E99" i="1"/>
  <c r="D100" i="1"/>
  <c r="G99" i="1"/>
  <c r="J82" i="1" l="1"/>
  <c r="G85" i="1"/>
  <c r="E85" i="1"/>
  <c r="I68" i="1"/>
  <c r="J68" i="1"/>
  <c r="I96" i="1"/>
  <c r="J96" i="1"/>
  <c r="I82" i="1"/>
  <c r="F66" i="1"/>
  <c r="I69" i="1" l="1"/>
  <c r="I67" i="1" s="1"/>
  <c r="C69" i="1" s="1"/>
  <c r="I97" i="1"/>
  <c r="I95" i="1" s="1"/>
  <c r="C97" i="1" s="1"/>
  <c r="I83" i="1"/>
  <c r="I81" i="1" s="1"/>
  <c r="C83" i="1" s="1"/>
</calcChain>
</file>

<file path=xl/sharedStrings.xml><?xml version="1.0" encoding="utf-8"?>
<sst xmlns="http://schemas.openxmlformats.org/spreadsheetml/2006/main" count="406" uniqueCount="236">
  <si>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</si>
  <si>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</si>
  <si>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</si>
  <si>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</si>
  <si>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</si>
  <si>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</si>
  <si>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</si>
  <si>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</si>
  <si>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</si>
  <si>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</si>
  <si>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</si>
  <si>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</si>
  <si>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</si>
  <si>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</si>
  <si>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</si>
  <si>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</si>
  <si>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</si>
  <si>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</si>
  <si>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</si>
  <si>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</si>
  <si>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</si>
  <si>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</si>
  <si>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</si>
  <si>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</si>
  <si>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</si>
  <si>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</si>
  <si>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</si>
  <si>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</si>
  <si>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</si>
  <si>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</si>
  <si>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</si>
  <si>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</si>
  <si>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</si>
  <si>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</si>
  <si>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</si>
  <si>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</si>
  <si>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</si>
  <si>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</si>
  <si>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</si>
  <si>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</si>
  <si>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</si>
  <si>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</si>
  <si>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</si>
  <si>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</si>
  <si>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</si>
  <si>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</si>
  <si>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</si>
  <si>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</si>
  <si>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</si>
  <si>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</si>
  <si>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</si>
  <si>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</si>
  <si>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</si>
  <si>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</si>
  <si>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</si>
  <si>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</si>
  <si>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</si>
  <si>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</si>
  <si>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</si>
  <si>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</si>
  <si>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</si>
  <si>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</si>
  <si>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</si>
  <si>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</si>
  <si>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</si>
  <si>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</si>
  <si>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</si>
  <si>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</si>
  <si>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</si>
  <si>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</si>
  <si>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</si>
  <si>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</si>
  <si>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</si>
  <si>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</si>
  <si>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</si>
  <si>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</si>
  <si>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</si>
  <si>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</si>
  <si>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</si>
  <si>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</si>
  <si>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</si>
  <si>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</si>
  <si>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</si>
  <si>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</si>
  <si>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</si>
  <si>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</si>
  <si>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</si>
  <si>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</si>
  <si>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</si>
  <si>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</si>
  <si>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</si>
  <si>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</si>
  <si>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</si>
  <si>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</si>
  <si>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</si>
  <si>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</si>
  <si>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</si>
  <si>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</si>
  <si>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</si>
  <si>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</si>
  <si>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</si>
  <si>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</si>
  <si>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</si>
  <si>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</si>
  <si>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</si>
  <si>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</si>
  <si>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</si>
  <si>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</si>
  <si>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</si>
  <si>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</si>
  <si>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NA
Approved upto : NA</t>
  </si>
  <si>
    <t>Report By :</t>
  </si>
  <si>
    <t>Average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</si>
  <si>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</si>
  <si>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</si>
  <si>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</si>
  <si>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</si>
  <si>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</si>
  <si>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</si>
  <si>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</si>
  <si>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</si>
  <si>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</si>
  <si>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</si>
  <si>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</si>
  <si>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</si>
  <si>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</si>
  <si>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</si>
  <si>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</si>
  <si>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</si>
  <si>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</si>
  <si>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</si>
  <si>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</si>
  <si>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</si>
  <si>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</si>
  <si>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</si>
  <si>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</si>
  <si>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</si>
  <si>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</si>
  <si>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</si>
  <si>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</si>
  <si>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</si>
  <si>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</si>
  <si>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</si>
  <si>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</si>
  <si>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</si>
  <si>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</si>
  <si>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</si>
  <si>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</si>
  <si>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</si>
  <si>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</si>
  <si>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</si>
  <si>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</si>
  <si>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</si>
  <si>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</si>
  <si>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</si>
  <si>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</si>
  <si>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</si>
  <si>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</si>
  <si>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</si>
  <si>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</si>
  <si>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</si>
  <si>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</si>
  <si>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</si>
  <si>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</si>
  <si>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Axis Goregaon</t>
  </si>
  <si>
    <t>Aditi Builders And Developers</t>
  </si>
  <si>
    <t>Seven Heights</t>
  </si>
  <si>
    <t>P99000047103</t>
  </si>
  <si>
    <t>Gut No</t>
  </si>
  <si>
    <t>108, 111, 112, 113, 115, 116 &amp; 118</t>
  </si>
  <si>
    <t>Betegaon</t>
  </si>
  <si>
    <t>Palghar</t>
  </si>
  <si>
    <t>Commencement-CC No
Valid Up to: 
(Building No.02)</t>
  </si>
  <si>
    <t>Wing A (Type B13) = Gr/Stilt + 1st to 7th Floor</t>
  </si>
  <si>
    <t>Wing C (Type B13) = Gr/Stilt + 1st to 7th Floor</t>
  </si>
  <si>
    <t>As per RERA - 31/12/2025</t>
  </si>
  <si>
    <t>Wing A (Type B13)</t>
  </si>
  <si>
    <t>Ground Floor for Commercial &amp; Parking</t>
  </si>
  <si>
    <t>Shop</t>
  </si>
  <si>
    <t>Wing C (Type B13)</t>
  </si>
  <si>
    <t>1st to 4th Floor for Residential</t>
  </si>
  <si>
    <t>1BHK</t>
  </si>
  <si>
    <t>Wing B (Type C09)</t>
  </si>
  <si>
    <t>2BHK</t>
  </si>
  <si>
    <t>Wing B (Type B09)</t>
  </si>
  <si>
    <t>Flats - 56, Shops - 25</t>
  </si>
  <si>
    <t>We considered Gross carpet area = Net carpet + Balcony + C.B. Area.</t>
  </si>
  <si>
    <t>As per Cost Sheet</t>
  </si>
  <si>
    <t>As per Inspection Sheet</t>
  </si>
  <si>
    <t>As per MIS</t>
  </si>
  <si>
    <t>As per Online</t>
  </si>
  <si>
    <t>We consider CC from RERA site.</t>
  </si>
  <si>
    <t>Society &amp; Development Charges</t>
  </si>
  <si>
    <t>As per Housing</t>
  </si>
  <si>
    <t>For 1BHK</t>
  </si>
  <si>
    <t>For 2BHK</t>
  </si>
  <si>
    <t>For 395 Sq ft</t>
  </si>
  <si>
    <t>For 595 Sq ft</t>
  </si>
  <si>
    <t>Rate</t>
  </si>
  <si>
    <t>Total Average</t>
  </si>
  <si>
    <t>(refer rate from project ' sai darshan apartment')</t>
  </si>
  <si>
    <t>As per magic bricks</t>
  </si>
  <si>
    <t>Tata Housing Road</t>
  </si>
  <si>
    <t>https://goo.gl/maps/hhuJkrVkYhCahi5d6</t>
  </si>
  <si>
    <t>Internal Road</t>
  </si>
  <si>
    <t>Shiv Darshan Apartment</t>
  </si>
  <si>
    <t>Shree Balaji Paradise</t>
  </si>
  <si>
    <t>4.9KM from Boisar Railway Station</t>
  </si>
  <si>
    <t>For Flat</t>
  </si>
  <si>
    <t>For Shop</t>
  </si>
  <si>
    <t>Boisar West</t>
  </si>
  <si>
    <t>Building No. 2 (Wing A, B &amp; C)</t>
  </si>
  <si>
    <t>3 Wings</t>
  </si>
  <si>
    <t>Zilla Parishad, Palghar</t>
  </si>
  <si>
    <t>JK/PJP/GP/Pradhikan/405</t>
  </si>
  <si>
    <t>Sector IV - Wing A (Type B13), Wing B (Type C9), Wing C (Type B13) = Gr/Stilt + 1st to 4th Floor</t>
  </si>
  <si>
    <t>Wing B (Type C9) = Gr/Stilt + 1st to 7th Floor</t>
  </si>
  <si>
    <t>Wing A (Type B13), Wing B (Type C9), Wing C (Type B13) = Gr/Stilt + 1st to 4th Floor</t>
  </si>
  <si>
    <t>Layout Plan :</t>
  </si>
  <si>
    <t xml:space="preserve">Building No. 2 </t>
  </si>
  <si>
    <t>Sector IV</t>
  </si>
  <si>
    <t>Building No. 2</t>
  </si>
  <si>
    <t xml:space="preserve">Builder Saleable Area </t>
  </si>
  <si>
    <t>market</t>
  </si>
  <si>
    <t xml:space="preserve">1.Vitrified tiles flooring 2. Granite Kitchen Platform  3. Decorative Enternace  etc. 
</t>
  </si>
  <si>
    <t>Office No. 1031, Wing J, Akshar Business Park, Plot No. 03 Sector 25, Near APMC Market, Vashi, Navi Mumbai, Maharashtra 400703 TEL: 022-46090378/79/80                                                                                                   E mail : vsjcapf@gmail.com. Web site : www.vsjadon.com</t>
  </si>
  <si>
    <t>Total Other Charges</t>
  </si>
  <si>
    <t>Rate 3750 + Total other charges 1,40,000/-         On 05/07/2024</t>
  </si>
  <si>
    <t>Trupti Index 2</t>
  </si>
  <si>
    <t>Recommended Rates / Other charges of the Property have been revised on 05/07/2024.</t>
  </si>
  <si>
    <t>Mr. Rathod</t>
  </si>
  <si>
    <t>The project has received first CC on 26/06/2018, But construction work is not yet completed</t>
  </si>
  <si>
    <t>Wing A (Type B13) = Gr/Stilt + 1st to 7th Floor
Wing B (Type C9) = Gr/Stilt + 1st to 7th Floor</t>
  </si>
  <si>
    <t>Shruti Tathare</t>
  </si>
  <si>
    <t>Harshad Pawade</t>
  </si>
  <si>
    <t>Wing A &amp; B = Construction work is same as last visit (dtd. 05/06/2025).
Wing C = Construction work is same as last visit (dtd. 12/12/2024).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</si>
</sst>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0.00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0">
    <xf numFmtId="0" fontId="0" fillId="0" borderId="0" xfId="0"/>
    <xf numFmtId="0" fontId="6" fillId="0" borderId="0" xfId="4"/>
    <xf numFmtId="0" fontId="2" fillId="0" borderId="1" xfId="5" applyBorder="1" applyAlignment="1">
      <alignment horizontal="center" vertical="center"/>
    </xf>
    <xf numFmtId="1" fontId="2" fillId="0" borderId="1" xfId="5" applyNumberForma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16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1" xfId="0" applyFont="1" applyBorder="1" applyProtection="1">
      <protection hidden="1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0" fontId="8" fillId="0" borderId="0" xfId="1" applyFont="1"/>
    <xf numFmtId="0" fontId="16" fillId="0" borderId="0" xfId="1" applyFont="1"/>
    <xf numFmtId="0" fontId="13" fillId="0" borderId="0" xfId="1" applyFont="1"/>
    <xf numFmtId="1" fontId="8" fillId="0" borderId="0" xfId="1" applyNumberFormat="1" applyFont="1"/>
    <xf numFmtId="14" fontId="8" fillId="0" borderId="0" xfId="1" applyNumberFormat="1" applyFont="1"/>
    <xf numFmtId="0" fontId="8" fillId="0" borderId="0" xfId="1" applyFont="1" applyProtection="1">
      <protection hidden="1"/>
    </xf>
    <xf numFmtId="0" fontId="23" fillId="0" borderId="0" xfId="1" applyFont="1"/>
    <xf numFmtId="0" fontId="8" fillId="0" borderId="10" xfId="1" applyFont="1" applyBorder="1"/>
    <xf numFmtId="0" fontId="18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7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68" fontId="7" fillId="0" borderId="1" xfId="1" applyNumberFormat="1" applyFont="1" applyBorder="1" applyAlignment="1" applyProtection="1">
      <alignment horizontal="center" vertical="center" wrapText="1"/>
      <protection locked="0"/>
    </xf>
    <xf numFmtId="2" fontId="8" fillId="0" borderId="0" xfId="1" applyNumberFormat="1" applyFont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0" fontId="2" fillId="0" borderId="0" xfId="5"/>
    <xf numFmtId="0" fontId="10" fillId="0" borderId="0" xfId="5" applyFont="1" applyAlignment="1">
      <alignment horizontal="center" vertical="top" wrapText="1"/>
    </xf>
    <xf numFmtId="0" fontId="2" fillId="0" borderId="0" xfId="5" applyAlignment="1">
      <alignment horizontal="center" vertical="center"/>
    </xf>
    <xf numFmtId="1" fontId="2" fillId="0" borderId="0" xfId="5" applyNumberFormat="1" applyAlignment="1">
      <alignment horizontal="center" vertical="center"/>
    </xf>
    <xf numFmtId="166" fontId="2" fillId="0" borderId="0" xfId="6" applyNumberFormat="1" applyFont="1" applyBorder="1" applyAlignment="1">
      <alignment horizontal="right" vertical="center"/>
    </xf>
    <xf numFmtId="0" fontId="2" fillId="0" borderId="0" xfId="5" applyAlignment="1">
      <alignment horizontal="left" vertical="center" wrapText="1"/>
    </xf>
    <xf numFmtId="0" fontId="10" fillId="0" borderId="0" xfId="5" applyFont="1" applyAlignment="1">
      <alignment horizontal="center" vertical="center"/>
    </xf>
    <xf numFmtId="0" fontId="6" fillId="0" borderId="0" xfId="4" applyAlignment="1">
      <alignment horizontal="center" vertical="center"/>
    </xf>
    <xf numFmtId="0" fontId="19" fillId="0" borderId="0" xfId="4" applyFont="1"/>
    <xf numFmtId="0" fontId="1" fillId="0" borderId="0" xfId="5" applyFont="1" applyAlignment="1">
      <alignment horizontal="center" vertical="center"/>
    </xf>
    <xf numFmtId="0" fontId="1" fillId="0" borderId="0" xfId="5" applyFont="1" applyAlignment="1">
      <alignment horizontal="center" vertical="top" wrapText="1"/>
    </xf>
    <xf numFmtId="0" fontId="1" fillId="0" borderId="1" xfId="5" applyFont="1" applyBorder="1" applyAlignment="1">
      <alignment horizontal="center" vertical="center"/>
    </xf>
    <xf numFmtId="1" fontId="1" fillId="0" borderId="1" xfId="5" applyNumberFormat="1" applyFont="1" applyBorder="1" applyAlignment="1">
      <alignment horizontal="center" vertical="center"/>
    </xf>
    <xf numFmtId="0" fontId="2" fillId="0" borderId="1" xfId="5" applyBorder="1" applyAlignment="1">
      <alignment horizontal="center" vertical="center" wrapText="1"/>
    </xf>
    <xf numFmtId="0" fontId="6" fillId="0" borderId="1" xfId="4" applyBorder="1" applyAlignment="1">
      <alignment horizontal="center" vertical="center" wrapText="1"/>
    </xf>
    <xf numFmtId="1" fontId="10" fillId="0" borderId="1" xfId="5" applyNumberFormat="1" applyFont="1" applyBorder="1" applyAlignment="1">
      <alignment horizontal="center" vertical="center" wrapText="1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 vertical="center"/>
    </xf>
    <xf numFmtId="9" fontId="13" fillId="0" borderId="1" xfId="8" applyFont="1" applyFill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9" fontId="13" fillId="0" borderId="7" xfId="8" applyFont="1" applyFill="1" applyBorder="1" applyAlignment="1" applyProtection="1">
      <alignment horizontal="center" vertical="top" wrapText="1"/>
      <protection locked="0"/>
    </xf>
    <xf numFmtId="1" fontId="13" fillId="0" borderId="1" xfId="1" applyNumberFormat="1" applyFont="1" applyBorder="1" applyAlignment="1" applyProtection="1">
      <alignment horizontal="center" vertical="top" wrapText="1"/>
      <protection locked="0"/>
    </xf>
    <xf numFmtId="0" fontId="10" fillId="0" borderId="0" xfId="5" applyFont="1"/>
    <xf numFmtId="0" fontId="1" fillId="0" borderId="8" xfId="5" applyFont="1" applyBorder="1" applyAlignment="1">
      <alignment horizontal="left" vertical="top" wrapText="1"/>
    </xf>
    <xf numFmtId="0" fontId="1" fillId="0" borderId="8" xfId="5" applyFont="1" applyBorder="1" applyAlignment="1">
      <alignment horizontal="left" vertical="center"/>
    </xf>
    <xf numFmtId="0" fontId="10" fillId="0" borderId="8" xfId="5" applyFont="1" applyBorder="1" applyAlignment="1">
      <alignment horizontal="left" vertical="top"/>
    </xf>
    <xf numFmtId="0" fontId="10" fillId="0" borderId="1" xfId="5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 wrapText="1"/>
    </xf>
    <xf numFmtId="169" fontId="8" fillId="0" borderId="0" xfId="1" applyNumberFormat="1" applyFont="1" applyAlignment="1">
      <alignment horizontal="center" vertical="center"/>
    </xf>
    <xf numFmtId="169" fontId="8" fillId="0" borderId="0" xfId="0" applyNumberFormat="1" applyFont="1" applyAlignment="1">
      <alignment horizontal="center" vertical="center"/>
    </xf>
    <xf numFmtId="1" fontId="9" fillId="0" borderId="24" xfId="1" applyNumberFormat="1" applyFont="1" applyBorder="1" applyAlignment="1" applyProtection="1">
      <alignment horizontal="center" vertical="top" wrapText="1"/>
      <protection locked="0"/>
    </xf>
    <xf numFmtId="0" fontId="8" fillId="0" borderId="2" xfId="1" applyFont="1" applyBorder="1"/>
    <xf numFmtId="0" fontId="24" fillId="2" borderId="1" xfId="0" applyFont="1" applyFill="1" applyBorder="1"/>
    <xf numFmtId="0" fontId="8" fillId="0" borderId="24" xfId="1" applyFont="1" applyBorder="1"/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0" xfId="1" applyFont="1" applyAlignment="1"/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25" fillId="0" borderId="9" xfId="0" applyFont="1" applyBorder="1"/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22" xfId="1" applyFont="1" applyBorder="1" applyAlignment="1" applyProtection="1">
      <alignment horizontal="left" vertical="top" wrapText="1"/>
      <protection locked="0"/>
    </xf>
    <xf numFmtId="0" fontId="14" fillId="0" borderId="15" xfId="1" applyFont="1" applyBorder="1" applyAlignment="1" applyProtection="1">
      <alignment horizontal="left" vertical="top" wrapText="1"/>
      <protection locked="0"/>
    </xf>
    <xf numFmtId="0" fontId="14" fillId="0" borderId="13" xfId="1" applyFont="1" applyBorder="1" applyAlignment="1" applyProtection="1">
      <alignment horizontal="left" vertical="top" wrapText="1"/>
      <protection locked="0"/>
    </xf>
    <xf numFmtId="0" fontId="14" fillId="0" borderId="14" xfId="1" applyFont="1" applyBorder="1" applyAlignment="1" applyProtection="1">
      <alignment horizontal="left" vertical="top" wrapText="1"/>
      <protection locked="0"/>
    </xf>
    <xf numFmtId="0" fontId="14" fillId="0" borderId="23" xfId="1" applyFont="1" applyBorder="1" applyAlignment="1" applyProtection="1">
      <alignment horizontal="left" vertical="top" wrapText="1"/>
      <protection locked="0"/>
    </xf>
    <xf numFmtId="167" fontId="14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9" fillId="0" borderId="8" xfId="0" applyNumberFormat="1" applyFont="1" applyBorder="1" applyAlignment="1" applyProtection="1">
      <alignment vertical="top" wrapText="1"/>
      <protection locked="0"/>
    </xf>
    <xf numFmtId="1" fontId="9" fillId="0" borderId="21" xfId="0" applyNumberFormat="1" applyFont="1" applyBorder="1" applyAlignment="1" applyProtection="1">
      <alignment vertical="top" wrapText="1"/>
      <protection locked="0"/>
    </xf>
    <xf numFmtId="1" fontId="9" fillId="0" borderId="9" xfId="0" applyNumberFormat="1" applyFont="1" applyBorder="1" applyAlignment="1" applyProtection="1">
      <alignment vertical="top" wrapText="1"/>
      <protection locked="0"/>
    </xf>
    <xf numFmtId="1" fontId="14" fillId="0" borderId="8" xfId="0" applyNumberFormat="1" applyFont="1" applyBorder="1" applyAlignment="1" applyProtection="1">
      <alignment vertical="top" wrapText="1"/>
      <protection locked="0"/>
    </xf>
    <xf numFmtId="1" fontId="14" fillId="0" borderId="21" xfId="0" applyNumberFormat="1" applyFont="1" applyBorder="1" applyAlignment="1" applyProtection="1">
      <alignment vertical="top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67" fontId="16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9" fillId="0" borderId="8" xfId="1" applyFont="1" applyBorder="1" applyAlignment="1" applyProtection="1">
      <alignment horizontal="left" vertical="top"/>
      <protection locked="0"/>
    </xf>
    <xf numFmtId="0" fontId="9" fillId="0" borderId="9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9" fontId="13" fillId="0" borderId="17" xfId="8" applyFont="1" applyFill="1" applyBorder="1" applyAlignment="1" applyProtection="1">
      <alignment horizontal="center" vertical="center" wrapText="1"/>
      <protection locked="0"/>
    </xf>
    <xf numFmtId="9" fontId="13" fillId="0" borderId="18" xfId="8" applyFont="1" applyFill="1" applyBorder="1" applyAlignment="1" applyProtection="1">
      <alignment horizontal="center" vertical="center" wrapText="1"/>
      <protection locked="0"/>
    </xf>
    <xf numFmtId="9" fontId="13" fillId="0" borderId="25" xfId="8" applyFont="1" applyFill="1" applyBorder="1" applyAlignment="1" applyProtection="1">
      <alignment horizontal="center" vertical="center" wrapText="1"/>
      <protection locked="0"/>
    </xf>
    <xf numFmtId="9" fontId="13" fillId="0" borderId="26" xfId="8" applyFont="1" applyFill="1" applyBorder="1" applyAlignment="1" applyProtection="1">
      <alignment horizontal="center" vertical="center" wrapText="1"/>
      <protection locked="0"/>
    </xf>
    <xf numFmtId="9" fontId="13" fillId="0" borderId="28" xfId="8" applyFont="1" applyFill="1" applyBorder="1" applyAlignment="1" applyProtection="1">
      <alignment horizontal="center" vertical="center" wrapText="1"/>
      <protection locked="0"/>
    </xf>
    <xf numFmtId="9" fontId="13" fillId="0" borderId="29" xfId="8" applyFont="1" applyFill="1" applyBorder="1" applyAlignment="1" applyProtection="1">
      <alignment horizontal="center" vertical="center" wrapText="1"/>
      <protection locked="0"/>
    </xf>
    <xf numFmtId="9" fontId="13" fillId="0" borderId="27" xfId="8" applyFont="1" applyFill="1" applyBorder="1" applyAlignment="1" applyProtection="1">
      <alignment horizontal="center" vertical="center" wrapText="1"/>
      <protection locked="0"/>
    </xf>
    <xf numFmtId="9" fontId="13" fillId="0" borderId="10" xfId="8" applyFont="1" applyFill="1" applyBorder="1" applyAlignment="1" applyProtection="1">
      <alignment horizontal="center" vertical="center" wrapText="1"/>
      <protection locked="0"/>
    </xf>
    <xf numFmtId="9" fontId="13" fillId="0" borderId="12" xfId="8" applyFont="1" applyFill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16" xfId="1" applyNumberFormat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14" fontId="7" fillId="0" borderId="9" xfId="1" applyNumberFormat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4" fillId="0" borderId="33" xfId="1" applyFont="1" applyBorder="1" applyAlignment="1" applyProtection="1">
      <alignment horizontal="left" vertical="top" wrapText="1"/>
      <protection locked="0"/>
    </xf>
    <xf numFmtId="0" fontId="14" fillId="0" borderId="9" xfId="1" applyFont="1" applyBorder="1" applyAlignment="1" applyProtection="1">
      <alignment horizontal="left" vertical="top" wrapText="1"/>
      <protection locked="0"/>
    </xf>
    <xf numFmtId="0" fontId="14" fillId="0" borderId="8" xfId="1" applyFont="1" applyBorder="1" applyAlignment="1" applyProtection="1">
      <alignment horizontal="left" vertical="top" wrapText="1"/>
      <protection locked="0"/>
    </xf>
    <xf numFmtId="0" fontId="14" fillId="0" borderId="21" xfId="1" applyFont="1" applyBorder="1" applyAlignment="1" applyProtection="1">
      <alignment horizontal="left" vertical="top" wrapText="1"/>
      <protection locked="0"/>
    </xf>
    <xf numFmtId="0" fontId="14" fillId="0" borderId="34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5" xfId="1" applyFont="1" applyBorder="1" applyAlignment="1" applyProtection="1">
      <alignment horizontal="left" vertical="top" wrapText="1"/>
      <protection locked="0"/>
    </xf>
    <xf numFmtId="14" fontId="13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24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0" xfId="1" applyFont="1" applyAlignment="1" applyProtection="1">
      <alignment horizontal="left" vertical="top"/>
      <protection locked="0"/>
    </xf>
    <xf numFmtId="0" fontId="9" fillId="0" borderId="8" xfId="1" applyFont="1" applyBorder="1" applyAlignment="1" applyProtection="1">
      <alignment horizontal="left" vertical="top" wrapText="1"/>
      <protection locked="0"/>
    </xf>
    <xf numFmtId="0" fontId="9" fillId="0" borderId="9" xfId="1" applyFont="1" applyBorder="1" applyAlignment="1" applyProtection="1">
      <alignment horizontal="left" vertical="top" wrapText="1"/>
      <protection locked="0"/>
    </xf>
    <xf numFmtId="0" fontId="9" fillId="0" borderId="21" xfId="1" applyFont="1" applyBorder="1" applyAlignment="1" applyProtection="1">
      <alignment horizontal="left" vertical="top" wrapText="1"/>
      <protection locked="0"/>
    </xf>
    <xf numFmtId="9" fontId="13" fillId="0" borderId="1" xfId="8" applyFont="1" applyFill="1" applyBorder="1" applyAlignment="1" applyProtection="1">
      <alignment horizontal="center" vertical="center" wrapText="1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21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16" xfId="1" applyNumberFormat="1" applyFont="1" applyBorder="1" applyAlignment="1" applyProtection="1">
      <alignment horizontal="center" vertical="top" wrapText="1"/>
      <protection locked="0"/>
    </xf>
    <xf numFmtId="1" fontId="9" fillId="0" borderId="17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0" fontId="8" fillId="0" borderId="0" xfId="1" applyFont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" fontId="7" fillId="0" borderId="17" xfId="0" applyNumberFormat="1" applyFont="1" applyBorder="1" applyAlignment="1" applyProtection="1">
      <alignment horizontal="center" vertical="center" wrapText="1"/>
      <protection locked="0"/>
    </xf>
    <xf numFmtId="1" fontId="7" fillId="0" borderId="18" xfId="0" applyNumberFormat="1" applyFont="1" applyBorder="1" applyAlignment="1" applyProtection="1">
      <alignment horizontal="center" vertical="center" wrapText="1"/>
      <protection locked="0"/>
    </xf>
    <xf numFmtId="0" fontId="14" fillId="0" borderId="8" xfId="1" applyFont="1" applyBorder="1" applyAlignment="1" applyProtection="1">
      <alignment horizontal="left" vertical="top"/>
      <protection locked="0"/>
    </xf>
    <xf numFmtId="0" fontId="14" fillId="0" borderId="21" xfId="1" applyFont="1" applyBorder="1" applyAlignment="1" applyProtection="1">
      <alignment horizontal="left" vertical="top"/>
      <protection locked="0"/>
    </xf>
    <xf numFmtId="0" fontId="14" fillId="0" borderId="9" xfId="1" applyFont="1" applyBorder="1" applyAlignment="1" applyProtection="1">
      <alignment horizontal="left" vertical="top"/>
      <protection locked="0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25" xfId="1" applyNumberFormat="1" applyFont="1" applyBorder="1" applyAlignment="1" applyProtection="1">
      <alignment horizontal="center" vertical="center" wrapText="1"/>
      <protection locked="0"/>
    </xf>
    <xf numFmtId="1" fontId="7" fillId="0" borderId="26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8" xfId="0" applyNumberFormat="1" applyFont="1" applyBorder="1" applyAlignment="1" applyProtection="1">
      <alignment horizontal="left" vertical="top" wrapText="1"/>
      <protection locked="0"/>
    </xf>
    <xf numFmtId="1" fontId="9" fillId="0" borderId="21" xfId="0" applyNumberFormat="1" applyFont="1" applyBorder="1" applyAlignment="1" applyProtection="1">
      <alignment horizontal="left" vertical="top" wrapText="1"/>
      <protection locked="0"/>
    </xf>
    <xf numFmtId="1" fontId="9" fillId="0" borderId="9" xfId="0" applyNumberFormat="1" applyFont="1" applyBorder="1" applyAlignment="1" applyProtection="1">
      <alignment horizontal="left" vertical="top" wrapText="1"/>
      <protection locked="0"/>
    </xf>
    <xf numFmtId="1" fontId="9" fillId="0" borderId="32" xfId="1" applyNumberFormat="1" applyFont="1" applyBorder="1" applyAlignment="1" applyProtection="1">
      <alignment horizontal="center" vertical="top" wrapText="1"/>
      <protection locked="0"/>
    </xf>
    <xf numFmtId="1" fontId="9" fillId="0" borderId="1" xfId="1" applyNumberFormat="1" applyFont="1" applyBorder="1" applyAlignment="1" applyProtection="1">
      <alignment horizontal="center" vertical="top" wrapText="1"/>
      <protection locked="0"/>
    </xf>
    <xf numFmtId="0" fontId="6" fillId="0" borderId="1" xfId="4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1" fontId="2" fillId="0" borderId="1" xfId="5" applyNumberFormat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0" fontId="1" fillId="0" borderId="9" xfId="5" applyFont="1" applyBorder="1" applyAlignment="1">
      <alignment horizontal="center" vertical="center"/>
    </xf>
    <xf numFmtId="1" fontId="9" fillId="0" borderId="3" xfId="0" applyNumberFormat="1" applyFont="1" applyBorder="1" applyAlignment="1" applyProtection="1">
      <alignment horizontal="left" vertical="top" wrapText="1"/>
      <protection locked="0"/>
    </xf>
    <xf numFmtId="1" fontId="14" fillId="0" borderId="19" xfId="0" applyNumberFormat="1" applyFont="1" applyBorder="1" applyAlignment="1" applyProtection="1">
      <alignment vertical="top" wrapText="1"/>
      <protection locked="0"/>
    </xf>
    <xf numFmtId="1" fontId="14" fillId="0" borderId="2" xfId="0" applyNumberFormat="1" applyFont="1" applyBorder="1" applyAlignment="1" applyProtection="1">
      <alignment vertical="top" wrapText="1"/>
      <protection locked="0"/>
    </xf>
    <xf numFmtId="1" fontId="14" fillId="0" borderId="20" xfId="0" applyNumberFormat="1" applyFont="1" applyBorder="1" applyAlignment="1" applyProtection="1">
      <alignment vertical="top" wrapText="1"/>
      <protection locked="0"/>
    </xf>
    <xf numFmtId="1" fontId="13" fillId="0" borderId="17" xfId="0" applyNumberFormat="1" applyFont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269</xdr:row>
      <xdr:rowOff>171450</xdr:rowOff>
    </xdr:from>
    <xdr:to>
      <xdr:col>7</xdr:col>
      <xdr:colOff>614165</xdr:colOff>
      <xdr:row>296</xdr:row>
      <xdr:rowOff>26775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0" y="53092350"/>
          <a:ext cx="6443465" cy="5256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501248</xdr:colOff>
      <xdr:row>274</xdr:row>
      <xdr:rowOff>37105</xdr:rowOff>
    </xdr:from>
    <xdr:to>
      <xdr:col>5</xdr:col>
      <xdr:colOff>837723</xdr:colOff>
      <xdr:row>290</xdr:row>
      <xdr:rowOff>134069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 rot="19942937">
          <a:off x="2177648" y="53958130"/>
          <a:ext cx="3098725" cy="3297364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oneCellAnchor>
    <xdr:from>
      <xdr:col>0</xdr:col>
      <xdr:colOff>276225</xdr:colOff>
      <xdr:row>269</xdr:row>
      <xdr:rowOff>161925</xdr:rowOff>
    </xdr:from>
    <xdr:ext cx="1042978" cy="37414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276225" y="53082825"/>
          <a:ext cx="1042978" cy="374141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/>
            <a:t>Sector IV</a:t>
          </a:r>
          <a:endParaRPr lang="x-none" sz="1800" b="1"/>
        </a:p>
      </xdr:txBody>
    </xdr:sp>
    <xdr:clientData/>
  </xdr:oneCellAnchor>
  <xdr:twoCellAnchor>
    <xdr:from>
      <xdr:col>1</xdr:col>
      <xdr:colOff>363682</xdr:colOff>
      <xdr:row>271</xdr:row>
      <xdr:rowOff>155864</xdr:rowOff>
    </xdr:from>
    <xdr:to>
      <xdr:col>2</xdr:col>
      <xdr:colOff>228600</xdr:colOff>
      <xdr:row>278</xdr:row>
      <xdr:rowOff>19050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>
          <a:off x="1125682" y="53296705"/>
          <a:ext cx="661554" cy="1257300"/>
        </a:xfrm>
        <a:prstGeom prst="straightConnector1">
          <a:avLst/>
        </a:prstGeom>
        <a:ln w="571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572593</xdr:colOff>
      <xdr:row>273</xdr:row>
      <xdr:rowOff>169688</xdr:rowOff>
    </xdr:from>
    <xdr:to>
      <xdr:col>4</xdr:col>
      <xdr:colOff>330346</xdr:colOff>
      <xdr:row>278</xdr:row>
      <xdr:rowOff>7473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 rot="19942937">
          <a:off x="3163393" y="53890688"/>
          <a:ext cx="767403" cy="83791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twoCellAnchor>
    <xdr:from>
      <xdr:col>4</xdr:col>
      <xdr:colOff>268640</xdr:colOff>
      <xdr:row>272</xdr:row>
      <xdr:rowOff>59121</xdr:rowOff>
    </xdr:from>
    <xdr:to>
      <xdr:col>5</xdr:col>
      <xdr:colOff>101599</xdr:colOff>
      <xdr:row>276</xdr:row>
      <xdr:rowOff>89114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 rot="19942937">
          <a:off x="3619708" y="53399121"/>
          <a:ext cx="612277" cy="826629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twoCellAnchor>
    <xdr:from>
      <xdr:col>4</xdr:col>
      <xdr:colOff>621060</xdr:colOff>
      <xdr:row>275</xdr:row>
      <xdr:rowOff>179315</xdr:rowOff>
    </xdr:from>
    <xdr:to>
      <xdr:col>5</xdr:col>
      <xdr:colOff>470886</xdr:colOff>
      <xdr:row>280</xdr:row>
      <xdr:rowOff>9283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 rot="19942937">
          <a:off x="3972128" y="54116792"/>
          <a:ext cx="629144" cy="825764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oneCellAnchor>
    <xdr:from>
      <xdr:col>2</xdr:col>
      <xdr:colOff>781051</xdr:colOff>
      <xdr:row>269</xdr:row>
      <xdr:rowOff>166402</xdr:rowOff>
    </xdr:from>
    <xdr:ext cx="876300" cy="78124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2339687" y="52908925"/>
          <a:ext cx="876300" cy="781240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100" b="1"/>
            <a:t>Building No.</a:t>
          </a:r>
          <a:r>
            <a:rPr lang="en-US" sz="1100" b="1" baseline="0"/>
            <a:t> </a:t>
          </a:r>
          <a:r>
            <a:rPr lang="en-US" sz="1100" b="1"/>
            <a:t>2</a:t>
          </a:r>
        </a:p>
        <a:p>
          <a:pPr algn="ctr"/>
          <a:r>
            <a:rPr lang="en-US" sz="1100" b="1"/>
            <a:t>Wing A (Type B13)</a:t>
          </a:r>
          <a:endParaRPr lang="x-none" sz="1100" b="1"/>
        </a:p>
      </xdr:txBody>
    </xdr:sp>
    <xdr:clientData/>
  </xdr:oneCellAnchor>
  <xdr:oneCellAnchor>
    <xdr:from>
      <xdr:col>5</xdr:col>
      <xdr:colOff>400050</xdr:colOff>
      <xdr:row>269</xdr:row>
      <xdr:rowOff>168135</xdr:rowOff>
    </xdr:from>
    <xdr:ext cx="876300" cy="78124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4530436" y="52910658"/>
          <a:ext cx="876300" cy="781240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Building No.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endParaRPr lang="x-none" sz="1200">
            <a:effectLst/>
          </a:endParaRPr>
        </a:p>
        <a:p>
          <a:pPr algn="ctr"/>
          <a:r>
            <a:rPr lang="en-US" sz="1100" b="1"/>
            <a:t>Wing B (Type C09)</a:t>
          </a:r>
          <a:endParaRPr lang="x-none" sz="1100" b="1"/>
        </a:p>
      </xdr:txBody>
    </xdr:sp>
    <xdr:clientData/>
  </xdr:oneCellAnchor>
  <xdr:oneCellAnchor>
    <xdr:from>
      <xdr:col>6</xdr:col>
      <xdr:colOff>193964</xdr:colOff>
      <xdr:row>274</xdr:row>
      <xdr:rowOff>147353</xdr:rowOff>
    </xdr:from>
    <xdr:ext cx="876300" cy="78124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5103669" y="53885671"/>
          <a:ext cx="876300" cy="781240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Building No.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endParaRPr lang="x-none" sz="1200">
            <a:effectLst/>
          </a:endParaRPr>
        </a:p>
        <a:p>
          <a:pPr algn="ctr"/>
          <a:r>
            <a:rPr lang="en-US" sz="1100" b="1"/>
            <a:t>Wing</a:t>
          </a:r>
          <a:r>
            <a:rPr lang="en-US" sz="1100" b="1" baseline="0"/>
            <a:t> C</a:t>
          </a:r>
          <a:r>
            <a:rPr lang="en-US" sz="1100" b="1"/>
            <a:t> (Type B13)</a:t>
          </a:r>
          <a:endParaRPr lang="x-none" sz="1100" b="1"/>
        </a:p>
      </xdr:txBody>
    </xdr:sp>
    <xdr:clientData/>
  </xdr:oneCellAnchor>
  <xdr:twoCellAnchor>
    <xdr:from>
      <xdr:col>3</xdr:col>
      <xdr:colOff>370610</xdr:colOff>
      <xdr:row>273</xdr:row>
      <xdr:rowOff>151006</xdr:rowOff>
    </xdr:from>
    <xdr:to>
      <xdr:col>3</xdr:col>
      <xdr:colOff>571500</xdr:colOff>
      <xdr:row>274</xdr:row>
      <xdr:rowOff>123825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CxnSpPr>
          <a:stCxn id="12" idx="2"/>
        </xdr:cNvCxnSpPr>
      </xdr:nvCxnSpPr>
      <xdr:spPr>
        <a:xfrm>
          <a:off x="2777837" y="53690165"/>
          <a:ext cx="200890" cy="171978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66718</xdr:colOff>
      <xdr:row>272</xdr:row>
      <xdr:rowOff>34636</xdr:rowOff>
    </xdr:from>
    <xdr:to>
      <xdr:col>5</xdr:col>
      <xdr:colOff>381000</xdr:colOff>
      <xdr:row>273</xdr:row>
      <xdr:rowOff>131360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CxnSpPr>
          <a:endCxn id="10" idx="3"/>
        </xdr:cNvCxnSpPr>
      </xdr:nvCxnSpPr>
      <xdr:spPr>
        <a:xfrm flipH="1">
          <a:off x="4197104" y="53374636"/>
          <a:ext cx="314282" cy="295883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435044</xdr:colOff>
      <xdr:row>277</xdr:row>
      <xdr:rowOff>48053</xdr:rowOff>
    </xdr:from>
    <xdr:to>
      <xdr:col>6</xdr:col>
      <xdr:colOff>190500</xdr:colOff>
      <xdr:row>277</xdr:row>
      <xdr:rowOff>95250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CxnSpPr>
          <a:endCxn id="11" idx="3"/>
        </xdr:cNvCxnSpPr>
      </xdr:nvCxnSpPr>
      <xdr:spPr>
        <a:xfrm flipH="1" flipV="1">
          <a:off x="4565430" y="54383848"/>
          <a:ext cx="534775" cy="47197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285750</xdr:colOff>
      <xdr:row>289</xdr:row>
      <xdr:rowOff>161925</xdr:rowOff>
    </xdr:from>
    <xdr:to>
      <xdr:col>2</xdr:col>
      <xdr:colOff>409350</xdr:colOff>
      <xdr:row>296</xdr:row>
      <xdr:rowOff>30013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57083325"/>
          <a:ext cx="1800000" cy="126826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339593</xdr:colOff>
      <xdr:row>304</xdr:row>
      <xdr:rowOff>16563</xdr:rowOff>
    </xdr:from>
    <xdr:to>
      <xdr:col>7</xdr:col>
      <xdr:colOff>473736</xdr:colOff>
      <xdr:row>319</xdr:row>
      <xdr:rowOff>94823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9593" y="63527606"/>
          <a:ext cx="5824295" cy="30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333375</xdr:colOff>
      <xdr:row>320</xdr:row>
      <xdr:rowOff>66263</xdr:rowOff>
    </xdr:from>
    <xdr:to>
      <xdr:col>7</xdr:col>
      <xdr:colOff>476251</xdr:colOff>
      <xdr:row>335</xdr:row>
      <xdr:rowOff>40154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3375" y="63245588"/>
          <a:ext cx="6257926" cy="297426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79070</xdr:colOff>
      <xdr:row>326</xdr:row>
      <xdr:rowOff>23675</xdr:rowOff>
    </xdr:from>
    <xdr:to>
      <xdr:col>5</xdr:col>
      <xdr:colOff>506074</xdr:colOff>
      <xdr:row>332</xdr:row>
      <xdr:rowOff>92113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 rot="18060022">
          <a:off x="3677828" y="64404842"/>
          <a:ext cx="1268588" cy="1265204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twoCellAnchor>
    <xdr:from>
      <xdr:col>4</xdr:col>
      <xdr:colOff>657226</xdr:colOff>
      <xdr:row>324</xdr:row>
      <xdr:rowOff>47625</xdr:rowOff>
    </xdr:from>
    <xdr:to>
      <xdr:col>5</xdr:col>
      <xdr:colOff>676275</xdr:colOff>
      <xdr:row>326</xdr:row>
      <xdr:rowOff>171450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CxnSpPr/>
      </xdr:nvCxnSpPr>
      <xdr:spPr>
        <a:xfrm flipH="1">
          <a:off x="4257676" y="64027050"/>
          <a:ext cx="857249" cy="523875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729343</xdr:colOff>
      <xdr:row>321</xdr:row>
      <xdr:rowOff>129032</xdr:rowOff>
    </xdr:from>
    <xdr:ext cx="1079976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5167993" y="63508382"/>
          <a:ext cx="1079976" cy="6090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en-US" sz="1100" b="1"/>
            <a:t>Proposed site</a:t>
          </a:r>
        </a:p>
        <a:p>
          <a:pPr algn="ctr"/>
          <a:r>
            <a:rPr lang="en-US" sz="1100" b="1"/>
            <a:t>Building No.</a:t>
          </a:r>
          <a:r>
            <a:rPr lang="en-US" sz="1100" b="1" baseline="0"/>
            <a:t> </a:t>
          </a:r>
          <a:r>
            <a:rPr lang="en-US" sz="1100" b="1"/>
            <a:t>2</a:t>
          </a:r>
        </a:p>
        <a:p>
          <a:pPr algn="ctr"/>
          <a:r>
            <a:rPr lang="en-US" sz="1100" b="1"/>
            <a:t>(Wing A, B &amp; C)</a:t>
          </a:r>
          <a:endParaRPr lang="x-none" sz="1100" b="1"/>
        </a:p>
      </xdr:txBody>
    </xdr:sp>
    <xdr:clientData/>
  </xdr:oneCellAnchor>
  <xdr:twoCellAnchor>
    <xdr:from>
      <xdr:col>9</xdr:col>
      <xdr:colOff>0</xdr:colOff>
      <xdr:row>226</xdr:row>
      <xdr:rowOff>0</xdr:rowOff>
    </xdr:from>
    <xdr:to>
      <xdr:col>9</xdr:col>
      <xdr:colOff>711200</xdr:colOff>
      <xdr:row>227</xdr:row>
      <xdr:rowOff>127000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/>
      </xdr:nvSpPr>
      <xdr:spPr>
        <a:xfrm>
          <a:off x="8064500" y="46335950"/>
          <a:ext cx="711200" cy="3238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A</a:t>
          </a:r>
        </a:p>
      </xdr:txBody>
    </xdr:sp>
    <xdr:clientData/>
  </xdr:twoCellAnchor>
  <xdr:oneCellAnchor>
    <xdr:from>
      <xdr:col>9</xdr:col>
      <xdr:colOff>406400</xdr:colOff>
      <xdr:row>223</xdr:row>
      <xdr:rowOff>190500</xdr:rowOff>
    </xdr:from>
    <xdr:ext cx="700769" cy="311496"/>
    <xdr:sp macro="" textlink="">
      <xdr:nvSpPr>
        <xdr:cNvPr id="15" name="TextBox 14"/>
        <xdr:cNvSpPr txBox="1"/>
      </xdr:nvSpPr>
      <xdr:spPr>
        <a:xfrm>
          <a:off x="8470900" y="43389550"/>
          <a:ext cx="70076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C</a:t>
          </a:r>
        </a:p>
      </xdr:txBody>
    </xdr:sp>
    <xdr:clientData/>
  </xdr:oneCellAnchor>
  <xdr:twoCellAnchor>
    <xdr:from>
      <xdr:col>8</xdr:col>
      <xdr:colOff>962025</xdr:colOff>
      <xdr:row>227</xdr:row>
      <xdr:rowOff>95250</xdr:rowOff>
    </xdr:from>
    <xdr:to>
      <xdr:col>17</xdr:col>
      <xdr:colOff>229531</xdr:colOff>
      <xdr:row>267</xdr:row>
      <xdr:rowOff>122895</xdr:rowOff>
    </xdr:to>
    <xdr:grpSp>
      <xdr:nvGrpSpPr>
        <xdr:cNvPr id="18" name="Group 17"/>
        <xdr:cNvGrpSpPr/>
      </xdr:nvGrpSpPr>
      <xdr:grpSpPr>
        <a:xfrm>
          <a:off x="7486650" y="44719875"/>
          <a:ext cx="6277906" cy="8019120"/>
          <a:chOff x="114300" y="43903900"/>
          <a:chExt cx="6557306" cy="7895295"/>
        </a:xfrm>
      </xdr:grpSpPr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5177" y="48807430"/>
            <a:ext cx="3197691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475359" y="46355665"/>
            <a:ext cx="5196247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5177" y="50359195"/>
            <a:ext cx="3190472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60493" y="43903900"/>
            <a:ext cx="1211113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114301" y="43903900"/>
            <a:ext cx="5196248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00" y="46355665"/>
            <a:ext cx="1202499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3" name="TextBox 52"/>
          <xdr:cNvSpPr txBox="1"/>
        </xdr:nvSpPr>
        <xdr:spPr>
          <a:xfrm>
            <a:off x="1765301" y="45529500"/>
            <a:ext cx="70076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C</a:t>
            </a:r>
          </a:p>
        </xdr:txBody>
      </xdr:sp>
      <xdr:sp macro="" textlink="">
        <xdr:nvSpPr>
          <xdr:cNvPr id="54" name="TextBox 53"/>
          <xdr:cNvSpPr txBox="1"/>
        </xdr:nvSpPr>
        <xdr:spPr>
          <a:xfrm>
            <a:off x="2834259" y="47733615"/>
            <a:ext cx="1010213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A &amp; B</a:t>
            </a:r>
          </a:p>
        </xdr:txBody>
      </xdr:sp>
    </xdr:grpSp>
    <xdr:clientData/>
  </xdr:twoCellAnchor>
  <xdr:twoCellAnchor>
    <xdr:from>
      <xdr:col>0</xdr:col>
      <xdr:colOff>76200</xdr:colOff>
      <xdr:row>226</xdr:row>
      <xdr:rowOff>66674</xdr:rowOff>
    </xdr:from>
    <xdr:to>
      <xdr:col>7</xdr:col>
      <xdr:colOff>781050</xdr:colOff>
      <xdr:row>263</xdr:row>
      <xdr:rowOff>171449</xdr:rowOff>
    </xdr:to>
    <xdr:grpSp>
      <xdr:nvGrpSpPr>
        <xdr:cNvPr id="20" name="Group 19"/>
        <xdr:cNvGrpSpPr/>
      </xdr:nvGrpSpPr>
      <xdr:grpSpPr>
        <a:xfrm>
          <a:off x="76200" y="44491274"/>
          <a:ext cx="6400800" cy="7496175"/>
          <a:chOff x="76200" y="44462699"/>
          <a:chExt cx="6400800" cy="7496175"/>
        </a:xfrm>
      </xdr:grpSpPr>
      <xdr:pic>
        <xdr:nvPicPr>
          <xdr:cNvPr id="42" name="Picture 41" descr="https://vsjcllp.vsjadon.com/upload/insp-246623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410075" y="49200101"/>
            <a:ext cx="2066925" cy="275877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7" name="Picture 56" descr="https://vsjcllp.vsjadon.com/upload/insp-246623-102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15107" y="44467461"/>
            <a:ext cx="3076899" cy="230981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" name="Picture 57" descr="https://vsjcllp.vsjadon.com/upload/insp-246623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9551" y="46858236"/>
            <a:ext cx="3001158" cy="225295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9" name="Picture 58" descr="https://vsjcllp.vsjadon.com/upload/insp-246623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6200" y="49200101"/>
            <a:ext cx="2066925" cy="275877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0" name="Picture 59" descr="https://vsjcllp.vsjadon.com/upload/insp-246623-9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05176" y="46858236"/>
            <a:ext cx="3001158" cy="225295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" name="Picture 60" descr="https://vsjcllp.vsjadon.com/upload/insp-246623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47900" y="49200101"/>
            <a:ext cx="2066925" cy="275877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2" name="Picture 61" descr="https://vsjcllp.vsjadon.com/upload/insp-246623-87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3282" y="44462699"/>
            <a:ext cx="3076899" cy="230981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9</xdr:row>
      <xdr:rowOff>0</xdr:rowOff>
    </xdr:from>
    <xdr:to>
      <xdr:col>14</xdr:col>
      <xdr:colOff>113850</xdr:colOff>
      <xdr:row>16</xdr:row>
      <xdr:rowOff>350227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43850" y="1724025"/>
          <a:ext cx="3600000" cy="168372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312127</xdr:colOff>
      <xdr:row>9</xdr:row>
      <xdr:rowOff>0</xdr:rowOff>
    </xdr:from>
    <xdr:to>
      <xdr:col>20</xdr:col>
      <xdr:colOff>425977</xdr:colOff>
      <xdr:row>16</xdr:row>
      <xdr:rowOff>350227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>
        <a:xfrm>
          <a:off x="11742127" y="1724025"/>
          <a:ext cx="3600000" cy="168372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783985</xdr:colOff>
      <xdr:row>19</xdr:row>
      <xdr:rowOff>171450</xdr:rowOff>
    </xdr:from>
    <xdr:to>
      <xdr:col>16</xdr:col>
      <xdr:colOff>440410</xdr:colOff>
      <xdr:row>34</xdr:row>
      <xdr:rowOff>131707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32460" y="4019550"/>
          <a:ext cx="5400000" cy="28177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1447800</xdr:colOff>
      <xdr:row>20</xdr:row>
      <xdr:rowOff>0</xdr:rowOff>
    </xdr:from>
    <xdr:to>
      <xdr:col>7</xdr:col>
      <xdr:colOff>580350</xdr:colOff>
      <xdr:row>34</xdr:row>
      <xdr:rowOff>150757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28825" y="4038600"/>
          <a:ext cx="5400000" cy="28177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7</xdr:col>
      <xdr:colOff>866775</xdr:colOff>
      <xdr:row>28</xdr:row>
      <xdr:rowOff>19049</xdr:rowOff>
    </xdr:from>
    <xdr:to>
      <xdr:col>16</xdr:col>
      <xdr:colOff>361950</xdr:colOff>
      <xdr:row>34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7715250" y="5581649"/>
          <a:ext cx="5238750" cy="1200151"/>
        </a:xfrm>
        <a:prstGeom prst="rect">
          <a:avLst/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twoCellAnchor>
    <xdr:from>
      <xdr:col>1</xdr:col>
      <xdr:colOff>1428750</xdr:colOff>
      <xdr:row>26</xdr:row>
      <xdr:rowOff>76200</xdr:rowOff>
    </xdr:from>
    <xdr:to>
      <xdr:col>7</xdr:col>
      <xdr:colOff>552450</xdr:colOff>
      <xdr:row>33</xdr:row>
      <xdr:rowOff>66675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2009775" y="5257800"/>
          <a:ext cx="5391150" cy="1323975"/>
        </a:xfrm>
        <a:prstGeom prst="rect">
          <a:avLst/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7</xdr:col>
      <xdr:colOff>135675</xdr:colOff>
      <xdr:row>58</xdr:row>
      <xdr:rowOff>171000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5" y="7848600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786082</xdr:colOff>
      <xdr:row>40</xdr:row>
      <xdr:rowOff>0</xdr:rowOff>
    </xdr:from>
    <xdr:to>
      <xdr:col>18</xdr:col>
      <xdr:colOff>283582</xdr:colOff>
      <xdr:row>58</xdr:row>
      <xdr:rowOff>171000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34557" y="7848600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8</xdr:col>
      <xdr:colOff>523200</xdr:colOff>
      <xdr:row>18</xdr:row>
      <xdr:rowOff>2996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80975"/>
          <a:ext cx="5400000" cy="325102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70454</xdr:colOff>
      <xdr:row>4</xdr:row>
      <xdr:rowOff>98530</xdr:rowOff>
    </xdr:from>
    <xdr:to>
      <xdr:col>8</xdr:col>
      <xdr:colOff>556691</xdr:colOff>
      <xdr:row>7</xdr:row>
      <xdr:rowOff>147356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 rot="21401518">
          <a:off x="680054" y="860530"/>
          <a:ext cx="4753437" cy="620326"/>
        </a:xfrm>
        <a:prstGeom prst="rect">
          <a:avLst/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twoCellAnchor editAs="oneCell">
    <xdr:from>
      <xdr:col>9</xdr:col>
      <xdr:colOff>247650</xdr:colOff>
      <xdr:row>0</xdr:row>
      <xdr:rowOff>180975</xdr:rowOff>
    </xdr:from>
    <xdr:to>
      <xdr:col>19</xdr:col>
      <xdr:colOff>595650</xdr:colOff>
      <xdr:row>17</xdr:row>
      <xdr:rowOff>171450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34050" y="180975"/>
          <a:ext cx="6444000" cy="32289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11</xdr:col>
      <xdr:colOff>342901</xdr:colOff>
      <xdr:row>6</xdr:row>
      <xdr:rowOff>95249</xdr:rowOff>
    </xdr:from>
    <xdr:to>
      <xdr:col>17</xdr:col>
      <xdr:colOff>304801</xdr:colOff>
      <xdr:row>10</xdr:row>
      <xdr:rowOff>38100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>
        <a:xfrm>
          <a:off x="7048501" y="1238249"/>
          <a:ext cx="3619500" cy="704851"/>
        </a:xfrm>
        <a:prstGeom prst="rect">
          <a:avLst/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hhuJkrVkYhCahi5d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02"/>
  <sheetViews>
    <sheetView tabSelected="1" view="pageBreakPreview" topLeftCell="A211" zoomScaleNormal="100" zoomScaleSheetLayoutView="100" zoomScalePageLayoutView="80" workbookViewId="0">
      <selection activeCell="J174" sqref="J174"/>
    </sheetView>
  </sheetViews>
  <sheetFormatPr defaultColWidth="9.140625" defaultRowHeight="15.75" x14ac:dyDescent="0.25"/>
  <cols>
    <col min="1" max="1" width="11.42578125" style="30" customWidth="1"/>
    <col min="2" max="2" width="12" style="30" customWidth="1"/>
    <col min="3" max="3" width="12.7109375" style="30" customWidth="1"/>
    <col min="4" max="4" width="14.140625" style="30" customWidth="1"/>
    <col min="5" max="7" width="11.7109375" style="30" customWidth="1"/>
    <col min="8" max="8" width="12.42578125" style="30" customWidth="1"/>
    <col min="9" max="9" width="17.42578125" style="11" customWidth="1"/>
    <col min="10" max="10" width="11.42578125" style="11" customWidth="1"/>
    <col min="11" max="11" width="10.5703125" style="11" bestFit="1" customWidth="1"/>
    <col min="12" max="12" width="10.5703125" style="11" customWidth="1"/>
    <col min="13" max="13" width="11.85546875" style="11" customWidth="1"/>
    <col min="14" max="14" width="12.5703125" style="11" customWidth="1"/>
    <col min="15" max="15" width="9.85546875" style="11" customWidth="1"/>
    <col min="16" max="16" width="11.7109375" style="11" customWidth="1"/>
    <col min="17" max="247" width="9.140625" style="11"/>
    <col min="248" max="248" width="8.7109375" style="11" customWidth="1"/>
    <col min="249" max="249" width="9.85546875" style="11" customWidth="1"/>
    <col min="250" max="250" width="14.42578125" style="11" customWidth="1"/>
    <col min="251" max="251" width="7.28515625" style="11" customWidth="1"/>
    <col min="252" max="252" width="5.5703125" style="11" customWidth="1"/>
    <col min="253" max="253" width="9" style="11" customWidth="1"/>
    <col min="254" max="255" width="9.85546875" style="11" customWidth="1"/>
    <col min="256" max="256" width="11.140625" style="11" customWidth="1"/>
    <col min="257" max="257" width="2.85546875" style="11" customWidth="1"/>
    <col min="258" max="258" width="3.5703125" style="11" customWidth="1"/>
    <col min="259" max="503" width="9.140625" style="11"/>
    <col min="504" max="504" width="8.7109375" style="11" customWidth="1"/>
    <col min="505" max="505" width="9.85546875" style="11" customWidth="1"/>
    <col min="506" max="506" width="14.42578125" style="11" customWidth="1"/>
    <col min="507" max="507" width="7.28515625" style="11" customWidth="1"/>
    <col min="508" max="508" width="5.5703125" style="11" customWidth="1"/>
    <col min="509" max="509" width="9" style="11" customWidth="1"/>
    <col min="510" max="511" width="9.85546875" style="11" customWidth="1"/>
    <col min="512" max="512" width="11.140625" style="11" customWidth="1"/>
    <col min="513" max="513" width="2.85546875" style="11" customWidth="1"/>
    <col min="514" max="514" width="3.5703125" style="11" customWidth="1"/>
    <col min="515" max="759" width="9.140625" style="11"/>
    <col min="760" max="760" width="8.7109375" style="11" customWidth="1"/>
    <col min="761" max="761" width="9.85546875" style="11" customWidth="1"/>
    <col min="762" max="762" width="14.42578125" style="11" customWidth="1"/>
    <col min="763" max="763" width="7.28515625" style="11" customWidth="1"/>
    <col min="764" max="764" width="5.5703125" style="11" customWidth="1"/>
    <col min="765" max="765" width="9" style="11" customWidth="1"/>
    <col min="766" max="767" width="9.85546875" style="11" customWidth="1"/>
    <col min="768" max="768" width="11.140625" style="11" customWidth="1"/>
    <col min="769" max="769" width="2.85546875" style="11" customWidth="1"/>
    <col min="770" max="770" width="3.5703125" style="11" customWidth="1"/>
    <col min="771" max="1015" width="9.140625" style="11"/>
    <col min="1016" max="1016" width="8.7109375" style="11" customWidth="1"/>
    <col min="1017" max="1017" width="9.85546875" style="11" customWidth="1"/>
    <col min="1018" max="1018" width="14.42578125" style="11" customWidth="1"/>
    <col min="1019" max="1019" width="7.28515625" style="11" customWidth="1"/>
    <col min="1020" max="1020" width="5.5703125" style="11" customWidth="1"/>
    <col min="1021" max="1021" width="9" style="11" customWidth="1"/>
    <col min="1022" max="1023" width="9.85546875" style="11" customWidth="1"/>
    <col min="1024" max="1024" width="11.140625" style="11" customWidth="1"/>
    <col min="1025" max="1025" width="2.85546875" style="11" customWidth="1"/>
    <col min="1026" max="1026" width="3.5703125" style="11" customWidth="1"/>
    <col min="1027" max="1271" width="9.140625" style="11"/>
    <col min="1272" max="1272" width="8.7109375" style="11" customWidth="1"/>
    <col min="1273" max="1273" width="9.85546875" style="11" customWidth="1"/>
    <col min="1274" max="1274" width="14.42578125" style="11" customWidth="1"/>
    <col min="1275" max="1275" width="7.28515625" style="11" customWidth="1"/>
    <col min="1276" max="1276" width="5.5703125" style="11" customWidth="1"/>
    <col min="1277" max="1277" width="9" style="11" customWidth="1"/>
    <col min="1278" max="1279" width="9.85546875" style="11" customWidth="1"/>
    <col min="1280" max="1280" width="11.140625" style="11" customWidth="1"/>
    <col min="1281" max="1281" width="2.85546875" style="11" customWidth="1"/>
    <col min="1282" max="1282" width="3.5703125" style="11" customWidth="1"/>
    <col min="1283" max="1527" width="9.140625" style="11"/>
    <col min="1528" max="1528" width="8.7109375" style="11" customWidth="1"/>
    <col min="1529" max="1529" width="9.85546875" style="11" customWidth="1"/>
    <col min="1530" max="1530" width="14.42578125" style="11" customWidth="1"/>
    <col min="1531" max="1531" width="7.28515625" style="11" customWidth="1"/>
    <col min="1532" max="1532" width="5.5703125" style="11" customWidth="1"/>
    <col min="1533" max="1533" width="9" style="11" customWidth="1"/>
    <col min="1534" max="1535" width="9.85546875" style="11" customWidth="1"/>
    <col min="1536" max="1536" width="11.140625" style="11" customWidth="1"/>
    <col min="1537" max="1537" width="2.85546875" style="11" customWidth="1"/>
    <col min="1538" max="1538" width="3.5703125" style="11" customWidth="1"/>
    <col min="1539" max="1783" width="9.140625" style="11"/>
    <col min="1784" max="1784" width="8.7109375" style="11" customWidth="1"/>
    <col min="1785" max="1785" width="9.85546875" style="11" customWidth="1"/>
    <col min="1786" max="1786" width="14.42578125" style="11" customWidth="1"/>
    <col min="1787" max="1787" width="7.28515625" style="11" customWidth="1"/>
    <col min="1788" max="1788" width="5.5703125" style="11" customWidth="1"/>
    <col min="1789" max="1789" width="9" style="11" customWidth="1"/>
    <col min="1790" max="1791" width="9.85546875" style="11" customWidth="1"/>
    <col min="1792" max="1792" width="11.140625" style="11" customWidth="1"/>
    <col min="1793" max="1793" width="2.85546875" style="11" customWidth="1"/>
    <col min="1794" max="1794" width="3.5703125" style="11" customWidth="1"/>
    <col min="1795" max="2039" width="9.140625" style="11"/>
    <col min="2040" max="2040" width="8.7109375" style="11" customWidth="1"/>
    <col min="2041" max="2041" width="9.85546875" style="11" customWidth="1"/>
    <col min="2042" max="2042" width="14.42578125" style="11" customWidth="1"/>
    <col min="2043" max="2043" width="7.28515625" style="11" customWidth="1"/>
    <col min="2044" max="2044" width="5.5703125" style="11" customWidth="1"/>
    <col min="2045" max="2045" width="9" style="11" customWidth="1"/>
    <col min="2046" max="2047" width="9.85546875" style="11" customWidth="1"/>
    <col min="2048" max="2048" width="11.140625" style="11" customWidth="1"/>
    <col min="2049" max="2049" width="2.85546875" style="11" customWidth="1"/>
    <col min="2050" max="2050" width="3.5703125" style="11" customWidth="1"/>
    <col min="2051" max="2295" width="9.140625" style="11"/>
    <col min="2296" max="2296" width="8.7109375" style="11" customWidth="1"/>
    <col min="2297" max="2297" width="9.85546875" style="11" customWidth="1"/>
    <col min="2298" max="2298" width="14.42578125" style="11" customWidth="1"/>
    <col min="2299" max="2299" width="7.28515625" style="11" customWidth="1"/>
    <col min="2300" max="2300" width="5.5703125" style="11" customWidth="1"/>
    <col min="2301" max="2301" width="9" style="11" customWidth="1"/>
    <col min="2302" max="2303" width="9.85546875" style="11" customWidth="1"/>
    <col min="2304" max="2304" width="11.140625" style="11" customWidth="1"/>
    <col min="2305" max="2305" width="2.85546875" style="11" customWidth="1"/>
    <col min="2306" max="2306" width="3.5703125" style="11" customWidth="1"/>
    <col min="2307" max="2551" width="9.140625" style="11"/>
    <col min="2552" max="2552" width="8.7109375" style="11" customWidth="1"/>
    <col min="2553" max="2553" width="9.85546875" style="11" customWidth="1"/>
    <col min="2554" max="2554" width="14.42578125" style="11" customWidth="1"/>
    <col min="2555" max="2555" width="7.28515625" style="11" customWidth="1"/>
    <col min="2556" max="2556" width="5.5703125" style="11" customWidth="1"/>
    <col min="2557" max="2557" width="9" style="11" customWidth="1"/>
    <col min="2558" max="2559" width="9.85546875" style="11" customWidth="1"/>
    <col min="2560" max="2560" width="11.140625" style="11" customWidth="1"/>
    <col min="2561" max="2561" width="2.85546875" style="11" customWidth="1"/>
    <col min="2562" max="2562" width="3.5703125" style="11" customWidth="1"/>
    <col min="2563" max="2807" width="9.140625" style="11"/>
    <col min="2808" max="2808" width="8.7109375" style="11" customWidth="1"/>
    <col min="2809" max="2809" width="9.85546875" style="11" customWidth="1"/>
    <col min="2810" max="2810" width="14.42578125" style="11" customWidth="1"/>
    <col min="2811" max="2811" width="7.28515625" style="11" customWidth="1"/>
    <col min="2812" max="2812" width="5.5703125" style="11" customWidth="1"/>
    <col min="2813" max="2813" width="9" style="11" customWidth="1"/>
    <col min="2814" max="2815" width="9.85546875" style="11" customWidth="1"/>
    <col min="2816" max="2816" width="11.140625" style="11" customWidth="1"/>
    <col min="2817" max="2817" width="2.85546875" style="11" customWidth="1"/>
    <col min="2818" max="2818" width="3.5703125" style="11" customWidth="1"/>
    <col min="2819" max="3063" width="9.140625" style="11"/>
    <col min="3064" max="3064" width="8.7109375" style="11" customWidth="1"/>
    <col min="3065" max="3065" width="9.85546875" style="11" customWidth="1"/>
    <col min="3066" max="3066" width="14.42578125" style="11" customWidth="1"/>
    <col min="3067" max="3067" width="7.28515625" style="11" customWidth="1"/>
    <col min="3068" max="3068" width="5.5703125" style="11" customWidth="1"/>
    <col min="3069" max="3069" width="9" style="11" customWidth="1"/>
    <col min="3070" max="3071" width="9.85546875" style="11" customWidth="1"/>
    <col min="3072" max="3072" width="11.140625" style="11" customWidth="1"/>
    <col min="3073" max="3073" width="2.85546875" style="11" customWidth="1"/>
    <col min="3074" max="3074" width="3.5703125" style="11" customWidth="1"/>
    <col min="3075" max="3319" width="9.140625" style="11"/>
    <col min="3320" max="3320" width="8.7109375" style="11" customWidth="1"/>
    <col min="3321" max="3321" width="9.85546875" style="11" customWidth="1"/>
    <col min="3322" max="3322" width="14.42578125" style="11" customWidth="1"/>
    <col min="3323" max="3323" width="7.28515625" style="11" customWidth="1"/>
    <col min="3324" max="3324" width="5.5703125" style="11" customWidth="1"/>
    <col min="3325" max="3325" width="9" style="11" customWidth="1"/>
    <col min="3326" max="3327" width="9.85546875" style="11" customWidth="1"/>
    <col min="3328" max="3328" width="11.140625" style="11" customWidth="1"/>
    <col min="3329" max="3329" width="2.85546875" style="11" customWidth="1"/>
    <col min="3330" max="3330" width="3.5703125" style="11" customWidth="1"/>
    <col min="3331" max="3575" width="9.140625" style="11"/>
    <col min="3576" max="3576" width="8.7109375" style="11" customWidth="1"/>
    <col min="3577" max="3577" width="9.85546875" style="11" customWidth="1"/>
    <col min="3578" max="3578" width="14.42578125" style="11" customWidth="1"/>
    <col min="3579" max="3579" width="7.28515625" style="11" customWidth="1"/>
    <col min="3580" max="3580" width="5.5703125" style="11" customWidth="1"/>
    <col min="3581" max="3581" width="9" style="11" customWidth="1"/>
    <col min="3582" max="3583" width="9.85546875" style="11" customWidth="1"/>
    <col min="3584" max="3584" width="11.140625" style="11" customWidth="1"/>
    <col min="3585" max="3585" width="2.85546875" style="11" customWidth="1"/>
    <col min="3586" max="3586" width="3.5703125" style="11" customWidth="1"/>
    <col min="3587" max="3831" width="9.140625" style="11"/>
    <col min="3832" max="3832" width="8.7109375" style="11" customWidth="1"/>
    <col min="3833" max="3833" width="9.85546875" style="11" customWidth="1"/>
    <col min="3834" max="3834" width="14.42578125" style="11" customWidth="1"/>
    <col min="3835" max="3835" width="7.28515625" style="11" customWidth="1"/>
    <col min="3836" max="3836" width="5.5703125" style="11" customWidth="1"/>
    <col min="3837" max="3837" width="9" style="11" customWidth="1"/>
    <col min="3838" max="3839" width="9.85546875" style="11" customWidth="1"/>
    <col min="3840" max="3840" width="11.140625" style="11" customWidth="1"/>
    <col min="3841" max="3841" width="2.85546875" style="11" customWidth="1"/>
    <col min="3842" max="3842" width="3.5703125" style="11" customWidth="1"/>
    <col min="3843" max="4087" width="9.140625" style="11"/>
    <col min="4088" max="4088" width="8.7109375" style="11" customWidth="1"/>
    <col min="4089" max="4089" width="9.85546875" style="11" customWidth="1"/>
    <col min="4090" max="4090" width="14.42578125" style="11" customWidth="1"/>
    <col min="4091" max="4091" width="7.28515625" style="11" customWidth="1"/>
    <col min="4092" max="4092" width="5.5703125" style="11" customWidth="1"/>
    <col min="4093" max="4093" width="9" style="11" customWidth="1"/>
    <col min="4094" max="4095" width="9.85546875" style="11" customWidth="1"/>
    <col min="4096" max="4096" width="11.140625" style="11" customWidth="1"/>
    <col min="4097" max="4097" width="2.85546875" style="11" customWidth="1"/>
    <col min="4098" max="4098" width="3.5703125" style="11" customWidth="1"/>
    <col min="4099" max="4343" width="9.140625" style="11"/>
    <col min="4344" max="4344" width="8.7109375" style="11" customWidth="1"/>
    <col min="4345" max="4345" width="9.85546875" style="11" customWidth="1"/>
    <col min="4346" max="4346" width="14.42578125" style="11" customWidth="1"/>
    <col min="4347" max="4347" width="7.28515625" style="11" customWidth="1"/>
    <col min="4348" max="4348" width="5.5703125" style="11" customWidth="1"/>
    <col min="4349" max="4349" width="9" style="11" customWidth="1"/>
    <col min="4350" max="4351" width="9.85546875" style="11" customWidth="1"/>
    <col min="4352" max="4352" width="11.140625" style="11" customWidth="1"/>
    <col min="4353" max="4353" width="2.85546875" style="11" customWidth="1"/>
    <col min="4354" max="4354" width="3.5703125" style="11" customWidth="1"/>
    <col min="4355" max="4599" width="9.140625" style="11"/>
    <col min="4600" max="4600" width="8.7109375" style="11" customWidth="1"/>
    <col min="4601" max="4601" width="9.85546875" style="11" customWidth="1"/>
    <col min="4602" max="4602" width="14.42578125" style="11" customWidth="1"/>
    <col min="4603" max="4603" width="7.28515625" style="11" customWidth="1"/>
    <col min="4604" max="4604" width="5.5703125" style="11" customWidth="1"/>
    <col min="4605" max="4605" width="9" style="11" customWidth="1"/>
    <col min="4606" max="4607" width="9.85546875" style="11" customWidth="1"/>
    <col min="4608" max="4608" width="11.140625" style="11" customWidth="1"/>
    <col min="4609" max="4609" width="2.85546875" style="11" customWidth="1"/>
    <col min="4610" max="4610" width="3.5703125" style="11" customWidth="1"/>
    <col min="4611" max="4855" width="9.140625" style="11"/>
    <col min="4856" max="4856" width="8.7109375" style="11" customWidth="1"/>
    <col min="4857" max="4857" width="9.85546875" style="11" customWidth="1"/>
    <col min="4858" max="4858" width="14.42578125" style="11" customWidth="1"/>
    <col min="4859" max="4859" width="7.28515625" style="11" customWidth="1"/>
    <col min="4860" max="4860" width="5.5703125" style="11" customWidth="1"/>
    <col min="4861" max="4861" width="9" style="11" customWidth="1"/>
    <col min="4862" max="4863" width="9.85546875" style="11" customWidth="1"/>
    <col min="4864" max="4864" width="11.140625" style="11" customWidth="1"/>
    <col min="4865" max="4865" width="2.85546875" style="11" customWidth="1"/>
    <col min="4866" max="4866" width="3.5703125" style="11" customWidth="1"/>
    <col min="4867" max="5111" width="9.140625" style="11"/>
    <col min="5112" max="5112" width="8.7109375" style="11" customWidth="1"/>
    <col min="5113" max="5113" width="9.85546875" style="11" customWidth="1"/>
    <col min="5114" max="5114" width="14.42578125" style="11" customWidth="1"/>
    <col min="5115" max="5115" width="7.28515625" style="11" customWidth="1"/>
    <col min="5116" max="5116" width="5.5703125" style="11" customWidth="1"/>
    <col min="5117" max="5117" width="9" style="11" customWidth="1"/>
    <col min="5118" max="5119" width="9.85546875" style="11" customWidth="1"/>
    <col min="5120" max="5120" width="11.140625" style="11" customWidth="1"/>
    <col min="5121" max="5121" width="2.85546875" style="11" customWidth="1"/>
    <col min="5122" max="5122" width="3.5703125" style="11" customWidth="1"/>
    <col min="5123" max="5367" width="9.140625" style="11"/>
    <col min="5368" max="5368" width="8.7109375" style="11" customWidth="1"/>
    <col min="5369" max="5369" width="9.85546875" style="11" customWidth="1"/>
    <col min="5370" max="5370" width="14.42578125" style="11" customWidth="1"/>
    <col min="5371" max="5371" width="7.28515625" style="11" customWidth="1"/>
    <col min="5372" max="5372" width="5.5703125" style="11" customWidth="1"/>
    <col min="5373" max="5373" width="9" style="11" customWidth="1"/>
    <col min="5374" max="5375" width="9.85546875" style="11" customWidth="1"/>
    <col min="5376" max="5376" width="11.140625" style="11" customWidth="1"/>
    <col min="5377" max="5377" width="2.85546875" style="11" customWidth="1"/>
    <col min="5378" max="5378" width="3.5703125" style="11" customWidth="1"/>
    <col min="5379" max="5623" width="9.140625" style="11"/>
    <col min="5624" max="5624" width="8.7109375" style="11" customWidth="1"/>
    <col min="5625" max="5625" width="9.85546875" style="11" customWidth="1"/>
    <col min="5626" max="5626" width="14.42578125" style="11" customWidth="1"/>
    <col min="5627" max="5627" width="7.28515625" style="11" customWidth="1"/>
    <col min="5628" max="5628" width="5.5703125" style="11" customWidth="1"/>
    <col min="5629" max="5629" width="9" style="11" customWidth="1"/>
    <col min="5630" max="5631" width="9.85546875" style="11" customWidth="1"/>
    <col min="5632" max="5632" width="11.140625" style="11" customWidth="1"/>
    <col min="5633" max="5633" width="2.85546875" style="11" customWidth="1"/>
    <col min="5634" max="5634" width="3.5703125" style="11" customWidth="1"/>
    <col min="5635" max="5879" width="9.140625" style="11"/>
    <col min="5880" max="5880" width="8.7109375" style="11" customWidth="1"/>
    <col min="5881" max="5881" width="9.85546875" style="11" customWidth="1"/>
    <col min="5882" max="5882" width="14.42578125" style="11" customWidth="1"/>
    <col min="5883" max="5883" width="7.28515625" style="11" customWidth="1"/>
    <col min="5884" max="5884" width="5.5703125" style="11" customWidth="1"/>
    <col min="5885" max="5885" width="9" style="11" customWidth="1"/>
    <col min="5886" max="5887" width="9.85546875" style="11" customWidth="1"/>
    <col min="5888" max="5888" width="11.140625" style="11" customWidth="1"/>
    <col min="5889" max="5889" width="2.85546875" style="11" customWidth="1"/>
    <col min="5890" max="5890" width="3.5703125" style="11" customWidth="1"/>
    <col min="5891" max="6135" width="9.140625" style="11"/>
    <col min="6136" max="6136" width="8.7109375" style="11" customWidth="1"/>
    <col min="6137" max="6137" width="9.85546875" style="11" customWidth="1"/>
    <col min="6138" max="6138" width="14.42578125" style="11" customWidth="1"/>
    <col min="6139" max="6139" width="7.28515625" style="11" customWidth="1"/>
    <col min="6140" max="6140" width="5.5703125" style="11" customWidth="1"/>
    <col min="6141" max="6141" width="9" style="11" customWidth="1"/>
    <col min="6142" max="6143" width="9.85546875" style="11" customWidth="1"/>
    <col min="6144" max="6144" width="11.140625" style="11" customWidth="1"/>
    <col min="6145" max="6145" width="2.85546875" style="11" customWidth="1"/>
    <col min="6146" max="6146" width="3.5703125" style="11" customWidth="1"/>
    <col min="6147" max="6391" width="9.140625" style="11"/>
    <col min="6392" max="6392" width="8.7109375" style="11" customWidth="1"/>
    <col min="6393" max="6393" width="9.85546875" style="11" customWidth="1"/>
    <col min="6394" max="6394" width="14.42578125" style="11" customWidth="1"/>
    <col min="6395" max="6395" width="7.28515625" style="11" customWidth="1"/>
    <col min="6396" max="6396" width="5.5703125" style="11" customWidth="1"/>
    <col min="6397" max="6397" width="9" style="11" customWidth="1"/>
    <col min="6398" max="6399" width="9.85546875" style="11" customWidth="1"/>
    <col min="6400" max="6400" width="11.140625" style="11" customWidth="1"/>
    <col min="6401" max="6401" width="2.85546875" style="11" customWidth="1"/>
    <col min="6402" max="6402" width="3.5703125" style="11" customWidth="1"/>
    <col min="6403" max="6647" width="9.140625" style="11"/>
    <col min="6648" max="6648" width="8.7109375" style="11" customWidth="1"/>
    <col min="6649" max="6649" width="9.85546875" style="11" customWidth="1"/>
    <col min="6650" max="6650" width="14.42578125" style="11" customWidth="1"/>
    <col min="6651" max="6651" width="7.28515625" style="11" customWidth="1"/>
    <col min="6652" max="6652" width="5.5703125" style="11" customWidth="1"/>
    <col min="6653" max="6653" width="9" style="11" customWidth="1"/>
    <col min="6654" max="6655" width="9.85546875" style="11" customWidth="1"/>
    <col min="6656" max="6656" width="11.140625" style="11" customWidth="1"/>
    <col min="6657" max="6657" width="2.85546875" style="11" customWidth="1"/>
    <col min="6658" max="6658" width="3.5703125" style="11" customWidth="1"/>
    <col min="6659" max="6903" width="9.140625" style="11"/>
    <col min="6904" max="6904" width="8.7109375" style="11" customWidth="1"/>
    <col min="6905" max="6905" width="9.85546875" style="11" customWidth="1"/>
    <col min="6906" max="6906" width="14.42578125" style="11" customWidth="1"/>
    <col min="6907" max="6907" width="7.28515625" style="11" customWidth="1"/>
    <col min="6908" max="6908" width="5.5703125" style="11" customWidth="1"/>
    <col min="6909" max="6909" width="9" style="11" customWidth="1"/>
    <col min="6910" max="6911" width="9.85546875" style="11" customWidth="1"/>
    <col min="6912" max="6912" width="11.140625" style="11" customWidth="1"/>
    <col min="6913" max="6913" width="2.85546875" style="11" customWidth="1"/>
    <col min="6914" max="6914" width="3.5703125" style="11" customWidth="1"/>
    <col min="6915" max="7159" width="9.140625" style="11"/>
    <col min="7160" max="7160" width="8.7109375" style="11" customWidth="1"/>
    <col min="7161" max="7161" width="9.85546875" style="11" customWidth="1"/>
    <col min="7162" max="7162" width="14.42578125" style="11" customWidth="1"/>
    <col min="7163" max="7163" width="7.28515625" style="11" customWidth="1"/>
    <col min="7164" max="7164" width="5.5703125" style="11" customWidth="1"/>
    <col min="7165" max="7165" width="9" style="11" customWidth="1"/>
    <col min="7166" max="7167" width="9.85546875" style="11" customWidth="1"/>
    <col min="7168" max="7168" width="11.140625" style="11" customWidth="1"/>
    <col min="7169" max="7169" width="2.85546875" style="11" customWidth="1"/>
    <col min="7170" max="7170" width="3.5703125" style="11" customWidth="1"/>
    <col min="7171" max="7415" width="9.140625" style="11"/>
    <col min="7416" max="7416" width="8.7109375" style="11" customWidth="1"/>
    <col min="7417" max="7417" width="9.85546875" style="11" customWidth="1"/>
    <col min="7418" max="7418" width="14.42578125" style="11" customWidth="1"/>
    <col min="7419" max="7419" width="7.28515625" style="11" customWidth="1"/>
    <col min="7420" max="7420" width="5.5703125" style="11" customWidth="1"/>
    <col min="7421" max="7421" width="9" style="11" customWidth="1"/>
    <col min="7422" max="7423" width="9.85546875" style="11" customWidth="1"/>
    <col min="7424" max="7424" width="11.140625" style="11" customWidth="1"/>
    <col min="7425" max="7425" width="2.85546875" style="11" customWidth="1"/>
    <col min="7426" max="7426" width="3.5703125" style="11" customWidth="1"/>
    <col min="7427" max="7671" width="9.140625" style="11"/>
    <col min="7672" max="7672" width="8.7109375" style="11" customWidth="1"/>
    <col min="7673" max="7673" width="9.85546875" style="11" customWidth="1"/>
    <col min="7674" max="7674" width="14.42578125" style="11" customWidth="1"/>
    <col min="7675" max="7675" width="7.28515625" style="11" customWidth="1"/>
    <col min="7676" max="7676" width="5.5703125" style="11" customWidth="1"/>
    <col min="7677" max="7677" width="9" style="11" customWidth="1"/>
    <col min="7678" max="7679" width="9.85546875" style="11" customWidth="1"/>
    <col min="7680" max="7680" width="11.140625" style="11" customWidth="1"/>
    <col min="7681" max="7681" width="2.85546875" style="11" customWidth="1"/>
    <col min="7682" max="7682" width="3.5703125" style="11" customWidth="1"/>
    <col min="7683" max="7927" width="9.140625" style="11"/>
    <col min="7928" max="7928" width="8.7109375" style="11" customWidth="1"/>
    <col min="7929" max="7929" width="9.85546875" style="11" customWidth="1"/>
    <col min="7930" max="7930" width="14.42578125" style="11" customWidth="1"/>
    <col min="7931" max="7931" width="7.28515625" style="11" customWidth="1"/>
    <col min="7932" max="7932" width="5.5703125" style="11" customWidth="1"/>
    <col min="7933" max="7933" width="9" style="11" customWidth="1"/>
    <col min="7934" max="7935" width="9.85546875" style="11" customWidth="1"/>
    <col min="7936" max="7936" width="11.140625" style="11" customWidth="1"/>
    <col min="7937" max="7937" width="2.85546875" style="11" customWidth="1"/>
    <col min="7938" max="7938" width="3.5703125" style="11" customWidth="1"/>
    <col min="7939" max="8183" width="9.140625" style="11"/>
    <col min="8184" max="8184" width="8.7109375" style="11" customWidth="1"/>
    <col min="8185" max="8185" width="9.85546875" style="11" customWidth="1"/>
    <col min="8186" max="8186" width="14.42578125" style="11" customWidth="1"/>
    <col min="8187" max="8187" width="7.28515625" style="11" customWidth="1"/>
    <col min="8188" max="8188" width="5.5703125" style="11" customWidth="1"/>
    <col min="8189" max="8189" width="9" style="11" customWidth="1"/>
    <col min="8190" max="8191" width="9.85546875" style="11" customWidth="1"/>
    <col min="8192" max="8192" width="11.140625" style="11" customWidth="1"/>
    <col min="8193" max="8193" width="2.85546875" style="11" customWidth="1"/>
    <col min="8194" max="8194" width="3.5703125" style="11" customWidth="1"/>
    <col min="8195" max="8439" width="9.140625" style="11"/>
    <col min="8440" max="8440" width="8.7109375" style="11" customWidth="1"/>
    <col min="8441" max="8441" width="9.85546875" style="11" customWidth="1"/>
    <col min="8442" max="8442" width="14.42578125" style="11" customWidth="1"/>
    <col min="8443" max="8443" width="7.28515625" style="11" customWidth="1"/>
    <col min="8444" max="8444" width="5.5703125" style="11" customWidth="1"/>
    <col min="8445" max="8445" width="9" style="11" customWidth="1"/>
    <col min="8446" max="8447" width="9.85546875" style="11" customWidth="1"/>
    <col min="8448" max="8448" width="11.140625" style="11" customWidth="1"/>
    <col min="8449" max="8449" width="2.85546875" style="11" customWidth="1"/>
    <col min="8450" max="8450" width="3.5703125" style="11" customWidth="1"/>
    <col min="8451" max="8695" width="9.140625" style="11"/>
    <col min="8696" max="8696" width="8.7109375" style="11" customWidth="1"/>
    <col min="8697" max="8697" width="9.85546875" style="11" customWidth="1"/>
    <col min="8698" max="8698" width="14.42578125" style="11" customWidth="1"/>
    <col min="8699" max="8699" width="7.28515625" style="11" customWidth="1"/>
    <col min="8700" max="8700" width="5.5703125" style="11" customWidth="1"/>
    <col min="8701" max="8701" width="9" style="11" customWidth="1"/>
    <col min="8702" max="8703" width="9.85546875" style="11" customWidth="1"/>
    <col min="8704" max="8704" width="11.140625" style="11" customWidth="1"/>
    <col min="8705" max="8705" width="2.85546875" style="11" customWidth="1"/>
    <col min="8706" max="8706" width="3.5703125" style="11" customWidth="1"/>
    <col min="8707" max="8951" width="9.140625" style="11"/>
    <col min="8952" max="8952" width="8.7109375" style="11" customWidth="1"/>
    <col min="8953" max="8953" width="9.85546875" style="11" customWidth="1"/>
    <col min="8954" max="8954" width="14.42578125" style="11" customWidth="1"/>
    <col min="8955" max="8955" width="7.28515625" style="11" customWidth="1"/>
    <col min="8956" max="8956" width="5.5703125" style="11" customWidth="1"/>
    <col min="8957" max="8957" width="9" style="11" customWidth="1"/>
    <col min="8958" max="8959" width="9.85546875" style="11" customWidth="1"/>
    <col min="8960" max="8960" width="11.140625" style="11" customWidth="1"/>
    <col min="8961" max="8961" width="2.85546875" style="11" customWidth="1"/>
    <col min="8962" max="8962" width="3.5703125" style="11" customWidth="1"/>
    <col min="8963" max="9207" width="9.140625" style="11"/>
    <col min="9208" max="9208" width="8.7109375" style="11" customWidth="1"/>
    <col min="9209" max="9209" width="9.85546875" style="11" customWidth="1"/>
    <col min="9210" max="9210" width="14.42578125" style="11" customWidth="1"/>
    <col min="9211" max="9211" width="7.28515625" style="11" customWidth="1"/>
    <col min="9212" max="9212" width="5.5703125" style="11" customWidth="1"/>
    <col min="9213" max="9213" width="9" style="11" customWidth="1"/>
    <col min="9214" max="9215" width="9.85546875" style="11" customWidth="1"/>
    <col min="9216" max="9216" width="11.140625" style="11" customWidth="1"/>
    <col min="9217" max="9217" width="2.85546875" style="11" customWidth="1"/>
    <col min="9218" max="9218" width="3.5703125" style="11" customWidth="1"/>
    <col min="9219" max="9463" width="9.140625" style="11"/>
    <col min="9464" max="9464" width="8.7109375" style="11" customWidth="1"/>
    <col min="9465" max="9465" width="9.85546875" style="11" customWidth="1"/>
    <col min="9466" max="9466" width="14.42578125" style="11" customWidth="1"/>
    <col min="9467" max="9467" width="7.28515625" style="11" customWidth="1"/>
    <col min="9468" max="9468" width="5.5703125" style="11" customWidth="1"/>
    <col min="9469" max="9469" width="9" style="11" customWidth="1"/>
    <col min="9470" max="9471" width="9.85546875" style="11" customWidth="1"/>
    <col min="9472" max="9472" width="11.140625" style="11" customWidth="1"/>
    <col min="9473" max="9473" width="2.85546875" style="11" customWidth="1"/>
    <col min="9474" max="9474" width="3.5703125" style="11" customWidth="1"/>
    <col min="9475" max="9719" width="9.140625" style="11"/>
    <col min="9720" max="9720" width="8.7109375" style="11" customWidth="1"/>
    <col min="9721" max="9721" width="9.85546875" style="11" customWidth="1"/>
    <col min="9722" max="9722" width="14.42578125" style="11" customWidth="1"/>
    <col min="9723" max="9723" width="7.28515625" style="11" customWidth="1"/>
    <col min="9724" max="9724" width="5.5703125" style="11" customWidth="1"/>
    <col min="9725" max="9725" width="9" style="11" customWidth="1"/>
    <col min="9726" max="9727" width="9.85546875" style="11" customWidth="1"/>
    <col min="9728" max="9728" width="11.140625" style="11" customWidth="1"/>
    <col min="9729" max="9729" width="2.85546875" style="11" customWidth="1"/>
    <col min="9730" max="9730" width="3.5703125" style="11" customWidth="1"/>
    <col min="9731" max="9975" width="9.140625" style="11"/>
    <col min="9976" max="9976" width="8.7109375" style="11" customWidth="1"/>
    <col min="9977" max="9977" width="9.85546875" style="11" customWidth="1"/>
    <col min="9978" max="9978" width="14.42578125" style="11" customWidth="1"/>
    <col min="9979" max="9979" width="7.28515625" style="11" customWidth="1"/>
    <col min="9980" max="9980" width="5.5703125" style="11" customWidth="1"/>
    <col min="9981" max="9981" width="9" style="11" customWidth="1"/>
    <col min="9982" max="9983" width="9.85546875" style="11" customWidth="1"/>
    <col min="9984" max="9984" width="11.140625" style="11" customWidth="1"/>
    <col min="9985" max="9985" width="2.85546875" style="11" customWidth="1"/>
    <col min="9986" max="9986" width="3.5703125" style="11" customWidth="1"/>
    <col min="9987" max="10231" width="9.140625" style="11"/>
    <col min="10232" max="10232" width="8.7109375" style="11" customWidth="1"/>
    <col min="10233" max="10233" width="9.85546875" style="11" customWidth="1"/>
    <col min="10234" max="10234" width="14.42578125" style="11" customWidth="1"/>
    <col min="10235" max="10235" width="7.28515625" style="11" customWidth="1"/>
    <col min="10236" max="10236" width="5.5703125" style="11" customWidth="1"/>
    <col min="10237" max="10237" width="9" style="11" customWidth="1"/>
    <col min="10238" max="10239" width="9.85546875" style="11" customWidth="1"/>
    <col min="10240" max="10240" width="11.140625" style="11" customWidth="1"/>
    <col min="10241" max="10241" width="2.85546875" style="11" customWidth="1"/>
    <col min="10242" max="10242" width="3.5703125" style="11" customWidth="1"/>
    <col min="10243" max="10487" width="9.140625" style="11"/>
    <col min="10488" max="10488" width="8.7109375" style="11" customWidth="1"/>
    <col min="10489" max="10489" width="9.85546875" style="11" customWidth="1"/>
    <col min="10490" max="10490" width="14.42578125" style="11" customWidth="1"/>
    <col min="10491" max="10491" width="7.28515625" style="11" customWidth="1"/>
    <col min="10492" max="10492" width="5.5703125" style="11" customWidth="1"/>
    <col min="10493" max="10493" width="9" style="11" customWidth="1"/>
    <col min="10494" max="10495" width="9.85546875" style="11" customWidth="1"/>
    <col min="10496" max="10496" width="11.140625" style="11" customWidth="1"/>
    <col min="10497" max="10497" width="2.85546875" style="11" customWidth="1"/>
    <col min="10498" max="10498" width="3.5703125" style="11" customWidth="1"/>
    <col min="10499" max="10743" width="9.140625" style="11"/>
    <col min="10744" max="10744" width="8.7109375" style="11" customWidth="1"/>
    <col min="10745" max="10745" width="9.85546875" style="11" customWidth="1"/>
    <col min="10746" max="10746" width="14.42578125" style="11" customWidth="1"/>
    <col min="10747" max="10747" width="7.28515625" style="11" customWidth="1"/>
    <col min="10748" max="10748" width="5.5703125" style="11" customWidth="1"/>
    <col min="10749" max="10749" width="9" style="11" customWidth="1"/>
    <col min="10750" max="10751" width="9.85546875" style="11" customWidth="1"/>
    <col min="10752" max="10752" width="11.140625" style="11" customWidth="1"/>
    <col min="10753" max="10753" width="2.85546875" style="11" customWidth="1"/>
    <col min="10754" max="10754" width="3.5703125" style="11" customWidth="1"/>
    <col min="10755" max="10999" width="9.140625" style="11"/>
    <col min="11000" max="11000" width="8.7109375" style="11" customWidth="1"/>
    <col min="11001" max="11001" width="9.85546875" style="11" customWidth="1"/>
    <col min="11002" max="11002" width="14.42578125" style="11" customWidth="1"/>
    <col min="11003" max="11003" width="7.28515625" style="11" customWidth="1"/>
    <col min="11004" max="11004" width="5.5703125" style="11" customWidth="1"/>
    <col min="11005" max="11005" width="9" style="11" customWidth="1"/>
    <col min="11006" max="11007" width="9.85546875" style="11" customWidth="1"/>
    <col min="11008" max="11008" width="11.140625" style="11" customWidth="1"/>
    <col min="11009" max="11009" width="2.85546875" style="11" customWidth="1"/>
    <col min="11010" max="11010" width="3.5703125" style="11" customWidth="1"/>
    <col min="11011" max="11255" width="9.140625" style="11"/>
    <col min="11256" max="11256" width="8.7109375" style="11" customWidth="1"/>
    <col min="11257" max="11257" width="9.85546875" style="11" customWidth="1"/>
    <col min="11258" max="11258" width="14.42578125" style="11" customWidth="1"/>
    <col min="11259" max="11259" width="7.28515625" style="11" customWidth="1"/>
    <col min="11260" max="11260" width="5.5703125" style="11" customWidth="1"/>
    <col min="11261" max="11261" width="9" style="11" customWidth="1"/>
    <col min="11262" max="11263" width="9.85546875" style="11" customWidth="1"/>
    <col min="11264" max="11264" width="11.140625" style="11" customWidth="1"/>
    <col min="11265" max="11265" width="2.85546875" style="11" customWidth="1"/>
    <col min="11266" max="11266" width="3.5703125" style="11" customWidth="1"/>
    <col min="11267" max="11511" width="9.140625" style="11"/>
    <col min="11512" max="11512" width="8.7109375" style="11" customWidth="1"/>
    <col min="11513" max="11513" width="9.85546875" style="11" customWidth="1"/>
    <col min="11514" max="11514" width="14.42578125" style="11" customWidth="1"/>
    <col min="11515" max="11515" width="7.28515625" style="11" customWidth="1"/>
    <col min="11516" max="11516" width="5.5703125" style="11" customWidth="1"/>
    <col min="11517" max="11517" width="9" style="11" customWidth="1"/>
    <col min="11518" max="11519" width="9.85546875" style="11" customWidth="1"/>
    <col min="11520" max="11520" width="11.140625" style="11" customWidth="1"/>
    <col min="11521" max="11521" width="2.85546875" style="11" customWidth="1"/>
    <col min="11522" max="11522" width="3.5703125" style="11" customWidth="1"/>
    <col min="11523" max="11767" width="9.140625" style="11"/>
    <col min="11768" max="11768" width="8.7109375" style="11" customWidth="1"/>
    <col min="11769" max="11769" width="9.85546875" style="11" customWidth="1"/>
    <col min="11770" max="11770" width="14.42578125" style="11" customWidth="1"/>
    <col min="11771" max="11771" width="7.28515625" style="11" customWidth="1"/>
    <col min="11772" max="11772" width="5.5703125" style="11" customWidth="1"/>
    <col min="11773" max="11773" width="9" style="11" customWidth="1"/>
    <col min="11774" max="11775" width="9.85546875" style="11" customWidth="1"/>
    <col min="11776" max="11776" width="11.140625" style="11" customWidth="1"/>
    <col min="11777" max="11777" width="2.85546875" style="11" customWidth="1"/>
    <col min="11778" max="11778" width="3.5703125" style="11" customWidth="1"/>
    <col min="11779" max="12023" width="9.140625" style="11"/>
    <col min="12024" max="12024" width="8.7109375" style="11" customWidth="1"/>
    <col min="12025" max="12025" width="9.85546875" style="11" customWidth="1"/>
    <col min="12026" max="12026" width="14.42578125" style="11" customWidth="1"/>
    <col min="12027" max="12027" width="7.28515625" style="11" customWidth="1"/>
    <col min="12028" max="12028" width="5.5703125" style="11" customWidth="1"/>
    <col min="12029" max="12029" width="9" style="11" customWidth="1"/>
    <col min="12030" max="12031" width="9.85546875" style="11" customWidth="1"/>
    <col min="12032" max="12032" width="11.140625" style="11" customWidth="1"/>
    <col min="12033" max="12033" width="2.85546875" style="11" customWidth="1"/>
    <col min="12034" max="12034" width="3.5703125" style="11" customWidth="1"/>
    <col min="12035" max="12279" width="9.140625" style="11"/>
    <col min="12280" max="12280" width="8.7109375" style="11" customWidth="1"/>
    <col min="12281" max="12281" width="9.85546875" style="11" customWidth="1"/>
    <col min="12282" max="12282" width="14.42578125" style="11" customWidth="1"/>
    <col min="12283" max="12283" width="7.28515625" style="11" customWidth="1"/>
    <col min="12284" max="12284" width="5.5703125" style="11" customWidth="1"/>
    <col min="12285" max="12285" width="9" style="11" customWidth="1"/>
    <col min="12286" max="12287" width="9.85546875" style="11" customWidth="1"/>
    <col min="12288" max="12288" width="11.140625" style="11" customWidth="1"/>
    <col min="12289" max="12289" width="2.85546875" style="11" customWidth="1"/>
    <col min="12290" max="12290" width="3.5703125" style="11" customWidth="1"/>
    <col min="12291" max="12535" width="9.140625" style="11"/>
    <col min="12536" max="12536" width="8.7109375" style="11" customWidth="1"/>
    <col min="12537" max="12537" width="9.85546875" style="11" customWidth="1"/>
    <col min="12538" max="12538" width="14.42578125" style="11" customWidth="1"/>
    <col min="12539" max="12539" width="7.28515625" style="11" customWidth="1"/>
    <col min="12540" max="12540" width="5.5703125" style="11" customWidth="1"/>
    <col min="12541" max="12541" width="9" style="11" customWidth="1"/>
    <col min="12542" max="12543" width="9.85546875" style="11" customWidth="1"/>
    <col min="12544" max="12544" width="11.140625" style="11" customWidth="1"/>
    <col min="12545" max="12545" width="2.85546875" style="11" customWidth="1"/>
    <col min="12546" max="12546" width="3.5703125" style="11" customWidth="1"/>
    <col min="12547" max="12791" width="9.140625" style="11"/>
    <col min="12792" max="12792" width="8.7109375" style="11" customWidth="1"/>
    <col min="12793" max="12793" width="9.85546875" style="11" customWidth="1"/>
    <col min="12794" max="12794" width="14.42578125" style="11" customWidth="1"/>
    <col min="12795" max="12795" width="7.28515625" style="11" customWidth="1"/>
    <col min="12796" max="12796" width="5.5703125" style="11" customWidth="1"/>
    <col min="12797" max="12797" width="9" style="11" customWidth="1"/>
    <col min="12798" max="12799" width="9.85546875" style="11" customWidth="1"/>
    <col min="12800" max="12800" width="11.140625" style="11" customWidth="1"/>
    <col min="12801" max="12801" width="2.85546875" style="11" customWidth="1"/>
    <col min="12802" max="12802" width="3.5703125" style="11" customWidth="1"/>
    <col min="12803" max="13047" width="9.140625" style="11"/>
    <col min="13048" max="13048" width="8.7109375" style="11" customWidth="1"/>
    <col min="13049" max="13049" width="9.85546875" style="11" customWidth="1"/>
    <col min="13050" max="13050" width="14.42578125" style="11" customWidth="1"/>
    <col min="13051" max="13051" width="7.28515625" style="11" customWidth="1"/>
    <col min="13052" max="13052" width="5.5703125" style="11" customWidth="1"/>
    <col min="13053" max="13053" width="9" style="11" customWidth="1"/>
    <col min="13054" max="13055" width="9.85546875" style="11" customWidth="1"/>
    <col min="13056" max="13056" width="11.140625" style="11" customWidth="1"/>
    <col min="13057" max="13057" width="2.85546875" style="11" customWidth="1"/>
    <col min="13058" max="13058" width="3.5703125" style="11" customWidth="1"/>
    <col min="13059" max="13303" width="9.140625" style="11"/>
    <col min="13304" max="13304" width="8.7109375" style="11" customWidth="1"/>
    <col min="13305" max="13305" width="9.85546875" style="11" customWidth="1"/>
    <col min="13306" max="13306" width="14.42578125" style="11" customWidth="1"/>
    <col min="13307" max="13307" width="7.28515625" style="11" customWidth="1"/>
    <col min="13308" max="13308" width="5.5703125" style="11" customWidth="1"/>
    <col min="13309" max="13309" width="9" style="11" customWidth="1"/>
    <col min="13310" max="13311" width="9.85546875" style="11" customWidth="1"/>
    <col min="13312" max="13312" width="11.140625" style="11" customWidth="1"/>
    <col min="13313" max="13313" width="2.85546875" style="11" customWidth="1"/>
    <col min="13314" max="13314" width="3.5703125" style="11" customWidth="1"/>
    <col min="13315" max="13559" width="9.140625" style="11"/>
    <col min="13560" max="13560" width="8.7109375" style="11" customWidth="1"/>
    <col min="13561" max="13561" width="9.85546875" style="11" customWidth="1"/>
    <col min="13562" max="13562" width="14.42578125" style="11" customWidth="1"/>
    <col min="13563" max="13563" width="7.28515625" style="11" customWidth="1"/>
    <col min="13564" max="13564" width="5.5703125" style="11" customWidth="1"/>
    <col min="13565" max="13565" width="9" style="11" customWidth="1"/>
    <col min="13566" max="13567" width="9.85546875" style="11" customWidth="1"/>
    <col min="13568" max="13568" width="11.140625" style="11" customWidth="1"/>
    <col min="13569" max="13569" width="2.85546875" style="11" customWidth="1"/>
    <col min="13570" max="13570" width="3.5703125" style="11" customWidth="1"/>
    <col min="13571" max="13815" width="9.140625" style="11"/>
    <col min="13816" max="13816" width="8.7109375" style="11" customWidth="1"/>
    <col min="13817" max="13817" width="9.85546875" style="11" customWidth="1"/>
    <col min="13818" max="13818" width="14.42578125" style="11" customWidth="1"/>
    <col min="13819" max="13819" width="7.28515625" style="11" customWidth="1"/>
    <col min="13820" max="13820" width="5.5703125" style="11" customWidth="1"/>
    <col min="13821" max="13821" width="9" style="11" customWidth="1"/>
    <col min="13822" max="13823" width="9.85546875" style="11" customWidth="1"/>
    <col min="13824" max="13824" width="11.140625" style="11" customWidth="1"/>
    <col min="13825" max="13825" width="2.85546875" style="11" customWidth="1"/>
    <col min="13826" max="13826" width="3.5703125" style="11" customWidth="1"/>
    <col min="13827" max="14071" width="9.140625" style="11"/>
    <col min="14072" max="14072" width="8.7109375" style="11" customWidth="1"/>
    <col min="14073" max="14073" width="9.85546875" style="11" customWidth="1"/>
    <col min="14074" max="14074" width="14.42578125" style="11" customWidth="1"/>
    <col min="14075" max="14075" width="7.28515625" style="11" customWidth="1"/>
    <col min="14076" max="14076" width="5.5703125" style="11" customWidth="1"/>
    <col min="14077" max="14077" width="9" style="11" customWidth="1"/>
    <col min="14078" max="14079" width="9.85546875" style="11" customWidth="1"/>
    <col min="14080" max="14080" width="11.140625" style="11" customWidth="1"/>
    <col min="14081" max="14081" width="2.85546875" style="11" customWidth="1"/>
    <col min="14082" max="14082" width="3.5703125" style="11" customWidth="1"/>
    <col min="14083" max="14327" width="9.140625" style="11"/>
    <col min="14328" max="14328" width="8.7109375" style="11" customWidth="1"/>
    <col min="14329" max="14329" width="9.85546875" style="11" customWidth="1"/>
    <col min="14330" max="14330" width="14.42578125" style="11" customWidth="1"/>
    <col min="14331" max="14331" width="7.28515625" style="11" customWidth="1"/>
    <col min="14332" max="14332" width="5.5703125" style="11" customWidth="1"/>
    <col min="14333" max="14333" width="9" style="11" customWidth="1"/>
    <col min="14334" max="14335" width="9.85546875" style="11" customWidth="1"/>
    <col min="14336" max="14336" width="11.140625" style="11" customWidth="1"/>
    <col min="14337" max="14337" width="2.85546875" style="11" customWidth="1"/>
    <col min="14338" max="14338" width="3.5703125" style="11" customWidth="1"/>
    <col min="14339" max="14583" width="9.140625" style="11"/>
    <col min="14584" max="14584" width="8.7109375" style="11" customWidth="1"/>
    <col min="14585" max="14585" width="9.85546875" style="11" customWidth="1"/>
    <col min="14586" max="14586" width="14.42578125" style="11" customWidth="1"/>
    <col min="14587" max="14587" width="7.28515625" style="11" customWidth="1"/>
    <col min="14588" max="14588" width="5.5703125" style="11" customWidth="1"/>
    <col min="14589" max="14589" width="9" style="11" customWidth="1"/>
    <col min="14590" max="14591" width="9.85546875" style="11" customWidth="1"/>
    <col min="14592" max="14592" width="11.140625" style="11" customWidth="1"/>
    <col min="14593" max="14593" width="2.85546875" style="11" customWidth="1"/>
    <col min="14594" max="14594" width="3.5703125" style="11" customWidth="1"/>
    <col min="14595" max="14839" width="9.140625" style="11"/>
    <col min="14840" max="14840" width="8.7109375" style="11" customWidth="1"/>
    <col min="14841" max="14841" width="9.85546875" style="11" customWidth="1"/>
    <col min="14842" max="14842" width="14.42578125" style="11" customWidth="1"/>
    <col min="14843" max="14843" width="7.28515625" style="11" customWidth="1"/>
    <col min="14844" max="14844" width="5.5703125" style="11" customWidth="1"/>
    <col min="14845" max="14845" width="9" style="11" customWidth="1"/>
    <col min="14846" max="14847" width="9.85546875" style="11" customWidth="1"/>
    <col min="14848" max="14848" width="11.140625" style="11" customWidth="1"/>
    <col min="14849" max="14849" width="2.85546875" style="11" customWidth="1"/>
    <col min="14850" max="14850" width="3.5703125" style="11" customWidth="1"/>
    <col min="14851" max="15095" width="9.140625" style="11"/>
    <col min="15096" max="15096" width="8.7109375" style="11" customWidth="1"/>
    <col min="15097" max="15097" width="9.85546875" style="11" customWidth="1"/>
    <col min="15098" max="15098" width="14.42578125" style="11" customWidth="1"/>
    <col min="15099" max="15099" width="7.28515625" style="11" customWidth="1"/>
    <col min="15100" max="15100" width="5.5703125" style="11" customWidth="1"/>
    <col min="15101" max="15101" width="9" style="11" customWidth="1"/>
    <col min="15102" max="15103" width="9.85546875" style="11" customWidth="1"/>
    <col min="15104" max="15104" width="11.140625" style="11" customWidth="1"/>
    <col min="15105" max="15105" width="2.85546875" style="11" customWidth="1"/>
    <col min="15106" max="15106" width="3.5703125" style="11" customWidth="1"/>
    <col min="15107" max="15351" width="9.140625" style="11"/>
    <col min="15352" max="15352" width="8.7109375" style="11" customWidth="1"/>
    <col min="15353" max="15353" width="9.85546875" style="11" customWidth="1"/>
    <col min="15354" max="15354" width="14.42578125" style="11" customWidth="1"/>
    <col min="15355" max="15355" width="7.28515625" style="11" customWidth="1"/>
    <col min="15356" max="15356" width="5.5703125" style="11" customWidth="1"/>
    <col min="15357" max="15357" width="9" style="11" customWidth="1"/>
    <col min="15358" max="15359" width="9.85546875" style="11" customWidth="1"/>
    <col min="15360" max="15360" width="11.140625" style="11" customWidth="1"/>
    <col min="15361" max="15361" width="2.85546875" style="11" customWidth="1"/>
    <col min="15362" max="15362" width="3.5703125" style="11" customWidth="1"/>
    <col min="15363" max="15607" width="9.140625" style="11"/>
    <col min="15608" max="15608" width="8.7109375" style="11" customWidth="1"/>
    <col min="15609" max="15609" width="9.85546875" style="11" customWidth="1"/>
    <col min="15610" max="15610" width="14.42578125" style="11" customWidth="1"/>
    <col min="15611" max="15611" width="7.28515625" style="11" customWidth="1"/>
    <col min="15612" max="15612" width="5.5703125" style="11" customWidth="1"/>
    <col min="15613" max="15613" width="9" style="11" customWidth="1"/>
    <col min="15614" max="15615" width="9.85546875" style="11" customWidth="1"/>
    <col min="15616" max="15616" width="11.140625" style="11" customWidth="1"/>
    <col min="15617" max="15617" width="2.85546875" style="11" customWidth="1"/>
    <col min="15618" max="15618" width="3.5703125" style="11" customWidth="1"/>
    <col min="15619" max="15863" width="9.140625" style="11"/>
    <col min="15864" max="15864" width="8.7109375" style="11" customWidth="1"/>
    <col min="15865" max="15865" width="9.85546875" style="11" customWidth="1"/>
    <col min="15866" max="15866" width="14.42578125" style="11" customWidth="1"/>
    <col min="15867" max="15867" width="7.28515625" style="11" customWidth="1"/>
    <col min="15868" max="15868" width="5.5703125" style="11" customWidth="1"/>
    <col min="15869" max="15869" width="9" style="11" customWidth="1"/>
    <col min="15870" max="15871" width="9.85546875" style="11" customWidth="1"/>
    <col min="15872" max="15872" width="11.140625" style="11" customWidth="1"/>
    <col min="15873" max="15873" width="2.85546875" style="11" customWidth="1"/>
    <col min="15874" max="15874" width="3.5703125" style="11" customWidth="1"/>
    <col min="15875" max="16119" width="9.140625" style="11"/>
    <col min="16120" max="16120" width="8.7109375" style="11" customWidth="1"/>
    <col min="16121" max="16121" width="9.85546875" style="11" customWidth="1"/>
    <col min="16122" max="16122" width="14.42578125" style="11" customWidth="1"/>
    <col min="16123" max="16123" width="7.28515625" style="11" customWidth="1"/>
    <col min="16124" max="16124" width="5.5703125" style="11" customWidth="1"/>
    <col min="16125" max="16125" width="9" style="11" customWidth="1"/>
    <col min="16126" max="16127" width="9.85546875" style="11" customWidth="1"/>
    <col min="16128" max="16128" width="11.140625" style="11" customWidth="1"/>
    <col min="16129" max="16129" width="2.85546875" style="11" customWidth="1"/>
    <col min="16130" max="16130" width="3.5703125" style="11" customWidth="1"/>
    <col min="16131" max="16384" width="9.140625" style="11"/>
  </cols>
  <sheetData>
    <row r="1" spans="1:12" ht="46.5" customHeight="1" x14ac:dyDescent="0.25">
      <c r="A1" s="165" t="s">
        <v>225</v>
      </c>
      <c r="B1" s="165"/>
      <c r="C1" s="165"/>
      <c r="D1" s="165"/>
      <c r="E1" s="165"/>
      <c r="F1" s="165"/>
      <c r="G1" s="165"/>
      <c r="H1" s="165"/>
    </row>
    <row r="2" spans="1:12" ht="16.5" customHeight="1" x14ac:dyDescent="0.25">
      <c r="A2" s="109" t="s">
        <v>0</v>
      </c>
      <c r="B2" s="109"/>
      <c r="C2" s="109"/>
      <c r="D2" s="109"/>
      <c r="E2" s="109"/>
      <c r="F2" s="109"/>
      <c r="G2" s="109"/>
      <c r="H2" s="109"/>
    </row>
    <row r="3" spans="1:12" x14ac:dyDescent="0.25">
      <c r="A3" s="116" t="s">
        <v>1</v>
      </c>
      <c r="B3" s="116"/>
      <c r="C3" s="116"/>
      <c r="D3" s="116"/>
      <c r="E3" s="116" t="str">
        <f ca="1">TEXT(TODAY(),"DD/MM/YYYY")</f>
        <v>08/09/2025</v>
      </c>
      <c r="F3" s="116"/>
      <c r="G3" s="116"/>
      <c r="H3" s="116"/>
    </row>
    <row r="4" spans="1:12" x14ac:dyDescent="0.25">
      <c r="A4" s="116" t="s">
        <v>2</v>
      </c>
      <c r="B4" s="116"/>
      <c r="C4" s="116"/>
      <c r="D4" s="116"/>
      <c r="E4" s="116" t="s">
        <v>164</v>
      </c>
      <c r="F4" s="116"/>
      <c r="G4" s="116"/>
      <c r="H4" s="116"/>
    </row>
    <row r="5" spans="1:12" x14ac:dyDescent="0.25">
      <c r="A5" s="116" t="s">
        <v>3</v>
      </c>
      <c r="B5" s="116"/>
      <c r="C5" s="116"/>
      <c r="D5" s="116"/>
      <c r="E5" s="164">
        <v>45908</v>
      </c>
      <c r="F5" s="116"/>
      <c r="G5" s="116"/>
      <c r="H5" s="116"/>
    </row>
    <row r="6" spans="1:12" ht="16.5" customHeight="1" x14ac:dyDescent="0.25">
      <c r="A6" s="116" t="s">
        <v>4</v>
      </c>
      <c r="B6" s="116"/>
      <c r="C6" s="116"/>
      <c r="D6" s="116"/>
      <c r="E6" s="116" t="s">
        <v>165</v>
      </c>
      <c r="F6" s="116"/>
      <c r="G6" s="116"/>
      <c r="H6" s="116"/>
    </row>
    <row r="7" spans="1:12" ht="15" customHeight="1" x14ac:dyDescent="0.25">
      <c r="A7" s="116" t="s">
        <v>5</v>
      </c>
      <c r="B7" s="116"/>
      <c r="C7" s="116"/>
      <c r="D7" s="116"/>
      <c r="E7" s="116" t="str">
        <f>E6</f>
        <v>Aditi Builders And Developers</v>
      </c>
      <c r="F7" s="116"/>
      <c r="G7" s="116"/>
      <c r="H7" s="116"/>
    </row>
    <row r="8" spans="1:12" x14ac:dyDescent="0.25">
      <c r="A8" s="116" t="s">
        <v>6</v>
      </c>
      <c r="B8" s="116"/>
      <c r="C8" s="116"/>
      <c r="D8" s="116"/>
      <c r="E8" s="156" t="s">
        <v>166</v>
      </c>
      <c r="F8" s="116"/>
      <c r="G8" s="116"/>
      <c r="H8" s="116"/>
    </row>
    <row r="9" spans="1:12" x14ac:dyDescent="0.25">
      <c r="A9" s="116" t="s">
        <v>162</v>
      </c>
      <c r="B9" s="116"/>
      <c r="C9" s="116"/>
      <c r="D9" s="116"/>
      <c r="E9" s="116">
        <v>9970699816</v>
      </c>
      <c r="F9" s="116"/>
      <c r="G9" s="116"/>
      <c r="H9" s="116"/>
    </row>
    <row r="10" spans="1:12" x14ac:dyDescent="0.25">
      <c r="A10" s="116" t="s">
        <v>163</v>
      </c>
      <c r="B10" s="116"/>
      <c r="C10" s="116"/>
      <c r="D10" s="116"/>
      <c r="E10" s="116" t="s">
        <v>30</v>
      </c>
      <c r="F10" s="116"/>
      <c r="G10" s="116"/>
      <c r="H10" s="116"/>
      <c r="I10" s="116" t="s">
        <v>230</v>
      </c>
      <c r="J10" s="116"/>
      <c r="K10" s="116"/>
      <c r="L10" s="116"/>
    </row>
    <row r="11" spans="1:12" x14ac:dyDescent="0.25">
      <c r="A11" s="116" t="s">
        <v>7</v>
      </c>
      <c r="B11" s="116"/>
      <c r="C11" s="116"/>
      <c r="D11" s="116"/>
      <c r="E11" s="116" t="s">
        <v>211</v>
      </c>
      <c r="F11" s="116"/>
      <c r="G11" s="116"/>
      <c r="H11" s="116"/>
    </row>
    <row r="12" spans="1:12" ht="32.25" customHeight="1" x14ac:dyDescent="0.25">
      <c r="A12" s="83" t="s">
        <v>8</v>
      </c>
      <c r="B12" s="83"/>
      <c r="C12" s="83"/>
      <c r="D12" s="83"/>
      <c r="E12" s="111" t="s">
        <v>109</v>
      </c>
      <c r="F12" s="111"/>
      <c r="G12" s="111"/>
      <c r="H12" s="111"/>
    </row>
    <row r="13" spans="1:12" x14ac:dyDescent="0.25">
      <c r="A13" s="83" t="s">
        <v>9</v>
      </c>
      <c r="B13" s="83"/>
      <c r="C13" s="83"/>
      <c r="D13" s="83"/>
      <c r="E13" s="111" t="s">
        <v>167</v>
      </c>
      <c r="F13" s="116"/>
      <c r="G13" s="116"/>
      <c r="H13" s="116"/>
    </row>
    <row r="14" spans="1:12" ht="33" customHeight="1" x14ac:dyDescent="0.25">
      <c r="A14" s="117" t="s">
        <v>10</v>
      </c>
      <c r="B14" s="117"/>
      <c r="C14" s="11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Seven Heights, Gut No.108, 111, 112, 113, 115, 116 &amp; 118, near Shiv Darshan Apartment, Tata Housing Road, , Betegaon, Boisar West, Palghar, Palghar - 401501.</v>
      </c>
      <c r="D14" s="117"/>
      <c r="E14" s="117"/>
      <c r="F14" s="117"/>
      <c r="G14" s="117"/>
      <c r="H14" s="117"/>
    </row>
    <row r="15" spans="1:12" x14ac:dyDescent="0.25">
      <c r="A15" s="111" t="s">
        <v>168</v>
      </c>
      <c r="B15" s="111"/>
      <c r="C15" s="111" t="s">
        <v>169</v>
      </c>
      <c r="D15" s="111"/>
      <c r="E15" s="111"/>
      <c r="F15" s="111"/>
      <c r="G15" s="111"/>
      <c r="H15" s="111"/>
    </row>
    <row r="16" spans="1:12" ht="15.75" hidden="1" customHeight="1" x14ac:dyDescent="0.25">
      <c r="A16" s="111" t="s">
        <v>161</v>
      </c>
      <c r="B16" s="111"/>
      <c r="C16" s="111" t="s">
        <v>30</v>
      </c>
      <c r="D16" s="111"/>
      <c r="E16" s="111"/>
      <c r="F16" s="111"/>
      <c r="G16" s="111"/>
      <c r="H16" s="111"/>
    </row>
    <row r="17" spans="1:8" ht="15.75" customHeight="1" x14ac:dyDescent="0.25">
      <c r="A17" s="117" t="s">
        <v>11</v>
      </c>
      <c r="B17" s="117"/>
      <c r="C17" s="116" t="s">
        <v>202</v>
      </c>
      <c r="D17" s="116"/>
      <c r="E17" s="117" t="s">
        <v>76</v>
      </c>
      <c r="F17" s="117"/>
      <c r="G17" s="111" t="s">
        <v>170</v>
      </c>
      <c r="H17" s="111"/>
    </row>
    <row r="18" spans="1:8" x14ac:dyDescent="0.25">
      <c r="A18" s="83" t="s">
        <v>13</v>
      </c>
      <c r="B18" s="83"/>
      <c r="C18" s="111" t="s">
        <v>210</v>
      </c>
      <c r="D18" s="111"/>
      <c r="E18" s="117" t="s">
        <v>12</v>
      </c>
      <c r="F18" s="117"/>
      <c r="G18" s="118" t="s">
        <v>171</v>
      </c>
      <c r="H18" s="118"/>
    </row>
    <row r="19" spans="1:8" x14ac:dyDescent="0.25">
      <c r="A19" s="83" t="s">
        <v>77</v>
      </c>
      <c r="B19" s="83"/>
      <c r="C19" s="111" t="s">
        <v>171</v>
      </c>
      <c r="D19" s="111"/>
      <c r="E19" s="117" t="s">
        <v>14</v>
      </c>
      <c r="F19" s="117"/>
      <c r="G19" s="111">
        <v>401501</v>
      </c>
      <c r="H19" s="111"/>
    </row>
    <row r="20" spans="1:8" ht="32.25" customHeight="1" x14ac:dyDescent="0.25">
      <c r="A20" s="83" t="s">
        <v>119</v>
      </c>
      <c r="B20" s="83"/>
      <c r="C20" s="111" t="s">
        <v>205</v>
      </c>
      <c r="D20" s="111"/>
      <c r="E20" s="117" t="s">
        <v>15</v>
      </c>
      <c r="F20" s="117"/>
      <c r="G20" s="111" t="s">
        <v>207</v>
      </c>
      <c r="H20" s="111"/>
    </row>
    <row r="21" spans="1:8" ht="15" customHeight="1" x14ac:dyDescent="0.25">
      <c r="A21" s="117" t="s">
        <v>80</v>
      </c>
      <c r="B21" s="117"/>
      <c r="C21" s="117"/>
      <c r="D21" s="117"/>
      <c r="E21" s="116" t="s">
        <v>16</v>
      </c>
      <c r="F21" s="116"/>
      <c r="G21" s="116"/>
      <c r="H21" s="116"/>
    </row>
    <row r="22" spans="1:8" ht="18.75" customHeight="1" x14ac:dyDescent="0.25">
      <c r="A22" s="117"/>
      <c r="B22" s="117"/>
      <c r="C22" s="117"/>
      <c r="D22" s="117"/>
      <c r="E22" s="116"/>
      <c r="F22" s="116"/>
      <c r="G22" s="116"/>
      <c r="H22" s="116"/>
    </row>
    <row r="23" spans="1:8" ht="15" customHeight="1" x14ac:dyDescent="0.25">
      <c r="A23" s="117" t="s">
        <v>17</v>
      </c>
      <c r="B23" s="117"/>
      <c r="C23" s="117"/>
      <c r="D23" s="117"/>
      <c r="E23" s="111" t="s">
        <v>18</v>
      </c>
      <c r="F23" s="111"/>
      <c r="G23" s="111"/>
      <c r="H23" s="111"/>
    </row>
    <row r="24" spans="1:8" ht="15" customHeight="1" x14ac:dyDescent="0.25">
      <c r="A24" s="83" t="s">
        <v>19</v>
      </c>
      <c r="B24" s="83"/>
      <c r="C24" s="83"/>
      <c r="D24" s="83"/>
      <c r="E24" s="111" t="str">
        <f>IF(AND(G18="Mumbai"),"Upper Class","Middle Class")</f>
        <v>Middle Class</v>
      </c>
      <c r="F24" s="111"/>
      <c r="G24" s="111"/>
      <c r="H24" s="111"/>
    </row>
    <row r="25" spans="1:8" x14ac:dyDescent="0.25">
      <c r="A25" s="83" t="s">
        <v>20</v>
      </c>
      <c r="B25" s="83"/>
      <c r="C25" s="83"/>
      <c r="D25" s="83"/>
      <c r="E25" s="111" t="s">
        <v>21</v>
      </c>
      <c r="F25" s="111"/>
      <c r="G25" s="111"/>
      <c r="H25" s="111"/>
    </row>
    <row r="26" spans="1:8" ht="15.75" customHeight="1" x14ac:dyDescent="0.25">
      <c r="A26" s="83" t="s">
        <v>22</v>
      </c>
      <c r="B26" s="83"/>
      <c r="C26" s="83"/>
      <c r="D26" s="83"/>
      <c r="E26" s="111" t="str">
        <f>IF(AND(G18="Mumbai"),"Developed","Developing")</f>
        <v>Developing</v>
      </c>
      <c r="F26" s="111"/>
      <c r="G26" s="111"/>
      <c r="H26" s="111"/>
    </row>
    <row r="27" spans="1:8" x14ac:dyDescent="0.25">
      <c r="A27" s="83" t="s">
        <v>23</v>
      </c>
      <c r="B27" s="83"/>
      <c r="C27" s="83"/>
      <c r="D27" s="83"/>
      <c r="E27" s="111" t="s">
        <v>24</v>
      </c>
      <c r="F27" s="111"/>
      <c r="G27" s="111"/>
      <c r="H27" s="111"/>
    </row>
    <row r="28" spans="1:8" ht="15.75" customHeight="1" x14ac:dyDescent="0.25">
      <c r="A28" s="83" t="s">
        <v>85</v>
      </c>
      <c r="B28" s="83"/>
      <c r="C28" s="83"/>
      <c r="D28" s="83"/>
      <c r="E28" s="111" t="s">
        <v>86</v>
      </c>
      <c r="F28" s="111"/>
      <c r="G28" s="111"/>
      <c r="H28" s="111"/>
    </row>
    <row r="29" spans="1:8" ht="15" customHeight="1" x14ac:dyDescent="0.25">
      <c r="A29" s="83" t="s">
        <v>35</v>
      </c>
      <c r="B29" s="83"/>
      <c r="C29" s="83"/>
      <c r="D29" s="83"/>
      <c r="E29" s="111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11"/>
      <c r="G29" s="111"/>
      <c r="H29" s="111"/>
    </row>
    <row r="30" spans="1:8" ht="15.75" customHeight="1" x14ac:dyDescent="0.25">
      <c r="A30" s="83" t="s">
        <v>97</v>
      </c>
      <c r="B30" s="83"/>
      <c r="C30" s="83"/>
      <c r="D30" s="83"/>
      <c r="E30" s="111" t="s">
        <v>36</v>
      </c>
      <c r="F30" s="111"/>
      <c r="G30" s="111"/>
      <c r="H30" s="111"/>
    </row>
    <row r="31" spans="1:8" s="12" customFormat="1" x14ac:dyDescent="0.25">
      <c r="A31" s="169" t="s">
        <v>98</v>
      </c>
      <c r="B31" s="169"/>
      <c r="C31" s="166" t="s">
        <v>29</v>
      </c>
      <c r="D31" s="166"/>
      <c r="E31" s="166"/>
      <c r="F31" s="166" t="s">
        <v>31</v>
      </c>
      <c r="G31" s="166"/>
      <c r="H31" s="166"/>
    </row>
    <row r="32" spans="1:8" s="12" customFormat="1" x14ac:dyDescent="0.25">
      <c r="A32" s="168" t="s">
        <v>25</v>
      </c>
      <c r="B32" s="168" t="s">
        <v>30</v>
      </c>
      <c r="C32" s="167" t="s">
        <v>30</v>
      </c>
      <c r="D32" s="167"/>
      <c r="E32" s="167"/>
      <c r="F32" s="167" t="s">
        <v>204</v>
      </c>
      <c r="G32" s="167"/>
      <c r="H32" s="167"/>
    </row>
    <row r="33" spans="1:8" x14ac:dyDescent="0.25">
      <c r="A33" s="168" t="s">
        <v>26</v>
      </c>
      <c r="B33" s="168" t="s">
        <v>30</v>
      </c>
      <c r="C33" s="167" t="s">
        <v>30</v>
      </c>
      <c r="D33" s="167"/>
      <c r="E33" s="167"/>
      <c r="F33" s="167" t="s">
        <v>204</v>
      </c>
      <c r="G33" s="167"/>
      <c r="H33" s="167"/>
    </row>
    <row r="34" spans="1:8" s="12" customFormat="1" x14ac:dyDescent="0.25">
      <c r="A34" s="168" t="s">
        <v>28</v>
      </c>
      <c r="B34" s="168" t="s">
        <v>30</v>
      </c>
      <c r="C34" s="167" t="s">
        <v>30</v>
      </c>
      <c r="D34" s="167"/>
      <c r="E34" s="167"/>
      <c r="F34" s="167" t="s">
        <v>205</v>
      </c>
      <c r="G34" s="167"/>
      <c r="H34" s="167"/>
    </row>
    <row r="35" spans="1:8" x14ac:dyDescent="0.25">
      <c r="A35" s="168" t="s">
        <v>27</v>
      </c>
      <c r="B35" s="168" t="s">
        <v>30</v>
      </c>
      <c r="C35" s="167" t="s">
        <v>30</v>
      </c>
      <c r="D35" s="167"/>
      <c r="E35" s="167"/>
      <c r="F35" s="167" t="s">
        <v>206</v>
      </c>
      <c r="G35" s="167"/>
      <c r="H35" s="167"/>
    </row>
    <row r="36" spans="1:8" x14ac:dyDescent="0.25">
      <c r="A36" s="83" t="s">
        <v>32</v>
      </c>
      <c r="B36" s="83"/>
      <c r="C36" s="83"/>
      <c r="D36" s="83"/>
      <c r="E36" s="83"/>
      <c r="F36" s="83"/>
      <c r="G36" s="83"/>
      <c r="H36" s="83"/>
    </row>
    <row r="37" spans="1:8" ht="15.75" customHeight="1" x14ac:dyDescent="0.25">
      <c r="A37" s="109" t="s">
        <v>33</v>
      </c>
      <c r="B37" s="109"/>
      <c r="C37" s="171">
        <v>19.789670300000001</v>
      </c>
      <c r="D37" s="171"/>
      <c r="E37" s="109" t="s">
        <v>34</v>
      </c>
      <c r="F37" s="109"/>
      <c r="G37" s="172">
        <v>72.785236800000007</v>
      </c>
      <c r="H37" s="172"/>
    </row>
    <row r="38" spans="1:8" x14ac:dyDescent="0.25">
      <c r="A38" s="109" t="s">
        <v>160</v>
      </c>
      <c r="B38" s="109"/>
      <c r="C38" s="173" t="s">
        <v>203</v>
      </c>
      <c r="D38" s="174"/>
      <c r="E38" s="174"/>
      <c r="F38" s="174"/>
      <c r="G38" s="174"/>
      <c r="H38" s="174"/>
    </row>
    <row r="39" spans="1:8" x14ac:dyDescent="0.25">
      <c r="A39" s="141" t="s">
        <v>37</v>
      </c>
      <c r="B39" s="141"/>
      <c r="C39" s="141"/>
      <c r="D39" s="141"/>
      <c r="E39" s="141"/>
      <c r="F39" s="141"/>
      <c r="G39" s="141"/>
      <c r="H39" s="141"/>
    </row>
    <row r="40" spans="1:8" x14ac:dyDescent="0.25">
      <c r="A40" s="83" t="s">
        <v>38</v>
      </c>
      <c r="B40" s="83"/>
      <c r="C40" s="83"/>
      <c r="D40" s="83"/>
      <c r="E40" s="170">
        <v>119390.77</v>
      </c>
      <c r="F40" s="170"/>
      <c r="G40" s="170"/>
      <c r="H40" s="170"/>
    </row>
    <row r="41" spans="1:8" x14ac:dyDescent="0.25">
      <c r="A41" s="83" t="s">
        <v>39</v>
      </c>
      <c r="B41" s="83"/>
      <c r="C41" s="83"/>
      <c r="D41" s="83"/>
      <c r="E41" s="112">
        <v>0.9</v>
      </c>
      <c r="F41" s="112"/>
      <c r="G41" s="112"/>
      <c r="H41" s="112"/>
    </row>
    <row r="42" spans="1:8" x14ac:dyDescent="0.25">
      <c r="A42" s="83" t="s">
        <v>40</v>
      </c>
      <c r="B42" s="83"/>
      <c r="C42" s="83"/>
      <c r="D42" s="83"/>
      <c r="E42" s="112">
        <f>E44/E40-E41</f>
        <v>-1.4160474884281626E-3</v>
      </c>
      <c r="F42" s="112"/>
      <c r="G42" s="112"/>
      <c r="H42" s="112"/>
    </row>
    <row r="43" spans="1:8" x14ac:dyDescent="0.25">
      <c r="A43" s="83" t="s">
        <v>41</v>
      </c>
      <c r="B43" s="83"/>
      <c r="C43" s="83"/>
      <c r="D43" s="83"/>
      <c r="E43" s="112">
        <f>E41+E42</f>
        <v>0.89858395251157186</v>
      </c>
      <c r="F43" s="112"/>
      <c r="G43" s="112"/>
      <c r="H43" s="112"/>
    </row>
    <row r="44" spans="1:8" x14ac:dyDescent="0.25">
      <c r="A44" s="83" t="s">
        <v>96</v>
      </c>
      <c r="B44" s="83"/>
      <c r="C44" s="83"/>
      <c r="D44" s="83"/>
      <c r="E44" s="175">
        <v>107282.63</v>
      </c>
      <c r="F44" s="175"/>
      <c r="G44" s="175"/>
      <c r="H44" s="175"/>
    </row>
    <row r="45" spans="1:8" x14ac:dyDescent="0.25">
      <c r="A45" s="116" t="s">
        <v>42</v>
      </c>
      <c r="B45" s="116"/>
      <c r="C45" s="116"/>
      <c r="D45" s="116"/>
      <c r="E45" s="116" t="s">
        <v>212</v>
      </c>
      <c r="F45" s="116"/>
      <c r="G45" s="116"/>
      <c r="H45" s="116"/>
    </row>
    <row r="46" spans="1:8" x14ac:dyDescent="0.25">
      <c r="A46" s="141" t="s">
        <v>43</v>
      </c>
      <c r="B46" s="141"/>
      <c r="C46" s="141"/>
      <c r="D46" s="141"/>
      <c r="E46" s="141"/>
      <c r="F46" s="141"/>
      <c r="G46" s="141"/>
      <c r="H46" s="141"/>
    </row>
    <row r="47" spans="1:8" ht="33.75" customHeight="1" x14ac:dyDescent="0.25">
      <c r="A47" s="113" t="s">
        <v>148</v>
      </c>
      <c r="B47" s="114"/>
      <c r="C47" s="202" t="s">
        <v>213</v>
      </c>
      <c r="D47" s="203"/>
      <c r="E47" s="203"/>
      <c r="F47" s="203"/>
      <c r="G47" s="203"/>
      <c r="H47" s="204"/>
    </row>
    <row r="48" spans="1:8" ht="15.75" customHeight="1" x14ac:dyDescent="0.25">
      <c r="A48" s="113" t="s">
        <v>44</v>
      </c>
      <c r="B48" s="114"/>
      <c r="C48" s="113" t="s">
        <v>214</v>
      </c>
      <c r="D48" s="115"/>
      <c r="E48" s="114"/>
      <c r="F48" s="10" t="s">
        <v>45</v>
      </c>
      <c r="G48" s="149">
        <v>43277</v>
      </c>
      <c r="H48" s="114"/>
    </row>
    <row r="49" spans="1:14" x14ac:dyDescent="0.25">
      <c r="A49" s="113" t="s">
        <v>46</v>
      </c>
      <c r="B49" s="114"/>
      <c r="C49" s="113" t="str">
        <f>C48</f>
        <v>JK/PJP/GP/Pradhikan/405</v>
      </c>
      <c r="D49" s="115"/>
      <c r="E49" s="114"/>
      <c r="F49" s="10" t="s">
        <v>45</v>
      </c>
      <c r="G49" s="149">
        <f>G48</f>
        <v>43277</v>
      </c>
      <c r="H49" s="150"/>
    </row>
    <row r="50" spans="1:14" s="13" customFormat="1" ht="15.75" customHeight="1" x14ac:dyDescent="0.25">
      <c r="A50" s="151" t="s">
        <v>172</v>
      </c>
      <c r="B50" s="152"/>
      <c r="C50" s="113" t="str">
        <f>C49</f>
        <v>JK/PJP/GP/Pradhikan/405</v>
      </c>
      <c r="D50" s="115"/>
      <c r="E50" s="114"/>
      <c r="F50" s="10" t="s">
        <v>45</v>
      </c>
      <c r="G50" s="149">
        <f>G49</f>
        <v>43277</v>
      </c>
      <c r="H50" s="150"/>
    </row>
    <row r="51" spans="1:14" s="13" customFormat="1" ht="33.75" customHeight="1" x14ac:dyDescent="0.25">
      <c r="A51" s="153"/>
      <c r="B51" s="154"/>
      <c r="C51" s="113" t="s">
        <v>215</v>
      </c>
      <c r="D51" s="115"/>
      <c r="E51" s="115"/>
      <c r="F51" s="115"/>
      <c r="G51" s="115"/>
      <c r="H51" s="114"/>
    </row>
    <row r="52" spans="1:14" x14ac:dyDescent="0.25">
      <c r="A52" s="179" t="s">
        <v>47</v>
      </c>
      <c r="B52" s="180"/>
      <c r="C52" s="179" t="s">
        <v>110</v>
      </c>
      <c r="D52" s="181"/>
      <c r="E52" s="180"/>
      <c r="F52" s="34" t="s">
        <v>45</v>
      </c>
      <c r="G52" s="119" t="s">
        <v>30</v>
      </c>
      <c r="H52" s="120"/>
    </row>
    <row r="53" spans="1:14" x14ac:dyDescent="0.25">
      <c r="A53" s="101" t="s">
        <v>49</v>
      </c>
      <c r="B53" s="101"/>
      <c r="C53" s="101"/>
      <c r="D53" s="101"/>
      <c r="E53" s="101"/>
      <c r="F53" s="101"/>
      <c r="G53" s="101"/>
      <c r="H53" s="101"/>
    </row>
    <row r="54" spans="1:14" x14ac:dyDescent="0.25">
      <c r="A54" s="117" t="s">
        <v>95</v>
      </c>
      <c r="B54" s="117"/>
      <c r="C54" s="117"/>
      <c r="D54" s="83">
        <f>E44</f>
        <v>107282.63</v>
      </c>
      <c r="E54" s="83"/>
      <c r="F54" s="83"/>
      <c r="G54" s="83"/>
      <c r="H54" s="83"/>
    </row>
    <row r="55" spans="1:14" x14ac:dyDescent="0.25">
      <c r="A55" s="111" t="s">
        <v>50</v>
      </c>
      <c r="B55" s="116"/>
      <c r="C55" s="116"/>
      <c r="D55" s="116" t="s">
        <v>185</v>
      </c>
      <c r="E55" s="116"/>
      <c r="F55" s="116"/>
      <c r="G55" s="116"/>
      <c r="H55" s="116"/>
      <c r="I55" s="14"/>
    </row>
    <row r="56" spans="1:14" ht="33.75" customHeight="1" x14ac:dyDescent="0.25">
      <c r="A56" s="146" t="s">
        <v>51</v>
      </c>
      <c r="B56" s="147"/>
      <c r="C56" s="148"/>
      <c r="D56" s="144" t="s">
        <v>217</v>
      </c>
      <c r="E56" s="145"/>
      <c r="F56" s="145"/>
      <c r="G56" s="145"/>
      <c r="H56" s="145"/>
    </row>
    <row r="57" spans="1:14" ht="15.75" customHeight="1" x14ac:dyDescent="0.25">
      <c r="A57" s="111" t="s">
        <v>93</v>
      </c>
      <c r="B57" s="111"/>
      <c r="C57" s="111"/>
      <c r="D57" s="176" t="s">
        <v>173</v>
      </c>
      <c r="E57" s="176"/>
      <c r="F57" s="176"/>
      <c r="G57" s="176"/>
      <c r="H57" s="177"/>
    </row>
    <row r="58" spans="1:14" ht="15.75" customHeight="1" x14ac:dyDescent="0.25">
      <c r="A58" s="111"/>
      <c r="B58" s="111"/>
      <c r="C58" s="111"/>
      <c r="D58" s="178" t="s">
        <v>216</v>
      </c>
      <c r="E58" s="178"/>
      <c r="F58" s="178"/>
      <c r="G58" s="178"/>
      <c r="H58" s="178"/>
    </row>
    <row r="59" spans="1:14" ht="15.75" customHeight="1" x14ac:dyDescent="0.25">
      <c r="A59" s="111"/>
      <c r="B59" s="111"/>
      <c r="C59" s="111"/>
      <c r="D59" s="121" t="s">
        <v>174</v>
      </c>
      <c r="E59" s="121"/>
      <c r="F59" s="121"/>
      <c r="G59" s="121"/>
      <c r="H59" s="122"/>
    </row>
    <row r="60" spans="1:14" ht="15.75" customHeight="1" x14ac:dyDescent="0.25">
      <c r="A60" s="83" t="s">
        <v>48</v>
      </c>
      <c r="B60" s="83"/>
      <c r="C60" s="83"/>
      <c r="D60" s="123" t="s">
        <v>175</v>
      </c>
      <c r="E60" s="123"/>
      <c r="F60" s="123"/>
      <c r="G60" s="123"/>
      <c r="H60" s="123"/>
      <c r="J60" s="15"/>
      <c r="K60" s="14"/>
      <c r="N60" s="14"/>
    </row>
    <row r="61" spans="1:14" ht="15.75" customHeight="1" x14ac:dyDescent="0.25">
      <c r="A61" s="83" t="s">
        <v>91</v>
      </c>
      <c r="B61" s="83"/>
      <c r="C61" s="83"/>
      <c r="D61" s="124" t="str">
        <f>(IF(G52="NA","60 Years After Completion",IF(G52&lt;&gt;"NA",""&amp;60-ROUNDDOWN((E3-G52)/360,0)&amp;" Years"," ")))</f>
        <v>60 Years After Completion</v>
      </c>
      <c r="E61" s="124"/>
      <c r="F61" s="124"/>
      <c r="G61" s="124"/>
      <c r="H61" s="124"/>
      <c r="N61" s="14"/>
    </row>
    <row r="62" spans="1:14" ht="15.75" customHeight="1" x14ac:dyDescent="0.25">
      <c r="A62" s="83" t="s">
        <v>92</v>
      </c>
      <c r="B62" s="83"/>
      <c r="C62" s="83"/>
      <c r="D62" s="117" t="s">
        <v>24</v>
      </c>
      <c r="E62" s="117"/>
      <c r="F62" s="117"/>
      <c r="G62" s="117"/>
      <c r="H62" s="117"/>
      <c r="J62" s="16"/>
      <c r="K62" s="16"/>
    </row>
    <row r="63" spans="1:14" ht="31.5" customHeight="1" x14ac:dyDescent="0.25">
      <c r="A63" s="83" t="s">
        <v>78</v>
      </c>
      <c r="B63" s="83"/>
      <c r="C63" s="83"/>
      <c r="D63" s="111" t="s">
        <v>224</v>
      </c>
      <c r="E63" s="117"/>
      <c r="F63" s="117"/>
      <c r="G63" s="117"/>
      <c r="H63" s="117"/>
    </row>
    <row r="64" spans="1:14" x14ac:dyDescent="0.25">
      <c r="A64" s="117" t="s">
        <v>145</v>
      </c>
      <c r="B64" s="117"/>
      <c r="C64" s="117"/>
      <c r="D64" s="117" t="s">
        <v>30</v>
      </c>
      <c r="E64" s="117"/>
      <c r="F64" s="117"/>
      <c r="G64" s="117"/>
      <c r="H64" s="117"/>
      <c r="I64" s="17"/>
      <c r="J64" s="17"/>
      <c r="K64" s="17"/>
      <c r="L64" s="17"/>
      <c r="M64" s="17"/>
      <c r="N64" s="17"/>
    </row>
    <row r="65" spans="1:10" ht="15.75" customHeight="1" x14ac:dyDescent="0.25">
      <c r="A65" s="136" t="s">
        <v>90</v>
      </c>
      <c r="B65" s="136"/>
      <c r="C65" s="136"/>
      <c r="D65" s="144" t="str">
        <f ca="1">(IF(G71&gt;95%,"Nothing",IF(G71&gt;0%,"Cement, Aggregate, Steel, etc",IF(G71=0%,"Work not yet Started"))))</f>
        <v>Cement, Aggregate, Steel, etc</v>
      </c>
      <c r="E65" s="144"/>
      <c r="F65" s="144"/>
      <c r="G65" s="144"/>
      <c r="H65" s="144"/>
      <c r="J65" s="16"/>
    </row>
    <row r="66" spans="1:10" s="75" customFormat="1" ht="33.75" customHeight="1" x14ac:dyDescent="0.25">
      <c r="A66" s="117" t="s">
        <v>114</v>
      </c>
      <c r="B66" s="117"/>
      <c r="C66" s="117"/>
      <c r="D66" s="111" t="str">
        <f ca="1">(IF(D65="Nothing","Yes",IF(D65="Cement, Aggregate, Steel, etc","Under Construction",IF(D65="Work not yet Started","Work not yet Started"))))</f>
        <v>Under Construction</v>
      </c>
      <c r="E66" s="111"/>
      <c r="F66" s="111" t="str">
        <f ca="1">(IF(D65="Nothing","Yes",IF(D65="Cement, Aggregate, Steel, etc","Under Construction",IF(D65="Work not yet Started","Work not yet Started"))))</f>
        <v>Under Construction</v>
      </c>
      <c r="G66" s="111"/>
      <c r="H66" s="111"/>
    </row>
    <row r="67" spans="1:10" s="77" customFormat="1" ht="32.25" customHeight="1" x14ac:dyDescent="0.25">
      <c r="A67" s="157" t="s">
        <v>137</v>
      </c>
      <c r="B67" s="158"/>
      <c r="C67" s="159" t="s">
        <v>232</v>
      </c>
      <c r="D67" s="160"/>
      <c r="E67" s="160"/>
      <c r="F67" s="160"/>
      <c r="G67" s="160"/>
      <c r="H67" s="161"/>
      <c r="I67" s="76" t="str">
        <f ca="1">IF(D80=100%,"All work Completed. Possession granted to the Building.",IF(D79=100%,"All work Completed, Waiting for OC",I68&amp;""&amp;I69&amp;""&amp;J68&amp;""&amp;J67&amp;" "&amp;J69))</f>
        <v>Excavation, Plinth Completed, RCC upto 1 Slab Completed</v>
      </c>
      <c r="J67" s="40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1 Slab</v>
      </c>
    </row>
    <row r="68" spans="1:10" x14ac:dyDescent="0.25">
      <c r="A68" s="8" t="s">
        <v>139</v>
      </c>
      <c r="B68" s="36">
        <v>0</v>
      </c>
      <c r="C68" s="36" t="s">
        <v>75</v>
      </c>
      <c r="D68" s="36">
        <v>1</v>
      </c>
      <c r="E68" s="36" t="s">
        <v>74</v>
      </c>
      <c r="F68" s="36">
        <v>0</v>
      </c>
      <c r="G68" s="36" t="s">
        <v>84</v>
      </c>
      <c r="H68" s="9">
        <f ca="1">--TRIM(RIGHT(SUBSTITUTE(LEFT(C67,_xlfn.AGGREGATE(16,6,FIND({0,1,2,3,4,5,6,7,8,9},C67,ROW(INDIRECT("1:"&amp;LEN(C67)))),1))," ",REPT(" ",LEN(C67))),LEN(C67)))</f>
        <v>7</v>
      </c>
      <c r="I68" s="39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40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x14ac:dyDescent="0.25">
      <c r="A69" s="155" t="s">
        <v>94</v>
      </c>
      <c r="B69" s="156"/>
      <c r="C69" s="162" t="str">
        <f ca="1">I67</f>
        <v>Excavation, Plinth Completed, RCC upto 1 Slab Completed</v>
      </c>
      <c r="D69" s="162"/>
      <c r="E69" s="162"/>
      <c r="F69" s="162"/>
      <c r="G69" s="162"/>
      <c r="H69" s="163"/>
      <c r="I69" s="39" t="str">
        <f ca="1">IF(I68&lt;&gt;""," Completed","")</f>
        <v xml:space="preserve"> Completed</v>
      </c>
      <c r="J69" s="40" t="str">
        <f ca="1">IF(J67&lt;&gt;"","Completed","")</f>
        <v>Completed</v>
      </c>
    </row>
    <row r="70" spans="1:10" ht="15.75" customHeight="1" x14ac:dyDescent="0.25">
      <c r="A70" s="86" t="s">
        <v>52</v>
      </c>
      <c r="B70" s="87"/>
      <c r="C70" s="60" t="s">
        <v>136</v>
      </c>
      <c r="D70" s="60" t="s">
        <v>87</v>
      </c>
      <c r="E70" s="87" t="s">
        <v>89</v>
      </c>
      <c r="F70" s="87"/>
      <c r="G70" s="87" t="s">
        <v>88</v>
      </c>
      <c r="H70" s="137"/>
      <c r="I70" s="6" t="s">
        <v>138</v>
      </c>
      <c r="J70" s="18">
        <f ca="1">H68*25%</f>
        <v>1.75</v>
      </c>
    </row>
    <row r="71" spans="1:10" x14ac:dyDescent="0.25">
      <c r="A71" s="86" t="s">
        <v>125</v>
      </c>
      <c r="B71" s="87"/>
      <c r="C71" s="60">
        <f ca="1">J72</f>
        <v>7</v>
      </c>
      <c r="D71" s="62">
        <f ca="1">((100/H68)*C71)/100</f>
        <v>1</v>
      </c>
      <c r="E71" s="125">
        <f ca="1">(((C72/H68*10)+(40/(D68+F68+H68)*C73)+(7.5/(H68)*C74)+(7.5/(H68)*C75)+(10/H68*C76)+(10/H68*C77)+(5/H68*C78)+(5/H68*C79)+(5/H68*C80))/100)</f>
        <v>0.15</v>
      </c>
      <c r="F71" s="126"/>
      <c r="G71" s="125">
        <f ca="1">((((C71/H68)*20)+((C72/H68)*25)+(30/(H68+F68+D68)*C73)+(5/H68*C74)+(5/H68*C75)+(5/H68*C76)+(5/H68*C77)+(0/H68*C78)+(0/H68*C79)+(5/H68*C80))/100)</f>
        <v>0.48749999999999999</v>
      </c>
      <c r="H71" s="131"/>
      <c r="I71" s="6" t="s">
        <v>104</v>
      </c>
      <c r="J71" s="19">
        <f ca="1">H68*50%</f>
        <v>3.5</v>
      </c>
    </row>
    <row r="72" spans="1:10" x14ac:dyDescent="0.25">
      <c r="A72" s="86" t="s">
        <v>53</v>
      </c>
      <c r="B72" s="87"/>
      <c r="C72" s="60">
        <f ca="1">J80</f>
        <v>7</v>
      </c>
      <c r="D72" s="62">
        <f ca="1">((100/H68)*C72)/100</f>
        <v>1</v>
      </c>
      <c r="E72" s="127"/>
      <c r="F72" s="128"/>
      <c r="G72" s="127"/>
      <c r="H72" s="132"/>
      <c r="I72" s="6" t="s">
        <v>105</v>
      </c>
      <c r="J72" s="19">
        <f ca="1">H68</f>
        <v>7</v>
      </c>
    </row>
    <row r="73" spans="1:10" ht="15.75" customHeight="1" x14ac:dyDescent="0.25">
      <c r="A73" s="86" t="s">
        <v>126</v>
      </c>
      <c r="B73" s="87"/>
      <c r="C73" s="60">
        <v>1</v>
      </c>
      <c r="D73" s="62">
        <f ca="1">((100/(D68+F68+H68))*C73)/100</f>
        <v>0.125</v>
      </c>
      <c r="E73" s="127"/>
      <c r="F73" s="128"/>
      <c r="G73" s="127"/>
      <c r="H73" s="132"/>
      <c r="I73" s="6" t="s">
        <v>106</v>
      </c>
      <c r="J73" s="20">
        <f ca="1">(IF(B68&gt;1,(H68/(B68+2)),H68/4))</f>
        <v>1.75</v>
      </c>
    </row>
    <row r="74" spans="1:10" ht="15.75" customHeight="1" x14ac:dyDescent="0.25">
      <c r="A74" s="86" t="s">
        <v>133</v>
      </c>
      <c r="B74" s="87" t="s">
        <v>127</v>
      </c>
      <c r="C74" s="60">
        <v>0</v>
      </c>
      <c r="D74" s="62">
        <f ca="1">((100/H68)*C74)/100</f>
        <v>0</v>
      </c>
      <c r="E74" s="127"/>
      <c r="F74" s="128"/>
      <c r="G74" s="127"/>
      <c r="H74" s="132"/>
      <c r="I74" s="6" t="s">
        <v>107</v>
      </c>
      <c r="J74" s="20">
        <f ca="1">(IF(B68&gt;1,(H68/(B68+2)+J73),H68/4+J73))</f>
        <v>3.5</v>
      </c>
    </row>
    <row r="75" spans="1:10" ht="15.75" customHeight="1" x14ac:dyDescent="0.25">
      <c r="A75" s="86" t="s">
        <v>134</v>
      </c>
      <c r="B75" s="87" t="s">
        <v>127</v>
      </c>
      <c r="C75" s="60">
        <v>0</v>
      </c>
      <c r="D75" s="62">
        <f ca="1">((100/H68)*C75)/100</f>
        <v>0</v>
      </c>
      <c r="E75" s="127"/>
      <c r="F75" s="128"/>
      <c r="G75" s="127"/>
      <c r="H75" s="132"/>
      <c r="I75" s="6" t="s">
        <v>143</v>
      </c>
      <c r="J75" s="20">
        <f>(IF(B68&gt;1,(H68/(B68+2)+J74),0))</f>
        <v>0</v>
      </c>
    </row>
    <row r="76" spans="1:10" ht="15" customHeight="1" x14ac:dyDescent="0.25">
      <c r="A76" s="86" t="s">
        <v>132</v>
      </c>
      <c r="B76" s="87" t="s">
        <v>129</v>
      </c>
      <c r="C76" s="60">
        <v>0</v>
      </c>
      <c r="D76" s="62">
        <f ca="1">((100/(H68))*C76)/100</f>
        <v>0</v>
      </c>
      <c r="E76" s="127"/>
      <c r="F76" s="128"/>
      <c r="G76" s="127"/>
      <c r="H76" s="132"/>
      <c r="I76" s="6" t="s">
        <v>140</v>
      </c>
      <c r="J76" s="20">
        <f>(IF(B68&gt;2,(H68/(B68+2)+J75),0))</f>
        <v>0</v>
      </c>
    </row>
    <row r="77" spans="1:10" ht="15.75" customHeight="1" x14ac:dyDescent="0.25">
      <c r="A77" s="86" t="s">
        <v>128</v>
      </c>
      <c r="B77" s="87" t="s">
        <v>128</v>
      </c>
      <c r="C77" s="60">
        <v>0</v>
      </c>
      <c r="D77" s="62">
        <f ca="1">((100/H68)*C77)/100</f>
        <v>0</v>
      </c>
      <c r="E77" s="127"/>
      <c r="F77" s="128"/>
      <c r="G77" s="127"/>
      <c r="H77" s="132"/>
      <c r="I77" s="6" t="s">
        <v>141</v>
      </c>
      <c r="J77" s="21">
        <f>(IF(B68&gt;3,(H68/(B68+2)+J76),0))</f>
        <v>0</v>
      </c>
    </row>
    <row r="78" spans="1:10" ht="15.75" customHeight="1" x14ac:dyDescent="0.25">
      <c r="A78" s="86" t="s">
        <v>135</v>
      </c>
      <c r="B78" s="87"/>
      <c r="C78" s="60">
        <v>0</v>
      </c>
      <c r="D78" s="62">
        <f ca="1">((100/H68)*C78)/100</f>
        <v>0</v>
      </c>
      <c r="E78" s="127"/>
      <c r="F78" s="128"/>
      <c r="G78" s="127"/>
      <c r="H78" s="132"/>
      <c r="I78" s="6" t="s">
        <v>142</v>
      </c>
      <c r="J78" s="20">
        <f>(IF(B68&gt;4,(H68/(B68+2)+J77),0))</f>
        <v>0</v>
      </c>
    </row>
    <row r="79" spans="1:10" ht="15.75" customHeight="1" x14ac:dyDescent="0.25">
      <c r="A79" s="86" t="s">
        <v>130</v>
      </c>
      <c r="B79" s="87" t="s">
        <v>130</v>
      </c>
      <c r="C79" s="60">
        <v>0</v>
      </c>
      <c r="D79" s="62">
        <f ca="1">((100/(H68))*C79)/100</f>
        <v>0</v>
      </c>
      <c r="E79" s="127"/>
      <c r="F79" s="128"/>
      <c r="G79" s="127"/>
      <c r="H79" s="132"/>
      <c r="I79" s="6" t="s">
        <v>144</v>
      </c>
      <c r="J79" s="20">
        <f ca="1">(IF(B68=1,(H68/(B68+3)+J74),IF(B68=0,(H68/4+J74),IF(B68&gt;1,0))))</f>
        <v>5.25</v>
      </c>
    </row>
    <row r="80" spans="1:10" ht="16.5" thickBot="1" x14ac:dyDescent="0.3">
      <c r="A80" s="134" t="s">
        <v>131</v>
      </c>
      <c r="B80" s="135"/>
      <c r="C80" s="63">
        <v>0</v>
      </c>
      <c r="D80" s="64">
        <f ca="1">((100/(H68))*C80)/100</f>
        <v>0</v>
      </c>
      <c r="E80" s="129"/>
      <c r="F80" s="130"/>
      <c r="G80" s="129"/>
      <c r="H80" s="133"/>
      <c r="I80" s="7" t="s">
        <v>108</v>
      </c>
      <c r="J80" s="22">
        <f ca="1">(IF(B68&gt;1.5,(H68/(B68+2)+J74+MAX(0,J75-J74)+MAX(0,J76-J75)+MAX(0,J77-J76)+MAX(0,J78-J77)+MAX(0,J79-J78)),IF(B68=1,(H68/(B68+3)+J79),IF(B68=0,H68/4+J79))))</f>
        <v>7</v>
      </c>
    </row>
    <row r="81" spans="1:10" ht="15.75" hidden="1" customHeight="1" x14ac:dyDescent="0.25">
      <c r="A81" s="88" t="s">
        <v>137</v>
      </c>
      <c r="B81" s="89"/>
      <c r="C81" s="90" t="str">
        <f>D58</f>
        <v>Wing B (Type C9) = Gr/Stilt + 1st to 7th Floor</v>
      </c>
      <c r="D81" s="91"/>
      <c r="E81" s="91"/>
      <c r="F81" s="91"/>
      <c r="G81" s="91"/>
      <c r="H81" s="92"/>
      <c r="I81" s="37" t="str">
        <f ca="1">IF(D94=100%,"All work Completed. Possession granted to the Building.",IF(D93=100%,"All work Completed, Waiting for OC",I82&amp;""&amp;I83&amp;""&amp;J82&amp;""&amp;J81&amp;" "&amp;J83))</f>
        <v xml:space="preserve">Excavation, Plinth Completed </v>
      </c>
      <c r="J81" s="38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/>
      </c>
    </row>
    <row r="82" spans="1:10" hidden="1" x14ac:dyDescent="0.25">
      <c r="A82" s="8" t="s">
        <v>139</v>
      </c>
      <c r="B82" s="36">
        <v>0</v>
      </c>
      <c r="C82" s="36" t="s">
        <v>75</v>
      </c>
      <c r="D82" s="36">
        <v>1</v>
      </c>
      <c r="E82" s="36" t="s">
        <v>74</v>
      </c>
      <c r="F82" s="36">
        <v>0</v>
      </c>
      <c r="G82" s="36" t="s">
        <v>84</v>
      </c>
      <c r="H82" s="9">
        <f ca="1">--TRIM(RIGHT(SUBSTITUTE(LEFT(C81,_xlfn.AGGREGATE(16,6,FIND({0,1,2,3,4,5,6,7,8,9},C81,ROW(INDIRECT("1:"&amp;LEN(C81)))),1))," ",REPT(" ",LEN(C81))),LEN(C81)))</f>
        <v>7</v>
      </c>
      <c r="I82" s="39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</v>
      </c>
      <c r="J82" s="40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idden="1" x14ac:dyDescent="0.25">
      <c r="A83" s="155" t="s">
        <v>94</v>
      </c>
      <c r="B83" s="156"/>
      <c r="C83" s="162" t="str">
        <f ca="1">(IF($G$52="NA",I81,"All work Completed. OC Received."))</f>
        <v xml:space="preserve">Excavation, Plinth Completed </v>
      </c>
      <c r="D83" s="162"/>
      <c r="E83" s="162"/>
      <c r="F83" s="162"/>
      <c r="G83" s="162"/>
      <c r="H83" s="163"/>
      <c r="I83" s="39" t="str">
        <f ca="1">IF(I82&lt;&gt;""," Completed","")</f>
        <v xml:space="preserve"> Completed</v>
      </c>
      <c r="J83" s="40" t="str">
        <f ca="1">IF(J81&lt;&gt;"","Completed","")</f>
        <v/>
      </c>
    </row>
    <row r="84" spans="1:10" ht="15.75" hidden="1" customHeight="1" x14ac:dyDescent="0.25">
      <c r="A84" s="86" t="s">
        <v>52</v>
      </c>
      <c r="B84" s="87"/>
      <c r="C84" s="60" t="s">
        <v>136</v>
      </c>
      <c r="D84" s="60" t="s">
        <v>87</v>
      </c>
      <c r="E84" s="87" t="s">
        <v>89</v>
      </c>
      <c r="F84" s="87"/>
      <c r="G84" s="87" t="s">
        <v>88</v>
      </c>
      <c r="H84" s="137"/>
      <c r="I84" s="6" t="s">
        <v>138</v>
      </c>
      <c r="J84" s="18">
        <f ca="1">H82*25%</f>
        <v>1.75</v>
      </c>
    </row>
    <row r="85" spans="1:10" hidden="1" x14ac:dyDescent="0.25">
      <c r="A85" s="86" t="s">
        <v>125</v>
      </c>
      <c r="B85" s="87"/>
      <c r="C85" s="60">
        <f ca="1">J86</f>
        <v>7</v>
      </c>
      <c r="D85" s="62">
        <f ca="1">((100/H82)*C85)/100</f>
        <v>1</v>
      </c>
      <c r="E85" s="125">
        <f ca="1">(((C86/H82*10)+(40/(D82+F82+H82)*C87)+(7.5/(H82)*C88)+(7.5/(H82)*C89)+(10/H82*C90)+(10/H82*C91)+(5/H82*C92)+(5/H82*C93)+(5/H82*C94))/100)</f>
        <v>0.1</v>
      </c>
      <c r="F85" s="126"/>
      <c r="G85" s="125">
        <f ca="1">((((C85/H82)*20)+((C86/H82)*25)+(30/(H82+F82+D82)*C87)+(5/H82*C88)+(5/H82*C89)+(5/H82*C90)+(5/H82*C91)+(0/H82*C92)+(0/H82*C93)+(5/H82*C94))/100)</f>
        <v>0.45</v>
      </c>
      <c r="H85" s="131"/>
      <c r="I85" s="6" t="s">
        <v>104</v>
      </c>
      <c r="J85" s="19">
        <f ca="1">H82*50%</f>
        <v>3.5</v>
      </c>
    </row>
    <row r="86" spans="1:10" hidden="1" x14ac:dyDescent="0.25">
      <c r="A86" s="86" t="s">
        <v>53</v>
      </c>
      <c r="B86" s="87"/>
      <c r="C86" s="65">
        <f ca="1">J94</f>
        <v>7</v>
      </c>
      <c r="D86" s="62">
        <f ca="1">((100/H82)*C86)/100</f>
        <v>1</v>
      </c>
      <c r="E86" s="127"/>
      <c r="F86" s="128"/>
      <c r="G86" s="127"/>
      <c r="H86" s="132"/>
      <c r="I86" s="6" t="s">
        <v>105</v>
      </c>
      <c r="J86" s="19">
        <f ca="1">H82</f>
        <v>7</v>
      </c>
    </row>
    <row r="87" spans="1:10" ht="15.75" hidden="1" customHeight="1" x14ac:dyDescent="0.25">
      <c r="A87" s="86" t="s">
        <v>126</v>
      </c>
      <c r="B87" s="87"/>
      <c r="C87" s="60">
        <v>0</v>
      </c>
      <c r="D87" s="62">
        <f ca="1">((100/(D82+F82+H82))*C87)/100</f>
        <v>0</v>
      </c>
      <c r="E87" s="127"/>
      <c r="F87" s="128"/>
      <c r="G87" s="127"/>
      <c r="H87" s="132"/>
      <c r="I87" s="6" t="s">
        <v>106</v>
      </c>
      <c r="J87" s="20">
        <f ca="1">(IF(B82&gt;1,(H82/(B82+2)),H82/4))</f>
        <v>1.75</v>
      </c>
    </row>
    <row r="88" spans="1:10" ht="15.75" hidden="1" customHeight="1" x14ac:dyDescent="0.25">
      <c r="A88" s="86" t="s">
        <v>133</v>
      </c>
      <c r="B88" s="87" t="s">
        <v>127</v>
      </c>
      <c r="C88" s="60">
        <v>0</v>
      </c>
      <c r="D88" s="62">
        <f ca="1">((100/H82)*C88)/100</f>
        <v>0</v>
      </c>
      <c r="E88" s="127"/>
      <c r="F88" s="128"/>
      <c r="G88" s="127"/>
      <c r="H88" s="132"/>
      <c r="I88" s="6" t="s">
        <v>107</v>
      </c>
      <c r="J88" s="20">
        <f ca="1">(IF(B82&gt;1,(H82/(B82+2)+J87),H82/4+J87))</f>
        <v>3.5</v>
      </c>
    </row>
    <row r="89" spans="1:10" ht="15.75" hidden="1" customHeight="1" x14ac:dyDescent="0.25">
      <c r="A89" s="86" t="s">
        <v>134</v>
      </c>
      <c r="B89" s="87" t="s">
        <v>127</v>
      </c>
      <c r="C89" s="60">
        <v>0</v>
      </c>
      <c r="D89" s="62">
        <f ca="1">((100/H82)*C89)/100</f>
        <v>0</v>
      </c>
      <c r="E89" s="127"/>
      <c r="F89" s="128"/>
      <c r="G89" s="127"/>
      <c r="H89" s="132"/>
      <c r="I89" s="6" t="s">
        <v>143</v>
      </c>
      <c r="J89" s="20">
        <f>(IF(B82&gt;1,(H82/(B82+2)+J88),0))</f>
        <v>0</v>
      </c>
    </row>
    <row r="90" spans="1:10" ht="15" hidden="1" customHeight="1" x14ac:dyDescent="0.25">
      <c r="A90" s="86" t="s">
        <v>132</v>
      </c>
      <c r="B90" s="87" t="s">
        <v>129</v>
      </c>
      <c r="C90" s="60">
        <v>0</v>
      </c>
      <c r="D90" s="62">
        <f ca="1">((100/(H82))*C90)/100</f>
        <v>0</v>
      </c>
      <c r="E90" s="127"/>
      <c r="F90" s="128"/>
      <c r="G90" s="127"/>
      <c r="H90" s="132"/>
      <c r="I90" s="6" t="s">
        <v>140</v>
      </c>
      <c r="J90" s="20">
        <f>(IF(B82&gt;2,(H82/(B82+2)+J89),0))</f>
        <v>0</v>
      </c>
    </row>
    <row r="91" spans="1:10" ht="15.75" hidden="1" customHeight="1" x14ac:dyDescent="0.25">
      <c r="A91" s="86" t="s">
        <v>128</v>
      </c>
      <c r="B91" s="87" t="s">
        <v>128</v>
      </c>
      <c r="C91" s="60">
        <v>0</v>
      </c>
      <c r="D91" s="62">
        <f ca="1">((100/H82)*C91)/100</f>
        <v>0</v>
      </c>
      <c r="E91" s="127"/>
      <c r="F91" s="128"/>
      <c r="G91" s="127"/>
      <c r="H91" s="132"/>
      <c r="I91" s="6" t="s">
        <v>141</v>
      </c>
      <c r="J91" s="21">
        <f>(IF(B82&gt;3,(H82/(B82+2)+J90),0))</f>
        <v>0</v>
      </c>
    </row>
    <row r="92" spans="1:10" ht="15.75" hidden="1" customHeight="1" x14ac:dyDescent="0.25">
      <c r="A92" s="86" t="s">
        <v>135</v>
      </c>
      <c r="B92" s="87"/>
      <c r="C92" s="60">
        <v>0</v>
      </c>
      <c r="D92" s="62">
        <f ca="1">((100/H82)*C92)/100</f>
        <v>0</v>
      </c>
      <c r="E92" s="127"/>
      <c r="F92" s="128"/>
      <c r="G92" s="127"/>
      <c r="H92" s="132"/>
      <c r="I92" s="6" t="s">
        <v>142</v>
      </c>
      <c r="J92" s="20">
        <f>(IF(B82&gt;4,(H82/(B82+2)+J91),0))</f>
        <v>0</v>
      </c>
    </row>
    <row r="93" spans="1:10" ht="15.75" hidden="1" customHeight="1" x14ac:dyDescent="0.25">
      <c r="A93" s="86" t="s">
        <v>130</v>
      </c>
      <c r="B93" s="87" t="s">
        <v>130</v>
      </c>
      <c r="C93" s="60">
        <v>0</v>
      </c>
      <c r="D93" s="62">
        <f ca="1">((100/(H82))*C93)/100</f>
        <v>0</v>
      </c>
      <c r="E93" s="127"/>
      <c r="F93" s="128"/>
      <c r="G93" s="127"/>
      <c r="H93" s="132"/>
      <c r="I93" s="6" t="s">
        <v>144</v>
      </c>
      <c r="J93" s="20">
        <f ca="1">(IF(B82=1,(H82/(B82+3)+J88),IF(B82=0,(H82/4+J88),IF(B82&gt;1,0))))</f>
        <v>5.25</v>
      </c>
    </row>
    <row r="94" spans="1:10" ht="16.5" hidden="1" thickBot="1" x14ac:dyDescent="0.3">
      <c r="A94" s="134" t="s">
        <v>131</v>
      </c>
      <c r="B94" s="135"/>
      <c r="C94" s="63">
        <v>0</v>
      </c>
      <c r="D94" s="64">
        <f ca="1">((100/(H82))*C94)/100</f>
        <v>0</v>
      </c>
      <c r="E94" s="129"/>
      <c r="F94" s="130"/>
      <c r="G94" s="129"/>
      <c r="H94" s="133"/>
      <c r="I94" s="7" t="s">
        <v>108</v>
      </c>
      <c r="J94" s="22">
        <f ca="1">(IF(B82&gt;1.5,(H82/(B82+2)+J88+MAX(0,J89-J88)+MAX(0,J90-J89)+MAX(0,J91-J90)+MAX(0,J92-J91)+MAX(0,J93-J92)),IF(B82=1,(H82/(B82+3)+J93),IF(B82=0,H82/4+J93))))</f>
        <v>7</v>
      </c>
    </row>
    <row r="95" spans="1:10" ht="15.75" customHeight="1" x14ac:dyDescent="0.25">
      <c r="A95" s="88" t="s">
        <v>137</v>
      </c>
      <c r="B95" s="89"/>
      <c r="C95" s="90" t="str">
        <f>D59</f>
        <v>Wing C (Type B13) = Gr/Stilt + 1st to 7th Floor</v>
      </c>
      <c r="D95" s="91"/>
      <c r="E95" s="91"/>
      <c r="F95" s="91"/>
      <c r="G95" s="91"/>
      <c r="H95" s="92"/>
      <c r="I95" s="37" t="str">
        <f ca="1">IF(D108=100%,"All work Completed. Possession granted to the Building.",IF(D107=100%,"All work Completed, Waiting for OC",I96&amp;""&amp;I97&amp;""&amp;J96&amp;""&amp;J95&amp;" "&amp;J97))</f>
        <v>Excavation, Plinth Completed, RCC upto 5 Slab, Brickwork upto 4 Floor Completed</v>
      </c>
      <c r="J95" s="38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>, RCC upto 5 Slab, Brickwork upto 4 Floor</v>
      </c>
    </row>
    <row r="96" spans="1:10" x14ac:dyDescent="0.25">
      <c r="A96" s="8" t="s">
        <v>139</v>
      </c>
      <c r="B96" s="36">
        <v>0</v>
      </c>
      <c r="C96" s="36" t="s">
        <v>75</v>
      </c>
      <c r="D96" s="36">
        <v>1</v>
      </c>
      <c r="E96" s="36" t="s">
        <v>74</v>
      </c>
      <c r="F96" s="36">
        <v>0</v>
      </c>
      <c r="G96" s="36" t="s">
        <v>84</v>
      </c>
      <c r="H96" s="9">
        <f ca="1">--TRIM(RIGHT(SUBSTITUTE(LEFT(C95,_xlfn.AGGREGATE(16,6,FIND({0,1,2,3,4,5,6,7,8,9},C95,ROW(INDIRECT("1:"&amp;LEN(C95)))),1))," ",REPT(" ",LEN(C95))),LEN(C95)))</f>
        <v>7</v>
      </c>
      <c r="I96" s="39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</v>
      </c>
      <c r="J96" s="40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0" ht="30.95" customHeight="1" x14ac:dyDescent="0.25">
      <c r="A97" s="156" t="s">
        <v>94</v>
      </c>
      <c r="B97" s="156"/>
      <c r="C97" s="162" t="str">
        <f ca="1">(IF($G$52="NA",I95,"All work Completed. OC Received."))</f>
        <v>Excavation, Plinth Completed, RCC upto 5 Slab, Brickwork upto 4 Floor Completed</v>
      </c>
      <c r="D97" s="162"/>
      <c r="E97" s="162"/>
      <c r="F97" s="162"/>
      <c r="G97" s="162"/>
      <c r="H97" s="162"/>
      <c r="I97" s="82" t="str">
        <f ca="1">IF(I96&lt;&gt;""," Completed","")</f>
        <v xml:space="preserve"> Completed</v>
      </c>
      <c r="J97" s="40" t="str">
        <f ca="1">IF(J95&lt;&gt;"","Completed","")</f>
        <v>Completed</v>
      </c>
    </row>
    <row r="98" spans="1:10" ht="15.75" customHeight="1" x14ac:dyDescent="0.25">
      <c r="A98" s="87" t="s">
        <v>52</v>
      </c>
      <c r="B98" s="87"/>
      <c r="C98" s="81" t="s">
        <v>136</v>
      </c>
      <c r="D98" s="81" t="s">
        <v>87</v>
      </c>
      <c r="E98" s="87" t="s">
        <v>89</v>
      </c>
      <c r="F98" s="87"/>
      <c r="G98" s="87" t="s">
        <v>88</v>
      </c>
      <c r="H98" s="87"/>
      <c r="I98" s="6" t="s">
        <v>138</v>
      </c>
      <c r="J98" s="18">
        <f ca="1">H96*25%</f>
        <v>1.75</v>
      </c>
    </row>
    <row r="99" spans="1:10" x14ac:dyDescent="0.25">
      <c r="A99" s="87" t="s">
        <v>125</v>
      </c>
      <c r="B99" s="87"/>
      <c r="C99" s="81">
        <f ca="1">J100</f>
        <v>7</v>
      </c>
      <c r="D99" s="62">
        <f ca="1">((100/H96)*C99)/100</f>
        <v>1</v>
      </c>
      <c r="E99" s="182">
        <f ca="1">(((C100/H96*10)+(40/(D96+F96+H96)*C101)+(7.5/(H96)*C102)+(7.5/(H96)*C103)+(10/H96*C104)+(10/H96*C105)+(5/H96*C106)+(5/H96*C107)+(5/H96*C108))/100)</f>
        <v>0.39285714285714285</v>
      </c>
      <c r="F99" s="182"/>
      <c r="G99" s="182">
        <f ca="1">((((C99/H96)*20)+((C100/H96)*25)+(30/(H96+F96+D96)*C101)+(5/H96*C102)+(5/H96*C103)+(5/H96*C104)+(5/H96*C105)+(0/H96*C106)+(0/H96*C107)+(5/H96*C108))/100)</f>
        <v>0.66607142857142865</v>
      </c>
      <c r="H99" s="182"/>
      <c r="I99" s="6" t="s">
        <v>104</v>
      </c>
      <c r="J99" s="19">
        <f ca="1">H96*50%</f>
        <v>3.5</v>
      </c>
    </row>
    <row r="100" spans="1:10" x14ac:dyDescent="0.25">
      <c r="A100" s="87" t="s">
        <v>53</v>
      </c>
      <c r="B100" s="87"/>
      <c r="C100" s="81">
        <f ca="1">J108</f>
        <v>7</v>
      </c>
      <c r="D100" s="62">
        <f ca="1">((100/H96)*C100)/100</f>
        <v>1</v>
      </c>
      <c r="E100" s="182"/>
      <c r="F100" s="182"/>
      <c r="G100" s="182"/>
      <c r="H100" s="182"/>
      <c r="I100" s="6" t="s">
        <v>105</v>
      </c>
      <c r="J100" s="19">
        <f ca="1">H96</f>
        <v>7</v>
      </c>
    </row>
    <row r="101" spans="1:10" ht="15.75" customHeight="1" x14ac:dyDescent="0.25">
      <c r="A101" s="87" t="s">
        <v>126</v>
      </c>
      <c r="B101" s="87"/>
      <c r="C101" s="81">
        <v>5</v>
      </c>
      <c r="D101" s="62">
        <f ca="1">((100/(D96+F96+H96))*C101)/100</f>
        <v>0.625</v>
      </c>
      <c r="E101" s="182"/>
      <c r="F101" s="182"/>
      <c r="G101" s="182"/>
      <c r="H101" s="182"/>
      <c r="I101" s="6" t="s">
        <v>106</v>
      </c>
      <c r="J101" s="20">
        <f ca="1">(IF(B96&gt;1,(H96/(B96+2)),H96/4))</f>
        <v>1.75</v>
      </c>
    </row>
    <row r="102" spans="1:10" ht="15.75" customHeight="1" x14ac:dyDescent="0.25">
      <c r="A102" s="87" t="s">
        <v>133</v>
      </c>
      <c r="B102" s="87" t="s">
        <v>127</v>
      </c>
      <c r="C102" s="81">
        <v>4</v>
      </c>
      <c r="D102" s="62">
        <f ca="1">((100/H96)*C102)/100</f>
        <v>0.57142857142857151</v>
      </c>
      <c r="E102" s="182"/>
      <c r="F102" s="182"/>
      <c r="G102" s="182"/>
      <c r="H102" s="182"/>
      <c r="I102" s="6" t="s">
        <v>107</v>
      </c>
      <c r="J102" s="20">
        <f ca="1">(IF(B96&gt;1,(H96/(B96+2)+J101),H96/4+J101))</f>
        <v>3.5</v>
      </c>
    </row>
    <row r="103" spans="1:10" ht="15.75" customHeight="1" x14ac:dyDescent="0.25">
      <c r="A103" s="87" t="s">
        <v>134</v>
      </c>
      <c r="B103" s="87" t="s">
        <v>127</v>
      </c>
      <c r="C103" s="81">
        <v>0</v>
      </c>
      <c r="D103" s="62">
        <f ca="1">((100/H96)*C103)/100</f>
        <v>0</v>
      </c>
      <c r="E103" s="182"/>
      <c r="F103" s="182"/>
      <c r="G103" s="182"/>
      <c r="H103" s="182"/>
      <c r="I103" s="6" t="s">
        <v>143</v>
      </c>
      <c r="J103" s="20">
        <f>(IF(B96&gt;1,(H96/(B96+2)+J102),0))</f>
        <v>0</v>
      </c>
    </row>
    <row r="104" spans="1:10" ht="15" customHeight="1" x14ac:dyDescent="0.25">
      <c r="A104" s="87" t="s">
        <v>132</v>
      </c>
      <c r="B104" s="87" t="s">
        <v>129</v>
      </c>
      <c r="C104" s="81">
        <v>0</v>
      </c>
      <c r="D104" s="62">
        <f ca="1">((100/(H96))*C104)/100</f>
        <v>0</v>
      </c>
      <c r="E104" s="182"/>
      <c r="F104" s="182"/>
      <c r="G104" s="182"/>
      <c r="H104" s="182"/>
      <c r="I104" s="6" t="s">
        <v>140</v>
      </c>
      <c r="J104" s="20">
        <f>(IF(B96&gt;2,(H96/(B96+2)+J103),0))</f>
        <v>0</v>
      </c>
    </row>
    <row r="105" spans="1:10" ht="15.75" customHeight="1" x14ac:dyDescent="0.25">
      <c r="A105" s="87" t="s">
        <v>128</v>
      </c>
      <c r="B105" s="87" t="s">
        <v>128</v>
      </c>
      <c r="C105" s="81">
        <v>0</v>
      </c>
      <c r="D105" s="62">
        <f ca="1">((100/H96)*C105)/100</f>
        <v>0</v>
      </c>
      <c r="E105" s="182"/>
      <c r="F105" s="182"/>
      <c r="G105" s="182"/>
      <c r="H105" s="182"/>
      <c r="I105" s="6" t="s">
        <v>141</v>
      </c>
      <c r="J105" s="21">
        <f>(IF(B96&gt;3,(H96/(B96+2)+J104),0))</f>
        <v>0</v>
      </c>
    </row>
    <row r="106" spans="1:10" ht="15.75" customHeight="1" x14ac:dyDescent="0.25">
      <c r="A106" s="87" t="s">
        <v>135</v>
      </c>
      <c r="B106" s="87"/>
      <c r="C106" s="81">
        <v>0</v>
      </c>
      <c r="D106" s="62">
        <f ca="1">((100/H96)*C106)/100</f>
        <v>0</v>
      </c>
      <c r="E106" s="182"/>
      <c r="F106" s="182"/>
      <c r="G106" s="182"/>
      <c r="H106" s="182"/>
      <c r="I106" s="6" t="s">
        <v>142</v>
      </c>
      <c r="J106" s="20">
        <f>(IF(B96&gt;4,(H96/(B96+2)+J105),0))</f>
        <v>0</v>
      </c>
    </row>
    <row r="107" spans="1:10" ht="15.75" customHeight="1" x14ac:dyDescent="0.25">
      <c r="A107" s="87" t="s">
        <v>130</v>
      </c>
      <c r="B107" s="87" t="s">
        <v>130</v>
      </c>
      <c r="C107" s="81">
        <v>0</v>
      </c>
      <c r="D107" s="62">
        <f ca="1">((100/(H96))*C107)/100</f>
        <v>0</v>
      </c>
      <c r="E107" s="182"/>
      <c r="F107" s="182"/>
      <c r="G107" s="182"/>
      <c r="H107" s="182"/>
      <c r="I107" s="6" t="s">
        <v>144</v>
      </c>
      <c r="J107" s="20">
        <f ca="1">(IF(B96=1,(H96/(B96+3)+J102),IF(B96=0,(H96/4+J102),IF(B96&gt;1,0))))</f>
        <v>5.25</v>
      </c>
    </row>
    <row r="108" spans="1:10" ht="16.5" thickBot="1" x14ac:dyDescent="0.3">
      <c r="A108" s="87" t="s">
        <v>131</v>
      </c>
      <c r="B108" s="87"/>
      <c r="C108" s="81">
        <v>0</v>
      </c>
      <c r="D108" s="62">
        <f ca="1">((100/(H96))*C108)/100</f>
        <v>0</v>
      </c>
      <c r="E108" s="182"/>
      <c r="F108" s="182"/>
      <c r="G108" s="182"/>
      <c r="H108" s="182"/>
      <c r="I108" s="7" t="s">
        <v>108</v>
      </c>
      <c r="J108" s="22">
        <f ca="1">(IF(B96&gt;1.5,(H96/(B96+2)+J102+MAX(0,J103-J102)+MAX(0,J104-J103)+MAX(0,J105-J104)+MAX(0,J106-J105)+MAX(0,J107-J106)),IF(B96=1,(H96/(B96+3)+J107),IF(B96=0,H96/4+J107))))</f>
        <v>7</v>
      </c>
    </row>
    <row r="109" spans="1:10" x14ac:dyDescent="0.25">
      <c r="A109" s="141" t="s">
        <v>153</v>
      </c>
      <c r="B109" s="141"/>
      <c r="C109" s="141"/>
      <c r="D109" s="141"/>
      <c r="E109" s="141"/>
      <c r="F109" s="109" t="s">
        <v>158</v>
      </c>
      <c r="G109" s="109"/>
      <c r="H109" s="109"/>
    </row>
    <row r="110" spans="1:10" x14ac:dyDescent="0.25">
      <c r="A110" s="83" t="s">
        <v>156</v>
      </c>
      <c r="B110" s="83"/>
      <c r="C110" s="83"/>
      <c r="D110" s="83"/>
      <c r="E110" s="83"/>
      <c r="F110" s="93">
        <v>3750</v>
      </c>
      <c r="G110" s="93"/>
      <c r="H110" s="93"/>
      <c r="I110" s="79" t="s">
        <v>227</v>
      </c>
    </row>
    <row r="111" spans="1:10" x14ac:dyDescent="0.25">
      <c r="A111" s="83" t="s">
        <v>155</v>
      </c>
      <c r="B111" s="83"/>
      <c r="C111" s="83"/>
      <c r="D111" s="83"/>
      <c r="E111" s="83"/>
      <c r="F111" s="140">
        <v>5500</v>
      </c>
      <c r="G111" s="140"/>
      <c r="H111" s="140"/>
      <c r="I111" s="79" t="s">
        <v>228</v>
      </c>
    </row>
    <row r="112" spans="1:10" hidden="1" x14ac:dyDescent="0.25">
      <c r="A112" s="83" t="s">
        <v>157</v>
      </c>
      <c r="B112" s="83"/>
      <c r="C112" s="83"/>
      <c r="D112" s="83"/>
      <c r="E112" s="83"/>
      <c r="F112" s="110"/>
      <c r="G112" s="110"/>
      <c r="H112" s="110"/>
    </row>
    <row r="113" spans="1:8" s="23" customFormat="1" hidden="1" x14ac:dyDescent="0.25">
      <c r="A113" s="83" t="s">
        <v>154</v>
      </c>
      <c r="B113" s="83"/>
      <c r="C113" s="83"/>
      <c r="D113" s="83"/>
      <c r="E113" s="83"/>
      <c r="F113" s="110"/>
      <c r="G113" s="110"/>
      <c r="H113" s="110"/>
    </row>
    <row r="114" spans="1:8" s="23" customFormat="1" x14ac:dyDescent="0.25">
      <c r="A114" s="83" t="s">
        <v>192</v>
      </c>
      <c r="B114" s="83"/>
      <c r="C114" s="83"/>
      <c r="D114" s="83"/>
      <c r="E114" s="83"/>
      <c r="F114" s="140">
        <v>120000</v>
      </c>
      <c r="G114" s="140"/>
      <c r="H114" s="140"/>
    </row>
    <row r="115" spans="1:8" s="23" customFormat="1" hidden="1" x14ac:dyDescent="0.25">
      <c r="A115" s="83" t="s">
        <v>99</v>
      </c>
      <c r="B115" s="83"/>
      <c r="C115" s="83"/>
      <c r="D115" s="83"/>
      <c r="E115" s="83"/>
      <c r="F115" s="110"/>
      <c r="G115" s="110"/>
      <c r="H115" s="110"/>
    </row>
    <row r="116" spans="1:8" s="23" customFormat="1" hidden="1" x14ac:dyDescent="0.25">
      <c r="A116" s="83" t="s">
        <v>159</v>
      </c>
      <c r="B116" s="83"/>
      <c r="C116" s="83"/>
      <c r="D116" s="83"/>
      <c r="E116" s="83"/>
      <c r="F116" s="110"/>
      <c r="G116" s="110"/>
      <c r="H116" s="110"/>
    </row>
    <row r="117" spans="1:8" s="23" customFormat="1" hidden="1" x14ac:dyDescent="0.25">
      <c r="A117" s="83" t="s">
        <v>100</v>
      </c>
      <c r="B117" s="83"/>
      <c r="C117" s="83"/>
      <c r="D117" s="83"/>
      <c r="E117" s="83"/>
      <c r="F117" s="110"/>
      <c r="G117" s="110"/>
      <c r="H117" s="110"/>
    </row>
    <row r="118" spans="1:8" s="23" customFormat="1" hidden="1" x14ac:dyDescent="0.25">
      <c r="A118" s="83" t="s">
        <v>101</v>
      </c>
      <c r="B118" s="83"/>
      <c r="C118" s="83"/>
      <c r="D118" s="83"/>
      <c r="E118" s="83"/>
      <c r="F118" s="110"/>
      <c r="G118" s="110"/>
      <c r="H118" s="110"/>
    </row>
    <row r="119" spans="1:8" s="23" customFormat="1" hidden="1" x14ac:dyDescent="0.25">
      <c r="A119" s="83" t="s">
        <v>102</v>
      </c>
      <c r="B119" s="83"/>
      <c r="C119" s="83"/>
      <c r="D119" s="83"/>
      <c r="E119" s="83"/>
      <c r="F119" s="110"/>
      <c r="G119" s="110"/>
      <c r="H119" s="110"/>
    </row>
    <row r="120" spans="1:8" s="23" customFormat="1" hidden="1" x14ac:dyDescent="0.25">
      <c r="A120" s="83" t="s">
        <v>103</v>
      </c>
      <c r="B120" s="83"/>
      <c r="C120" s="83"/>
      <c r="D120" s="83"/>
      <c r="E120" s="83"/>
      <c r="F120" s="110"/>
      <c r="G120" s="110"/>
      <c r="H120" s="110"/>
    </row>
    <row r="121" spans="1:8" s="23" customFormat="1" x14ac:dyDescent="0.25">
      <c r="A121" s="83" t="s">
        <v>226</v>
      </c>
      <c r="B121" s="83"/>
      <c r="C121" s="83"/>
      <c r="D121" s="83"/>
      <c r="E121" s="83"/>
      <c r="F121" s="140">
        <v>140000</v>
      </c>
      <c r="G121" s="140"/>
      <c r="H121" s="140"/>
    </row>
    <row r="122" spans="1:8" x14ac:dyDescent="0.25">
      <c r="A122" s="83" t="s">
        <v>54</v>
      </c>
      <c r="B122" s="83"/>
      <c r="C122" s="83"/>
      <c r="D122" s="83"/>
      <c r="E122" s="83"/>
      <c r="F122" s="140">
        <v>100000</v>
      </c>
      <c r="G122" s="140"/>
      <c r="H122" s="140"/>
    </row>
    <row r="123" spans="1:8" s="24" customFormat="1" x14ac:dyDescent="0.25">
      <c r="A123" s="141" t="s">
        <v>55</v>
      </c>
      <c r="B123" s="141"/>
      <c r="C123" s="141"/>
      <c r="D123" s="141"/>
      <c r="E123" s="141"/>
      <c r="F123" s="140">
        <f>F110*0.8</f>
        <v>3000</v>
      </c>
      <c r="G123" s="140"/>
      <c r="H123" s="140"/>
    </row>
    <row r="124" spans="1:8" s="25" customFormat="1" ht="15.75" customHeight="1" x14ac:dyDescent="0.25">
      <c r="A124" s="98" t="s">
        <v>79</v>
      </c>
      <c r="B124" s="98"/>
      <c r="C124" s="98"/>
      <c r="D124" s="98"/>
      <c r="E124" s="98"/>
      <c r="F124" s="98"/>
      <c r="G124" s="98"/>
      <c r="H124" s="98"/>
    </row>
    <row r="125" spans="1:8" s="25" customFormat="1" ht="15.75" customHeight="1" x14ac:dyDescent="0.25">
      <c r="A125" s="85" t="s">
        <v>56</v>
      </c>
      <c r="B125" s="85"/>
      <c r="C125" s="193" t="s">
        <v>82</v>
      </c>
      <c r="D125" s="193"/>
      <c r="E125" s="102" t="s">
        <v>57</v>
      </c>
      <c r="F125" s="102"/>
      <c r="G125" s="85" t="s">
        <v>58</v>
      </c>
      <c r="H125" s="85"/>
    </row>
    <row r="126" spans="1:8" s="25" customFormat="1" x14ac:dyDescent="0.25">
      <c r="A126" s="200" t="s">
        <v>176</v>
      </c>
      <c r="B126" s="201"/>
      <c r="C126" s="194">
        <f>COUNT(D144:D149)</f>
        <v>6</v>
      </c>
      <c r="D126" s="100"/>
      <c r="E126" s="94">
        <f>SUM(D144:D149)</f>
        <v>758.96964000000003</v>
      </c>
      <c r="F126" s="95"/>
      <c r="G126" s="94">
        <f>SUM(F144:F149)</f>
        <v>1138.4544599999999</v>
      </c>
      <c r="H126" s="95"/>
    </row>
    <row r="127" spans="1:8" s="25" customFormat="1" x14ac:dyDescent="0.25">
      <c r="A127" s="200" t="s">
        <v>184</v>
      </c>
      <c r="B127" s="201"/>
      <c r="C127" s="194">
        <f>COUNT(D152:D164)</f>
        <v>13</v>
      </c>
      <c r="D127" s="100"/>
      <c r="E127" s="94">
        <f>SUM(D152:D164)</f>
        <v>1955.4958799999997</v>
      </c>
      <c r="F127" s="95"/>
      <c r="G127" s="94">
        <f>SUM(F152:F164)</f>
        <v>2933.2438200000001</v>
      </c>
      <c r="H127" s="95"/>
    </row>
    <row r="128" spans="1:8" s="25" customFormat="1" x14ac:dyDescent="0.25">
      <c r="A128" s="200" t="s">
        <v>179</v>
      </c>
      <c r="B128" s="201"/>
      <c r="C128" s="194">
        <f>COUNT(D167:D172)</f>
        <v>6</v>
      </c>
      <c r="D128" s="100"/>
      <c r="E128" s="94">
        <f>SUM(D167:D172)</f>
        <v>758.96964000000003</v>
      </c>
      <c r="F128" s="95"/>
      <c r="G128" s="94">
        <f>SUM(F167:F172)</f>
        <v>1138.4544599999999</v>
      </c>
      <c r="H128" s="95"/>
    </row>
    <row r="129" spans="1:14" s="25" customFormat="1" x14ac:dyDescent="0.25">
      <c r="A129" s="98" t="s">
        <v>147</v>
      </c>
      <c r="B129" s="98"/>
      <c r="C129" s="197">
        <f>SUM(C126:C128)</f>
        <v>25</v>
      </c>
      <c r="D129" s="193"/>
      <c r="E129" s="198">
        <f>SUM(E126:E128)</f>
        <v>3473.43516</v>
      </c>
      <c r="F129" s="199"/>
      <c r="G129" s="98">
        <f>SUM(G126:G128)</f>
        <v>5210.1527399999995</v>
      </c>
      <c r="H129" s="98"/>
    </row>
    <row r="130" spans="1:14" s="25" customFormat="1" x14ac:dyDescent="0.25">
      <c r="A130" s="98" t="s">
        <v>73</v>
      </c>
      <c r="B130" s="98"/>
      <c r="C130" s="98"/>
      <c r="D130" s="98"/>
      <c r="E130" s="98"/>
      <c r="F130" s="98"/>
      <c r="G130" s="98"/>
      <c r="H130" s="98"/>
    </row>
    <row r="131" spans="1:14" s="25" customFormat="1" ht="15.75" customHeight="1" x14ac:dyDescent="0.25">
      <c r="A131" s="85" t="s">
        <v>56</v>
      </c>
      <c r="B131" s="85"/>
      <c r="C131" s="193" t="s">
        <v>82</v>
      </c>
      <c r="D131" s="193"/>
      <c r="E131" s="102" t="s">
        <v>57</v>
      </c>
      <c r="F131" s="102"/>
      <c r="G131" s="85" t="s">
        <v>58</v>
      </c>
      <c r="H131" s="85"/>
    </row>
    <row r="132" spans="1:14" s="25" customFormat="1" x14ac:dyDescent="0.25">
      <c r="A132" s="99" t="s">
        <v>176</v>
      </c>
      <c r="B132" s="99"/>
      <c r="C132" s="100">
        <f>COUNT(D181:D184)*4</f>
        <v>16</v>
      </c>
      <c r="D132" s="100"/>
      <c r="E132" s="195">
        <f>SUM(D181:D184)*4</f>
        <v>5335.4995199999994</v>
      </c>
      <c r="F132" s="195"/>
      <c r="G132" s="195">
        <f>SUM(F181:F184)*4</f>
        <v>7736.4743039999985</v>
      </c>
      <c r="H132" s="195"/>
    </row>
    <row r="133" spans="1:14" s="25" customFormat="1" x14ac:dyDescent="0.25">
      <c r="A133" s="99" t="s">
        <v>184</v>
      </c>
      <c r="B133" s="99"/>
      <c r="C133" s="100">
        <f>COUNT(D188:D193)*4</f>
        <v>24</v>
      </c>
      <c r="D133" s="100"/>
      <c r="E133" s="195">
        <f>SUM(D188:D193)*4</f>
        <v>9333.2491199999986</v>
      </c>
      <c r="F133" s="195"/>
      <c r="G133" s="195">
        <f>SUM(F188:F193)*4</f>
        <v>13533.211223999997</v>
      </c>
      <c r="H133" s="195"/>
    </row>
    <row r="134" spans="1:14" s="25" customFormat="1" x14ac:dyDescent="0.25">
      <c r="A134" s="99" t="s">
        <v>179</v>
      </c>
      <c r="B134" s="99"/>
      <c r="C134" s="100">
        <f>COUNT(D197:D200)*4</f>
        <v>16</v>
      </c>
      <c r="D134" s="100"/>
      <c r="E134" s="195">
        <f>SUM(D197:D200)*4</f>
        <v>5335.4995199999994</v>
      </c>
      <c r="F134" s="196"/>
      <c r="G134" s="195">
        <f>SUM(F197:F200)*4</f>
        <v>7736.4743039999985</v>
      </c>
      <c r="H134" s="196"/>
      <c r="J134" s="25" t="s">
        <v>223</v>
      </c>
    </row>
    <row r="135" spans="1:14" s="25" customFormat="1" x14ac:dyDescent="0.25">
      <c r="A135" s="98" t="s">
        <v>147</v>
      </c>
      <c r="B135" s="98"/>
      <c r="C135" s="193">
        <f>SUM(C132:C134)</f>
        <v>56</v>
      </c>
      <c r="D135" s="193"/>
      <c r="E135" s="214">
        <f>SUM(E132:E134)</f>
        <v>20004.248159999996</v>
      </c>
      <c r="F135" s="102"/>
      <c r="G135" s="85">
        <f>SUM(G132:G134)</f>
        <v>29006.159831999994</v>
      </c>
      <c r="H135" s="85"/>
      <c r="J135" s="25">
        <v>4000</v>
      </c>
    </row>
    <row r="136" spans="1:14" s="24" customFormat="1" x14ac:dyDescent="0.25">
      <c r="A136" s="109" t="s">
        <v>59</v>
      </c>
      <c r="B136" s="109"/>
      <c r="C136" s="109"/>
      <c r="D136" s="109"/>
      <c r="E136" s="109"/>
      <c r="F136" s="109"/>
      <c r="G136" s="109"/>
      <c r="H136" s="109"/>
    </row>
    <row r="137" spans="1:14" x14ac:dyDescent="0.25">
      <c r="A137" s="109" t="s">
        <v>60</v>
      </c>
      <c r="B137" s="109"/>
      <c r="C137" s="109"/>
      <c r="D137" s="109"/>
      <c r="E137" s="109"/>
      <c r="F137" s="109"/>
      <c r="G137" s="109"/>
      <c r="H137" s="109"/>
    </row>
    <row r="138" spans="1:14" ht="47.25" customHeight="1" x14ac:dyDescent="0.25">
      <c r="A138" s="142" t="s">
        <v>116</v>
      </c>
      <c r="B138" s="142" t="s">
        <v>115</v>
      </c>
      <c r="C138" s="142" t="s">
        <v>61</v>
      </c>
      <c r="D138" s="142" t="s">
        <v>62</v>
      </c>
      <c r="E138" s="186" t="s">
        <v>152</v>
      </c>
      <c r="F138" s="33" t="s">
        <v>146</v>
      </c>
      <c r="G138" s="188" t="s">
        <v>64</v>
      </c>
      <c r="H138" s="189"/>
    </row>
    <row r="139" spans="1:14" s="27" customFormat="1" x14ac:dyDescent="0.25">
      <c r="A139" s="143"/>
      <c r="B139" s="143"/>
      <c r="C139" s="143"/>
      <c r="D139" s="143"/>
      <c r="E139" s="187"/>
      <c r="F139" s="5">
        <v>0.5</v>
      </c>
      <c r="G139" s="190"/>
      <c r="H139" s="191"/>
    </row>
    <row r="140" spans="1:14" s="27" customFormat="1" x14ac:dyDescent="0.25">
      <c r="A140" s="183" t="s">
        <v>220</v>
      </c>
      <c r="B140" s="184"/>
      <c r="C140" s="184"/>
      <c r="D140" s="184"/>
      <c r="E140" s="184"/>
      <c r="F140" s="184"/>
      <c r="G140" s="184"/>
      <c r="H140" s="185"/>
      <c r="J140" s="26"/>
    </row>
    <row r="141" spans="1:14" s="27" customFormat="1" x14ac:dyDescent="0.25">
      <c r="A141" s="183" t="s">
        <v>219</v>
      </c>
      <c r="B141" s="184"/>
      <c r="C141" s="184"/>
      <c r="D141" s="184"/>
      <c r="E141" s="184"/>
      <c r="F141" s="184"/>
      <c r="G141" s="184"/>
      <c r="H141" s="185"/>
      <c r="J141" s="26"/>
    </row>
    <row r="142" spans="1:14" s="27" customFormat="1" ht="15.75" customHeight="1" x14ac:dyDescent="0.25">
      <c r="A142" s="183" t="s">
        <v>176</v>
      </c>
      <c r="B142" s="184"/>
      <c r="C142" s="184"/>
      <c r="D142" s="184"/>
      <c r="E142" s="184"/>
      <c r="F142" s="184"/>
      <c r="G142" s="184"/>
      <c r="H142" s="185"/>
      <c r="J142" s="26"/>
    </row>
    <row r="143" spans="1:14" s="27" customFormat="1" x14ac:dyDescent="0.25">
      <c r="A143" s="183" t="s">
        <v>177</v>
      </c>
      <c r="B143" s="184"/>
      <c r="C143" s="184"/>
      <c r="D143" s="184"/>
      <c r="E143" s="184"/>
      <c r="F143" s="184"/>
      <c r="G143" s="184"/>
      <c r="H143" s="185"/>
      <c r="J143" s="26"/>
    </row>
    <row r="144" spans="1:14" s="27" customFormat="1" ht="15.75" customHeight="1" x14ac:dyDescent="0.25">
      <c r="A144" s="96">
        <v>1</v>
      </c>
      <c r="B144" s="97"/>
      <c r="C144" s="32" t="s">
        <v>178</v>
      </c>
      <c r="D144" s="43">
        <f>(13.34)*10.764</f>
        <v>143.59175999999999</v>
      </c>
      <c r="E144" s="32">
        <v>0</v>
      </c>
      <c r="F144" s="32">
        <f>(D144+E144)*(($F$139)+1)</f>
        <v>215.38763999999998</v>
      </c>
      <c r="G144" s="205" t="str">
        <f>A143</f>
        <v>Ground Floor for Commercial &amp; Parking</v>
      </c>
      <c r="H144" s="206"/>
      <c r="I144" s="42">
        <f>2.75*4.85</f>
        <v>13.337499999999999</v>
      </c>
      <c r="L144" s="192"/>
      <c r="M144" s="192"/>
      <c r="N144" s="26"/>
    </row>
    <row r="145" spans="1:14" s="27" customFormat="1" x14ac:dyDescent="0.25">
      <c r="A145" s="96">
        <f t="shared" ref="A145:A149" si="0">A144+1</f>
        <v>2</v>
      </c>
      <c r="B145" s="97"/>
      <c r="C145" s="32" t="s">
        <v>178</v>
      </c>
      <c r="D145" s="43">
        <f>(10.43)*10.764</f>
        <v>112.26852</v>
      </c>
      <c r="E145" s="32">
        <v>0</v>
      </c>
      <c r="F145" s="32">
        <f t="shared" ref="F145:F147" si="1">(D145+E145)*(($F$139)+1)</f>
        <v>168.40278000000001</v>
      </c>
      <c r="G145" s="207"/>
      <c r="H145" s="208"/>
      <c r="I145" s="26"/>
      <c r="L145" s="192"/>
      <c r="M145" s="192"/>
      <c r="N145" s="26"/>
    </row>
    <row r="146" spans="1:14" s="27" customFormat="1" x14ac:dyDescent="0.25">
      <c r="A146" s="96">
        <f t="shared" si="0"/>
        <v>3</v>
      </c>
      <c r="B146" s="97"/>
      <c r="C146" s="32" t="s">
        <v>178</v>
      </c>
      <c r="D146" s="43">
        <f>(13.34)*10.764</f>
        <v>143.59175999999999</v>
      </c>
      <c r="E146" s="32">
        <v>0</v>
      </c>
      <c r="F146" s="32">
        <f t="shared" si="1"/>
        <v>215.38763999999998</v>
      </c>
      <c r="G146" s="207"/>
      <c r="H146" s="208"/>
      <c r="I146" s="26"/>
      <c r="L146" s="192"/>
      <c r="M146" s="192"/>
      <c r="N146" s="26"/>
    </row>
    <row r="147" spans="1:14" s="27" customFormat="1" x14ac:dyDescent="0.25">
      <c r="A147" s="96">
        <f t="shared" si="0"/>
        <v>4</v>
      </c>
      <c r="B147" s="97"/>
      <c r="C147" s="32" t="s">
        <v>178</v>
      </c>
      <c r="D147" s="43">
        <f>(13.34)*10.764</f>
        <v>143.59175999999999</v>
      </c>
      <c r="E147" s="32">
        <v>0</v>
      </c>
      <c r="F147" s="32">
        <f t="shared" si="1"/>
        <v>215.38763999999998</v>
      </c>
      <c r="G147" s="207"/>
      <c r="H147" s="208"/>
      <c r="I147" s="26"/>
      <c r="L147" s="192"/>
      <c r="M147" s="192"/>
      <c r="N147" s="26"/>
    </row>
    <row r="148" spans="1:14" s="27" customFormat="1" x14ac:dyDescent="0.25">
      <c r="A148" s="96">
        <f t="shared" si="0"/>
        <v>5</v>
      </c>
      <c r="B148" s="97"/>
      <c r="C148" s="32" t="s">
        <v>178</v>
      </c>
      <c r="D148" s="43">
        <f>(10.43)*10.764</f>
        <v>112.26852</v>
      </c>
      <c r="E148" s="32">
        <v>0</v>
      </c>
      <c r="F148" s="32">
        <f t="shared" ref="F148:F149" si="2">(D148+E148)*(($F$139)+1)</f>
        <v>168.40278000000001</v>
      </c>
      <c r="G148" s="207"/>
      <c r="H148" s="208"/>
      <c r="I148" s="26"/>
      <c r="L148" s="192"/>
      <c r="M148" s="192"/>
      <c r="N148" s="26"/>
    </row>
    <row r="149" spans="1:14" s="27" customFormat="1" x14ac:dyDescent="0.25">
      <c r="A149" s="96">
        <f t="shared" si="0"/>
        <v>6</v>
      </c>
      <c r="B149" s="97"/>
      <c r="C149" s="32" t="s">
        <v>178</v>
      </c>
      <c r="D149" s="43">
        <f>(9.63)*10.764</f>
        <v>103.65732</v>
      </c>
      <c r="E149" s="32">
        <v>0</v>
      </c>
      <c r="F149" s="32">
        <f t="shared" si="2"/>
        <v>155.48597999999998</v>
      </c>
      <c r="G149" s="209"/>
      <c r="H149" s="210"/>
      <c r="I149" s="26"/>
      <c r="L149" s="192"/>
      <c r="M149" s="192"/>
      <c r="N149" s="26"/>
    </row>
    <row r="150" spans="1:14" s="27" customFormat="1" ht="15.75" customHeight="1" x14ac:dyDescent="0.25">
      <c r="A150" s="183" t="s">
        <v>182</v>
      </c>
      <c r="B150" s="184"/>
      <c r="C150" s="184"/>
      <c r="D150" s="184"/>
      <c r="E150" s="184"/>
      <c r="F150" s="184"/>
      <c r="G150" s="184"/>
      <c r="H150" s="185"/>
      <c r="J150" s="26"/>
    </row>
    <row r="151" spans="1:14" s="27" customFormat="1" x14ac:dyDescent="0.25">
      <c r="A151" s="183" t="s">
        <v>177</v>
      </c>
      <c r="B151" s="184"/>
      <c r="C151" s="184"/>
      <c r="D151" s="184"/>
      <c r="E151" s="184"/>
      <c r="F151" s="184"/>
      <c r="G151" s="184"/>
      <c r="H151" s="185"/>
      <c r="J151" s="26"/>
    </row>
    <row r="152" spans="1:14" s="27" customFormat="1" ht="15.75" customHeight="1" x14ac:dyDescent="0.25">
      <c r="A152" s="96">
        <v>1</v>
      </c>
      <c r="B152" s="97"/>
      <c r="C152" s="32" t="s">
        <v>178</v>
      </c>
      <c r="D152" s="43">
        <f>(16.64)*10.764</f>
        <v>179.11295999999999</v>
      </c>
      <c r="E152" s="32">
        <v>0</v>
      </c>
      <c r="F152" s="32">
        <f>(D152+E152)*(($F$139)+1)</f>
        <v>268.66944000000001</v>
      </c>
      <c r="G152" s="205" t="str">
        <f>A151</f>
        <v>Ground Floor for Commercial &amp; Parking</v>
      </c>
      <c r="H152" s="206"/>
      <c r="I152" s="42">
        <f>6.05*2.75</f>
        <v>16.637499999999999</v>
      </c>
      <c r="L152" s="192"/>
      <c r="M152" s="192"/>
      <c r="N152" s="26"/>
    </row>
    <row r="153" spans="1:14" s="27" customFormat="1" x14ac:dyDescent="0.25">
      <c r="A153" s="96">
        <f t="shared" ref="A153:A164" si="3">A152+1</f>
        <v>2</v>
      </c>
      <c r="B153" s="97"/>
      <c r="C153" s="32" t="s">
        <v>178</v>
      </c>
      <c r="D153" s="43">
        <f>(13.01)*10.764</f>
        <v>140.03963999999999</v>
      </c>
      <c r="E153" s="32">
        <v>0</v>
      </c>
      <c r="F153" s="32">
        <f t="shared" ref="F153:F157" si="4">(D153+E153)*(($F$139)+1)</f>
        <v>210.05946</v>
      </c>
      <c r="G153" s="207"/>
      <c r="H153" s="208"/>
      <c r="I153" s="26"/>
      <c r="L153" s="192"/>
      <c r="M153" s="192"/>
      <c r="N153" s="26"/>
    </row>
    <row r="154" spans="1:14" s="27" customFormat="1" x14ac:dyDescent="0.25">
      <c r="A154" s="96">
        <f t="shared" si="3"/>
        <v>3</v>
      </c>
      <c r="B154" s="97"/>
      <c r="C154" s="32" t="s">
        <v>178</v>
      </c>
      <c r="D154" s="43">
        <f>(18.7)*10.764</f>
        <v>201.28679999999997</v>
      </c>
      <c r="E154" s="32">
        <v>0</v>
      </c>
      <c r="F154" s="32">
        <f t="shared" si="4"/>
        <v>301.93019999999996</v>
      </c>
      <c r="G154" s="207"/>
      <c r="H154" s="208"/>
      <c r="I154" s="26"/>
      <c r="L154" s="192"/>
      <c r="M154" s="192"/>
      <c r="N154" s="26"/>
    </row>
    <row r="155" spans="1:14" s="27" customFormat="1" x14ac:dyDescent="0.25">
      <c r="A155" s="96">
        <f t="shared" si="3"/>
        <v>4</v>
      </c>
      <c r="B155" s="97"/>
      <c r="C155" s="32" t="s">
        <v>178</v>
      </c>
      <c r="D155" s="43">
        <f>(14.44)*10.764</f>
        <v>155.43215999999998</v>
      </c>
      <c r="E155" s="32">
        <v>0</v>
      </c>
      <c r="F155" s="32">
        <f t="shared" si="4"/>
        <v>233.14823999999999</v>
      </c>
      <c r="G155" s="207"/>
      <c r="H155" s="208"/>
      <c r="I155" s="26"/>
      <c r="L155" s="192"/>
      <c r="M155" s="192"/>
      <c r="N155" s="26"/>
    </row>
    <row r="156" spans="1:14" s="27" customFormat="1" x14ac:dyDescent="0.25">
      <c r="A156" s="96">
        <f t="shared" si="3"/>
        <v>5</v>
      </c>
      <c r="B156" s="97"/>
      <c r="C156" s="32" t="s">
        <v>178</v>
      </c>
      <c r="D156" s="43">
        <f>(11.29)*10.764</f>
        <v>121.52555999999998</v>
      </c>
      <c r="E156" s="32">
        <v>0</v>
      </c>
      <c r="F156" s="32">
        <f t="shared" si="4"/>
        <v>182.28833999999998</v>
      </c>
      <c r="G156" s="207"/>
      <c r="H156" s="208"/>
      <c r="I156" s="26"/>
      <c r="L156" s="192"/>
      <c r="M156" s="192"/>
      <c r="N156" s="26"/>
    </row>
    <row r="157" spans="1:14" s="27" customFormat="1" x14ac:dyDescent="0.25">
      <c r="A157" s="96">
        <f t="shared" si="3"/>
        <v>6</v>
      </c>
      <c r="B157" s="97"/>
      <c r="C157" s="32" t="s">
        <v>178</v>
      </c>
      <c r="D157" s="43">
        <f>(12.96)*10.764</f>
        <v>139.50144</v>
      </c>
      <c r="E157" s="32">
        <v>0</v>
      </c>
      <c r="F157" s="32">
        <f t="shared" si="4"/>
        <v>209.25216</v>
      </c>
      <c r="G157" s="207"/>
      <c r="H157" s="208"/>
      <c r="I157" s="26"/>
      <c r="L157" s="192"/>
      <c r="M157" s="192"/>
      <c r="N157" s="26"/>
    </row>
    <row r="158" spans="1:14" s="27" customFormat="1" ht="15.75" customHeight="1" x14ac:dyDescent="0.25">
      <c r="A158" s="96">
        <f t="shared" si="3"/>
        <v>7</v>
      </c>
      <c r="B158" s="97"/>
      <c r="C158" s="32" t="s">
        <v>178</v>
      </c>
      <c r="D158" s="43">
        <f>(14.04)*10.764</f>
        <v>151.12655999999998</v>
      </c>
      <c r="E158" s="32">
        <v>0</v>
      </c>
      <c r="F158" s="32">
        <f>(D158+E158)*(($F$139)+1)</f>
        <v>226.68983999999998</v>
      </c>
      <c r="G158" s="207"/>
      <c r="H158" s="208"/>
      <c r="I158" s="42"/>
      <c r="L158" s="192"/>
      <c r="M158" s="192"/>
      <c r="N158" s="26"/>
    </row>
    <row r="159" spans="1:14" s="27" customFormat="1" x14ac:dyDescent="0.25">
      <c r="A159" s="96">
        <f t="shared" si="3"/>
        <v>8</v>
      </c>
      <c r="B159" s="97"/>
      <c r="C159" s="32" t="s">
        <v>178</v>
      </c>
      <c r="D159" s="43">
        <f>(14.16)*10.764</f>
        <v>152.41824</v>
      </c>
      <c r="E159" s="32">
        <v>0</v>
      </c>
      <c r="F159" s="32">
        <f t="shared" ref="F159:F163" si="5">(D159+E159)*(($F$139)+1)</f>
        <v>228.62736000000001</v>
      </c>
      <c r="G159" s="207"/>
      <c r="H159" s="208"/>
      <c r="I159" s="26"/>
      <c r="L159" s="192"/>
      <c r="M159" s="192"/>
      <c r="N159" s="26"/>
    </row>
    <row r="160" spans="1:14" s="27" customFormat="1" x14ac:dyDescent="0.25">
      <c r="A160" s="96">
        <f t="shared" si="3"/>
        <v>9</v>
      </c>
      <c r="B160" s="97"/>
      <c r="C160" s="32" t="s">
        <v>178</v>
      </c>
      <c r="D160" s="43">
        <f>(12.88)*10.764</f>
        <v>138.64032</v>
      </c>
      <c r="E160" s="32">
        <v>0</v>
      </c>
      <c r="F160" s="32">
        <f t="shared" si="5"/>
        <v>207.96048000000002</v>
      </c>
      <c r="G160" s="207"/>
      <c r="H160" s="208"/>
      <c r="I160" s="26"/>
      <c r="L160" s="192"/>
      <c r="M160" s="192"/>
      <c r="N160" s="26"/>
    </row>
    <row r="161" spans="1:14" s="27" customFormat="1" x14ac:dyDescent="0.25">
      <c r="A161" s="96">
        <f t="shared" si="3"/>
        <v>10</v>
      </c>
      <c r="B161" s="97"/>
      <c r="C161" s="32" t="s">
        <v>178</v>
      </c>
      <c r="D161" s="43">
        <f>(14.16)*10.764</f>
        <v>152.41824</v>
      </c>
      <c r="E161" s="32">
        <v>0</v>
      </c>
      <c r="F161" s="32">
        <f t="shared" si="5"/>
        <v>228.62736000000001</v>
      </c>
      <c r="G161" s="207"/>
      <c r="H161" s="208"/>
      <c r="I161" s="26"/>
      <c r="L161" s="192"/>
      <c r="M161" s="192"/>
      <c r="N161" s="26"/>
    </row>
    <row r="162" spans="1:14" s="27" customFormat="1" x14ac:dyDescent="0.25">
      <c r="A162" s="96">
        <f t="shared" si="3"/>
        <v>11</v>
      </c>
      <c r="B162" s="97"/>
      <c r="C162" s="32" t="s">
        <v>178</v>
      </c>
      <c r="D162" s="43">
        <f>(14.16)*10.764</f>
        <v>152.41824</v>
      </c>
      <c r="E162" s="32">
        <v>0</v>
      </c>
      <c r="F162" s="32">
        <f t="shared" si="5"/>
        <v>228.62736000000001</v>
      </c>
      <c r="G162" s="207"/>
      <c r="H162" s="208"/>
      <c r="I162" s="26"/>
      <c r="L162" s="192"/>
      <c r="M162" s="192"/>
      <c r="N162" s="26"/>
    </row>
    <row r="163" spans="1:14" s="27" customFormat="1" x14ac:dyDescent="0.25">
      <c r="A163" s="96">
        <f t="shared" si="3"/>
        <v>12</v>
      </c>
      <c r="B163" s="97"/>
      <c r="C163" s="32" t="s">
        <v>178</v>
      </c>
      <c r="D163" s="43">
        <f>(11.07)*10.764</f>
        <v>119.15747999999999</v>
      </c>
      <c r="E163" s="32">
        <v>0</v>
      </c>
      <c r="F163" s="32">
        <f t="shared" si="5"/>
        <v>178.73622</v>
      </c>
      <c r="G163" s="207"/>
      <c r="H163" s="208"/>
      <c r="I163" s="26"/>
      <c r="L163" s="192"/>
      <c r="M163" s="192"/>
      <c r="N163" s="26"/>
    </row>
    <row r="164" spans="1:14" s="27" customFormat="1" x14ac:dyDescent="0.25">
      <c r="A164" s="96">
        <f t="shared" si="3"/>
        <v>13</v>
      </c>
      <c r="B164" s="97"/>
      <c r="C164" s="32" t="s">
        <v>178</v>
      </c>
      <c r="D164" s="43">
        <f>(14.16)*10.764</f>
        <v>152.41824</v>
      </c>
      <c r="E164" s="32">
        <v>0</v>
      </c>
      <c r="F164" s="32">
        <f t="shared" ref="F164" si="6">(D164+E164)*(($F$139)+1)</f>
        <v>228.62736000000001</v>
      </c>
      <c r="G164" s="209"/>
      <c r="H164" s="210"/>
      <c r="I164" s="26"/>
      <c r="L164" s="192"/>
      <c r="M164" s="192"/>
      <c r="N164" s="26"/>
    </row>
    <row r="165" spans="1:14" s="27" customFormat="1" ht="15.75" customHeight="1" x14ac:dyDescent="0.25">
      <c r="A165" s="183" t="s">
        <v>179</v>
      </c>
      <c r="B165" s="184"/>
      <c r="C165" s="184"/>
      <c r="D165" s="184"/>
      <c r="E165" s="184"/>
      <c r="F165" s="184"/>
      <c r="G165" s="184"/>
      <c r="H165" s="185"/>
      <c r="J165" s="26"/>
    </row>
    <row r="166" spans="1:14" s="27" customFormat="1" x14ac:dyDescent="0.25">
      <c r="A166" s="183" t="s">
        <v>177</v>
      </c>
      <c r="B166" s="184"/>
      <c r="C166" s="184"/>
      <c r="D166" s="184"/>
      <c r="E166" s="184"/>
      <c r="F166" s="184"/>
      <c r="G166" s="184"/>
      <c r="H166" s="185"/>
      <c r="J166" s="26"/>
    </row>
    <row r="167" spans="1:14" s="27" customFormat="1" ht="15.75" customHeight="1" x14ac:dyDescent="0.25">
      <c r="A167" s="96">
        <v>1</v>
      </c>
      <c r="B167" s="97"/>
      <c r="C167" s="32" t="s">
        <v>178</v>
      </c>
      <c r="D167" s="43">
        <f>(13.34)*10.764</f>
        <v>143.59175999999999</v>
      </c>
      <c r="E167" s="32">
        <v>0</v>
      </c>
      <c r="F167" s="32">
        <f>(D167+E167)*(($F$139)+1)</f>
        <v>215.38763999999998</v>
      </c>
      <c r="G167" s="205" t="str">
        <f>A166</f>
        <v>Ground Floor for Commercial &amp; Parking</v>
      </c>
      <c r="H167" s="206"/>
      <c r="I167" s="42">
        <f>2.75*4.85</f>
        <v>13.337499999999999</v>
      </c>
      <c r="L167" s="192"/>
      <c r="M167" s="192"/>
      <c r="N167" s="26"/>
    </row>
    <row r="168" spans="1:14" s="27" customFormat="1" x14ac:dyDescent="0.25">
      <c r="A168" s="96">
        <f t="shared" ref="A168:A172" si="7">A167+1</f>
        <v>2</v>
      </c>
      <c r="B168" s="97"/>
      <c r="C168" s="32" t="s">
        <v>178</v>
      </c>
      <c r="D168" s="43">
        <f>(10.43)*10.764</f>
        <v>112.26852</v>
      </c>
      <c r="E168" s="32">
        <v>0</v>
      </c>
      <c r="F168" s="32">
        <f t="shared" ref="F168:F172" si="8">(D168+E168)*(($F$139)+1)</f>
        <v>168.40278000000001</v>
      </c>
      <c r="G168" s="207"/>
      <c r="H168" s="208"/>
      <c r="I168" s="26"/>
      <c r="L168" s="192"/>
      <c r="M168" s="192"/>
      <c r="N168" s="26"/>
    </row>
    <row r="169" spans="1:14" s="27" customFormat="1" x14ac:dyDescent="0.25">
      <c r="A169" s="96">
        <f t="shared" si="7"/>
        <v>3</v>
      </c>
      <c r="B169" s="97"/>
      <c r="C169" s="32" t="s">
        <v>178</v>
      </c>
      <c r="D169" s="43">
        <f>(13.34)*10.764</f>
        <v>143.59175999999999</v>
      </c>
      <c r="E169" s="32">
        <v>0</v>
      </c>
      <c r="F169" s="32">
        <f t="shared" si="8"/>
        <v>215.38763999999998</v>
      </c>
      <c r="G169" s="207"/>
      <c r="H169" s="208"/>
      <c r="I169" s="26"/>
      <c r="L169" s="192"/>
      <c r="M169" s="192"/>
      <c r="N169" s="26"/>
    </row>
    <row r="170" spans="1:14" s="27" customFormat="1" x14ac:dyDescent="0.25">
      <c r="A170" s="96">
        <f t="shared" si="7"/>
        <v>4</v>
      </c>
      <c r="B170" s="97"/>
      <c r="C170" s="32" t="s">
        <v>178</v>
      </c>
      <c r="D170" s="43">
        <f>(13.34)*10.764</f>
        <v>143.59175999999999</v>
      </c>
      <c r="E170" s="32">
        <v>0</v>
      </c>
      <c r="F170" s="32">
        <f t="shared" si="8"/>
        <v>215.38763999999998</v>
      </c>
      <c r="G170" s="207"/>
      <c r="H170" s="208"/>
      <c r="I170" s="26"/>
      <c r="L170" s="192"/>
      <c r="M170" s="192"/>
      <c r="N170" s="26"/>
    </row>
    <row r="171" spans="1:14" s="27" customFormat="1" x14ac:dyDescent="0.25">
      <c r="A171" s="96">
        <f t="shared" si="7"/>
        <v>5</v>
      </c>
      <c r="B171" s="97"/>
      <c r="C171" s="32" t="s">
        <v>178</v>
      </c>
      <c r="D171" s="43">
        <f>(10.43)*10.764</f>
        <v>112.26852</v>
      </c>
      <c r="E171" s="32">
        <v>0</v>
      </c>
      <c r="F171" s="32">
        <f t="shared" si="8"/>
        <v>168.40278000000001</v>
      </c>
      <c r="G171" s="207"/>
      <c r="H171" s="208"/>
      <c r="I171" s="26"/>
      <c r="L171" s="192"/>
      <c r="M171" s="192"/>
      <c r="N171" s="26"/>
    </row>
    <row r="172" spans="1:14" s="27" customFormat="1" x14ac:dyDescent="0.25">
      <c r="A172" s="96">
        <f t="shared" si="7"/>
        <v>6</v>
      </c>
      <c r="B172" s="97"/>
      <c r="C172" s="32" t="s">
        <v>178</v>
      </c>
      <c r="D172" s="43">
        <f>(9.63)*10.764</f>
        <v>103.65732</v>
      </c>
      <c r="E172" s="32">
        <v>0</v>
      </c>
      <c r="F172" s="32">
        <f t="shared" si="8"/>
        <v>155.48597999999998</v>
      </c>
      <c r="G172" s="209"/>
      <c r="H172" s="210"/>
      <c r="I172" s="26"/>
      <c r="L172" s="192"/>
      <c r="M172" s="192"/>
      <c r="N172" s="26"/>
    </row>
    <row r="173" spans="1:14" s="27" customFormat="1" x14ac:dyDescent="0.25">
      <c r="A173" s="96"/>
      <c r="B173" s="213"/>
      <c r="C173" s="213"/>
      <c r="D173" s="213"/>
      <c r="E173" s="213"/>
      <c r="F173" s="213"/>
      <c r="G173" s="213"/>
      <c r="H173" s="97"/>
      <c r="I173" s="26"/>
      <c r="N173" s="26"/>
    </row>
    <row r="174" spans="1:14" ht="47.25" customHeight="1" x14ac:dyDescent="0.25">
      <c r="A174" s="142" t="s">
        <v>117</v>
      </c>
      <c r="B174" s="142" t="s">
        <v>118</v>
      </c>
      <c r="C174" s="142" t="s">
        <v>61</v>
      </c>
      <c r="D174" s="142" t="s">
        <v>62</v>
      </c>
      <c r="E174" s="219" t="s">
        <v>63</v>
      </c>
      <c r="F174" s="74" t="s">
        <v>222</v>
      </c>
      <c r="G174" s="219" t="s">
        <v>64</v>
      </c>
      <c r="H174" s="219"/>
      <c r="I174" s="26"/>
    </row>
    <row r="175" spans="1:14" x14ac:dyDescent="0.25">
      <c r="A175" s="218"/>
      <c r="B175" s="218"/>
      <c r="C175" s="218"/>
      <c r="D175" s="218"/>
      <c r="E175" s="219"/>
      <c r="F175" s="5">
        <v>0.45</v>
      </c>
      <c r="G175" s="219"/>
      <c r="H175" s="219"/>
      <c r="I175" s="26"/>
    </row>
    <row r="176" spans="1:14" s="27" customFormat="1" x14ac:dyDescent="0.25">
      <c r="A176" s="211" t="s">
        <v>220</v>
      </c>
      <c r="B176" s="211"/>
      <c r="C176" s="211"/>
      <c r="D176" s="211"/>
      <c r="E176" s="211"/>
      <c r="F176" s="211"/>
      <c r="G176" s="211"/>
      <c r="H176" s="211"/>
      <c r="J176" s="26"/>
    </row>
    <row r="177" spans="1:14" s="27" customFormat="1" x14ac:dyDescent="0.25">
      <c r="A177" s="183" t="s">
        <v>221</v>
      </c>
      <c r="B177" s="184"/>
      <c r="C177" s="184"/>
      <c r="D177" s="184"/>
      <c r="E177" s="184"/>
      <c r="F177" s="184"/>
      <c r="G177" s="184"/>
      <c r="H177" s="185"/>
      <c r="J177" s="26"/>
    </row>
    <row r="178" spans="1:14" s="27" customFormat="1" ht="15.75" customHeight="1" x14ac:dyDescent="0.25">
      <c r="A178" s="183" t="s">
        <v>176</v>
      </c>
      <c r="B178" s="184"/>
      <c r="C178" s="184"/>
      <c r="D178" s="184"/>
      <c r="E178" s="184"/>
      <c r="F178" s="184"/>
      <c r="G178" s="184"/>
      <c r="H178" s="185"/>
      <c r="J178" s="26"/>
    </row>
    <row r="179" spans="1:14" s="27" customFormat="1" x14ac:dyDescent="0.25">
      <c r="A179" s="183" t="s">
        <v>177</v>
      </c>
      <c r="B179" s="184"/>
      <c r="C179" s="184"/>
      <c r="D179" s="184"/>
      <c r="E179" s="184"/>
      <c r="F179" s="184"/>
      <c r="G179" s="184"/>
      <c r="H179" s="185"/>
      <c r="J179" s="26"/>
    </row>
    <row r="180" spans="1:14" s="27" customFormat="1" x14ac:dyDescent="0.25">
      <c r="A180" s="183" t="s">
        <v>180</v>
      </c>
      <c r="B180" s="184"/>
      <c r="C180" s="184"/>
      <c r="D180" s="184"/>
      <c r="E180" s="184"/>
      <c r="F180" s="184"/>
      <c r="G180" s="184"/>
      <c r="H180" s="185"/>
      <c r="J180" s="26"/>
    </row>
    <row r="181" spans="1:14" s="27" customFormat="1" ht="15.75" customHeight="1" x14ac:dyDescent="0.25">
      <c r="A181" s="96">
        <v>1</v>
      </c>
      <c r="B181" s="97"/>
      <c r="C181" s="41" t="s">
        <v>181</v>
      </c>
      <c r="D181" s="43">
        <f>(30.98)*10.764</f>
        <v>333.46871999999996</v>
      </c>
      <c r="E181" s="32">
        <v>0</v>
      </c>
      <c r="F181" s="32">
        <f>D181*(($F$175)+1)+(IF(E181&lt;101,E181,IF(E181&lt;201,E181/2,IF(E181&lt;=301,E181/3,E181/4))))</f>
        <v>483.52964399999991</v>
      </c>
      <c r="G181" s="205" t="str">
        <f>A180</f>
        <v>1st to 4th Floor for Residential</v>
      </c>
      <c r="H181" s="206"/>
      <c r="I181" s="42">
        <f>2.75*3.4+2.15*1.75+2.85*2.75+1.2*1.95+1.95*1.2+1*(2.75+2.15)+1.6*0.45</f>
        <v>31.25</v>
      </c>
      <c r="J181" s="26"/>
      <c r="K181" s="72"/>
      <c r="L181" s="192"/>
      <c r="M181" s="192"/>
      <c r="N181" s="26"/>
    </row>
    <row r="182" spans="1:14" s="27" customFormat="1" x14ac:dyDescent="0.25">
      <c r="A182" s="96">
        <f t="shared" ref="A182:A184" si="9">A181+1</f>
        <v>2</v>
      </c>
      <c r="B182" s="97"/>
      <c r="C182" s="41" t="s">
        <v>181</v>
      </c>
      <c r="D182" s="43">
        <f>(30.98)*10.764</f>
        <v>333.46871999999996</v>
      </c>
      <c r="E182" s="32">
        <v>0</v>
      </c>
      <c r="F182" s="32">
        <f t="shared" ref="F182:F184" si="10">D182*(($F$175)+1)+(IF(E182&lt;101,E182,IF(E182&lt;201,E182/2,IF(E182&lt;=301,E182/3,E182/4))))</f>
        <v>483.52964399999991</v>
      </c>
      <c r="G182" s="207"/>
      <c r="H182" s="208"/>
      <c r="I182" s="26"/>
      <c r="J182" s="26"/>
      <c r="K182" s="72"/>
      <c r="L182" s="192"/>
      <c r="M182" s="192"/>
      <c r="N182" s="26"/>
    </row>
    <row r="183" spans="1:14" s="27" customFormat="1" x14ac:dyDescent="0.25">
      <c r="A183" s="96">
        <f t="shared" si="9"/>
        <v>3</v>
      </c>
      <c r="B183" s="97"/>
      <c r="C183" s="41" t="s">
        <v>181</v>
      </c>
      <c r="D183" s="43">
        <f>(30.98)*10.764</f>
        <v>333.46871999999996</v>
      </c>
      <c r="E183" s="32">
        <v>0</v>
      </c>
      <c r="F183" s="32">
        <f t="shared" si="10"/>
        <v>483.52964399999991</v>
      </c>
      <c r="G183" s="207"/>
      <c r="H183" s="208"/>
      <c r="I183" s="26">
        <f>2000000/F183</f>
        <v>4136.2510547543607</v>
      </c>
      <c r="J183" s="26"/>
      <c r="K183" s="72"/>
      <c r="L183" s="192"/>
      <c r="M183" s="192"/>
      <c r="N183" s="26"/>
    </row>
    <row r="184" spans="1:14" s="27" customFormat="1" x14ac:dyDescent="0.25">
      <c r="A184" s="96">
        <f t="shared" si="9"/>
        <v>4</v>
      </c>
      <c r="B184" s="97"/>
      <c r="C184" s="41" t="s">
        <v>181</v>
      </c>
      <c r="D184" s="43">
        <f>(30.98)*10.764</f>
        <v>333.46871999999996</v>
      </c>
      <c r="E184" s="32">
        <v>0</v>
      </c>
      <c r="F184" s="32">
        <f t="shared" si="10"/>
        <v>483.52964399999991</v>
      </c>
      <c r="G184" s="209"/>
      <c r="H184" s="210"/>
      <c r="I184" s="26">
        <f>2415000/F184</f>
        <v>4994.52314861589</v>
      </c>
      <c r="J184" s="26"/>
      <c r="K184" s="72"/>
      <c r="L184" s="192"/>
      <c r="M184" s="192"/>
      <c r="N184" s="26"/>
    </row>
    <row r="185" spans="1:14" s="27" customFormat="1" ht="15.75" customHeight="1" x14ac:dyDescent="0.25">
      <c r="A185" s="183" t="s">
        <v>182</v>
      </c>
      <c r="B185" s="184"/>
      <c r="C185" s="184"/>
      <c r="D185" s="184"/>
      <c r="E185" s="184"/>
      <c r="F185" s="184"/>
      <c r="G185" s="184"/>
      <c r="H185" s="185"/>
      <c r="J185" s="26"/>
      <c r="K185" s="72"/>
    </row>
    <row r="186" spans="1:14" s="27" customFormat="1" x14ac:dyDescent="0.25">
      <c r="A186" s="183" t="s">
        <v>177</v>
      </c>
      <c r="B186" s="184"/>
      <c r="C186" s="184"/>
      <c r="D186" s="184"/>
      <c r="E186" s="184"/>
      <c r="F186" s="184"/>
      <c r="G186" s="184"/>
      <c r="H186" s="185"/>
      <c r="J186" s="43"/>
      <c r="K186" s="72"/>
    </row>
    <row r="187" spans="1:14" s="27" customFormat="1" x14ac:dyDescent="0.25">
      <c r="A187" s="183" t="s">
        <v>180</v>
      </c>
      <c r="B187" s="184"/>
      <c r="C187" s="184"/>
      <c r="D187" s="184"/>
      <c r="E187" s="184"/>
      <c r="F187" s="184"/>
      <c r="G187" s="184"/>
      <c r="H187" s="185"/>
      <c r="J187" s="26"/>
      <c r="K187" s="72"/>
    </row>
    <row r="188" spans="1:14" s="27" customFormat="1" ht="15.75" customHeight="1" x14ac:dyDescent="0.25">
      <c r="A188" s="96">
        <v>1</v>
      </c>
      <c r="B188" s="97"/>
      <c r="C188" s="41" t="s">
        <v>183</v>
      </c>
      <c r="D188" s="43">
        <f>(47.84)*10.764</f>
        <v>514.94975999999997</v>
      </c>
      <c r="E188" s="32">
        <v>0</v>
      </c>
      <c r="F188" s="32">
        <f t="shared" ref="F188:F193" si="11">D188*(($F$175)+1)+(IF(E188&lt;101,E188,IF(E188&lt;201,E188/2,IF(E188&lt;=301,E188/3,E188/4))))</f>
        <v>746.67715199999998</v>
      </c>
      <c r="G188" s="205" t="str">
        <f>A187</f>
        <v>1st to 4th Floor for Residential</v>
      </c>
      <c r="H188" s="206"/>
      <c r="I188" s="42">
        <f>3.15*2.75+2.9*2.15+2.25*2.75+2.5*2.75+1.2*2.15+1.2*2.15+1*1.55+1*1.55+0.9*0.85+1.6*0.45</f>
        <v>37.704999999999991</v>
      </c>
      <c r="J188" s="27">
        <f>3012000/F188</f>
        <v>4033.8719243414052</v>
      </c>
      <c r="K188" s="72"/>
      <c r="L188" s="192"/>
      <c r="M188" s="192"/>
      <c r="N188" s="26"/>
    </row>
    <row r="189" spans="1:14" s="27" customFormat="1" x14ac:dyDescent="0.25">
      <c r="A189" s="96">
        <f t="shared" ref="A189:A193" si="12">A188+1</f>
        <v>2</v>
      </c>
      <c r="B189" s="97"/>
      <c r="C189" s="41" t="s">
        <v>181</v>
      </c>
      <c r="D189" s="43">
        <f>(33.4)*10.764</f>
        <v>359.51759999999996</v>
      </c>
      <c r="E189" s="32">
        <v>0</v>
      </c>
      <c r="F189" s="32">
        <f t="shared" si="11"/>
        <v>521.30051999999989</v>
      </c>
      <c r="G189" s="207"/>
      <c r="H189" s="208"/>
      <c r="I189" s="26">
        <f>2555000/F190</f>
        <v>4901.2036281874425</v>
      </c>
      <c r="K189" s="72"/>
      <c r="L189" s="192"/>
      <c r="M189" s="192"/>
      <c r="N189" s="26"/>
    </row>
    <row r="190" spans="1:14" s="27" customFormat="1" x14ac:dyDescent="0.25">
      <c r="A190" s="96">
        <f t="shared" si="12"/>
        <v>3</v>
      </c>
      <c r="B190" s="97"/>
      <c r="C190" s="41" t="s">
        <v>181</v>
      </c>
      <c r="D190" s="43">
        <f>(33.4)*10.764</f>
        <v>359.51759999999996</v>
      </c>
      <c r="E190" s="32">
        <v>0</v>
      </c>
      <c r="F190" s="32">
        <f t="shared" si="11"/>
        <v>521.30051999999989</v>
      </c>
      <c r="G190" s="207"/>
      <c r="H190" s="208"/>
      <c r="I190" s="26">
        <f>3500*F190</f>
        <v>1824551.8199999996</v>
      </c>
      <c r="K190" s="72"/>
      <c r="L190" s="192"/>
      <c r="M190" s="192"/>
      <c r="N190" s="26"/>
    </row>
    <row r="191" spans="1:14" s="27" customFormat="1" x14ac:dyDescent="0.25">
      <c r="A191" s="96">
        <f t="shared" si="12"/>
        <v>4</v>
      </c>
      <c r="B191" s="97"/>
      <c r="C191" s="41" t="s">
        <v>181</v>
      </c>
      <c r="D191" s="43">
        <f>(33.4)*10.764</f>
        <v>359.51759999999996</v>
      </c>
      <c r="E191" s="32">
        <v>0</v>
      </c>
      <c r="F191" s="32">
        <f t="shared" si="11"/>
        <v>521.30051999999989</v>
      </c>
      <c r="G191" s="207"/>
      <c r="H191" s="208"/>
      <c r="I191" s="26">
        <f>1824000/F191</f>
        <v>3498.9414551130708</v>
      </c>
      <c r="K191" s="72"/>
      <c r="L191" s="192"/>
      <c r="M191" s="192"/>
      <c r="N191" s="26"/>
    </row>
    <row r="192" spans="1:14" s="27" customFormat="1" x14ac:dyDescent="0.25">
      <c r="A192" s="96">
        <f t="shared" si="12"/>
        <v>5</v>
      </c>
      <c r="B192" s="97"/>
      <c r="C192" s="41" t="s">
        <v>181</v>
      </c>
      <c r="D192" s="43">
        <f>(33.4)*10.764</f>
        <v>359.51759999999996</v>
      </c>
      <c r="E192" s="32">
        <v>0</v>
      </c>
      <c r="F192" s="32">
        <f t="shared" si="11"/>
        <v>521.30051999999989</v>
      </c>
      <c r="G192" s="207"/>
      <c r="H192" s="208"/>
      <c r="I192" s="26">
        <f>2318000/F192</f>
        <v>4446.5714325395274</v>
      </c>
      <c r="K192" s="72"/>
      <c r="L192" s="192"/>
      <c r="M192" s="192"/>
      <c r="N192" s="26"/>
    </row>
    <row r="193" spans="1:14" s="27" customFormat="1" x14ac:dyDescent="0.25">
      <c r="A193" s="96">
        <f t="shared" si="12"/>
        <v>6</v>
      </c>
      <c r="B193" s="97"/>
      <c r="C193" s="41" t="s">
        <v>181</v>
      </c>
      <c r="D193" s="43">
        <f>(35.33)*10.764</f>
        <v>380.29211999999995</v>
      </c>
      <c r="E193" s="32">
        <v>0</v>
      </c>
      <c r="F193" s="32">
        <f t="shared" si="11"/>
        <v>551.42357399999992</v>
      </c>
      <c r="G193" s="209"/>
      <c r="H193" s="210"/>
      <c r="I193" s="26"/>
      <c r="K193" s="72"/>
      <c r="L193" s="192"/>
      <c r="M193" s="192"/>
      <c r="N193" s="26"/>
    </row>
    <row r="194" spans="1:14" s="27" customFormat="1" ht="15.75" customHeight="1" x14ac:dyDescent="0.25">
      <c r="A194" s="183" t="s">
        <v>179</v>
      </c>
      <c r="B194" s="184"/>
      <c r="C194" s="184"/>
      <c r="D194" s="184"/>
      <c r="E194" s="184"/>
      <c r="F194" s="184"/>
      <c r="G194" s="184"/>
      <c r="H194" s="185"/>
      <c r="J194" s="26"/>
      <c r="K194" s="72"/>
    </row>
    <row r="195" spans="1:14" s="27" customFormat="1" x14ac:dyDescent="0.25">
      <c r="A195" s="183" t="s">
        <v>177</v>
      </c>
      <c r="B195" s="184"/>
      <c r="C195" s="184"/>
      <c r="D195" s="184"/>
      <c r="E195" s="184"/>
      <c r="F195" s="184"/>
      <c r="G195" s="184"/>
      <c r="H195" s="185"/>
      <c r="J195" s="26"/>
      <c r="K195" s="72"/>
    </row>
    <row r="196" spans="1:14" s="27" customFormat="1" x14ac:dyDescent="0.25">
      <c r="A196" s="183" t="s">
        <v>180</v>
      </c>
      <c r="B196" s="184"/>
      <c r="C196" s="184"/>
      <c r="D196" s="184"/>
      <c r="E196" s="184"/>
      <c r="F196" s="184"/>
      <c r="G196" s="184"/>
      <c r="H196" s="185"/>
      <c r="J196" s="26"/>
      <c r="K196" s="72" t="e">
        <f t="shared" ref="K196:K200" si="13">F196/D196</f>
        <v>#DIV/0!</v>
      </c>
    </row>
    <row r="197" spans="1:14" s="27" customFormat="1" ht="15.75" customHeight="1" x14ac:dyDescent="0.25">
      <c r="A197" s="96">
        <v>1</v>
      </c>
      <c r="B197" s="97"/>
      <c r="C197" s="41" t="s">
        <v>181</v>
      </c>
      <c r="D197" s="43">
        <f>(30.98)*10.764</f>
        <v>333.46871999999996</v>
      </c>
      <c r="E197" s="32">
        <v>0</v>
      </c>
      <c r="F197" s="32">
        <f t="shared" ref="F197:F200" si="14">D197*(($F$175)+1)+(IF(E197&lt;101,E197,IF(E197&lt;201,E197/2,IF(E197&lt;=301,E197/3,E197/4))))</f>
        <v>483.52964399999991</v>
      </c>
      <c r="G197" s="205" t="str">
        <f>A196</f>
        <v>1st to 4th Floor for Residential</v>
      </c>
      <c r="H197" s="206"/>
      <c r="I197" s="26">
        <f>1937865/F197</f>
        <v>4007.7480751107792</v>
      </c>
      <c r="K197" s="72">
        <f t="shared" si="13"/>
        <v>1.45</v>
      </c>
      <c r="L197" s="192"/>
      <c r="M197" s="192"/>
      <c r="N197" s="26"/>
    </row>
    <row r="198" spans="1:14" s="27" customFormat="1" x14ac:dyDescent="0.25">
      <c r="A198" s="96">
        <f t="shared" ref="A198:A200" si="15">A197+1</f>
        <v>2</v>
      </c>
      <c r="B198" s="97"/>
      <c r="C198" s="41" t="s">
        <v>181</v>
      </c>
      <c r="D198" s="43">
        <f>(30.98)*10.764</f>
        <v>333.46871999999996</v>
      </c>
      <c r="E198" s="32">
        <v>0</v>
      </c>
      <c r="F198" s="32">
        <f t="shared" si="14"/>
        <v>483.52964399999991</v>
      </c>
      <c r="G198" s="207"/>
      <c r="H198" s="208"/>
      <c r="I198" s="26">
        <f>2000000/F198</f>
        <v>4136.2510547543607</v>
      </c>
      <c r="K198" s="72">
        <f t="shared" si="13"/>
        <v>1.45</v>
      </c>
      <c r="L198" s="192"/>
      <c r="M198" s="192"/>
      <c r="N198" s="26"/>
    </row>
    <row r="199" spans="1:14" s="27" customFormat="1" x14ac:dyDescent="0.25">
      <c r="A199" s="96">
        <f t="shared" si="15"/>
        <v>3</v>
      </c>
      <c r="B199" s="97"/>
      <c r="C199" s="41" t="s">
        <v>181</v>
      </c>
      <c r="D199" s="43">
        <f>(30.98)*10.764</f>
        <v>333.46871999999996</v>
      </c>
      <c r="E199" s="32">
        <v>0</v>
      </c>
      <c r="F199" s="32">
        <f t="shared" si="14"/>
        <v>483.52964399999991</v>
      </c>
      <c r="G199" s="207"/>
      <c r="H199" s="208"/>
      <c r="I199" s="26">
        <f>3500*F199</f>
        <v>1692353.7539999997</v>
      </c>
      <c r="K199" s="72">
        <f t="shared" si="13"/>
        <v>1.45</v>
      </c>
      <c r="L199" s="192"/>
      <c r="M199" s="192"/>
      <c r="N199" s="26"/>
    </row>
    <row r="200" spans="1:14" s="27" customFormat="1" x14ac:dyDescent="0.25">
      <c r="A200" s="96">
        <f t="shared" si="15"/>
        <v>4</v>
      </c>
      <c r="B200" s="97"/>
      <c r="C200" s="41" t="s">
        <v>181</v>
      </c>
      <c r="D200" s="43">
        <f>(30.98)*10.764</f>
        <v>333.46871999999996</v>
      </c>
      <c r="E200" s="32">
        <v>0</v>
      </c>
      <c r="F200" s="32">
        <f t="shared" si="14"/>
        <v>483.52964399999991</v>
      </c>
      <c r="G200" s="209"/>
      <c r="H200" s="210"/>
      <c r="I200" s="26"/>
      <c r="K200" s="72">
        <f t="shared" si="13"/>
        <v>1.45</v>
      </c>
      <c r="L200" s="192"/>
      <c r="M200" s="192"/>
      <c r="N200" s="26"/>
    </row>
    <row r="201" spans="1:14" s="25" customFormat="1" x14ac:dyDescent="0.25">
      <c r="A201" s="212" t="s">
        <v>72</v>
      </c>
      <c r="B201" s="225"/>
      <c r="C201" s="225"/>
      <c r="D201" s="225"/>
      <c r="E201" s="225"/>
      <c r="F201" s="225"/>
      <c r="G201" s="225"/>
      <c r="H201" s="225"/>
      <c r="K201" s="73"/>
    </row>
    <row r="202" spans="1:14" s="61" customFormat="1" ht="33.75" customHeight="1" x14ac:dyDescent="0.25">
      <c r="A202" s="229" t="s">
        <v>150</v>
      </c>
      <c r="B202" s="106" t="s">
        <v>235</v>
      </c>
      <c r="C202" s="107"/>
      <c r="D202" s="107"/>
      <c r="E202" s="107"/>
      <c r="F202" s="107"/>
      <c r="G202" s="107"/>
      <c r="H202" s="108"/>
    </row>
    <row r="203" spans="1:14" s="25" customFormat="1" x14ac:dyDescent="0.25">
      <c r="A203" s="35" t="s">
        <v>150</v>
      </c>
      <c r="B203" s="226" t="str">
        <f>(IF(F174="Saleable area Loading :","We have considered Saleable area of Flats as per our Calculation.","We considered Saleable area of Flat as per Builder area Sheet."))</f>
        <v>We considered Saleable area of Flat as per Builder area Sheet.</v>
      </c>
      <c r="C203" s="227"/>
      <c r="D203" s="227"/>
      <c r="E203" s="227"/>
      <c r="F203" s="227"/>
      <c r="G203" s="227"/>
      <c r="H203" s="228"/>
    </row>
    <row r="204" spans="1:14" s="25" customFormat="1" x14ac:dyDescent="0.25">
      <c r="A204" s="35" t="s">
        <v>150</v>
      </c>
      <c r="B204" s="106" t="str">
        <f>(IF(F138="Saleable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04" s="107"/>
      <c r="D204" s="107"/>
      <c r="E204" s="107"/>
      <c r="F204" s="107"/>
      <c r="G204" s="107"/>
      <c r="H204" s="108"/>
    </row>
    <row r="205" spans="1:14" s="25" customFormat="1" x14ac:dyDescent="0.25">
      <c r="A205" s="35" t="s">
        <v>150</v>
      </c>
      <c r="B205" s="103" t="s">
        <v>120</v>
      </c>
      <c r="C205" s="104"/>
      <c r="D205" s="104"/>
      <c r="E205" s="104"/>
      <c r="F205" s="104"/>
      <c r="G205" s="104"/>
      <c r="H205" s="105"/>
    </row>
    <row r="206" spans="1:14" s="25" customFormat="1" x14ac:dyDescent="0.25">
      <c r="A206" s="35" t="s">
        <v>150</v>
      </c>
      <c r="B206" s="106" t="s">
        <v>186</v>
      </c>
      <c r="C206" s="107"/>
      <c r="D206" s="107"/>
      <c r="E206" s="107"/>
      <c r="F206" s="107"/>
      <c r="G206" s="107"/>
      <c r="H206" s="108"/>
    </row>
    <row r="207" spans="1:14" s="25" customFormat="1" x14ac:dyDescent="0.25">
      <c r="A207" s="35" t="s">
        <v>150</v>
      </c>
      <c r="B207" s="103" t="s">
        <v>149</v>
      </c>
      <c r="C207" s="104"/>
      <c r="D207" s="104"/>
      <c r="E207" s="104"/>
      <c r="F207" s="104"/>
      <c r="G207" s="104"/>
      <c r="H207" s="105"/>
    </row>
    <row r="208" spans="1:14" s="25" customFormat="1" x14ac:dyDescent="0.25">
      <c r="A208" s="35" t="s">
        <v>150</v>
      </c>
      <c r="B208" s="103" t="s">
        <v>121</v>
      </c>
      <c r="C208" s="104"/>
      <c r="D208" s="104"/>
      <c r="E208" s="104"/>
      <c r="F208" s="104"/>
      <c r="G208" s="104"/>
      <c r="H208" s="105"/>
    </row>
    <row r="209" spans="1:8" s="25" customFormat="1" ht="34.5" customHeight="1" x14ac:dyDescent="0.25">
      <c r="A209" s="35" t="s">
        <v>150</v>
      </c>
      <c r="B209" s="103" t="s">
        <v>151</v>
      </c>
      <c r="C209" s="104"/>
      <c r="D209" s="104"/>
      <c r="E209" s="104"/>
      <c r="F209" s="104"/>
      <c r="G209" s="104"/>
      <c r="H209" s="105"/>
    </row>
    <row r="210" spans="1:8" s="25" customFormat="1" x14ac:dyDescent="0.25">
      <c r="A210" s="35" t="s">
        <v>150</v>
      </c>
      <c r="B210" s="103" t="s">
        <v>122</v>
      </c>
      <c r="C210" s="104"/>
      <c r="D210" s="104"/>
      <c r="E210" s="104"/>
      <c r="F210" s="104"/>
      <c r="G210" s="104"/>
      <c r="H210" s="105"/>
    </row>
    <row r="211" spans="1:8" s="25" customFormat="1" x14ac:dyDescent="0.25">
      <c r="A211" s="35" t="s">
        <v>150</v>
      </c>
      <c r="B211" s="103" t="s">
        <v>191</v>
      </c>
      <c r="C211" s="104"/>
      <c r="D211" s="104"/>
      <c r="E211" s="104"/>
      <c r="F211" s="104"/>
      <c r="G211" s="104"/>
      <c r="H211" s="105"/>
    </row>
    <row r="212" spans="1:8" s="25" customFormat="1" x14ac:dyDescent="0.25">
      <c r="A212" s="78" t="s">
        <v>150</v>
      </c>
      <c r="B212" s="103" t="s">
        <v>229</v>
      </c>
      <c r="C212" s="104"/>
      <c r="D212" s="104"/>
      <c r="E212" s="104"/>
      <c r="F212" s="104"/>
      <c r="G212" s="104"/>
      <c r="H212" s="105"/>
    </row>
    <row r="213" spans="1:8" s="25" customFormat="1" x14ac:dyDescent="0.25">
      <c r="A213" s="80" t="s">
        <v>150</v>
      </c>
      <c r="B213" s="215" t="s">
        <v>231</v>
      </c>
      <c r="C213" s="216"/>
      <c r="D213" s="216"/>
      <c r="E213" s="216"/>
      <c r="F213" s="216"/>
      <c r="G213" s="216"/>
      <c r="H213" s="217"/>
    </row>
    <row r="214" spans="1:8" x14ac:dyDescent="0.25">
      <c r="A214" s="101" t="s">
        <v>65</v>
      </c>
      <c r="B214" s="101"/>
      <c r="C214" s="101"/>
      <c r="D214" s="101"/>
      <c r="E214" s="101"/>
      <c r="F214" s="101"/>
      <c r="G214" s="101"/>
      <c r="H214" s="101"/>
    </row>
    <row r="215" spans="1:8" x14ac:dyDescent="0.25">
      <c r="A215" s="83" t="s">
        <v>66</v>
      </c>
      <c r="B215" s="83"/>
      <c r="C215" s="83"/>
      <c r="D215" s="83"/>
      <c r="E215" s="83"/>
      <c r="F215" s="83"/>
      <c r="G215" s="83"/>
      <c r="H215" s="83"/>
    </row>
    <row r="216" spans="1:8" ht="15.75" customHeight="1" x14ac:dyDescent="0.25">
      <c r="A216" s="84" t="s">
        <v>67</v>
      </c>
      <c r="B216" s="84"/>
      <c r="C216" s="84"/>
      <c r="D216" s="84"/>
      <c r="E216" s="84"/>
      <c r="F216" s="84"/>
      <c r="G216" s="84"/>
      <c r="H216" s="84"/>
    </row>
    <row r="217" spans="1:8" x14ac:dyDescent="0.25">
      <c r="A217" s="83" t="s">
        <v>68</v>
      </c>
      <c r="B217" s="83"/>
      <c r="C217" s="83"/>
      <c r="D217" s="83"/>
      <c r="E217" s="83"/>
      <c r="F217" s="83"/>
      <c r="G217" s="83"/>
      <c r="H217" s="83"/>
    </row>
    <row r="218" spans="1:8" x14ac:dyDescent="0.25">
      <c r="A218" s="83" t="s">
        <v>69</v>
      </c>
      <c r="B218" s="83"/>
      <c r="C218" s="83"/>
      <c r="D218" s="83"/>
      <c r="E218" s="83"/>
      <c r="F218" s="83"/>
      <c r="G218" s="83"/>
      <c r="H218" s="83"/>
    </row>
    <row r="219" spans="1:8" x14ac:dyDescent="0.25">
      <c r="A219" s="83" t="s">
        <v>123</v>
      </c>
      <c r="B219" s="83"/>
      <c r="C219" s="83"/>
      <c r="D219" s="83"/>
      <c r="E219" s="83"/>
      <c r="F219" s="83"/>
      <c r="G219" s="83"/>
      <c r="H219" s="83"/>
    </row>
    <row r="220" spans="1:8" x14ac:dyDescent="0.25">
      <c r="A220" s="117" t="s">
        <v>124</v>
      </c>
      <c r="B220" s="117"/>
      <c r="C220" s="117"/>
      <c r="D220" s="117"/>
      <c r="E220" s="117"/>
      <c r="F220" s="117"/>
      <c r="G220" s="117"/>
      <c r="H220" s="117"/>
    </row>
    <row r="221" spans="1:8" x14ac:dyDescent="0.25">
      <c r="A221" s="139" t="s">
        <v>81</v>
      </c>
      <c r="B221" s="139"/>
      <c r="C221" s="139" t="s">
        <v>234</v>
      </c>
      <c r="D221" s="139"/>
      <c r="E221" s="139" t="s">
        <v>111</v>
      </c>
      <c r="F221" s="139"/>
      <c r="G221" s="139" t="s">
        <v>233</v>
      </c>
      <c r="H221" s="139"/>
    </row>
    <row r="222" spans="1:8" x14ac:dyDescent="0.25">
      <c r="A222" s="138" t="s">
        <v>83</v>
      </c>
      <c r="B222" s="138"/>
      <c r="C222" s="138"/>
      <c r="D222" s="138"/>
      <c r="E222" s="138"/>
      <c r="F222" s="138"/>
      <c r="G222" s="138"/>
      <c r="H222" s="138"/>
    </row>
    <row r="223" spans="1:8" x14ac:dyDescent="0.25">
      <c r="A223" s="138"/>
      <c r="B223" s="138"/>
      <c r="C223" s="138"/>
      <c r="D223" s="138"/>
      <c r="E223" s="138"/>
      <c r="F223" s="138"/>
      <c r="G223" s="138"/>
      <c r="H223" s="138"/>
    </row>
    <row r="224" spans="1:8" x14ac:dyDescent="0.25">
      <c r="A224" s="138"/>
      <c r="B224" s="138"/>
      <c r="C224" s="138"/>
      <c r="D224" s="138"/>
      <c r="E224" s="138"/>
      <c r="F224" s="138"/>
      <c r="G224" s="138"/>
      <c r="H224" s="138"/>
    </row>
    <row r="225" spans="1:8" x14ac:dyDescent="0.25">
      <c r="A225" s="138"/>
      <c r="B225" s="138"/>
      <c r="C225" s="138"/>
      <c r="D225" s="138"/>
      <c r="E225" s="138"/>
      <c r="F225" s="138"/>
      <c r="G225" s="138"/>
      <c r="H225" s="138"/>
    </row>
    <row r="226" spans="1:8" x14ac:dyDescent="0.25">
      <c r="A226" s="28" t="s">
        <v>70</v>
      </c>
      <c r="B226" s="29"/>
      <c r="C226" s="29"/>
      <c r="D226" s="28" t="str">
        <f>E8</f>
        <v>Seven Heights</v>
      </c>
      <c r="F226" s="29"/>
      <c r="G226" s="29"/>
      <c r="H226" s="29"/>
    </row>
    <row r="227" spans="1:8" x14ac:dyDescent="0.25">
      <c r="A227" s="29"/>
      <c r="B227" s="29"/>
      <c r="C227" s="29"/>
      <c r="D227" s="29"/>
      <c r="E227" s="29"/>
      <c r="F227" s="29"/>
      <c r="G227" s="29"/>
      <c r="H227" s="29"/>
    </row>
    <row r="228" spans="1:8" x14ac:dyDescent="0.25">
      <c r="A228" s="29"/>
      <c r="B228" s="29"/>
      <c r="C228" s="29"/>
      <c r="D228" s="29"/>
      <c r="E228" s="29"/>
      <c r="F228" s="29"/>
      <c r="G228" s="29"/>
      <c r="H228" s="29"/>
    </row>
    <row r="229" spans="1:8" ht="15" customHeight="1" x14ac:dyDescent="0.25"/>
    <row r="269" spans="1:1" x14ac:dyDescent="0.25">
      <c r="A269" s="31" t="s">
        <v>218</v>
      </c>
    </row>
    <row r="302" spans="1:1" x14ac:dyDescent="0.25">
      <c r="A302" s="31" t="s">
        <v>71</v>
      </c>
    </row>
  </sheetData>
  <mergeCells count="413">
    <mergeCell ref="I10:L10"/>
    <mergeCell ref="B213:H213"/>
    <mergeCell ref="A121:E121"/>
    <mergeCell ref="F121:H121"/>
    <mergeCell ref="B212:H212"/>
    <mergeCell ref="A141:H141"/>
    <mergeCell ref="A177:H177"/>
    <mergeCell ref="A174:A175"/>
    <mergeCell ref="B174:B175"/>
    <mergeCell ref="C174:C175"/>
    <mergeCell ref="D174:D175"/>
    <mergeCell ref="E174:E175"/>
    <mergeCell ref="G174:H175"/>
    <mergeCell ref="A142:H142"/>
    <mergeCell ref="A148:B148"/>
    <mergeCell ref="A153:B153"/>
    <mergeCell ref="A197:B197"/>
    <mergeCell ref="G197:H200"/>
    <mergeCell ref="A178:H178"/>
    <mergeCell ref="B202:H202"/>
    <mergeCell ref="B211:H211"/>
    <mergeCell ref="C127:D127"/>
    <mergeCell ref="E127:F127"/>
    <mergeCell ref="A184:B184"/>
    <mergeCell ref="A181:B181"/>
    <mergeCell ref="A180:H180"/>
    <mergeCell ref="A173:H173"/>
    <mergeCell ref="A155:B155"/>
    <mergeCell ref="B203:H203"/>
    <mergeCell ref="G127:H127"/>
    <mergeCell ref="A135:B135"/>
    <mergeCell ref="C135:D135"/>
    <mergeCell ref="E135:F135"/>
    <mergeCell ref="G135:H135"/>
    <mergeCell ref="A164:B164"/>
    <mergeCell ref="A150:H150"/>
    <mergeCell ref="A151:H151"/>
    <mergeCell ref="A157:B157"/>
    <mergeCell ref="C132:D132"/>
    <mergeCell ref="E132:F132"/>
    <mergeCell ref="G132:H132"/>
    <mergeCell ref="A127:B127"/>
    <mergeCell ref="A128:B128"/>
    <mergeCell ref="E133:F133"/>
    <mergeCell ref="G133:H133"/>
    <mergeCell ref="C131:D131"/>
    <mergeCell ref="G131:H131"/>
    <mergeCell ref="L155:M155"/>
    <mergeCell ref="A156:B156"/>
    <mergeCell ref="L156:M156"/>
    <mergeCell ref="L164:M164"/>
    <mergeCell ref="G152:H164"/>
    <mergeCell ref="A185:H185"/>
    <mergeCell ref="A186:H186"/>
    <mergeCell ref="L188:M188"/>
    <mergeCell ref="G188:H193"/>
    <mergeCell ref="A187:H187"/>
    <mergeCell ref="A158:B158"/>
    <mergeCell ref="L158:M158"/>
    <mergeCell ref="A159:B159"/>
    <mergeCell ref="L159:M159"/>
    <mergeCell ref="A160:B160"/>
    <mergeCell ref="L160:M160"/>
    <mergeCell ref="A161:B161"/>
    <mergeCell ref="L161:M161"/>
    <mergeCell ref="A162:B162"/>
    <mergeCell ref="L162:M162"/>
    <mergeCell ref="A163:B163"/>
    <mergeCell ref="L163:M163"/>
    <mergeCell ref="A152:B152"/>
    <mergeCell ref="L192:M192"/>
    <mergeCell ref="L193:M193"/>
    <mergeCell ref="A165:H165"/>
    <mergeCell ref="A166:H166"/>
    <mergeCell ref="A167:B167"/>
    <mergeCell ref="G167:H172"/>
    <mergeCell ref="L167:M167"/>
    <mergeCell ref="A168:B168"/>
    <mergeCell ref="L168:M168"/>
    <mergeCell ref="L189:M189"/>
    <mergeCell ref="A190:B190"/>
    <mergeCell ref="L190:M190"/>
    <mergeCell ref="L191:M191"/>
    <mergeCell ref="L169:M169"/>
    <mergeCell ref="A170:B170"/>
    <mergeCell ref="L170:M170"/>
    <mergeCell ref="A171:B171"/>
    <mergeCell ref="L171:M171"/>
    <mergeCell ref="A172:B172"/>
    <mergeCell ref="L172:M172"/>
    <mergeCell ref="G181:H184"/>
    <mergeCell ref="L182:M182"/>
    <mergeCell ref="A183:B183"/>
    <mergeCell ref="L183:M183"/>
    <mergeCell ref="A176:H176"/>
    <mergeCell ref="L197:M197"/>
    <mergeCell ref="A198:B198"/>
    <mergeCell ref="L198:M198"/>
    <mergeCell ref="A199:B199"/>
    <mergeCell ref="L199:M199"/>
    <mergeCell ref="A200:B200"/>
    <mergeCell ref="L200:M200"/>
    <mergeCell ref="L148:M148"/>
    <mergeCell ref="A149:B149"/>
    <mergeCell ref="L149:M149"/>
    <mergeCell ref="G144:H149"/>
    <mergeCell ref="L147:M147"/>
    <mergeCell ref="L146:M146"/>
    <mergeCell ref="L145:M145"/>
    <mergeCell ref="L144:M144"/>
    <mergeCell ref="L152:M152"/>
    <mergeCell ref="L153:M153"/>
    <mergeCell ref="A154:B154"/>
    <mergeCell ref="L154:M154"/>
    <mergeCell ref="A189:B189"/>
    <mergeCell ref="A191:B191"/>
    <mergeCell ref="L184:M184"/>
    <mergeCell ref="L181:M181"/>
    <mergeCell ref="A182:B182"/>
    <mergeCell ref="A47:B47"/>
    <mergeCell ref="C47:H47"/>
    <mergeCell ref="B207:H207"/>
    <mergeCell ref="A100:B100"/>
    <mergeCell ref="A101:B101"/>
    <mergeCell ref="G85:H94"/>
    <mergeCell ref="A86:B86"/>
    <mergeCell ref="A87:B87"/>
    <mergeCell ref="A88:B88"/>
    <mergeCell ref="F111:H111"/>
    <mergeCell ref="A111:E111"/>
    <mergeCell ref="D138:D139"/>
    <mergeCell ref="A113:E113"/>
    <mergeCell ref="A144:B144"/>
    <mergeCell ref="A145:B145"/>
    <mergeCell ref="A146:B146"/>
    <mergeCell ref="A147:B147"/>
    <mergeCell ref="A140:H140"/>
    <mergeCell ref="A83:B83"/>
    <mergeCell ref="A179:H179"/>
    <mergeCell ref="A194:H194"/>
    <mergeCell ref="A195:H195"/>
    <mergeCell ref="A196:H196"/>
    <mergeCell ref="A169:B169"/>
    <mergeCell ref="C83:H83"/>
    <mergeCell ref="A84:B84"/>
    <mergeCell ref="E84:F84"/>
    <mergeCell ref="G84:H84"/>
    <mergeCell ref="A115:E115"/>
    <mergeCell ref="F115:H115"/>
    <mergeCell ref="A116:E116"/>
    <mergeCell ref="A118:E118"/>
    <mergeCell ref="F112:H112"/>
    <mergeCell ref="A117:E117"/>
    <mergeCell ref="A102:B102"/>
    <mergeCell ref="A103:B103"/>
    <mergeCell ref="A104:B104"/>
    <mergeCell ref="A106:B106"/>
    <mergeCell ref="A107:B107"/>
    <mergeCell ref="A112:E112"/>
    <mergeCell ref="A109:E109"/>
    <mergeCell ref="F113:H113"/>
    <mergeCell ref="A97:B97"/>
    <mergeCell ref="C97:H97"/>
    <mergeCell ref="A98:B98"/>
    <mergeCell ref="E98:F98"/>
    <mergeCell ref="G99:H108"/>
    <mergeCell ref="A85:B85"/>
    <mergeCell ref="F116:H116"/>
    <mergeCell ref="A143:H143"/>
    <mergeCell ref="E138:E139"/>
    <mergeCell ref="G138:H139"/>
    <mergeCell ref="C134:D134"/>
    <mergeCell ref="L157:M157"/>
    <mergeCell ref="F117:H117"/>
    <mergeCell ref="C125:D125"/>
    <mergeCell ref="F120:H120"/>
    <mergeCell ref="G125:H125"/>
    <mergeCell ref="A119:E119"/>
    <mergeCell ref="C126:D126"/>
    <mergeCell ref="E126:F126"/>
    <mergeCell ref="A120:E120"/>
    <mergeCell ref="G134:H134"/>
    <mergeCell ref="C128:D128"/>
    <mergeCell ref="E128:F128"/>
    <mergeCell ref="G128:H128"/>
    <mergeCell ref="A129:B129"/>
    <mergeCell ref="C129:D129"/>
    <mergeCell ref="E129:F129"/>
    <mergeCell ref="A134:B134"/>
    <mergeCell ref="E134:F134"/>
    <mergeCell ref="A126:B126"/>
    <mergeCell ref="A93:B93"/>
    <mergeCell ref="A94:B94"/>
    <mergeCell ref="A99:B99"/>
    <mergeCell ref="E99:F108"/>
    <mergeCell ref="F109:H109"/>
    <mergeCell ref="F114:H114"/>
    <mergeCell ref="A114:E114"/>
    <mergeCell ref="A110:E110"/>
    <mergeCell ref="A95:B95"/>
    <mergeCell ref="C95:H95"/>
    <mergeCell ref="G98:H98"/>
    <mergeCell ref="A42:D42"/>
    <mergeCell ref="E42:H42"/>
    <mergeCell ref="E43:H43"/>
    <mergeCell ref="E44:H44"/>
    <mergeCell ref="E45:H45"/>
    <mergeCell ref="A43:D43"/>
    <mergeCell ref="C51:H51"/>
    <mergeCell ref="D66:H66"/>
    <mergeCell ref="G48:H48"/>
    <mergeCell ref="G50:H50"/>
    <mergeCell ref="D54:H54"/>
    <mergeCell ref="C50:E50"/>
    <mergeCell ref="A57:C59"/>
    <mergeCell ref="D57:H57"/>
    <mergeCell ref="D58:H58"/>
    <mergeCell ref="C49:E49"/>
    <mergeCell ref="A52:B52"/>
    <mergeCell ref="C52:E52"/>
    <mergeCell ref="A49:B49"/>
    <mergeCell ref="A53:H53"/>
    <mergeCell ref="A54:C54"/>
    <mergeCell ref="A55:C55"/>
    <mergeCell ref="D55:H55"/>
    <mergeCell ref="A64:C64"/>
    <mergeCell ref="A36:H36"/>
    <mergeCell ref="A35:B35"/>
    <mergeCell ref="C35:E35"/>
    <mergeCell ref="A34:B34"/>
    <mergeCell ref="C34:E34"/>
    <mergeCell ref="A40:D40"/>
    <mergeCell ref="E40:H40"/>
    <mergeCell ref="F32:H32"/>
    <mergeCell ref="F33:H33"/>
    <mergeCell ref="A39:H39"/>
    <mergeCell ref="F35:H35"/>
    <mergeCell ref="A37:B37"/>
    <mergeCell ref="E37:F37"/>
    <mergeCell ref="C37:D37"/>
    <mergeCell ref="G37:H37"/>
    <mergeCell ref="A38:B38"/>
    <mergeCell ref="C38:H38"/>
    <mergeCell ref="A29:D29"/>
    <mergeCell ref="E29:H29"/>
    <mergeCell ref="A30:D30"/>
    <mergeCell ref="E30:H30"/>
    <mergeCell ref="A26:D26"/>
    <mergeCell ref="E26:H26"/>
    <mergeCell ref="C31:E31"/>
    <mergeCell ref="F34:H34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F31:H31"/>
    <mergeCell ref="A32:B32"/>
    <mergeCell ref="A31:B31"/>
    <mergeCell ref="C32:E32"/>
    <mergeCell ref="A33:B33"/>
    <mergeCell ref="C33:E33"/>
    <mergeCell ref="A21:D2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F119:H119"/>
    <mergeCell ref="E125:F125"/>
    <mergeCell ref="A218:H218"/>
    <mergeCell ref="E85:F94"/>
    <mergeCell ref="A125:B125"/>
    <mergeCell ref="A92:B92"/>
    <mergeCell ref="A44:D44"/>
    <mergeCell ref="A45:D45"/>
    <mergeCell ref="A46:H46"/>
    <mergeCell ref="D56:H56"/>
    <mergeCell ref="A56:C56"/>
    <mergeCell ref="G49:H49"/>
    <mergeCell ref="A50:B51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222:H225"/>
    <mergeCell ref="A221:B221"/>
    <mergeCell ref="E221:F221"/>
    <mergeCell ref="C221:D221"/>
    <mergeCell ref="G221:H221"/>
    <mergeCell ref="A124:H124"/>
    <mergeCell ref="A122:E122"/>
    <mergeCell ref="F122:H122"/>
    <mergeCell ref="A123:E123"/>
    <mergeCell ref="F123:H123"/>
    <mergeCell ref="A132:B132"/>
    <mergeCell ref="A217:H217"/>
    <mergeCell ref="A130:H130"/>
    <mergeCell ref="A220:H220"/>
    <mergeCell ref="B138:B139"/>
    <mergeCell ref="A138:A139"/>
    <mergeCell ref="A137:H137"/>
    <mergeCell ref="B209:H209"/>
    <mergeCell ref="B205:H205"/>
    <mergeCell ref="B206:H206"/>
    <mergeCell ref="A201:H201"/>
    <mergeCell ref="A192:B192"/>
    <mergeCell ref="A193:B193"/>
    <mergeCell ref="C138:C139"/>
    <mergeCell ref="G52:H52"/>
    <mergeCell ref="D59:H59"/>
    <mergeCell ref="A60:C60"/>
    <mergeCell ref="A61:C61"/>
    <mergeCell ref="D60:H60"/>
    <mergeCell ref="D61:H61"/>
    <mergeCell ref="E71:F80"/>
    <mergeCell ref="G71:H80"/>
    <mergeCell ref="A79:B79"/>
    <mergeCell ref="A80:B80"/>
    <mergeCell ref="A78:B78"/>
    <mergeCell ref="A76:B76"/>
    <mergeCell ref="D64:H64"/>
    <mergeCell ref="A65:C65"/>
    <mergeCell ref="A71:B71"/>
    <mergeCell ref="G70:H70"/>
    <mergeCell ref="A74:B74"/>
    <mergeCell ref="E70:F70"/>
    <mergeCell ref="A63:C63"/>
    <mergeCell ref="D63:H63"/>
    <mergeCell ref="A66:C66"/>
    <mergeCell ref="D65:H65"/>
    <mergeCell ref="A16:B16"/>
    <mergeCell ref="C16:H16"/>
    <mergeCell ref="E41:H41"/>
    <mergeCell ref="A41:D41"/>
    <mergeCell ref="A48:B48"/>
    <mergeCell ref="C48:E48"/>
    <mergeCell ref="E21:H22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A219:H219"/>
    <mergeCell ref="A216:H216"/>
    <mergeCell ref="A131:B131"/>
    <mergeCell ref="A89:B89"/>
    <mergeCell ref="A90:B90"/>
    <mergeCell ref="A91:B91"/>
    <mergeCell ref="A81:B81"/>
    <mergeCell ref="C81:H81"/>
    <mergeCell ref="A105:B105"/>
    <mergeCell ref="F110:H110"/>
    <mergeCell ref="G126:H126"/>
    <mergeCell ref="A108:B108"/>
    <mergeCell ref="A188:B188"/>
    <mergeCell ref="G129:H129"/>
    <mergeCell ref="A133:B133"/>
    <mergeCell ref="C133:D133"/>
    <mergeCell ref="A214:H214"/>
    <mergeCell ref="A215:H215"/>
    <mergeCell ref="E131:F131"/>
    <mergeCell ref="B210:H210"/>
    <mergeCell ref="B208:H208"/>
    <mergeCell ref="B204:H204"/>
    <mergeCell ref="A136:H136"/>
    <mergeCell ref="F118:H118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135" max="7" man="1"/>
    <brk id="173" max="7" man="1"/>
    <brk id="225" max="16383" man="1"/>
    <brk id="268" max="16383" man="1"/>
    <brk id="30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9"/>
  <sheetViews>
    <sheetView zoomScaleNormal="100" workbookViewId="0">
      <selection activeCell="C8" sqref="C8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14.42578125" style="1" customWidth="1"/>
    <col min="4" max="4" width="12" style="1" customWidth="1"/>
    <col min="5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44"/>
      <c r="B2" s="44"/>
      <c r="C2" s="44"/>
      <c r="D2" s="44"/>
      <c r="E2" s="44"/>
      <c r="F2" s="44"/>
      <c r="G2" s="44"/>
      <c r="H2" s="44"/>
    </row>
    <row r="3" spans="1:9" ht="15.75" customHeight="1" x14ac:dyDescent="0.25">
      <c r="A3" s="44"/>
      <c r="B3" s="66"/>
      <c r="C3" s="70" t="s">
        <v>208</v>
      </c>
      <c r="D3" s="70" t="s">
        <v>209</v>
      </c>
      <c r="E3" s="66"/>
      <c r="F3" s="66"/>
      <c r="G3" s="66"/>
      <c r="H3" s="66"/>
    </row>
    <row r="4" spans="1:9" x14ac:dyDescent="0.25">
      <c r="A4" s="44"/>
      <c r="B4" s="67" t="s">
        <v>187</v>
      </c>
      <c r="C4" s="71">
        <v>3500</v>
      </c>
      <c r="D4" s="71"/>
      <c r="E4" s="54"/>
      <c r="F4" s="54"/>
      <c r="G4" s="54"/>
      <c r="H4" s="45"/>
    </row>
    <row r="5" spans="1:9" ht="15" customHeight="1" x14ac:dyDescent="0.25">
      <c r="A5" s="44"/>
      <c r="B5" s="68" t="s">
        <v>188</v>
      </c>
      <c r="C5" s="2">
        <v>3700</v>
      </c>
      <c r="D5" s="2">
        <v>6000</v>
      </c>
      <c r="E5" s="223"/>
      <c r="F5" s="223"/>
      <c r="G5" s="223"/>
      <c r="H5" s="223"/>
    </row>
    <row r="6" spans="1:9" x14ac:dyDescent="0.25">
      <c r="A6" s="44"/>
      <c r="B6" s="68" t="s">
        <v>189</v>
      </c>
      <c r="C6" s="57">
        <v>3500</v>
      </c>
      <c r="D6" s="4"/>
      <c r="E6" s="224" t="s">
        <v>200</v>
      </c>
      <c r="F6" s="221"/>
      <c r="G6" s="221"/>
      <c r="H6" s="221"/>
    </row>
    <row r="7" spans="1:9" ht="15" customHeight="1" x14ac:dyDescent="0.25">
      <c r="A7" s="44"/>
      <c r="B7" s="68" t="s">
        <v>190</v>
      </c>
      <c r="C7" s="2">
        <v>3600</v>
      </c>
      <c r="D7" s="2"/>
      <c r="E7" s="46"/>
      <c r="F7" s="47"/>
      <c r="G7" s="47"/>
      <c r="H7" s="48"/>
    </row>
    <row r="8" spans="1:9" x14ac:dyDescent="0.25">
      <c r="A8" s="44"/>
      <c r="B8" s="69" t="s">
        <v>112</v>
      </c>
      <c r="C8" s="59">
        <f>AVERAGE(C4:C7)</f>
        <v>3575</v>
      </c>
      <c r="D8" s="59">
        <f>AVERAGE(D4:D7)</f>
        <v>6000</v>
      </c>
      <c r="E8" s="46"/>
      <c r="F8" s="47"/>
      <c r="G8" s="47"/>
      <c r="H8" s="48"/>
    </row>
    <row r="9" spans="1:9" ht="15" customHeight="1" x14ac:dyDescent="0.25">
      <c r="A9" s="44"/>
      <c r="B9" s="46"/>
      <c r="C9" s="49"/>
      <c r="D9" s="46"/>
      <c r="E9" s="46"/>
      <c r="F9" s="47"/>
      <c r="G9" s="47"/>
      <c r="H9" s="48"/>
    </row>
    <row r="10" spans="1:9" ht="15" customHeight="1" x14ac:dyDescent="0.25">
      <c r="A10" s="44"/>
      <c r="C10" s="221" t="s">
        <v>193</v>
      </c>
      <c r="D10" s="221"/>
      <c r="E10" s="55" t="s">
        <v>198</v>
      </c>
      <c r="F10" s="56" t="s">
        <v>112</v>
      </c>
      <c r="G10" s="56" t="s">
        <v>199</v>
      </c>
      <c r="H10" s="48"/>
    </row>
    <row r="11" spans="1:9" ht="15" customHeight="1" x14ac:dyDescent="0.25">
      <c r="A11" s="44"/>
      <c r="B11" s="53"/>
      <c r="C11" s="55" t="s">
        <v>194</v>
      </c>
      <c r="D11" s="55" t="s">
        <v>196</v>
      </c>
      <c r="E11" s="3">
        <f>2000000/Report!F181</f>
        <v>4136.2510547543607</v>
      </c>
      <c r="F11" s="222">
        <f>AVERAGE(E11:E12)</f>
        <v>3986.4048339084693</v>
      </c>
      <c r="G11" s="222">
        <f>AVERAGE(F11:F13)</f>
        <v>3427.7024169542346</v>
      </c>
      <c r="H11" s="48"/>
    </row>
    <row r="12" spans="1:9" ht="15" customHeight="1" x14ac:dyDescent="0.25">
      <c r="A12" s="44"/>
      <c r="B12" s="53"/>
      <c r="C12" s="55"/>
      <c r="D12" s="55"/>
      <c r="E12" s="3">
        <f>2000000/Report!F189</f>
        <v>3836.5586130625775</v>
      </c>
      <c r="F12" s="222"/>
      <c r="G12" s="222"/>
      <c r="H12" s="48"/>
    </row>
    <row r="13" spans="1:9" ht="15" customHeight="1" x14ac:dyDescent="0.25">
      <c r="A13" s="44"/>
      <c r="B13" s="50"/>
      <c r="C13" s="55" t="s">
        <v>195</v>
      </c>
      <c r="D13" s="55" t="s">
        <v>197</v>
      </c>
      <c r="E13" s="3">
        <f>3012000/Report!F188</f>
        <v>4033.8719243414052</v>
      </c>
      <c r="F13" s="2">
        <v>2869</v>
      </c>
      <c r="G13" s="222"/>
      <c r="H13" s="46"/>
    </row>
    <row r="14" spans="1:9" ht="15" customHeight="1" x14ac:dyDescent="0.25">
      <c r="B14" s="50"/>
      <c r="C14" s="46"/>
      <c r="D14" s="46"/>
      <c r="E14" s="46"/>
      <c r="F14" s="51"/>
      <c r="G14" s="50"/>
      <c r="H14" s="50"/>
      <c r="I14" s="52"/>
    </row>
    <row r="15" spans="1:9" ht="15" customHeight="1" x14ac:dyDescent="0.25"/>
    <row r="16" spans="1:9" ht="15" customHeight="1" x14ac:dyDescent="0.25"/>
    <row r="17" spans="3:5" ht="32.25" customHeight="1" x14ac:dyDescent="0.25">
      <c r="C17" s="58" t="s">
        <v>201</v>
      </c>
      <c r="D17" s="58" t="s">
        <v>113</v>
      </c>
      <c r="E17" s="4" t="s">
        <v>112</v>
      </c>
    </row>
    <row r="18" spans="3:5" x14ac:dyDescent="0.25">
      <c r="C18" s="4" t="s">
        <v>194</v>
      </c>
      <c r="D18" s="4">
        <v>3531</v>
      </c>
      <c r="E18" s="220">
        <f>AVERAGE(D18:D19)</f>
        <v>3636</v>
      </c>
    </row>
    <row r="19" spans="3:5" x14ac:dyDescent="0.25">
      <c r="C19" s="4" t="s">
        <v>195</v>
      </c>
      <c r="D19" s="4">
        <v>3741</v>
      </c>
      <c r="E19" s="220"/>
    </row>
  </sheetData>
  <mergeCells count="6">
    <mergeCell ref="E18:E19"/>
    <mergeCell ref="C10:D10"/>
    <mergeCell ref="F11:F12"/>
    <mergeCell ref="G11:G13"/>
    <mergeCell ref="E5:H5"/>
    <mergeCell ref="E6:H6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Normal="100" workbookViewId="0">
      <selection activeCell="O20" sqref="O20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2025-09-08T11:45:26Z</cp:lastPrinted>
  <dcterms:created xsi:type="dcterms:W3CDTF">2019-07-16T09:29:46Z</dcterms:created>
  <dcterms:modified xsi:type="dcterms:W3CDTF">2025-09-08T11:46:22Z</dcterms:modified>
</cp:coreProperties>
</file>