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Shruti\Sept 25\Dump\"/>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2" i="1" l="1"/>
  <c r="J196" i="1" l="1"/>
  <c r="J199" i="1"/>
  <c r="J201" i="1"/>
  <c r="J174" i="1"/>
  <c r="J175" i="1"/>
  <c r="J177" i="1"/>
  <c r="J179" i="1"/>
  <c r="J180" i="1"/>
  <c r="J182" i="1"/>
  <c r="J183" i="1"/>
  <c r="J184" i="1"/>
  <c r="J185" i="1"/>
  <c r="J187" i="1"/>
  <c r="J189" i="1"/>
  <c r="J190" i="1"/>
  <c r="J191" i="1"/>
  <c r="J169" i="1"/>
  <c r="J170" i="1"/>
  <c r="J132" i="1"/>
  <c r="D168" i="1" l="1"/>
  <c r="D167" i="1"/>
  <c r="D166" i="1"/>
  <c r="D160" i="1"/>
  <c r="D159" i="1"/>
  <c r="D158" i="1"/>
  <c r="D157" i="1"/>
  <c r="C134" i="1" s="1"/>
  <c r="D154" i="1"/>
  <c r="D153" i="1"/>
  <c r="D152" i="1"/>
  <c r="D151" i="1"/>
  <c r="D150" i="1"/>
  <c r="D149" i="1"/>
  <c r="D148" i="1"/>
  <c r="C133" i="1" s="1"/>
  <c r="D210" i="1" l="1"/>
  <c r="D208" i="1"/>
  <c r="D207" i="1"/>
  <c r="F207" i="1" s="1"/>
  <c r="H207" i="1" s="1"/>
  <c r="D205" i="1"/>
  <c r="F205" i="1" s="1"/>
  <c r="H205" i="1" s="1"/>
  <c r="D203" i="1"/>
  <c r="F203" i="1" s="1"/>
  <c r="H203" i="1" s="1"/>
  <c r="D202" i="1"/>
  <c r="F202" i="1" s="1"/>
  <c r="H202" i="1" s="1"/>
  <c r="J202" i="1" s="1"/>
  <c r="D200" i="1"/>
  <c r="F200" i="1" s="1"/>
  <c r="H200" i="1" s="1"/>
  <c r="J200" i="1" s="1"/>
  <c r="D198" i="1"/>
  <c r="D197" i="1"/>
  <c r="D195" i="1"/>
  <c r="D194" i="1"/>
  <c r="D193" i="1"/>
  <c r="D192" i="1"/>
  <c r="D188" i="1"/>
  <c r="F188" i="1" s="1"/>
  <c r="H188" i="1" s="1"/>
  <c r="J188" i="1" s="1"/>
  <c r="D186" i="1"/>
  <c r="F186" i="1" s="1"/>
  <c r="H186" i="1" s="1"/>
  <c r="J186" i="1" s="1"/>
  <c r="D181" i="1"/>
  <c r="F181" i="1" s="1"/>
  <c r="H181" i="1" s="1"/>
  <c r="J181" i="1" s="1"/>
  <c r="D178" i="1"/>
  <c r="D176" i="1"/>
  <c r="D173" i="1"/>
  <c r="D172" i="1"/>
  <c r="F172" i="1" s="1"/>
  <c r="H172" i="1" s="1"/>
  <c r="J172" i="1" s="1"/>
  <c r="D171" i="1"/>
  <c r="I170" i="1"/>
  <c r="F210" i="1"/>
  <c r="H210" i="1" s="1"/>
  <c r="F208" i="1"/>
  <c r="H208" i="1" s="1"/>
  <c r="A208" i="1"/>
  <c r="A209" i="1" s="1"/>
  <c r="A210" i="1" s="1"/>
  <c r="A203" i="1"/>
  <c r="A204" i="1" s="1"/>
  <c r="A205" i="1" s="1"/>
  <c r="A198" i="1"/>
  <c r="A199" i="1" s="1"/>
  <c r="A200" i="1" s="1"/>
  <c r="F197" i="1"/>
  <c r="H197" i="1" s="1"/>
  <c r="J197" i="1" s="1"/>
  <c r="F160" i="1"/>
  <c r="H160" i="1" s="1"/>
  <c r="F157" i="1"/>
  <c r="F159" i="1"/>
  <c r="H159" i="1" s="1"/>
  <c r="F158" i="1"/>
  <c r="H158" i="1" s="1"/>
  <c r="A158" i="1"/>
  <c r="A159" i="1" s="1"/>
  <c r="A160" i="1" s="1"/>
  <c r="A187" i="1"/>
  <c r="A188" i="1" s="1"/>
  <c r="A189" i="1" s="1"/>
  <c r="A182" i="1"/>
  <c r="A183" i="1" s="1"/>
  <c r="A184" i="1" s="1"/>
  <c r="F178" i="1"/>
  <c r="H178" i="1" s="1"/>
  <c r="J178" i="1" s="1"/>
  <c r="A177" i="1"/>
  <c r="A178" i="1" s="1"/>
  <c r="A179" i="1" s="1"/>
  <c r="F176" i="1"/>
  <c r="H176" i="1" s="1"/>
  <c r="J176" i="1" s="1"/>
  <c r="F173" i="1"/>
  <c r="H173" i="1" s="1"/>
  <c r="J173" i="1" s="1"/>
  <c r="A172" i="1"/>
  <c r="A173" i="1" s="1"/>
  <c r="A174" i="1" s="1"/>
  <c r="F154" i="1"/>
  <c r="H154" i="1" s="1"/>
  <c r="F153" i="1"/>
  <c r="H153" i="1" s="1"/>
  <c r="F152" i="1"/>
  <c r="H152" i="1" s="1"/>
  <c r="E44" i="1"/>
  <c r="C138" i="1" l="1"/>
  <c r="C139" i="1"/>
  <c r="H157" i="1"/>
  <c r="E134" i="1"/>
  <c r="F171" i="1"/>
  <c r="H171" i="1" s="1"/>
  <c r="J171" i="1" s="1"/>
  <c r="C135" i="1"/>
  <c r="F198" i="1"/>
  <c r="H198" i="1" s="1"/>
  <c r="J198" i="1" s="1"/>
  <c r="G134" i="1"/>
  <c r="C104" i="1"/>
  <c r="C90" i="1"/>
  <c r="C140" i="1" l="1"/>
  <c r="C141" i="1" s="1"/>
  <c r="F148" i="1"/>
  <c r="H148" i="1" l="1"/>
  <c r="E32" i="1"/>
  <c r="E27" i="1"/>
  <c r="F166" i="1" l="1"/>
  <c r="H166"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E44" i="7" s="1"/>
  <c r="L42" i="7"/>
  <c r="K42" i="7" s="1"/>
  <c r="I42" i="7"/>
  <c r="H42" i="7" s="1"/>
  <c r="I166" i="1"/>
  <c r="J166" i="1"/>
  <c r="D42" i="7" l="1"/>
  <c r="D44" i="7" s="1"/>
  <c r="B213" i="1"/>
  <c r="F149" i="1" l="1"/>
  <c r="F150" i="1"/>
  <c r="H150" i="1" s="1"/>
  <c r="F151" i="1"/>
  <c r="H151" i="1" s="1"/>
  <c r="E133" i="1" l="1"/>
  <c r="E135" i="1" s="1"/>
  <c r="H149" i="1"/>
  <c r="G133" i="1" s="1"/>
  <c r="G135" i="1" s="1"/>
  <c r="G59" i="1"/>
  <c r="C59" i="1"/>
  <c r="G57" i="1"/>
  <c r="C57" i="1"/>
  <c r="S34" i="1" l="1"/>
  <c r="F11" i="5" l="1"/>
  <c r="G11" i="5" s="1"/>
  <c r="F10" i="5"/>
  <c r="G10" i="5" s="1"/>
  <c r="F9" i="5"/>
  <c r="G9" i="5" s="1"/>
  <c r="F8" i="5"/>
  <c r="G8" i="5" s="1"/>
  <c r="F7" i="5"/>
  <c r="G7" i="5" s="1"/>
  <c r="F6" i="5"/>
  <c r="G6" i="5" s="1"/>
  <c r="F5" i="5"/>
  <c r="G5" i="5" s="1"/>
  <c r="J120" i="1" s="1"/>
  <c r="D236" i="1"/>
  <c r="B214" i="1"/>
  <c r="F195" i="1"/>
  <c r="H195" i="1" s="1"/>
  <c r="J195" i="1" s="1"/>
  <c r="F194" i="1"/>
  <c r="H194" i="1" s="1"/>
  <c r="J194" i="1" s="1"/>
  <c r="F193" i="1"/>
  <c r="H193" i="1" s="1"/>
  <c r="J193" i="1" s="1"/>
  <c r="F192" i="1"/>
  <c r="A193" i="1"/>
  <c r="A194" i="1" s="1"/>
  <c r="A195" i="1" s="1"/>
  <c r="F168" i="1"/>
  <c r="H168" i="1" s="1"/>
  <c r="J168" i="1" s="1"/>
  <c r="F167" i="1"/>
  <c r="A167" i="1"/>
  <c r="A168" i="1" s="1"/>
  <c r="A169" i="1" s="1"/>
  <c r="A149" i="1"/>
  <c r="A150" i="1" s="1"/>
  <c r="A151" i="1" s="1"/>
  <c r="A152" i="1" s="1"/>
  <c r="A153" i="1" s="1"/>
  <c r="A154" i="1" s="1"/>
  <c r="F130" i="1"/>
  <c r="C76" i="1"/>
  <c r="B77" i="1" s="1"/>
  <c r="D63" i="1"/>
  <c r="G52" i="1"/>
  <c r="E45" i="1"/>
  <c r="E46" i="1" s="1"/>
  <c r="E29" i="1"/>
  <c r="C17" i="1"/>
  <c r="I16" i="1"/>
  <c r="Z14" i="1"/>
  <c r="E8" i="1"/>
  <c r="E3" i="1"/>
  <c r="D70" i="1" s="1"/>
  <c r="H77" i="1"/>
  <c r="G12" i="5" l="1"/>
  <c r="H167" i="1"/>
  <c r="E138" i="1"/>
  <c r="H192" i="1"/>
  <c r="G139" i="1" s="1"/>
  <c r="E139" i="1"/>
  <c r="J76" i="1"/>
  <c r="J78" i="1" s="1"/>
  <c r="J79" i="1"/>
  <c r="J80" i="1"/>
  <c r="J81" i="1"/>
  <c r="C80" i="1" s="1"/>
  <c r="D84" i="1"/>
  <c r="D86" i="1"/>
  <c r="D85" i="1"/>
  <c r="D89" i="1"/>
  <c r="D83" i="1"/>
  <c r="D88" i="1"/>
  <c r="D82" i="1"/>
  <c r="D87" i="1"/>
  <c r="J82" i="1"/>
  <c r="J192" i="1" l="1"/>
  <c r="I192" i="1"/>
  <c r="G138" i="1"/>
  <c r="J167" i="1"/>
  <c r="I167" i="1"/>
  <c r="G140" i="1"/>
  <c r="G141" i="1" s="1"/>
  <c r="E140" i="1"/>
  <c r="E141" i="1" s="1"/>
  <c r="D80" i="1"/>
  <c r="J86" i="1"/>
  <c r="J84" i="1"/>
  <c r="J85" i="1"/>
  <c r="J83" i="1"/>
  <c r="J88" i="1" s="1"/>
  <c r="J89" i="1" s="1"/>
  <c r="C81" i="1" s="1"/>
  <c r="J87" i="1"/>
  <c r="B91" i="1" l="1"/>
  <c r="J77" i="1"/>
  <c r="E80" i="1"/>
  <c r="D81" i="1"/>
  <c r="G80" i="1"/>
  <c r="D74" i="1" s="1"/>
  <c r="H91" i="1"/>
  <c r="I77" i="1" l="1"/>
  <c r="I78" i="1" s="1"/>
  <c r="I76" i="1" s="1"/>
  <c r="C78" i="1" s="1"/>
  <c r="J93" i="1"/>
  <c r="D103" i="1"/>
  <c r="D97" i="1"/>
  <c r="J95" i="1"/>
  <c r="C94" i="1" s="1"/>
  <c r="D101" i="1"/>
  <c r="J90" i="1"/>
  <c r="J92" i="1" s="1"/>
  <c r="D98" i="1"/>
  <c r="D102" i="1"/>
  <c r="D96" i="1"/>
  <c r="D100" i="1"/>
  <c r="J94" i="1"/>
  <c r="D99" i="1"/>
  <c r="J96" i="1"/>
  <c r="J97" i="1" s="1"/>
  <c r="J102" i="1" s="1"/>
  <c r="J103" i="1" s="1"/>
  <c r="C95" i="1" s="1"/>
  <c r="J101" i="1"/>
  <c r="J100" i="1"/>
  <c r="J99" i="1"/>
  <c r="J98" i="1"/>
  <c r="F75" i="1"/>
  <c r="D75" i="1"/>
  <c r="B105" i="1" l="1"/>
  <c r="E94" i="1"/>
  <c r="D95" i="1"/>
  <c r="G94" i="1"/>
  <c r="D94" i="1"/>
  <c r="H105" i="1"/>
  <c r="J107" i="1" l="1"/>
  <c r="D116" i="1"/>
  <c r="J109" i="1"/>
  <c r="C108" i="1" s="1"/>
  <c r="D108" i="1" s="1"/>
  <c r="D115" i="1"/>
  <c r="D114" i="1"/>
  <c r="J108" i="1"/>
  <c r="J104" i="1"/>
  <c r="J106" i="1" s="1"/>
  <c r="D112" i="1"/>
  <c r="D117" i="1"/>
  <c r="D111" i="1"/>
  <c r="D110" i="1"/>
  <c r="D113" i="1"/>
  <c r="I91" i="1"/>
  <c r="I92" i="1" s="1"/>
  <c r="J114" i="1"/>
  <c r="J112" i="1"/>
  <c r="J110" i="1"/>
  <c r="J111" i="1" s="1"/>
  <c r="J116" i="1" s="1"/>
  <c r="J117" i="1" s="1"/>
  <c r="C109" i="1" s="1"/>
  <c r="J115" i="1"/>
  <c r="J113" i="1"/>
  <c r="J91" i="1"/>
  <c r="I90" i="1" l="1"/>
  <c r="C92" i="1" s="1"/>
  <c r="E108" i="1"/>
  <c r="D109" i="1"/>
  <c r="I105" i="1" s="1"/>
  <c r="I106" i="1" s="1"/>
  <c r="J105" i="1"/>
  <c r="G108" i="1"/>
  <c r="I104" i="1" l="1"/>
  <c r="C106" i="1" s="1"/>
</calcChain>
</file>

<file path=xl/comments1.xml><?xml version="1.0" encoding="utf-8"?>
<comments xmlns="http://schemas.openxmlformats.org/spreadsheetml/2006/main">
  <authors>
    <author>Sachin</author>
    <author>SACHIN</author>
  </authors>
  <commentList>
    <comment ref="E13" authorId="0" shapeId="0">
      <text>
        <r>
          <rPr>
            <b/>
            <sz val="9"/>
            <color indexed="81"/>
            <rFont val="Tahoma"/>
            <family val="2"/>
          </rPr>
          <t>Sachin:</t>
        </r>
        <r>
          <rPr>
            <sz val="9"/>
            <color indexed="81"/>
            <rFont val="Tahoma"/>
            <family val="2"/>
          </rPr>
          <t xml:space="preserve">
Building No. 
Tower No.
Wing 
Bunglow No., etc</t>
        </r>
      </text>
    </comment>
    <comment ref="E14"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C60" authorId="1" shapeId="0">
      <text>
        <r>
          <rPr>
            <b/>
            <sz val="9"/>
            <color indexed="81"/>
            <rFont val="Tahoma"/>
            <family val="2"/>
          </rPr>
          <t>SACHIN:</t>
        </r>
        <r>
          <rPr>
            <sz val="9"/>
            <color indexed="81"/>
            <rFont val="Tahoma"/>
            <family val="2"/>
          </rPr>
          <t xml:space="preserve">
Height from AMSL</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<sst xmlns="http://schemas.openxmlformats.org/spreadsheetml/2006/main" count="736" uniqueCount="416">
  <si>
    <t xml:space="preserve">Valuation Report </t>
  </si>
  <si>
    <t>Date:</t>
  </si>
  <si>
    <t>CPC Name:</t>
  </si>
  <si>
    <t>Date Of Property Visit</t>
  </si>
  <si>
    <t>Name of the builder group</t>
  </si>
  <si>
    <t>Name of the builder company</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</si>
  <si>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</si>
  <si>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</si>
  <si>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</si>
  <si>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</si>
  <si>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</si>
  <si>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</si>
  <si>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</si>
  <si>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</si>
  <si>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</si>
  <si>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</si>
  <si>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</si>
  <si>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</si>
  <si>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</si>
  <si>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</si>
  <si>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</si>
  <si>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</si>
  <si>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</si>
  <si>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</si>
  <si>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</si>
  <si>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</si>
  <si>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</si>
  <si>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</si>
  <si>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</si>
  <si>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</si>
  <si>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</si>
  <si>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</si>
  <si>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</si>
  <si>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</si>
  <si>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</si>
  <si>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</si>
  <si>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</si>
  <si>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</si>
  <si>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</si>
  <si>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</si>
  <si>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</si>
  <si>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</si>
  <si>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</si>
  <si>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</si>
  <si>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</si>
  <si>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</si>
  <si>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</si>
  <si>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</si>
  <si>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</si>
  <si>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</si>
  <si>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</si>
  <si>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</si>
  <si>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</si>
  <si>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</si>
  <si>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</si>
  <si>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</si>
  <si>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</si>
  <si>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</si>
  <si>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</si>
  <si>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</si>
  <si>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</si>
  <si>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</si>
  <si>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</si>
  <si>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</si>
  <si>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</si>
  <si>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</si>
  <si>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</si>
  <si>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</si>
  <si>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</si>
  <si>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</si>
  <si>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</si>
  <si>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</si>
  <si>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</si>
  <si>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</si>
  <si>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</si>
  <si>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</si>
  <si>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</si>
  <si>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</si>
  <si>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</si>
  <si>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</si>
  <si>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</si>
  <si>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</si>
  <si>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</si>
  <si>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</si>
  <si>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</si>
  <si>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</si>
  <si>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</si>
  <si>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</si>
  <si>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</si>
  <si>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</si>
  <si>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</si>
  <si>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</si>
  <si>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</si>
  <si>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</si>
  <si>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</si>
  <si>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</si>
  <si>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</si>
  <si>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</si>
  <si>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</si>
  <si>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</si>
  <si>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</si>
  <si>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</si>
  <si>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</si>
  <si>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</si>
  <si>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</si>
  <si>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</si>
  <si>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</si>
  <si>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</si>
  <si>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</si>
  <si>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</si>
  <si>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</si>
  <si>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</si>
  <si>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</si>
  <si>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</si>
  <si>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</si>
  <si>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</si>
  <si>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</si>
  <si>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</si>
  <si>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</si>
  <si>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</si>
  <si>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</si>
  <si>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</si>
  <si>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</si>
  <si>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</si>
  <si>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</si>
  <si>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</si>
  <si>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</si>
  <si>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</si>
  <si>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</si>
  <si>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</si>
  <si>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</si>
  <si>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</si>
  <si>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</si>
  <si>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</si>
  <si>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</si>
  <si>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</si>
  <si>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</si>
  <si>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</si>
  <si>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</si>
  <si>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</si>
  <si>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</si>
  <si>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</si>
  <si>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</si>
  <si>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</si>
  <si>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</si>
  <si>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</si>
  <si>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</si>
  <si>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</si>
  <si>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</si>
  <si>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</si>
  <si>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</si>
  <si>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</si>
  <si>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</si>
  <si>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</si>
  <si>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</si>
  <si>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</si>
  <si>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</si>
  <si>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</si>
  <si>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</si>
  <si>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</si>
  <si>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</si>
  <si>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</si>
  <si>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</si>
  <si>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</si>
  <si>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</si>
  <si>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</si>
  <si>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</si>
  <si>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</si>
  <si>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</si>
  <si>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</si>
  <si>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</si>
  <si>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</si>
  <si>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</si>
  <si>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</si>
  <si>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</si>
  <si>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</si>
  <si>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</si>
  <si>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</si>
  <si>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</si>
  <si>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</si>
  <si>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</si>
  <si>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</si>
  <si>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</si>
  <si>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</si>
  <si>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</si>
  <si>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</si>
  <si>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</si>
  <si>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</si>
  <si>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</si>
  <si>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</si>
  <si>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</si>
  <si>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</si>
  <si>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</si>
  <si>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</si>
  <si>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</si>
  <si>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</si>
  <si>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</si>
  <si>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</si>
  <si>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</si>
  <si>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</si>
  <si>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</si>
  <si>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</si>
  <si>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</si>
  <si>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</si>
  <si>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</si>
  <si>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</si>
  <si>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</si>
  <si>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</si>
  <si>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</si>
  <si>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</si>
  <si>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</si>
  <si>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</si>
  <si>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</si>
  <si>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</si>
  <si>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</si>
  <si>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</si>
  <si>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</si>
  <si>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</si>
  <si>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</si>
  <si>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</si>
  <si>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</si>
  <si>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</si>
  <si>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</si>
  <si>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</si>
  <si>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</si>
  <si>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</si>
  <si>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</si>
  <si>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</si>
  <si>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</si>
  <si>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</si>
  <si>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</si>
  <si>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</si>
  <si>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</si>
  <si>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</si>
  <si>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</si>
  <si>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</si>
  <si>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</si>
  <si>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</si>
  <si>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</si>
  <si>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</si>
  <si>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</si>
  <si>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</si>
  <si>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</si>
  <si>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</si>
  <si>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</si>
  <si>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</si>
  <si>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</si>
  <si>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</si>
  <si>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</si>
  <si>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</si>
  <si>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</si>
  <si>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</si>
  <si>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</si>
  <si>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</si>
  <si>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</si>
  <si>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</si>
  <si>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</si>
  <si>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</si>
  <si>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</si>
  <si>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</si>
  <si>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</si>
  <si>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</si>
  <si>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</si>
  <si>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</si>
  <si>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</si>
  <si>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</si>
  <si>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</si>
  <si>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</si>
  <si>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</si>
  <si>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</si>
  <si>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</si>
  <si>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</si>
  <si>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</si>
  <si>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</si>
  <si>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</si>
  <si>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</si>
  <si>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</si>
  <si>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</si>
  <si>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</si>
  <si>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</si>
  <si>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</si>
  <si>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</si>
  <si>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</si>
  <si>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</si>
  <si>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</si>
  <si>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</si>
  <si>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</si>
  <si>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</si>
  <si>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</si>
  <si>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</si>
  <si>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</si>
  <si>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</si>
  <si>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</si>
  <si>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</si>
  <si>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</si>
  <si>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</si>
  <si>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</si>
  <si>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</si>
  <si>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</si>
  <si>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</si>
  <si>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</si>
  <si>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</si>
  <si>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</si>
  <si>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</si>
  <si>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</si>
  <si>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</si>
  <si>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</si>
  <si>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</si>
  <si>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</si>
  <si>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</si>
  <si>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</si>
  <si>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</si>
  <si>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</si>
  <si>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</si>
  <si>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</si>
  <si>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</si>
  <si>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</si>
  <si>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</si>
  <si>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</si>
  <si>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</si>
  <si>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</si>
  <si>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</si>
  <si>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</si>
  <si>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</si>
  <si>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</si>
  <si>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</si>
  <si>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</si>
  <si>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</si>
  <si>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</si>
  <si>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</si>
  <si>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</si>
  <si>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</si>
  <si>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</si>
  <si>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</si>
  <si>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</si>
  <si>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</si>
  <si>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</si>
  <si>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</si>
  <si>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</si>
  <si>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</si>
  <si>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</si>
  <si>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</si>
  <si>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</si>
  <si>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</si>
  <si>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</si>
  <si>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</si>
  <si>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</si>
  <si>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</si>
  <si>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</si>
  <si>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</si>
  <si>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</si>
  <si>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</si>
  <si>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Saptarshi CHS</t>
  </si>
  <si>
    <t>Name of the Project as per Rera</t>
  </si>
  <si>
    <t>Name of the Project as per Builder</t>
  </si>
  <si>
    <t>Adityaraj Viva</t>
  </si>
  <si>
    <t>Adityaraj Developers</t>
  </si>
  <si>
    <t>Wing A &amp; B</t>
  </si>
  <si>
    <t>Existing Bldg. No. 28 &amp; 29 known as “Saptarshi Co. Op. Hsg. Soc. Ltd."</t>
  </si>
  <si>
    <t>P51700045509</t>
  </si>
  <si>
    <t>19.039193,72.868618</t>
  </si>
  <si>
    <t>https://maps.app.goo.gl/6GBwzuER8N6zFsJb9</t>
  </si>
  <si>
    <t>9.00 M. Wide Road</t>
  </si>
  <si>
    <t>Garden/Road</t>
  </si>
  <si>
    <t>Hemant Manjrekar Road</t>
  </si>
  <si>
    <t>Internal Road</t>
  </si>
  <si>
    <t>Road/Building</t>
  </si>
  <si>
    <t>02 Wings</t>
  </si>
  <si>
    <t>Dadasaheb Gaekwad Nagar</t>
  </si>
  <si>
    <t>Sion East</t>
  </si>
  <si>
    <t>Sardar Nagar Municipal School</t>
  </si>
  <si>
    <t>Sion</t>
  </si>
  <si>
    <t>Mhada -38/1070/2024</t>
  </si>
  <si>
    <t>MH/EE/(BP)/GM/MHADA-38/1070/
2024/FCC/2/Amend</t>
  </si>
  <si>
    <t>FB/HR/RII/23</t>
  </si>
  <si>
    <t>Wing A &amp; B = Gr + 1st to 19th Floor (Height 67.71 Mtrs)</t>
  </si>
  <si>
    <t>A &amp; B Wing = Gr + 1st to 21st Floor</t>
  </si>
  <si>
    <t>As per RERA - 31/03/2026</t>
  </si>
  <si>
    <r>
      <t xml:space="preserve">Proposed Amenities :                                                                                                                                                                                                                         </t>
    </r>
    <r>
      <rPr>
        <b/>
        <sz val="12"/>
        <rFont val="Times New Roman"/>
        <family val="1"/>
      </rPr>
      <t xml:space="preserve">                                               </t>
    </r>
  </si>
  <si>
    <t>Wing B</t>
  </si>
  <si>
    <t xml:space="preserve">Ground Floor For Commercial, Society Office, Meter Room &amp; Entrance Lobby </t>
  </si>
  <si>
    <t>Shop</t>
  </si>
  <si>
    <t>1st Floor For Residential</t>
  </si>
  <si>
    <t>Wing A</t>
  </si>
  <si>
    <t>Parking  Tower</t>
  </si>
  <si>
    <t>1BHK</t>
  </si>
  <si>
    <t>2nd to 6th, 8th to 13th, 15th to 20th Floor</t>
  </si>
  <si>
    <t>7th Floor (Part Refuge Area)</t>
  </si>
  <si>
    <t>Refuge Area</t>
  </si>
  <si>
    <t>14th Floor (Part Refuge Area)</t>
  </si>
  <si>
    <t>21st Floor (Part Fitness Centre)</t>
  </si>
  <si>
    <t>Fitness Centre</t>
  </si>
  <si>
    <t>1st Floor For Commercial</t>
  </si>
  <si>
    <t>Office</t>
  </si>
  <si>
    <t>2BHK</t>
  </si>
  <si>
    <t>We considered Gross carpet area = Net carpet.</t>
  </si>
  <si>
    <t>Shops</t>
  </si>
  <si>
    <t>Offices</t>
  </si>
  <si>
    <t>Flats</t>
  </si>
  <si>
    <r>
      <t xml:space="preserve">Shop No.
</t>
    </r>
    <r>
      <rPr>
        <b/>
        <sz val="11"/>
        <rFont val="Times New Roman"/>
        <family val="1"/>
      </rPr>
      <t>(Approved Plan)</t>
    </r>
  </si>
  <si>
    <t>Flats - 136, Shops - 07, Offices - 04</t>
  </si>
  <si>
    <t>12(pt), Redevelopement of "Existing Bldg. No. 28 &amp; 29 known as “Saptarshi Co. Op. Hsg. Soc. Ltd.""</t>
  </si>
  <si>
    <t>Pergola, Childrens play area, Reflexology pathway, Landscaped garden, Senior citizen sit-out, Fitness Centre, Yoga &amp; Meditation Area, Part Lawn, etc.</t>
  </si>
  <si>
    <t>Approved Plans, CC, Sale Plans, Fire Noc.</t>
  </si>
  <si>
    <t>sale plan</t>
  </si>
  <si>
    <t>Builder Site</t>
  </si>
  <si>
    <t>https://adityaraj-viva.in/</t>
  </si>
  <si>
    <t>Housing</t>
  </si>
  <si>
    <t>2nd to 6th, 8th to 13th, 15th to 20th Floor For Residential</t>
  </si>
  <si>
    <t>16000 to 17000</t>
  </si>
  <si>
    <t>500M from GTB Nagar Railway Station</t>
  </si>
  <si>
    <t>Construction work is in process at the time of Visit.(Internal visit not allowed)</t>
  </si>
  <si>
    <t>This CC is now Further Extended upto top of 21st floor of Wing A consist of Stilt + 1st to 21st upper floors and Wing B consist of Ground (pt) + Stilt (pt) + 1st for commercial + 2nd to 21st upper floor + fitness centre on terrace floor along with parking tower (including LMR + OHT) as per approved amended plan dtd. 06.02.2024.</t>
  </si>
  <si>
    <t>Akash Kadam</t>
  </si>
  <si>
    <t xml:space="preserve">Validity of CC is expired on 10/05/2025. Please provide revised CC.
</t>
  </si>
  <si>
    <t>Shruti Tathare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</si>
</sst>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2" fillId="0" borderId="0"/>
    <xf numFmtId="9" fontId="23" fillId="0" borderId="0" applyFont="0" applyFill="0" applyBorder="0" applyAlignment="0" applyProtection="0"/>
    <xf numFmtId="43" fontId="23" fillId="0" borderId="0" applyFont="0" applyFill="0" applyBorder="0" applyAlignment="0" applyProtection="0"/>
    <xf numFmtId="0" fontId="28" fillId="0" borderId="0" applyNumberFormat="0" applyFill="0" applyBorder="0" applyAlignment="0" applyProtection="0"/>
  </cellStyleXfs>
  <cellXfs count="274">
    <xf numFmtId="0" fontId="0" fillId="0" borderId="0" xfId="0"/>
    <xf numFmtId="0" fontId="6" fillId="0" borderId="0" xfId="4"/>
    <xf numFmtId="0" fontId="2" fillId="0" borderId="0" xfId="5"/>
    <xf numFmtId="0" fontId="10" fillId="0" borderId="1" xfId="5" applyFont="1" applyBorder="1" applyAlignment="1">
      <alignment horizontal="center" vertical="top" wrapText="1"/>
    </xf>
    <xf numFmtId="0" fontId="21"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20" fillId="0" borderId="1" xfId="5" applyNumberFormat="1" applyFont="1" applyBorder="1" applyAlignment="1">
      <alignment horizontal="center" vertical="center"/>
    </xf>
    <xf numFmtId="0" fontId="6" fillId="0" borderId="1" xfId="4" applyBorder="1" applyAlignment="1">
      <alignment horizontal="center" vertical="center"/>
    </xf>
    <xf numFmtId="0" fontId="19" fillId="0" borderId="0" xfId="0" applyFont="1" applyProtection="1">
      <protection hidden="1"/>
    </xf>
    <xf numFmtId="0" fontId="16" fillId="0" borderId="1" xfId="1" applyFont="1" applyBorder="1" applyAlignment="1" applyProtection="1">
      <alignment horizontal="center" vertical="top"/>
      <protection locked="0"/>
    </xf>
    <xf numFmtId="0" fontId="19" fillId="0" borderId="11" xfId="0" applyFont="1" applyBorder="1" applyProtection="1">
      <protection hidden="1"/>
    </xf>
    <xf numFmtId="0" fontId="13" fillId="0" borderId="4" xfId="1" applyFont="1" applyBorder="1" applyAlignment="1" applyProtection="1">
      <alignment horizontal="center" vertical="top"/>
      <protection locked="0"/>
    </xf>
    <xf numFmtId="0" fontId="13" fillId="0" borderId="5" xfId="1" applyFont="1" applyBorder="1" applyAlignment="1" applyProtection="1">
      <alignment horizontal="center" vertical="top"/>
      <protection locked="0"/>
    </xf>
    <xf numFmtId="0" fontId="7" fillId="0" borderId="1" xfId="1" applyFont="1" applyBorder="1" applyAlignment="1" applyProtection="1">
      <alignment vertical="top" wrapText="1"/>
      <protection locked="0"/>
    </xf>
    <xf numFmtId="9" fontId="8" fillId="0" borderId="1" xfId="8" applyFont="1" applyFill="1" applyBorder="1" applyAlignment="1" applyProtection="1">
      <alignment horizontal="center" vertical="top" wrapText="1"/>
      <protection locked="0"/>
    </xf>
    <xf numFmtId="9" fontId="8" fillId="0" borderId="7" xfId="8" applyFont="1" applyFill="1" applyBorder="1" applyAlignment="1" applyProtection="1">
      <alignment horizontal="center" vertical="top" wrapText="1"/>
      <protection locked="0"/>
    </xf>
    <xf numFmtId="0" fontId="8" fillId="0" borderId="0" xfId="1" applyFont="1"/>
    <xf numFmtId="0" fontId="16" fillId="0" borderId="0" xfId="1" applyFont="1"/>
    <xf numFmtId="0" fontId="13" fillId="0" borderId="0" xfId="1" applyFont="1"/>
    <xf numFmtId="1" fontId="8" fillId="0" borderId="0" xfId="1" applyNumberFormat="1" applyFont="1"/>
    <xf numFmtId="14" fontId="8" fillId="0" borderId="0" xfId="1" applyNumberFormat="1" applyFont="1"/>
    <xf numFmtId="0" fontId="8" fillId="0" borderId="0" xfId="1" applyFont="1" applyProtection="1">
      <protection hidden="1"/>
    </xf>
    <xf numFmtId="0" fontId="25" fillId="0" borderId="0" xfId="1" applyFont="1"/>
    <xf numFmtId="0" fontId="8" fillId="0" borderId="10" xfId="1" applyFont="1" applyBorder="1"/>
    <xf numFmtId="0" fontId="19"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7" fillId="0" borderId="0" xfId="1" applyFont="1"/>
    <xf numFmtId="0" fontId="7" fillId="0" borderId="0" xfId="2" applyFont="1"/>
    <xf numFmtId="0" fontId="8" fillId="0" borderId="0" xfId="0" applyFont="1" applyAlignment="1">
      <alignment horizontal="center" vertical="center"/>
    </xf>
    <xf numFmtId="1" fontId="8" fillId="0" borderId="0" xfId="1" applyNumberFormat="1" applyFont="1" applyAlignment="1">
      <alignment horizontal="center" vertical="center"/>
    </xf>
    <xf numFmtId="0" fontId="8" fillId="0" borderId="0" xfId="1" applyFont="1" applyAlignment="1">
      <alignment horizontal="center" vertical="center"/>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1" fontId="7"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protection locked="0"/>
    </xf>
    <xf numFmtId="0" fontId="26" fillId="2" borderId="30" xfId="0" applyFont="1" applyFill="1" applyBorder="1"/>
    <xf numFmtId="0" fontId="27" fillId="0" borderId="31" xfId="0" applyFont="1" applyBorder="1"/>
    <xf numFmtId="0" fontId="27" fillId="0" borderId="1" xfId="0" applyFont="1" applyBorder="1"/>
    <xf numFmtId="0" fontId="27" fillId="0" borderId="5" xfId="0" applyFont="1" applyBorder="1"/>
    <xf numFmtId="0" fontId="13"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7"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6" fillId="0" borderId="1" xfId="1" applyFont="1" applyBorder="1" applyAlignment="1" applyProtection="1">
      <alignment horizontal="center" vertical="top" wrapText="1"/>
      <protection locked="0"/>
    </xf>
    <xf numFmtId="1" fontId="7"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9"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10"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3" fillId="0" borderId="1" xfId="1" applyFont="1" applyBorder="1"/>
    <xf numFmtId="0" fontId="8" fillId="0" borderId="1" xfId="1" applyFont="1" applyBorder="1"/>
    <xf numFmtId="0" fontId="8" fillId="0" borderId="7"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7" fillId="0" borderId="1" xfId="1" applyNumberFormat="1" applyFont="1" applyBorder="1" applyAlignment="1" applyProtection="1">
      <alignment horizontal="center" vertical="center" wrapText="1"/>
      <protection locked="0"/>
    </xf>
    <xf numFmtId="0" fontId="8" fillId="0" borderId="0" xfId="1" applyFont="1" applyAlignment="1">
      <alignment horizontal="center" vertical="center"/>
    </xf>
    <xf numFmtId="0" fontId="13" fillId="0" borderId="1" xfId="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0" fontId="13" fillId="0" borderId="7" xfId="1" applyFont="1" applyBorder="1" applyAlignment="1" applyProtection="1">
      <alignment horizontal="center" vertical="top" wrapText="1"/>
      <protection locked="0"/>
    </xf>
    <xf numFmtId="9" fontId="13" fillId="0" borderId="7" xfId="8" applyFont="1" applyFill="1" applyBorder="1" applyAlignment="1" applyProtection="1">
      <alignment horizontal="center" vertical="top" wrapText="1"/>
      <protection locked="0"/>
    </xf>
    <xf numFmtId="1" fontId="7" fillId="0" borderId="1" xfId="0" applyNumberFormat="1" applyFont="1" applyBorder="1" applyAlignment="1" applyProtection="1">
      <alignment vertical="center" wrapText="1"/>
      <protection locked="0"/>
    </xf>
    <xf numFmtId="9" fontId="14" fillId="0" borderId="16" xfId="8" applyFont="1" applyFill="1" applyBorder="1" applyAlignment="1" applyProtection="1">
      <alignment horizontal="center" vertical="top" wrapText="1"/>
      <protection locked="0"/>
    </xf>
    <xf numFmtId="1" fontId="13" fillId="0" borderId="1" xfId="1" applyNumberFormat="1" applyFont="1" applyBorder="1" applyAlignment="1" applyProtection="1">
      <alignment horizontal="center" vertical="center" wrapText="1"/>
      <protection locked="0"/>
    </xf>
    <xf numFmtId="0" fontId="1" fillId="0" borderId="1" xfId="5" applyFont="1" applyBorder="1" applyAlignment="1">
      <alignment horizontal="center" vertical="center"/>
    </xf>
    <xf numFmtId="0" fontId="8"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9" fontId="14" fillId="0" borderId="1" xfId="8" applyFont="1" applyFill="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14" fillId="0" borderId="1" xfId="1" applyNumberFormat="1" applyFont="1" applyBorder="1" applyAlignment="1" applyProtection="1">
      <alignment horizontal="center" vertical="top" wrapText="1"/>
      <protection locked="0"/>
    </xf>
    <xf numFmtId="0" fontId="26" fillId="2" borderId="15" xfId="0" applyFont="1" applyFill="1" applyBorder="1"/>
    <xf numFmtId="0" fontId="8"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center" wrapText="1"/>
      <protection locked="0"/>
    </xf>
    <xf numFmtId="0" fontId="8" fillId="0" borderId="25" xfId="1" applyFont="1" applyBorder="1" applyAlignment="1">
      <alignment horizontal="center"/>
    </xf>
    <xf numFmtId="0" fontId="8" fillId="0" borderId="0" xfId="1" applyFont="1" applyAlignment="1">
      <alignment horizontal="center"/>
    </xf>
    <xf numFmtId="0" fontId="9" fillId="0" borderId="8" xfId="1" applyFont="1" applyBorder="1" applyAlignment="1" applyProtection="1">
      <alignment horizontal="left" vertical="top" wrapText="1"/>
      <protection locked="0"/>
    </xf>
    <xf numFmtId="0" fontId="9" fillId="0" borderId="9" xfId="1" applyFont="1" applyBorder="1" applyAlignment="1" applyProtection="1">
      <alignment horizontal="left" vertical="top" wrapText="1"/>
      <protection locked="0"/>
    </xf>
    <xf numFmtId="0" fontId="9" fillId="0" borderId="2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4" fontId="9" fillId="0" borderId="8" xfId="1" applyNumberFormat="1" applyFont="1" applyBorder="1" applyAlignment="1" applyProtection="1">
      <alignment horizontal="left" vertical="top"/>
      <protection locked="0"/>
    </xf>
    <xf numFmtId="14" fontId="9" fillId="0" borderId="9" xfId="1" applyNumberFormat="1" applyFont="1" applyBorder="1" applyAlignment="1" applyProtection="1">
      <alignment horizontal="left" vertical="top"/>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13" fillId="0" borderId="1" xfId="1" applyFont="1" applyBorder="1" applyAlignment="1" applyProtection="1">
      <alignment horizontal="left"/>
      <protection locked="0"/>
    </xf>
    <xf numFmtId="164" fontId="7" fillId="0" borderId="1" xfId="1" applyNumberFormat="1" applyFont="1" applyBorder="1" applyAlignment="1" applyProtection="1">
      <alignment horizontal="left" vertical="top"/>
      <protection locked="0"/>
    </xf>
    <xf numFmtId="0" fontId="13" fillId="0" borderId="4"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6" fillId="0" borderId="19" xfId="1" applyFont="1" applyBorder="1" applyAlignment="1" applyProtection="1">
      <alignment horizontal="left" vertical="top"/>
      <protection locked="0"/>
    </xf>
    <xf numFmtId="0" fontId="16" fillId="0" borderId="2" xfId="1" applyFont="1" applyBorder="1" applyAlignment="1" applyProtection="1">
      <alignment horizontal="left" vertical="top"/>
      <protection locked="0"/>
    </xf>
    <xf numFmtId="0" fontId="16" fillId="0" borderId="20" xfId="1" applyFont="1" applyBorder="1" applyAlignment="1" applyProtection="1">
      <alignment horizontal="left" vertical="top"/>
      <protection locked="0"/>
    </xf>
    <xf numFmtId="0" fontId="7" fillId="0" borderId="21"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167" fontId="8" fillId="0" borderId="1" xfId="9" applyNumberFormat="1" applyFont="1" applyFill="1" applyBorder="1" applyAlignment="1" applyProtection="1">
      <alignment horizontal="left" vertical="top"/>
      <protection locked="0"/>
    </xf>
    <xf numFmtId="0" fontId="11"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center"/>
      <protection locked="0"/>
    </xf>
    <xf numFmtId="0" fontId="16" fillId="0" borderId="17" xfId="1" applyFont="1" applyBorder="1" applyAlignment="1" applyProtection="1">
      <alignment horizontal="left" vertical="top" wrapText="1"/>
      <protection locked="0"/>
    </xf>
    <xf numFmtId="0" fontId="16" fillId="0" borderId="18" xfId="1" applyFont="1" applyBorder="1" applyAlignment="1" applyProtection="1">
      <alignment horizontal="left" vertical="top" wrapText="1"/>
      <protection locked="0"/>
    </xf>
    <xf numFmtId="0" fontId="16" fillId="0" borderId="19" xfId="1" applyFont="1" applyBorder="1" applyAlignment="1" applyProtection="1">
      <alignment horizontal="left" vertical="top" wrapText="1"/>
      <protection locked="0"/>
    </xf>
    <xf numFmtId="0" fontId="16" fillId="0" borderId="20" xfId="1" applyFont="1" applyBorder="1" applyAlignment="1" applyProtection="1">
      <alignment horizontal="left" vertical="top" wrapText="1"/>
      <protection locked="0"/>
    </xf>
    <xf numFmtId="0" fontId="13" fillId="0" borderId="5"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14" fillId="0" borderId="3" xfId="1" applyNumberFormat="1" applyFont="1" applyBorder="1" applyAlignment="1" applyProtection="1">
      <alignment horizontal="center" vertical="top" wrapText="1"/>
      <protection locked="0"/>
    </xf>
    <xf numFmtId="1" fontId="14" fillId="0" borderId="16" xfId="1" applyNumberFormat="1" applyFont="1" applyBorder="1" applyAlignment="1" applyProtection="1">
      <alignment horizontal="center" vertical="top" wrapText="1"/>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0" fontId="8" fillId="0" borderId="4"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6" xfId="1" applyFont="1" applyBorder="1" applyAlignment="1" applyProtection="1">
      <alignment horizontal="center" vertical="top" wrapText="1"/>
      <protection locked="0"/>
    </xf>
    <xf numFmtId="0" fontId="8" fillId="0" borderId="7" xfId="1" applyFont="1" applyBorder="1" applyAlignment="1" applyProtection="1">
      <alignment horizontal="center" vertical="top" wrapText="1"/>
      <protection locked="0"/>
    </xf>
    <xf numFmtId="0" fontId="11" fillId="0" borderId="3" xfId="0" applyFont="1" applyBorder="1" applyAlignment="1" applyProtection="1">
      <alignment horizontal="center" vertical="center"/>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14" fillId="0" borderId="8" xfId="0" applyNumberFormat="1" applyFont="1" applyBorder="1" applyAlignment="1" applyProtection="1">
      <alignment vertical="top" wrapText="1"/>
      <protection locked="0"/>
    </xf>
    <xf numFmtId="1" fontId="14" fillId="0" borderId="21" xfId="0" applyNumberFormat="1" applyFont="1" applyBorder="1" applyAlignment="1" applyProtection="1">
      <alignment vertical="top" wrapText="1"/>
      <protection locked="0"/>
    </xf>
    <xf numFmtId="1" fontId="14" fillId="0" borderId="9" xfId="0" applyNumberFormat="1" applyFont="1" applyBorder="1" applyAlignment="1" applyProtection="1">
      <alignment vertical="top" wrapText="1"/>
      <protection locked="0"/>
    </xf>
    <xf numFmtId="0" fontId="9" fillId="0" borderId="16" xfId="1" applyFont="1" applyBorder="1" applyAlignment="1" applyProtection="1">
      <alignment horizontal="center" vertical="top"/>
      <protection locked="0"/>
    </xf>
    <xf numFmtId="1" fontId="9" fillId="0" borderId="1" xfId="0" applyNumberFormat="1" applyFont="1" applyBorder="1" applyAlignment="1" applyProtection="1">
      <alignment horizontal="left" vertical="top" wrapText="1"/>
      <protection locked="0"/>
    </xf>
    <xf numFmtId="0" fontId="9" fillId="0" borderId="1" xfId="1" applyFont="1" applyBorder="1" applyAlignment="1" applyProtection="1">
      <alignment horizontal="center" vertical="top"/>
      <protection locked="0"/>
    </xf>
    <xf numFmtId="0" fontId="14" fillId="0" borderId="4"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1" fontId="11" fillId="0" borderId="1" xfId="0" applyNumberFormat="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7" fillId="0" borderId="16" xfId="0" applyNumberFormat="1" applyFont="1" applyBorder="1" applyAlignment="1" applyProtection="1">
      <alignment horizontal="center" vertical="center" wrapText="1"/>
      <protection locked="0"/>
    </xf>
    <xf numFmtId="9" fontId="8" fillId="0" borderId="17" xfId="8" applyFont="1" applyFill="1" applyBorder="1" applyAlignment="1" applyProtection="1">
      <alignment horizontal="center" vertical="center" wrapText="1"/>
      <protection locked="0"/>
    </xf>
    <xf numFmtId="9" fontId="8" fillId="0" borderId="18" xfId="8" applyFont="1" applyFill="1" applyBorder="1" applyAlignment="1" applyProtection="1">
      <alignment horizontal="center" vertical="center" wrapText="1"/>
      <protection locked="0"/>
    </xf>
    <xf numFmtId="9" fontId="8" fillId="0" borderId="25" xfId="8" applyFont="1" applyFill="1" applyBorder="1" applyAlignment="1" applyProtection="1">
      <alignment horizontal="center" vertical="center" wrapText="1"/>
      <protection locked="0"/>
    </xf>
    <xf numFmtId="9" fontId="8" fillId="0" borderId="26" xfId="8" applyFont="1" applyFill="1" applyBorder="1" applyAlignment="1" applyProtection="1">
      <alignment horizontal="center" vertical="center" wrapText="1"/>
      <protection locked="0"/>
    </xf>
    <xf numFmtId="9" fontId="8" fillId="0" borderId="28" xfId="8" applyFont="1" applyFill="1" applyBorder="1" applyAlignment="1" applyProtection="1">
      <alignment horizontal="center" vertical="center" wrapText="1"/>
      <protection locked="0"/>
    </xf>
    <xf numFmtId="9" fontId="8" fillId="0" borderId="29" xfId="8" applyFont="1" applyFill="1" applyBorder="1" applyAlignment="1" applyProtection="1">
      <alignment horizontal="center" vertical="center" wrapText="1"/>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0" fontId="8" fillId="0" borderId="5" xfId="1" applyFont="1" applyBorder="1" applyAlignment="1" applyProtection="1">
      <alignment horizontal="center" vertical="top" wrapText="1"/>
      <protection locked="0"/>
    </xf>
    <xf numFmtId="9" fontId="8" fillId="0" borderId="27" xfId="8" applyFont="1" applyFill="1" applyBorder="1" applyAlignment="1" applyProtection="1">
      <alignment horizontal="center" vertical="center" wrapText="1"/>
      <protection locked="0"/>
    </xf>
    <xf numFmtId="9" fontId="8" fillId="0" borderId="10" xfId="8" applyFont="1" applyFill="1" applyBorder="1" applyAlignment="1" applyProtection="1">
      <alignment horizontal="center" vertical="center" wrapText="1"/>
      <protection locked="0"/>
    </xf>
    <xf numFmtId="9" fontId="8" fillId="0" borderId="12" xfId="8" applyFont="1" applyFill="1" applyBorder="1" applyAlignment="1" applyProtection="1">
      <alignment horizontal="center" vertical="center" wrapText="1"/>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0" fontId="9" fillId="0" borderId="1" xfId="1" applyFont="1" applyBorder="1" applyAlignment="1" applyProtection="1">
      <alignment horizontal="left" vertical="top"/>
      <protection locked="0"/>
    </xf>
    <xf numFmtId="167" fontId="13" fillId="0" borderId="1" xfId="9" applyNumberFormat="1" applyFont="1" applyFill="1" applyBorder="1" applyAlignment="1" applyProtection="1">
      <alignment horizontal="left" vertical="top"/>
      <protection locked="0"/>
    </xf>
    <xf numFmtId="0" fontId="9" fillId="0" borderId="1" xfId="1" applyFont="1" applyBorder="1" applyAlignment="1" applyProtection="1">
      <alignment vertical="top"/>
      <protection locked="0"/>
    </xf>
    <xf numFmtId="0" fontId="9" fillId="0" borderId="16" xfId="1" applyFont="1" applyBorder="1" applyAlignment="1" applyProtection="1">
      <alignment horizontal="left" vertical="top"/>
      <protection locked="0"/>
    </xf>
    <xf numFmtId="0" fontId="13" fillId="0" borderId="6" xfId="1" applyFont="1" applyBorder="1" applyAlignment="1" applyProtection="1">
      <alignment horizontal="center" vertical="top" wrapText="1"/>
      <protection locked="0"/>
    </xf>
    <xf numFmtId="0" fontId="13" fillId="0" borderId="7" xfId="1" applyFont="1" applyBorder="1" applyAlignment="1" applyProtection="1">
      <alignment horizontal="center" vertical="top" wrapText="1"/>
      <protection locked="0"/>
    </xf>
    <xf numFmtId="0" fontId="14" fillId="0" borderId="1" xfId="1" applyFont="1" applyBorder="1" applyAlignment="1" applyProtection="1">
      <alignment horizontal="center" vertical="top"/>
      <protection locked="0"/>
    </xf>
    <xf numFmtId="1" fontId="9" fillId="0" borderId="33" xfId="0" applyNumberFormat="1" applyFont="1" applyBorder="1" applyAlignment="1" applyProtection="1">
      <alignment horizontal="center" vertical="center" wrapText="1"/>
      <protection locked="0"/>
    </xf>
    <xf numFmtId="1" fontId="9" fillId="0" borderId="34" xfId="0" applyNumberFormat="1" applyFont="1" applyBorder="1" applyAlignment="1" applyProtection="1">
      <alignment horizontal="center" vertical="center" wrapText="1"/>
      <protection locked="0"/>
    </xf>
    <xf numFmtId="1" fontId="11" fillId="0" borderId="34"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2" fillId="0" borderId="1" xfId="1" applyFont="1" applyBorder="1" applyAlignment="1" applyProtection="1">
      <alignment horizontal="center" vertical="top" wrapText="1"/>
      <protection locked="0"/>
    </xf>
    <xf numFmtId="14" fontId="13"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protection locked="0"/>
    </xf>
    <xf numFmtId="0" fontId="13" fillId="0" borderId="1" xfId="1" applyFont="1" applyBorder="1" applyAlignment="1" applyProtection="1">
      <alignment horizontal="center" vertical="top"/>
      <protection locked="0"/>
    </xf>
    <xf numFmtId="0" fontId="14" fillId="0" borderId="1" xfId="1" applyFont="1" applyBorder="1" applyAlignment="1" applyProtection="1">
      <alignment horizontal="center"/>
      <protection locked="0"/>
    </xf>
    <xf numFmtId="0" fontId="9"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5" xfId="1" applyFont="1" applyBorder="1" applyAlignment="1" applyProtection="1">
      <alignment horizontal="left" vertical="top" wrapText="1"/>
      <protection locked="0"/>
    </xf>
    <xf numFmtId="0" fontId="13" fillId="0" borderId="24"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0" xfId="1" applyFont="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6" fillId="0" borderId="25" xfId="1" applyFont="1" applyBorder="1" applyAlignment="1" applyProtection="1">
      <alignment horizontal="left" vertical="top"/>
      <protection locked="0"/>
    </xf>
    <xf numFmtId="0" fontId="16" fillId="0" borderId="0" xfId="1" applyFont="1" applyAlignment="1" applyProtection="1">
      <alignment horizontal="left" vertical="top"/>
      <protection locked="0"/>
    </xf>
    <xf numFmtId="0" fontId="16" fillId="0" borderId="26" xfId="1" applyFont="1" applyBorder="1" applyAlignment="1" applyProtection="1">
      <alignment horizontal="left" vertical="top"/>
      <protection locked="0"/>
    </xf>
    <xf numFmtId="2" fontId="7" fillId="0" borderId="1" xfId="1" applyNumberFormat="1" applyFont="1" applyBorder="1" applyAlignment="1" applyProtection="1">
      <alignment horizontal="left" vertical="top"/>
      <protection locked="0"/>
    </xf>
    <xf numFmtId="0" fontId="13" fillId="0" borderId="3"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4" fillId="0" borderId="8" xfId="1" applyFont="1" applyBorder="1" applyAlignment="1" applyProtection="1">
      <alignment horizontal="left" vertical="top"/>
      <protection locked="0"/>
    </xf>
    <xf numFmtId="0" fontId="14" fillId="0" borderId="21" xfId="1" applyFont="1" applyBorder="1" applyAlignment="1" applyProtection="1">
      <alignment horizontal="left" vertical="top"/>
      <protection locked="0"/>
    </xf>
    <xf numFmtId="0" fontId="14" fillId="0" borderId="9" xfId="1" applyFont="1" applyBorder="1" applyAlignment="1" applyProtection="1">
      <alignment horizontal="left"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2" fontId="7" fillId="0" borderId="1" xfId="1" applyNumberFormat="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1" fontId="32" fillId="0" borderId="1" xfId="1" applyNumberFormat="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wrapText="1"/>
      <protection locked="0"/>
    </xf>
    <xf numFmtId="1" fontId="11" fillId="0" borderId="3" xfId="0" applyNumberFormat="1" applyFont="1" applyBorder="1" applyAlignment="1" applyProtection="1">
      <alignment horizontal="center" vertical="top" wrapText="1"/>
      <protection locked="0"/>
    </xf>
    <xf numFmtId="0" fontId="11" fillId="0" borderId="3" xfId="0" applyFont="1" applyBorder="1" applyAlignment="1" applyProtection="1">
      <alignment horizontal="center" vertical="top" wrapText="1"/>
      <protection locked="0"/>
    </xf>
    <xf numFmtId="0" fontId="28" fillId="0" borderId="1" xfId="10" applyFill="1" applyBorder="1" applyAlignment="1" applyProtection="1">
      <alignment horizontal="left" vertical="top" wrapText="1"/>
      <protection locked="0"/>
    </xf>
    <xf numFmtId="1" fontId="14" fillId="0" borderId="1" xfId="1" applyNumberFormat="1" applyFont="1" applyBorder="1" applyAlignment="1" applyProtection="1">
      <alignment horizontal="center" vertical="top" wrapText="1"/>
      <protection locked="0"/>
    </xf>
    <xf numFmtId="1" fontId="5" fillId="0" borderId="3" xfId="1" applyNumberFormat="1" applyFont="1" applyBorder="1" applyAlignment="1" applyProtection="1">
      <alignment horizontal="center" vertical="top" wrapText="1"/>
      <protection locked="0"/>
    </xf>
    <xf numFmtId="1" fontId="5" fillId="0" borderId="16" xfId="1" applyNumberFormat="1" applyFont="1" applyBorder="1" applyAlignment="1" applyProtection="1">
      <alignment horizontal="center" vertical="top" wrapText="1"/>
      <protection locked="0"/>
    </xf>
    <xf numFmtId="1" fontId="9" fillId="0" borderId="34" xfId="0" applyNumberFormat="1" applyFont="1" applyBorder="1" applyAlignment="1" applyProtection="1">
      <alignment horizontal="center" vertical="top" wrapText="1"/>
      <protection locked="0"/>
    </xf>
    <xf numFmtId="1" fontId="9" fillId="0" borderId="35" xfId="0" applyNumberFormat="1" applyFont="1" applyBorder="1" applyAlignment="1" applyProtection="1">
      <alignment horizontal="center" vertical="top" wrapText="1"/>
      <protection locked="0"/>
    </xf>
    <xf numFmtId="0" fontId="7" fillId="0" borderId="8" xfId="1" applyFont="1" applyBorder="1" applyAlignment="1" applyProtection="1">
      <alignment vertical="top" wrapText="1"/>
      <protection locked="0"/>
    </xf>
    <xf numFmtId="0" fontId="7" fillId="0" borderId="21" xfId="1" applyFont="1" applyBorder="1" applyAlignment="1" applyProtection="1">
      <alignment vertical="top" wrapText="1"/>
      <protection locked="0"/>
    </xf>
    <xf numFmtId="0" fontId="7" fillId="0" borderId="9" xfId="1" applyFont="1" applyBorder="1" applyAlignment="1" applyProtection="1">
      <alignment vertical="top" wrapText="1"/>
      <protection locked="0"/>
    </xf>
    <xf numFmtId="9" fontId="13" fillId="0" borderId="17" xfId="8" applyFont="1" applyFill="1" applyBorder="1" applyAlignment="1" applyProtection="1">
      <alignment horizontal="center" vertical="center" wrapText="1"/>
      <protection locked="0"/>
    </xf>
    <xf numFmtId="9" fontId="13" fillId="0" borderId="18" xfId="8" applyFont="1" applyFill="1" applyBorder="1" applyAlignment="1" applyProtection="1">
      <alignment horizontal="center" vertical="center" wrapText="1"/>
      <protection locked="0"/>
    </xf>
    <xf numFmtId="9" fontId="13" fillId="0" borderId="25" xfId="8" applyFont="1" applyFill="1" applyBorder="1" applyAlignment="1" applyProtection="1">
      <alignment horizontal="center" vertical="center" wrapText="1"/>
      <protection locked="0"/>
    </xf>
    <xf numFmtId="9" fontId="13" fillId="0" borderId="26" xfId="8" applyFont="1" applyFill="1" applyBorder="1" applyAlignment="1" applyProtection="1">
      <alignment horizontal="center" vertical="center" wrapText="1"/>
      <protection locked="0"/>
    </xf>
    <xf numFmtId="9" fontId="13" fillId="0" borderId="28" xfId="8" applyFont="1" applyFill="1" applyBorder="1" applyAlignment="1" applyProtection="1">
      <alignment horizontal="center" vertical="center" wrapText="1"/>
      <protection locked="0"/>
    </xf>
    <xf numFmtId="9" fontId="13" fillId="0" borderId="29" xfId="8" applyFont="1" applyFill="1" applyBorder="1" applyAlignment="1" applyProtection="1">
      <alignment horizontal="center" vertical="center" wrapText="1"/>
      <protection locked="0"/>
    </xf>
    <xf numFmtId="9" fontId="13" fillId="0" borderId="27" xfId="8" applyFont="1" applyFill="1" applyBorder="1" applyAlignment="1" applyProtection="1">
      <alignment horizontal="center" vertical="center" wrapText="1"/>
      <protection locked="0"/>
    </xf>
    <xf numFmtId="9" fontId="13" fillId="0" borderId="10" xfId="8" applyFont="1" applyFill="1" applyBorder="1" applyAlignment="1" applyProtection="1">
      <alignment horizontal="center" vertical="center" wrapText="1"/>
      <protection locked="0"/>
    </xf>
    <xf numFmtId="9" fontId="13" fillId="0" borderId="12" xfId="8" applyFont="1" applyFill="1" applyBorder="1" applyAlignment="1" applyProtection="1">
      <alignment horizontal="center" vertical="center" wrapText="1"/>
      <protection locked="0"/>
    </xf>
    <xf numFmtId="1" fontId="7" fillId="0" borderId="1" xfId="1" applyNumberFormat="1" applyFont="1" applyBorder="1" applyAlignment="1" applyProtection="1">
      <alignment horizontal="left" vertical="top" wrapText="1"/>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18" fillId="0" borderId="8" xfId="0" applyNumberFormat="1" applyFont="1" applyBorder="1" applyAlignment="1" applyProtection="1">
      <alignment vertical="top" wrapText="1"/>
      <protection locked="0"/>
    </xf>
    <xf numFmtId="1" fontId="18" fillId="0" borderId="21" xfId="0" applyNumberFormat="1" applyFont="1" applyBorder="1" applyAlignment="1" applyProtection="1">
      <alignment vertical="top" wrapText="1"/>
      <protection locked="0"/>
    </xf>
    <xf numFmtId="1" fontId="18" fillId="0" borderId="9" xfId="0" applyNumberFormat="1" applyFont="1" applyBorder="1" applyAlignment="1" applyProtection="1">
      <alignment vertical="top" wrapText="1"/>
      <protection locked="0"/>
    </xf>
    <xf numFmtId="1" fontId="11" fillId="0" borderId="1" xfId="0" applyNumberFormat="1" applyFont="1" applyBorder="1" applyAlignment="1" applyProtection="1">
      <alignment horizontal="center" vertical="center"/>
      <protection locked="0"/>
    </xf>
    <xf numFmtId="1" fontId="11" fillId="0" borderId="34" xfId="0" applyNumberFormat="1"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top" wrapText="1"/>
      <protection locked="0"/>
    </xf>
    <xf numFmtId="0" fontId="10" fillId="0" borderId="1" xfId="5" applyFont="1" applyBorder="1" applyAlignment="1">
      <alignment horizontal="left"/>
    </xf>
    <xf numFmtId="0" fontId="28" fillId="0" borderId="3" xfId="10" applyBorder="1" applyAlignment="1">
      <alignment horizontal="center" vertical="center"/>
    </xf>
    <xf numFmtId="0" fontId="2" fillId="0" borderId="32" xfId="5" applyBorder="1" applyAlignment="1">
      <alignment horizontal="center" vertical="center"/>
    </xf>
    <xf numFmtId="0" fontId="2" fillId="0" borderId="16" xfId="5" applyBorder="1" applyAlignment="1">
      <alignment horizontal="center" vertical="center"/>
    </xf>
    <xf numFmtId="0" fontId="0" fillId="2" borderId="1" xfId="0" applyFill="1" applyBorder="1" applyAlignment="1">
      <alignment horizontal="center" vertical="center" wrapText="1"/>
    </xf>
    <xf numFmtId="0" fontId="10" fillId="4"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8</xdr:col>
      <xdr:colOff>238125</xdr:colOff>
      <xdr:row>46</xdr:row>
      <xdr:rowOff>123826</xdr:rowOff>
    </xdr:from>
    <xdr:to>
      <xdr:col>11</xdr:col>
      <xdr:colOff>489225</xdr:colOff>
      <xdr:row>51</xdr:row>
      <xdr:rowOff>150486</xdr:rowOff>
    </xdr:to>
    <xdr:pic>
      <xdr:nvPicPr>
        <xdr:cNvPr id="2" name="Picture 1"/>
        <xdr:cNvPicPr>
          <a:picLocks noChangeAspect="1"/>
        </xdr:cNvPicPr>
      </xdr:nvPicPr>
      <xdr:blipFill>
        <a:blip xmlns:r="http://schemas.openxmlformats.org/officeDocument/2006/relationships" r:embed="rId1"/>
        <a:stretch>
          <a:fillRect/>
        </a:stretch>
      </xdr:blipFill>
      <xdr:spPr>
        <a:xfrm>
          <a:off x="6553200" y="11210926"/>
          <a:ext cx="2880000" cy="1255385"/>
        </a:xfrm>
        <a:prstGeom prst="rect">
          <a:avLst/>
        </a:prstGeom>
        <a:ln>
          <a:solidFill>
            <a:sysClr val="windowText" lastClr="000000"/>
          </a:solidFill>
        </a:ln>
      </xdr:spPr>
    </xdr:pic>
    <xdr:clientData/>
  </xdr:twoCellAnchor>
  <xdr:twoCellAnchor>
    <xdr:from>
      <xdr:col>0</xdr:col>
      <xdr:colOff>104775</xdr:colOff>
      <xdr:row>281</xdr:row>
      <xdr:rowOff>28575</xdr:rowOff>
    </xdr:from>
    <xdr:to>
      <xdr:col>7</xdr:col>
      <xdr:colOff>643125</xdr:colOff>
      <xdr:row>311</xdr:row>
      <xdr:rowOff>127240</xdr:rowOff>
    </xdr:to>
    <xdr:grpSp>
      <xdr:nvGrpSpPr>
        <xdr:cNvPr id="15" name="Group 14"/>
        <xdr:cNvGrpSpPr/>
      </xdr:nvGrpSpPr>
      <xdr:grpSpPr>
        <a:xfrm>
          <a:off x="104775" y="53873400"/>
          <a:ext cx="6120000" cy="6099415"/>
          <a:chOff x="376235" y="238124"/>
          <a:chExt cx="6120000" cy="6099415"/>
        </a:xfrm>
      </xdr:grpSpPr>
      <xdr:pic>
        <xdr:nvPicPr>
          <xdr:cNvPr id="16" name="Picture 15"/>
          <xdr:cNvPicPr>
            <a:picLocks noChangeAspect="1"/>
          </xdr:cNvPicPr>
        </xdr:nvPicPr>
        <xdr:blipFill>
          <a:blip xmlns:r="http://schemas.openxmlformats.org/officeDocument/2006/relationships" r:embed="rId2"/>
          <a:stretch>
            <a:fillRect/>
          </a:stretch>
        </xdr:blipFill>
        <xdr:spPr>
          <a:xfrm>
            <a:off x="1802697" y="3060939"/>
            <a:ext cx="3267075" cy="3276600"/>
          </a:xfrm>
          <a:prstGeom prst="rect">
            <a:avLst/>
          </a:prstGeom>
          <a:ln>
            <a:solidFill>
              <a:schemeClr val="tx1"/>
            </a:solidFill>
          </a:ln>
        </xdr:spPr>
      </xdr:pic>
      <xdr:grpSp>
        <xdr:nvGrpSpPr>
          <xdr:cNvPr id="17" name="Group 16"/>
          <xdr:cNvGrpSpPr/>
        </xdr:nvGrpSpPr>
        <xdr:grpSpPr>
          <a:xfrm>
            <a:off x="376235" y="238124"/>
            <a:ext cx="6120000" cy="2701966"/>
            <a:chOff x="376235" y="238124"/>
            <a:chExt cx="6120000" cy="2701966"/>
          </a:xfrm>
        </xdr:grpSpPr>
        <xdr:pic>
          <xdr:nvPicPr>
            <xdr:cNvPr id="18" name="Picture 17"/>
            <xdr:cNvPicPr>
              <a:picLocks noChangeAspect="1"/>
            </xdr:cNvPicPr>
          </xdr:nvPicPr>
          <xdr:blipFill>
            <a:blip xmlns:r="http://schemas.openxmlformats.org/officeDocument/2006/relationships" r:embed="rId3"/>
            <a:stretch>
              <a:fillRect/>
            </a:stretch>
          </xdr:blipFill>
          <xdr:spPr>
            <a:xfrm>
              <a:off x="376235" y="238124"/>
              <a:ext cx="6120000" cy="2701966"/>
            </a:xfrm>
            <a:prstGeom prst="rect">
              <a:avLst/>
            </a:prstGeom>
            <a:ln>
              <a:solidFill>
                <a:schemeClr val="tx1"/>
              </a:solidFill>
            </a:ln>
          </xdr:spPr>
        </xdr:pic>
        <xdr:sp macro="" textlink="">
          <xdr:nvSpPr>
            <xdr:cNvPr id="19" name="Rectangle 18"/>
            <xdr:cNvSpPr/>
          </xdr:nvSpPr>
          <xdr:spPr>
            <a:xfrm>
              <a:off x="1318260" y="872827"/>
              <a:ext cx="2255520" cy="143256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0" name="Rectangle 19"/>
            <xdr:cNvSpPr/>
          </xdr:nvSpPr>
          <xdr:spPr>
            <a:xfrm>
              <a:off x="3642360" y="872827"/>
              <a:ext cx="2255520" cy="143256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TextBox 5"/>
            <xdr:cNvSpPr txBox="1"/>
          </xdr:nvSpPr>
          <xdr:spPr>
            <a:xfrm>
              <a:off x="2523158" y="2023546"/>
              <a:ext cx="723275"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A</a:t>
              </a:r>
              <a:endParaRPr lang="en-IN" sz="1400" b="1">
                <a:solidFill>
                  <a:srgbClr val="FF0000"/>
                </a:solidFill>
              </a:endParaRPr>
            </a:p>
          </xdr:txBody>
        </xdr:sp>
        <xdr:sp macro="" textlink="">
          <xdr:nvSpPr>
            <xdr:cNvPr id="22" name="TextBox 6"/>
            <xdr:cNvSpPr txBox="1"/>
          </xdr:nvSpPr>
          <xdr:spPr>
            <a:xfrm>
              <a:off x="4408482" y="2023546"/>
              <a:ext cx="715260"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B</a:t>
              </a:r>
              <a:endParaRPr lang="en-IN" sz="1400" b="1">
                <a:solidFill>
                  <a:srgbClr val="FF0000"/>
                </a:solidFill>
              </a:endParaRPr>
            </a:p>
          </xdr:txBody>
        </xdr:sp>
      </xdr:grpSp>
    </xdr:grpSp>
    <xdr:clientData/>
  </xdr:twoCellAnchor>
  <xdr:twoCellAnchor editAs="oneCell">
    <xdr:from>
      <xdr:col>8</xdr:col>
      <xdr:colOff>276225</xdr:colOff>
      <xdr:row>52</xdr:row>
      <xdr:rowOff>47625</xdr:rowOff>
    </xdr:from>
    <xdr:to>
      <xdr:col>12</xdr:col>
      <xdr:colOff>323400</xdr:colOff>
      <xdr:row>53</xdr:row>
      <xdr:rowOff>725030</xdr:rowOff>
    </xdr:to>
    <xdr:pic>
      <xdr:nvPicPr>
        <xdr:cNvPr id="28" name="Picture 27"/>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591300" y="12563475"/>
          <a:ext cx="3600000" cy="1086980"/>
        </a:xfrm>
        <a:prstGeom prst="rect">
          <a:avLst/>
        </a:prstGeom>
        <a:ln>
          <a:solidFill>
            <a:sysClr val="windowText" lastClr="000000"/>
          </a:solidFill>
        </a:ln>
      </xdr:spPr>
    </xdr:pic>
    <xdr:clientData/>
  </xdr:twoCellAnchor>
  <xdr:twoCellAnchor editAs="oneCell">
    <xdr:from>
      <xdr:col>8</xdr:col>
      <xdr:colOff>266700</xdr:colOff>
      <xdr:row>53</xdr:row>
      <xdr:rowOff>790575</xdr:rowOff>
    </xdr:from>
    <xdr:to>
      <xdr:col>10</xdr:col>
      <xdr:colOff>552174</xdr:colOff>
      <xdr:row>53</xdr:row>
      <xdr:rowOff>1609623</xdr:rowOff>
    </xdr:to>
    <xdr:pic>
      <xdr:nvPicPr>
        <xdr:cNvPr id="29" name="Picture 28"/>
        <xdr:cNvPicPr>
          <a:picLocks noChangeAspect="1"/>
        </xdr:cNvPicPr>
      </xdr:nvPicPr>
      <xdr:blipFill>
        <a:blip xmlns:r="http://schemas.openxmlformats.org/officeDocument/2006/relationships" r:embed="rId5"/>
        <a:stretch>
          <a:fillRect/>
        </a:stretch>
      </xdr:blipFill>
      <xdr:spPr>
        <a:xfrm>
          <a:off x="6581775" y="13716000"/>
          <a:ext cx="2209524" cy="819048"/>
        </a:xfrm>
        <a:prstGeom prst="rect">
          <a:avLst/>
        </a:prstGeom>
        <a:ln>
          <a:solidFill>
            <a:sysClr val="windowText" lastClr="000000"/>
          </a:solidFill>
        </a:ln>
      </xdr:spPr>
    </xdr:pic>
    <xdr:clientData/>
  </xdr:twoCellAnchor>
  <xdr:twoCellAnchor editAs="oneCell">
    <xdr:from>
      <xdr:col>8</xdr:col>
      <xdr:colOff>333375</xdr:colOff>
      <xdr:row>54</xdr:row>
      <xdr:rowOff>76200</xdr:rowOff>
    </xdr:from>
    <xdr:to>
      <xdr:col>12</xdr:col>
      <xdr:colOff>380550</xdr:colOff>
      <xdr:row>61</xdr:row>
      <xdr:rowOff>155561</xdr:rowOff>
    </xdr:to>
    <xdr:pic>
      <xdr:nvPicPr>
        <xdr:cNvPr id="30" name="Picture 29"/>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6648450" y="14620875"/>
          <a:ext cx="3600000" cy="679436"/>
        </a:xfrm>
        <a:prstGeom prst="rect">
          <a:avLst/>
        </a:prstGeom>
        <a:ln>
          <a:solidFill>
            <a:sysClr val="windowText" lastClr="000000"/>
          </a:solidFill>
        </a:ln>
      </xdr:spPr>
    </xdr:pic>
    <xdr:clientData/>
  </xdr:twoCellAnchor>
  <xdr:twoCellAnchor>
    <xdr:from>
      <xdr:col>0</xdr:col>
      <xdr:colOff>514350</xdr:colOff>
      <xdr:row>327</xdr:row>
      <xdr:rowOff>95250</xdr:rowOff>
    </xdr:from>
    <xdr:to>
      <xdr:col>7</xdr:col>
      <xdr:colOff>327660</xdr:colOff>
      <xdr:row>362</xdr:row>
      <xdr:rowOff>81190</xdr:rowOff>
    </xdr:to>
    <xdr:grpSp>
      <xdr:nvGrpSpPr>
        <xdr:cNvPr id="33" name="Group 32"/>
        <xdr:cNvGrpSpPr/>
      </xdr:nvGrpSpPr>
      <xdr:grpSpPr>
        <a:xfrm>
          <a:off x="514350" y="63141225"/>
          <a:ext cx="5394960" cy="6986815"/>
          <a:chOff x="514350" y="63150750"/>
          <a:chExt cx="5394960" cy="6986815"/>
        </a:xfrm>
      </xdr:grpSpPr>
      <xdr:grpSp>
        <xdr:nvGrpSpPr>
          <xdr:cNvPr id="25" name="Group 24"/>
          <xdr:cNvGrpSpPr/>
        </xdr:nvGrpSpPr>
        <xdr:grpSpPr>
          <a:xfrm>
            <a:off x="571500" y="66581564"/>
            <a:ext cx="5210629" cy="3556001"/>
            <a:chOff x="1113970" y="4048578"/>
            <a:chExt cx="5210629" cy="3556001"/>
          </a:xfrm>
        </xdr:grpSpPr>
        <xdr:pic>
          <xdr:nvPicPr>
            <xdr:cNvPr id="26" name="Picture 25"/>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1113970" y="4048578"/>
              <a:ext cx="5210629" cy="3556001"/>
            </a:xfrm>
            <a:prstGeom prst="rect">
              <a:avLst/>
            </a:prstGeom>
            <a:ln>
              <a:solidFill>
                <a:schemeClr val="tx1"/>
              </a:solidFill>
            </a:ln>
          </xdr:spPr>
        </xdr:pic>
        <xdr:sp macro="" textlink="">
          <xdr:nvSpPr>
            <xdr:cNvPr id="27" name="Rectangle 26"/>
            <xdr:cNvSpPr/>
          </xdr:nvSpPr>
          <xdr:spPr>
            <a:xfrm rot="18777031">
              <a:off x="2344669" y="5395412"/>
              <a:ext cx="2014632" cy="1276876"/>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pic>
        <xdr:nvPicPr>
          <xdr:cNvPr id="32" name="Picture 31"/>
          <xdr:cNvPicPr>
            <a:picLocks noChangeAspect="1"/>
          </xdr:cNvPicPr>
        </xdr:nvPicPr>
        <xdr:blipFill rotWithShape="1">
          <a:blip xmlns:r="http://schemas.openxmlformats.org/officeDocument/2006/relationships" r:embed="rId8"/>
          <a:srcRect l="33625" t="22500" r="24910" b="32250"/>
          <a:stretch/>
        </xdr:blipFill>
        <xdr:spPr>
          <a:xfrm>
            <a:off x="514350" y="63150750"/>
            <a:ext cx="5394960" cy="3310128"/>
          </a:xfrm>
          <a:prstGeom prst="rect">
            <a:avLst/>
          </a:prstGeom>
          <a:ln>
            <a:solidFill>
              <a:schemeClr val="tx1"/>
            </a:solidFill>
          </a:ln>
        </xdr:spPr>
      </xdr:pic>
    </xdr:grpSp>
    <xdr:clientData/>
  </xdr:twoCellAnchor>
  <xdr:twoCellAnchor editAs="oneCell">
    <xdr:from>
      <xdr:col>8</xdr:col>
      <xdr:colOff>466725</xdr:colOff>
      <xdr:row>206</xdr:row>
      <xdr:rowOff>161925</xdr:rowOff>
    </xdr:from>
    <xdr:to>
      <xdr:col>14</xdr:col>
      <xdr:colOff>533781</xdr:colOff>
      <xdr:row>233</xdr:row>
      <xdr:rowOff>118872</xdr:rowOff>
    </xdr:to>
    <xdr:pic>
      <xdr:nvPicPr>
        <xdr:cNvPr id="35" name="Picture 34"/>
        <xdr:cNvPicPr>
          <a:picLocks noChangeAspect="1"/>
        </xdr:cNvPicPr>
      </xdr:nvPicPr>
      <xdr:blipFill rotWithShape="1">
        <a:blip xmlns:r="http://schemas.openxmlformats.org/officeDocument/2006/relationships" r:embed="rId9"/>
        <a:srcRect l="37701" t="12749" r="21959" b="7500"/>
        <a:stretch/>
      </xdr:blipFill>
      <xdr:spPr>
        <a:xfrm>
          <a:off x="7086600" y="38547675"/>
          <a:ext cx="5248656" cy="5833872"/>
        </a:xfrm>
        <a:prstGeom prst="rect">
          <a:avLst/>
        </a:prstGeom>
      </xdr:spPr>
    </xdr:pic>
    <xdr:clientData/>
  </xdr:twoCellAnchor>
  <xdr:twoCellAnchor>
    <xdr:from>
      <xdr:col>9</xdr:col>
      <xdr:colOff>671581</xdr:colOff>
      <xdr:row>234</xdr:row>
      <xdr:rowOff>155121</xdr:rowOff>
    </xdr:from>
    <xdr:to>
      <xdr:col>10</xdr:col>
      <xdr:colOff>586154</xdr:colOff>
      <xdr:row>236</xdr:row>
      <xdr:rowOff>31194</xdr:rowOff>
    </xdr:to>
    <xdr:sp macro="" textlink="">
      <xdr:nvSpPr>
        <xdr:cNvPr id="40" name="TextBox 22"/>
        <xdr:cNvSpPr txBox="1"/>
      </xdr:nvSpPr>
      <xdr:spPr>
        <a:xfrm>
          <a:off x="8441260" y="44854585"/>
          <a:ext cx="676573" cy="28428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Wing B</a:t>
          </a:r>
          <a:endParaRPr lang="en-IN" sz="1200" b="1">
            <a:solidFill>
              <a:srgbClr val="FF0000"/>
            </a:solidFill>
          </a:endParaRPr>
        </a:p>
      </xdr:txBody>
    </xdr:sp>
    <xdr:clientData/>
  </xdr:twoCellAnchor>
  <xdr:twoCellAnchor>
    <xdr:from>
      <xdr:col>9</xdr:col>
      <xdr:colOff>66674</xdr:colOff>
      <xdr:row>234</xdr:row>
      <xdr:rowOff>176771</xdr:rowOff>
    </xdr:from>
    <xdr:to>
      <xdr:col>9</xdr:col>
      <xdr:colOff>738554</xdr:colOff>
      <xdr:row>236</xdr:row>
      <xdr:rowOff>52843</xdr:rowOff>
    </xdr:to>
    <xdr:sp macro="" textlink="">
      <xdr:nvSpPr>
        <xdr:cNvPr id="41" name="TextBox 23"/>
        <xdr:cNvSpPr txBox="1"/>
      </xdr:nvSpPr>
      <xdr:spPr>
        <a:xfrm>
          <a:off x="7836353" y="44876235"/>
          <a:ext cx="671880" cy="284287"/>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Wing A</a:t>
          </a:r>
          <a:endParaRPr lang="en-IN" sz="1200" b="1">
            <a:solidFill>
              <a:srgbClr val="FF0000"/>
            </a:solidFill>
          </a:endParaRPr>
        </a:p>
      </xdr:txBody>
    </xdr:sp>
    <xdr:clientData/>
  </xdr:twoCellAnchor>
  <xdr:twoCellAnchor>
    <xdr:from>
      <xdr:col>8</xdr:col>
      <xdr:colOff>784679</xdr:colOff>
      <xdr:row>237</xdr:row>
      <xdr:rowOff>50800</xdr:rowOff>
    </xdr:from>
    <xdr:to>
      <xdr:col>15</xdr:col>
      <xdr:colOff>250453</xdr:colOff>
      <xdr:row>274</xdr:row>
      <xdr:rowOff>58910</xdr:rowOff>
    </xdr:to>
    <xdr:grpSp>
      <xdr:nvGrpSpPr>
        <xdr:cNvPr id="23" name="Group 22"/>
        <xdr:cNvGrpSpPr/>
      </xdr:nvGrpSpPr>
      <xdr:grpSpPr>
        <a:xfrm>
          <a:off x="7404554" y="45104050"/>
          <a:ext cx="5456999" cy="7399510"/>
          <a:chOff x="635000" y="44043600"/>
          <a:chExt cx="5742295" cy="7285210"/>
        </a:xfrm>
      </xdr:grpSpPr>
      <xdr:pic>
        <xdr:nvPicPr>
          <xdr:cNvPr id="39" name="Picture 3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409947" y="44043600"/>
            <a:ext cx="2192401" cy="2736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635000" y="44043600"/>
            <a:ext cx="1644301" cy="2736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586147" y="46894205"/>
            <a:ext cx="3840000" cy="216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586147" y="49168810"/>
            <a:ext cx="3840000" cy="216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732994" y="44043600"/>
            <a:ext cx="1644301" cy="2736000"/>
          </a:xfrm>
          <a:prstGeom prst="rect">
            <a:avLst/>
          </a:prstGeom>
          <a:ln>
            <a:solidFill>
              <a:schemeClr val="tx1"/>
            </a:solidFill>
          </a:ln>
        </xdr:spPr>
      </xdr:pic>
    </xdr:grpSp>
    <xdr:clientData/>
  </xdr:twoCellAnchor>
  <xdr:twoCellAnchor>
    <xdr:from>
      <xdr:col>0</xdr:col>
      <xdr:colOff>461154</xdr:colOff>
      <xdr:row>236</xdr:row>
      <xdr:rowOff>48578</xdr:rowOff>
    </xdr:from>
    <xdr:to>
      <xdr:col>7</xdr:col>
      <xdr:colOff>639534</xdr:colOff>
      <xdr:row>278</xdr:row>
      <xdr:rowOff>58650</xdr:rowOff>
    </xdr:to>
    <xdr:grpSp>
      <xdr:nvGrpSpPr>
        <xdr:cNvPr id="24" name="Group 23"/>
        <xdr:cNvGrpSpPr/>
      </xdr:nvGrpSpPr>
      <xdr:grpSpPr>
        <a:xfrm>
          <a:off x="461154" y="44901803"/>
          <a:ext cx="5760030" cy="8401597"/>
          <a:chOff x="461154" y="45156257"/>
          <a:chExt cx="5757309" cy="8568964"/>
        </a:xfrm>
      </xdr:grpSpPr>
      <xdr:pic>
        <xdr:nvPicPr>
          <xdr:cNvPr id="42" name="Picture 41" descr="https://vsjcllp.vsjadon.com/upload/insp-246624-1525.jpe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2132112" y="52020106"/>
            <a:ext cx="2273487" cy="170511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6624-843.jpe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4195271" y="49257857"/>
            <a:ext cx="1979840" cy="26397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4" name="Picture 43" descr="https://vsjcllp.vsjadon.com/upload/insp-246624-844.jpe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2096644" y="49264300"/>
            <a:ext cx="1979840" cy="26397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46624-847.jpe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476251" y="49256543"/>
            <a:ext cx="1484880" cy="263978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46624-848.jpe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3583744" y="45156257"/>
            <a:ext cx="2634719" cy="40063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46624-851.jpe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461154" y="45156258"/>
            <a:ext cx="3004762" cy="40063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67235</xdr:colOff>
      <xdr:row>17</xdr:row>
      <xdr:rowOff>56030</xdr:rowOff>
    </xdr:from>
    <xdr:to>
      <xdr:col>12</xdr:col>
      <xdr:colOff>268081</xdr:colOff>
      <xdr:row>31</xdr:row>
      <xdr:rowOff>65220</xdr:rowOff>
    </xdr:to>
    <xdr:pic>
      <xdr:nvPicPr>
        <xdr:cNvPr id="3" name="Picture 2"/>
        <xdr:cNvPicPr>
          <a:picLocks noChangeAspect="1"/>
        </xdr:cNvPicPr>
      </xdr:nvPicPr>
      <xdr:blipFill>
        <a:blip xmlns:r="http://schemas.openxmlformats.org/officeDocument/2006/relationships" r:embed="rId2"/>
        <a:stretch>
          <a:fillRect/>
        </a:stretch>
      </xdr:blipFill>
      <xdr:spPr>
        <a:xfrm>
          <a:off x="649941" y="3305736"/>
          <a:ext cx="11361905" cy="2676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6GBwzuER8N6zFsJb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dityaraj-viva.i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24"/>
  <sheetViews>
    <sheetView tabSelected="1" view="pageBreakPreview" zoomScaleNormal="100" zoomScaleSheetLayoutView="100" zoomScalePageLayoutView="85" workbookViewId="0">
      <selection activeCell="J11" sqref="J11"/>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7" width="11" style="40" customWidth="1"/>
    <col min="8" max="8" width="15.5703125"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02" t="s">
        <v>161</v>
      </c>
      <c r="B1" s="202"/>
      <c r="C1" s="202"/>
      <c r="D1" s="202"/>
      <c r="E1" s="202"/>
      <c r="F1" s="202"/>
      <c r="G1" s="202"/>
      <c r="H1" s="202"/>
    </row>
    <row r="2" spans="1:26" ht="16.5" customHeight="1" x14ac:dyDescent="0.25">
      <c r="A2" s="167" t="s">
        <v>0</v>
      </c>
      <c r="B2" s="167"/>
      <c r="C2" s="167"/>
      <c r="D2" s="167"/>
      <c r="E2" s="167"/>
      <c r="F2" s="167"/>
      <c r="G2" s="167"/>
      <c r="H2" s="167"/>
    </row>
    <row r="3" spans="1:26" x14ac:dyDescent="0.25">
      <c r="A3" s="116" t="s">
        <v>1</v>
      </c>
      <c r="B3" s="116"/>
      <c r="C3" s="116"/>
      <c r="D3" s="116"/>
      <c r="E3" s="116" t="str">
        <f ca="1">TEXT(TODAY(),"DD/MM/YYYY")</f>
        <v>08/09/2025</v>
      </c>
      <c r="F3" s="116"/>
      <c r="G3" s="116"/>
      <c r="H3" s="116"/>
      <c r="K3" s="56" t="s">
        <v>237</v>
      </c>
      <c r="L3" s="53" t="s">
        <v>235</v>
      </c>
      <c r="M3" s="53" t="s">
        <v>240</v>
      </c>
      <c r="N3" s="53" t="s">
        <v>238</v>
      </c>
      <c r="O3" s="53" t="s">
        <v>344</v>
      </c>
      <c r="P3" s="53" t="s">
        <v>241</v>
      </c>
    </row>
    <row r="4" spans="1:26" ht="15" customHeight="1" x14ac:dyDescent="0.25">
      <c r="A4" s="116" t="s">
        <v>234</v>
      </c>
      <c r="B4" s="116"/>
      <c r="C4" s="116"/>
      <c r="D4" s="116"/>
      <c r="E4" s="116" t="s">
        <v>235</v>
      </c>
      <c r="F4" s="116"/>
      <c r="G4" s="116"/>
      <c r="H4" s="116"/>
      <c r="K4" s="52" t="s">
        <v>236</v>
      </c>
      <c r="L4" s="53" t="s">
        <v>168</v>
      </c>
      <c r="M4" s="53" t="s">
        <v>245</v>
      </c>
      <c r="N4" s="53" t="s">
        <v>247</v>
      </c>
      <c r="O4" s="53" t="s">
        <v>345</v>
      </c>
      <c r="P4" s="53"/>
    </row>
    <row r="5" spans="1:26" ht="15" customHeight="1" x14ac:dyDescent="0.25">
      <c r="A5" s="116" t="s">
        <v>2</v>
      </c>
      <c r="B5" s="116"/>
      <c r="C5" s="116"/>
      <c r="D5" s="116"/>
      <c r="E5" s="116" t="s">
        <v>242</v>
      </c>
      <c r="F5" s="116"/>
      <c r="G5" s="116"/>
      <c r="H5" s="116"/>
      <c r="K5" s="52"/>
      <c r="L5" s="53" t="s">
        <v>242</v>
      </c>
      <c r="M5" s="53" t="s">
        <v>246</v>
      </c>
      <c r="N5" s="53" t="s">
        <v>248</v>
      </c>
      <c r="O5" s="53" t="s">
        <v>346</v>
      </c>
      <c r="P5" s="53"/>
    </row>
    <row r="6" spans="1:26" x14ac:dyDescent="0.25">
      <c r="A6" s="116" t="s">
        <v>3</v>
      </c>
      <c r="B6" s="116"/>
      <c r="C6" s="116"/>
      <c r="D6" s="116"/>
      <c r="E6" s="203">
        <v>45908</v>
      </c>
      <c r="F6" s="116"/>
      <c r="G6" s="116"/>
      <c r="H6" s="116"/>
      <c r="K6" s="52"/>
      <c r="L6" s="53" t="s">
        <v>243</v>
      </c>
      <c r="M6" s="53"/>
      <c r="N6" s="53"/>
      <c r="O6" s="53" t="s">
        <v>347</v>
      </c>
      <c r="P6" s="53"/>
    </row>
    <row r="7" spans="1:26" ht="16.5" customHeight="1" x14ac:dyDescent="0.25">
      <c r="A7" s="116" t="s">
        <v>4</v>
      </c>
      <c r="B7" s="116"/>
      <c r="C7" s="116"/>
      <c r="D7" s="116"/>
      <c r="E7" s="116" t="s">
        <v>356</v>
      </c>
      <c r="F7" s="116"/>
      <c r="G7" s="116"/>
      <c r="H7" s="116"/>
      <c r="K7" s="52"/>
      <c r="L7" s="53" t="s">
        <v>244</v>
      </c>
      <c r="M7" s="53"/>
      <c r="N7" s="53"/>
      <c r="O7" s="53" t="s">
        <v>347</v>
      </c>
      <c r="P7" s="53"/>
    </row>
    <row r="8" spans="1:26" ht="15" customHeight="1" x14ac:dyDescent="0.25">
      <c r="A8" s="116" t="s">
        <v>5</v>
      </c>
      <c r="B8" s="116"/>
      <c r="C8" s="116"/>
      <c r="D8" s="116"/>
      <c r="E8" s="116" t="str">
        <f>E7</f>
        <v>Adityaraj Developers</v>
      </c>
      <c r="F8" s="116"/>
      <c r="G8" s="116"/>
      <c r="H8" s="116"/>
      <c r="K8" s="52"/>
      <c r="L8" s="53"/>
      <c r="M8" s="53"/>
      <c r="N8" s="53"/>
      <c r="O8" s="53" t="s">
        <v>348</v>
      </c>
      <c r="P8" s="53"/>
    </row>
    <row r="9" spans="1:26" x14ac:dyDescent="0.25">
      <c r="A9" s="116" t="s">
        <v>353</v>
      </c>
      <c r="B9" s="116"/>
      <c r="C9" s="116"/>
      <c r="D9" s="116"/>
      <c r="E9" s="169" t="s">
        <v>352</v>
      </c>
      <c r="F9" s="169"/>
      <c r="G9" s="169"/>
      <c r="H9" s="169"/>
      <c r="K9" s="52"/>
      <c r="L9" s="53"/>
      <c r="M9" s="53"/>
      <c r="N9" s="53"/>
      <c r="O9" s="53" t="s">
        <v>349</v>
      </c>
      <c r="P9" s="53"/>
    </row>
    <row r="10" spans="1:26" x14ac:dyDescent="0.25">
      <c r="A10" s="116" t="s">
        <v>354</v>
      </c>
      <c r="B10" s="116"/>
      <c r="C10" s="116"/>
      <c r="D10" s="116"/>
      <c r="E10" s="169" t="s">
        <v>355</v>
      </c>
      <c r="F10" s="169"/>
      <c r="G10" s="169"/>
      <c r="H10" s="169"/>
      <c r="K10" s="52"/>
      <c r="L10" s="53"/>
      <c r="M10" s="53"/>
      <c r="N10" s="53"/>
      <c r="O10" s="53" t="s">
        <v>349</v>
      </c>
      <c r="P10" s="53"/>
    </row>
    <row r="11" spans="1:26" x14ac:dyDescent="0.25">
      <c r="A11" s="116" t="s">
        <v>164</v>
      </c>
      <c r="B11" s="116"/>
      <c r="C11" s="116"/>
      <c r="D11" s="116"/>
      <c r="E11" s="116">
        <v>8850062100</v>
      </c>
      <c r="F11" s="116"/>
      <c r="G11" s="116"/>
      <c r="H11" s="116"/>
      <c r="K11" s="52"/>
      <c r="L11" s="53"/>
      <c r="M11" s="53"/>
      <c r="N11" s="53"/>
      <c r="O11" s="53" t="s">
        <v>350</v>
      </c>
      <c r="P11" s="53"/>
    </row>
    <row r="12" spans="1:26" hidden="1" x14ac:dyDescent="0.25">
      <c r="A12" s="116" t="s">
        <v>165</v>
      </c>
      <c r="B12" s="116"/>
      <c r="C12" s="116"/>
      <c r="D12" s="116"/>
      <c r="E12" s="116">
        <v>9372630642</v>
      </c>
      <c r="F12" s="116"/>
      <c r="G12" s="116"/>
      <c r="H12" s="116"/>
      <c r="O12" s="53" t="s">
        <v>351</v>
      </c>
    </row>
    <row r="13" spans="1:26" x14ac:dyDescent="0.25">
      <c r="A13" s="116" t="s">
        <v>6</v>
      </c>
      <c r="B13" s="116"/>
      <c r="C13" s="116"/>
      <c r="D13" s="116"/>
      <c r="E13" s="116" t="s">
        <v>357</v>
      </c>
      <c r="F13" s="116"/>
      <c r="G13" s="116"/>
      <c r="H13" s="116"/>
    </row>
    <row r="14" spans="1:26" ht="33.75" customHeight="1" x14ac:dyDescent="0.25">
      <c r="A14" s="116" t="s">
        <v>169</v>
      </c>
      <c r="B14" s="116"/>
      <c r="C14" s="116"/>
      <c r="D14" s="116"/>
      <c r="E14" s="127" t="s">
        <v>358</v>
      </c>
      <c r="F14" s="127"/>
      <c r="G14" s="127"/>
      <c r="H14" s="127"/>
      <c r="S14" s="53" t="s">
        <v>179</v>
      </c>
      <c r="T14" s="53" t="s">
        <v>188</v>
      </c>
      <c r="U14" s="53" t="s">
        <v>170</v>
      </c>
      <c r="V14" s="53" t="s">
        <v>193</v>
      </c>
      <c r="W14" s="53" t="s">
        <v>211</v>
      </c>
      <c r="X14"/>
      <c r="Y14" t="s">
        <v>193</v>
      </c>
      <c r="Z14" t="e">
        <f ca="1">OFFSET($S$14,1,MATCH($G21,$S$14:$W$14,0)-1,15,1)</f>
        <v>#VALUE!</v>
      </c>
    </row>
    <row r="15" spans="1:26" x14ac:dyDescent="0.25">
      <c r="A15" s="115" t="s">
        <v>280</v>
      </c>
      <c r="B15" s="115"/>
      <c r="C15" s="115"/>
      <c r="D15" s="115"/>
      <c r="E15" s="127" t="s">
        <v>403</v>
      </c>
      <c r="F15" s="127"/>
      <c r="G15" s="127"/>
      <c r="H15" s="127"/>
      <c r="S15" s="53" t="s">
        <v>179</v>
      </c>
      <c r="T15" s="53" t="s">
        <v>186</v>
      </c>
      <c r="U15" s="53" t="s">
        <v>208</v>
      </c>
      <c r="V15" s="53" t="s">
        <v>194</v>
      </c>
      <c r="W15" s="53" t="s">
        <v>212</v>
      </c>
      <c r="X15"/>
      <c r="Y15"/>
      <c r="Z15"/>
    </row>
    <row r="16" spans="1:26" x14ac:dyDescent="0.25">
      <c r="A16" s="115" t="s">
        <v>7</v>
      </c>
      <c r="B16" s="115"/>
      <c r="C16" s="115"/>
      <c r="D16" s="115"/>
      <c r="E16" s="127" t="s">
        <v>359</v>
      </c>
      <c r="F16" s="116"/>
      <c r="G16" s="116"/>
      <c r="H16" s="116"/>
      <c r="I16" s="110" t="e">
        <f ca="1">OFFSET($D$5,1,MATCH($J14,$D$5:$H$5,0)-1,15,1)</f>
        <v>#N/A</v>
      </c>
      <c r="J16" s="111"/>
      <c r="K16" s="111"/>
      <c r="L16" s="111"/>
      <c r="M16" s="111"/>
      <c r="N16" s="111"/>
      <c r="O16" s="111"/>
      <c r="P16" s="111"/>
      <c r="S16" s="53" t="s">
        <v>180</v>
      </c>
      <c r="T16" s="53" t="s">
        <v>187</v>
      </c>
      <c r="U16" s="53" t="s">
        <v>209</v>
      </c>
      <c r="V16" s="53" t="s">
        <v>195</v>
      </c>
      <c r="W16" s="53" t="s">
        <v>225</v>
      </c>
      <c r="X16"/>
      <c r="Y16"/>
      <c r="Z16"/>
    </row>
    <row r="17" spans="1:26" ht="64.5" customHeight="1" x14ac:dyDescent="0.25">
      <c r="A17" s="128" t="s">
        <v>8</v>
      </c>
      <c r="B17" s="128"/>
      <c r="C17" s="128" t="str">
        <f>CONCATENATE((IF(OR(E9="",E9="NA"),"",E9)),", ",(IF(OR(A18="",A18="NA"),"",A18)),".",(IF(OR(C18="",C18="NA"),"",C18)),", near ",(IF(OR(C23="",C23="NA"),"",C23)),", ",(IF(OR(C20="",C20="NA"),"",C20)),", ",(IF(OR(C19="",C19="NA"),"",C19)),", ",(IF(OR(G20="",G20="NA"),"",G20)),", ",(IF(OR(C21="",C21="NA"),"",C21)),", ",(IF(OR(C22="",C22="NA"),"",C22)),", ",(IF(OR(G21="",G21="NA"),"",G21))," - ",(IF(OR(G22="",G22="NA"),"",G22)),".")</f>
        <v>Saptarshi CHS, CTS No.12(pt), Redevelopement of "Existing Bldg. No. 28 &amp; 29 known as “Saptarshi Co. Op. Hsg. Soc. Ltd."", near Sardar Nagar Municipal School, Hemant Manjrekar Road, Dadasaheb Gaekwad Nagar, Sion, Sion East, Kurla, Mumbai - 400022.</v>
      </c>
      <c r="D17" s="128"/>
      <c r="E17" s="128"/>
      <c r="F17" s="128"/>
      <c r="G17" s="128"/>
      <c r="H17" s="128"/>
      <c r="S17" s="53" t="s">
        <v>181</v>
      </c>
      <c r="T17" s="53" t="s">
        <v>189</v>
      </c>
      <c r="U17" s="53" t="s">
        <v>210</v>
      </c>
      <c r="V17" s="53" t="s">
        <v>196</v>
      </c>
      <c r="W17" s="53" t="s">
        <v>213</v>
      </c>
      <c r="X17"/>
      <c r="Y17"/>
      <c r="Z17"/>
    </row>
    <row r="18" spans="1:26" ht="31.5" customHeight="1" x14ac:dyDescent="0.25">
      <c r="A18" s="127" t="s">
        <v>174</v>
      </c>
      <c r="B18" s="127"/>
      <c r="C18" s="127" t="s">
        <v>401</v>
      </c>
      <c r="D18" s="127"/>
      <c r="E18" s="127"/>
      <c r="F18" s="127"/>
      <c r="G18" s="127"/>
      <c r="H18" s="127"/>
      <c r="S18" s="53" t="s">
        <v>182</v>
      </c>
      <c r="T18" s="53" t="s">
        <v>190</v>
      </c>
      <c r="U18" s="53" t="s">
        <v>170</v>
      </c>
      <c r="V18" s="53" t="s">
        <v>197</v>
      </c>
      <c r="W18" s="53" t="s">
        <v>214</v>
      </c>
      <c r="X18"/>
      <c r="Y18"/>
      <c r="Z18"/>
    </row>
    <row r="19" spans="1:26" ht="15.75" customHeight="1" x14ac:dyDescent="0.25">
      <c r="A19" s="127" t="s">
        <v>159</v>
      </c>
      <c r="B19" s="127"/>
      <c r="C19" s="127" t="s">
        <v>368</v>
      </c>
      <c r="D19" s="127"/>
      <c r="E19" s="127"/>
      <c r="F19" s="127"/>
      <c r="G19" s="127"/>
      <c r="H19" s="127"/>
      <c r="S19" s="53" t="s">
        <v>183</v>
      </c>
      <c r="T19" s="53" t="s">
        <v>188</v>
      </c>
      <c r="U19" s="53"/>
      <c r="V19" s="53" t="s">
        <v>198</v>
      </c>
      <c r="W19" s="53" t="s">
        <v>215</v>
      </c>
      <c r="X19"/>
      <c r="Y19"/>
      <c r="Z19"/>
    </row>
    <row r="20" spans="1:26" ht="15.75" customHeight="1" x14ac:dyDescent="0.25">
      <c r="A20" s="128" t="s">
        <v>9</v>
      </c>
      <c r="B20" s="128"/>
      <c r="C20" s="116" t="s">
        <v>364</v>
      </c>
      <c r="D20" s="116"/>
      <c r="E20" s="128" t="s">
        <v>69</v>
      </c>
      <c r="F20" s="128"/>
      <c r="G20" s="127" t="s">
        <v>371</v>
      </c>
      <c r="H20" s="127"/>
      <c r="S20" s="53" t="s">
        <v>184</v>
      </c>
      <c r="T20" s="53" t="s">
        <v>191</v>
      </c>
      <c r="U20" s="53"/>
      <c r="V20" s="53" t="s">
        <v>199</v>
      </c>
      <c r="W20" s="53" t="s">
        <v>216</v>
      </c>
      <c r="X20"/>
      <c r="Y20"/>
      <c r="Z20"/>
    </row>
    <row r="21" spans="1:26" x14ac:dyDescent="0.25">
      <c r="A21" s="115" t="s">
        <v>11</v>
      </c>
      <c r="B21" s="115"/>
      <c r="C21" s="127" t="s">
        <v>369</v>
      </c>
      <c r="D21" s="127"/>
      <c r="E21" s="127" t="s">
        <v>10</v>
      </c>
      <c r="F21" s="127"/>
      <c r="G21" s="129" t="s">
        <v>170</v>
      </c>
      <c r="H21" s="129"/>
      <c r="S21" s="53" t="s">
        <v>185</v>
      </c>
      <c r="T21" s="53" t="s">
        <v>192</v>
      </c>
      <c r="U21" s="53"/>
      <c r="V21" s="53" t="s">
        <v>200</v>
      </c>
      <c r="W21" s="53" t="s">
        <v>217</v>
      </c>
      <c r="X21"/>
      <c r="Y21"/>
      <c r="Z21"/>
    </row>
    <row r="22" spans="1:26" x14ac:dyDescent="0.25">
      <c r="A22" s="115" t="s">
        <v>70</v>
      </c>
      <c r="B22" s="115"/>
      <c r="C22" s="127" t="s">
        <v>210</v>
      </c>
      <c r="D22" s="127"/>
      <c r="E22" s="127" t="s">
        <v>12</v>
      </c>
      <c r="F22" s="127"/>
      <c r="G22" s="127">
        <v>400022</v>
      </c>
      <c r="H22" s="127"/>
      <c r="S22" s="53"/>
      <c r="T22" s="53"/>
      <c r="U22" s="53"/>
      <c r="V22" s="53" t="s">
        <v>201</v>
      </c>
      <c r="W22" s="53" t="s">
        <v>218</v>
      </c>
      <c r="X22"/>
      <c r="Y22"/>
      <c r="Z22"/>
    </row>
    <row r="23" spans="1:26" ht="32.25" customHeight="1" x14ac:dyDescent="0.25">
      <c r="A23" s="115" t="s">
        <v>118</v>
      </c>
      <c r="B23" s="115"/>
      <c r="C23" s="127" t="s">
        <v>370</v>
      </c>
      <c r="D23" s="127"/>
      <c r="E23" s="127" t="s">
        <v>13</v>
      </c>
      <c r="F23" s="127"/>
      <c r="G23" s="127" t="s">
        <v>410</v>
      </c>
      <c r="H23" s="127"/>
      <c r="S23" s="53"/>
      <c r="T23" s="53"/>
      <c r="U23" s="53"/>
      <c r="V23" s="53" t="s">
        <v>202</v>
      </c>
      <c r="W23" s="53" t="s">
        <v>219</v>
      </c>
      <c r="X23"/>
      <c r="Y23"/>
      <c r="Z23"/>
    </row>
    <row r="24" spans="1:26" ht="15" customHeight="1" x14ac:dyDescent="0.25">
      <c r="A24" s="128" t="s">
        <v>72</v>
      </c>
      <c r="B24" s="128"/>
      <c r="C24" s="128"/>
      <c r="D24" s="128"/>
      <c r="E24" s="116" t="s">
        <v>14</v>
      </c>
      <c r="F24" s="116"/>
      <c r="G24" s="116"/>
      <c r="H24" s="116"/>
      <c r="S24" s="53"/>
      <c r="T24" s="53"/>
      <c r="U24" s="53"/>
      <c r="V24" s="53" t="s">
        <v>203</v>
      </c>
      <c r="W24" s="53" t="s">
        <v>220</v>
      </c>
      <c r="X24"/>
      <c r="Y24"/>
      <c r="Z24"/>
    </row>
    <row r="25" spans="1:26" ht="18.75" customHeight="1" x14ac:dyDescent="0.25">
      <c r="A25" s="128"/>
      <c r="B25" s="128"/>
      <c r="C25" s="128"/>
      <c r="D25" s="128"/>
      <c r="E25" s="116"/>
      <c r="F25" s="116"/>
      <c r="G25" s="116"/>
      <c r="H25" s="116"/>
      <c r="S25" s="53"/>
      <c r="T25" s="53"/>
      <c r="U25" s="53"/>
      <c r="V25" s="53" t="s">
        <v>204</v>
      </c>
      <c r="W25" s="53" t="s">
        <v>221</v>
      </c>
      <c r="X25"/>
      <c r="Y25"/>
      <c r="Z25"/>
    </row>
    <row r="26" spans="1:26" ht="15" customHeight="1" x14ac:dyDescent="0.25">
      <c r="A26" s="128" t="s">
        <v>15</v>
      </c>
      <c r="B26" s="128"/>
      <c r="C26" s="128"/>
      <c r="D26" s="128"/>
      <c r="E26" s="127" t="s">
        <v>16</v>
      </c>
      <c r="F26" s="127"/>
      <c r="G26" s="127"/>
      <c r="H26" s="127"/>
      <c r="S26" s="53"/>
      <c r="T26" s="53"/>
      <c r="U26" s="53"/>
      <c r="V26" s="53" t="s">
        <v>205</v>
      </c>
      <c r="W26" s="53" t="s">
        <v>222</v>
      </c>
      <c r="X26"/>
      <c r="Y26"/>
      <c r="Z26"/>
    </row>
    <row r="27" spans="1:26" ht="15" customHeight="1" x14ac:dyDescent="0.25">
      <c r="A27" s="115" t="s">
        <v>17</v>
      </c>
      <c r="B27" s="115"/>
      <c r="C27" s="115"/>
      <c r="D27" s="115"/>
      <c r="E27" s="127" t="str">
        <f>IF(AND(G21="Mumbai"),"Upper Class","Middle Class")</f>
        <v>Upper Class</v>
      </c>
      <c r="F27" s="127"/>
      <c r="G27" s="127"/>
      <c r="H27" s="127"/>
      <c r="S27" s="53"/>
      <c r="T27" s="53"/>
      <c r="U27" s="53"/>
      <c r="V27" s="53" t="s">
        <v>206</v>
      </c>
      <c r="W27" s="53" t="s">
        <v>223</v>
      </c>
      <c r="X27"/>
      <c r="Y27"/>
      <c r="Z27"/>
    </row>
    <row r="28" spans="1:26" x14ac:dyDescent="0.25">
      <c r="A28" s="115" t="s">
        <v>18</v>
      </c>
      <c r="B28" s="115"/>
      <c r="C28" s="115"/>
      <c r="D28" s="115"/>
      <c r="E28" s="127" t="s">
        <v>19</v>
      </c>
      <c r="F28" s="127"/>
      <c r="G28" s="127"/>
      <c r="H28" s="127"/>
      <c r="S28" s="53"/>
      <c r="T28" s="53"/>
      <c r="U28" s="53"/>
      <c r="V28" s="53" t="s">
        <v>207</v>
      </c>
      <c r="W28" s="53" t="s">
        <v>224</v>
      </c>
      <c r="X28"/>
      <c r="Y28"/>
      <c r="Z28"/>
    </row>
    <row r="29" spans="1:26" ht="15.75" customHeight="1" x14ac:dyDescent="0.25">
      <c r="A29" s="115" t="s">
        <v>20</v>
      </c>
      <c r="B29" s="115"/>
      <c r="C29" s="115"/>
      <c r="D29" s="115"/>
      <c r="E29" s="127" t="str">
        <f>IF(AND(G21="Mumbai"),"Developed","Developing")</f>
        <v>Developed</v>
      </c>
      <c r="F29" s="127"/>
      <c r="G29" s="127"/>
      <c r="H29" s="127"/>
    </row>
    <row r="30" spans="1:26" x14ac:dyDescent="0.25">
      <c r="A30" s="115" t="s">
        <v>21</v>
      </c>
      <c r="B30" s="115"/>
      <c r="C30" s="115"/>
      <c r="D30" s="115"/>
      <c r="E30" s="127" t="s">
        <v>22</v>
      </c>
      <c r="F30" s="127"/>
      <c r="G30" s="127"/>
      <c r="H30" s="127"/>
    </row>
    <row r="31" spans="1:26" ht="15.75" customHeight="1" x14ac:dyDescent="0.25">
      <c r="A31" s="115" t="s">
        <v>77</v>
      </c>
      <c r="B31" s="115"/>
      <c r="C31" s="115"/>
      <c r="D31" s="115"/>
      <c r="E31" s="127" t="s">
        <v>78</v>
      </c>
      <c r="F31" s="127"/>
      <c r="G31" s="127"/>
      <c r="H31" s="127"/>
    </row>
    <row r="32" spans="1:26" ht="15" customHeight="1" x14ac:dyDescent="0.25">
      <c r="A32" s="115" t="s">
        <v>29</v>
      </c>
      <c r="B32" s="115"/>
      <c r="C32" s="115"/>
      <c r="D32" s="115"/>
      <c r="E32" s="127"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2" s="127"/>
      <c r="G32" s="127"/>
      <c r="H32" s="127"/>
    </row>
    <row r="33" spans="1:19" ht="15.75" customHeight="1" x14ac:dyDescent="0.25">
      <c r="A33" s="115" t="s">
        <v>89</v>
      </c>
      <c r="B33" s="115"/>
      <c r="C33" s="115"/>
      <c r="D33" s="115"/>
      <c r="E33" s="127" t="s">
        <v>30</v>
      </c>
      <c r="F33" s="127"/>
      <c r="G33" s="127"/>
      <c r="H33" s="127"/>
    </row>
    <row r="34" spans="1:19" s="22" customFormat="1" x14ac:dyDescent="0.25">
      <c r="A34" s="206" t="s">
        <v>90</v>
      </c>
      <c r="B34" s="206"/>
      <c r="C34" s="197" t="s">
        <v>171</v>
      </c>
      <c r="D34" s="197"/>
      <c r="E34" s="197"/>
      <c r="F34" s="197" t="s">
        <v>28</v>
      </c>
      <c r="G34" s="197"/>
      <c r="H34" s="197"/>
      <c r="S34" s="22" t="e">
        <f ca="1">OFFSET($S$14,1,MATCH($G21,$S$14:$W$14,0)-1,15,1)</f>
        <v>#VALUE!</v>
      </c>
    </row>
    <row r="35" spans="1:19" s="22" customFormat="1" x14ac:dyDescent="0.25">
      <c r="A35" s="204" t="s">
        <v>23</v>
      </c>
      <c r="B35" s="204" t="s">
        <v>27</v>
      </c>
      <c r="C35" s="205" t="s">
        <v>363</v>
      </c>
      <c r="D35" s="205"/>
      <c r="E35" s="205"/>
      <c r="F35" s="205" t="s">
        <v>366</v>
      </c>
      <c r="G35" s="205"/>
      <c r="H35" s="205"/>
    </row>
    <row r="36" spans="1:19" x14ac:dyDescent="0.25">
      <c r="A36" s="204" t="s">
        <v>24</v>
      </c>
      <c r="B36" s="204" t="s">
        <v>27</v>
      </c>
      <c r="C36" s="205" t="s">
        <v>362</v>
      </c>
      <c r="D36" s="205"/>
      <c r="E36" s="205"/>
      <c r="F36" s="205" t="s">
        <v>365</v>
      </c>
      <c r="G36" s="205"/>
      <c r="H36" s="205"/>
    </row>
    <row r="37" spans="1:19" s="22" customFormat="1" x14ac:dyDescent="0.25">
      <c r="A37" s="204" t="s">
        <v>26</v>
      </c>
      <c r="B37" s="204" t="s">
        <v>27</v>
      </c>
      <c r="C37" s="205" t="s">
        <v>362</v>
      </c>
      <c r="D37" s="205"/>
      <c r="E37" s="205"/>
      <c r="F37" s="205" t="s">
        <v>365</v>
      </c>
      <c r="G37" s="205"/>
      <c r="H37" s="205"/>
    </row>
    <row r="38" spans="1:19" x14ac:dyDescent="0.25">
      <c r="A38" s="204" t="s">
        <v>25</v>
      </c>
      <c r="B38" s="204" t="s">
        <v>27</v>
      </c>
      <c r="C38" s="226" t="s">
        <v>364</v>
      </c>
      <c r="D38" s="227"/>
      <c r="E38" s="228"/>
      <c r="F38" s="226" t="s">
        <v>364</v>
      </c>
      <c r="G38" s="227"/>
      <c r="H38" s="228"/>
    </row>
    <row r="39" spans="1:19" x14ac:dyDescent="0.25">
      <c r="A39" s="115" t="s">
        <v>281</v>
      </c>
      <c r="B39" s="115"/>
      <c r="C39" s="115"/>
      <c r="D39" s="115"/>
      <c r="E39" s="115"/>
      <c r="F39" s="115"/>
      <c r="G39" s="115"/>
      <c r="H39" s="115"/>
    </row>
    <row r="40" spans="1:19" ht="15.75" customHeight="1" x14ac:dyDescent="0.25">
      <c r="A40" s="115" t="s">
        <v>162</v>
      </c>
      <c r="B40" s="115"/>
      <c r="C40" s="191" t="s">
        <v>360</v>
      </c>
      <c r="D40" s="191"/>
      <c r="E40" s="191"/>
      <c r="F40" s="191"/>
      <c r="G40" s="191"/>
      <c r="H40" s="191"/>
    </row>
    <row r="41" spans="1:19" x14ac:dyDescent="0.25">
      <c r="A41" s="115" t="s">
        <v>158</v>
      </c>
      <c r="B41" s="115"/>
      <c r="C41" s="239" t="s">
        <v>361</v>
      </c>
      <c r="D41" s="127"/>
      <c r="E41" s="127"/>
      <c r="F41" s="127"/>
      <c r="G41" s="127"/>
      <c r="H41" s="127"/>
    </row>
    <row r="42" spans="1:19" x14ac:dyDescent="0.25">
      <c r="A42" s="191" t="s">
        <v>31</v>
      </c>
      <c r="B42" s="191"/>
      <c r="C42" s="191"/>
      <c r="D42" s="191"/>
      <c r="E42" s="191"/>
      <c r="F42" s="191"/>
      <c r="G42" s="191"/>
      <c r="H42" s="191"/>
    </row>
    <row r="43" spans="1:19" x14ac:dyDescent="0.25">
      <c r="A43" s="115" t="s">
        <v>32</v>
      </c>
      <c r="B43" s="115"/>
      <c r="C43" s="115"/>
      <c r="D43" s="115"/>
      <c r="E43" s="229">
        <v>972.06</v>
      </c>
      <c r="F43" s="229"/>
      <c r="G43" s="229"/>
      <c r="H43" s="229"/>
    </row>
    <row r="44" spans="1:19" x14ac:dyDescent="0.25">
      <c r="A44" s="115" t="s">
        <v>33</v>
      </c>
      <c r="B44" s="115"/>
      <c r="C44" s="115"/>
      <c r="D44" s="115"/>
      <c r="E44" s="130">
        <f>1093.03/E43</f>
        <v>1.1244470505935849</v>
      </c>
      <c r="F44" s="130"/>
      <c r="G44" s="130"/>
      <c r="H44" s="130"/>
    </row>
    <row r="45" spans="1:19" x14ac:dyDescent="0.25">
      <c r="A45" s="115" t="s">
        <v>34</v>
      </c>
      <c r="B45" s="115"/>
      <c r="C45" s="115"/>
      <c r="D45" s="115"/>
      <c r="E45" s="130">
        <f>E47/E43-E44</f>
        <v>3.9477192765878653</v>
      </c>
      <c r="F45" s="130"/>
      <c r="G45" s="130"/>
      <c r="H45" s="130"/>
    </row>
    <row r="46" spans="1:19" x14ac:dyDescent="0.25">
      <c r="A46" s="115" t="s">
        <v>35</v>
      </c>
      <c r="B46" s="115"/>
      <c r="C46" s="115"/>
      <c r="D46" s="115"/>
      <c r="E46" s="130">
        <f>E44+E45</f>
        <v>5.0721663271814501</v>
      </c>
      <c r="F46" s="130"/>
      <c r="G46" s="130"/>
      <c r="H46" s="130"/>
    </row>
    <row r="47" spans="1:19" x14ac:dyDescent="0.25">
      <c r="A47" s="115" t="s">
        <v>88</v>
      </c>
      <c r="B47" s="115"/>
      <c r="C47" s="115"/>
      <c r="D47" s="115"/>
      <c r="E47" s="220">
        <v>4930.45</v>
      </c>
      <c r="F47" s="220"/>
      <c r="G47" s="220"/>
      <c r="H47" s="220"/>
    </row>
    <row r="48" spans="1:19" x14ac:dyDescent="0.25">
      <c r="A48" s="116" t="s">
        <v>36</v>
      </c>
      <c r="B48" s="116"/>
      <c r="C48" s="116"/>
      <c r="D48" s="116"/>
      <c r="E48" s="116" t="s">
        <v>367</v>
      </c>
      <c r="F48" s="116"/>
      <c r="G48" s="116"/>
      <c r="H48" s="116"/>
    </row>
    <row r="49" spans="1:24" x14ac:dyDescent="0.25">
      <c r="A49" s="191" t="s">
        <v>37</v>
      </c>
      <c r="B49" s="191"/>
      <c r="C49" s="191"/>
      <c r="D49" s="191"/>
      <c r="E49" s="191"/>
      <c r="F49" s="191"/>
      <c r="G49" s="191"/>
      <c r="H49" s="191"/>
    </row>
    <row r="50" spans="1:24" ht="33.75" customHeight="1" x14ac:dyDescent="0.25">
      <c r="A50" s="123" t="s">
        <v>147</v>
      </c>
      <c r="B50" s="125"/>
      <c r="C50" s="223" t="s">
        <v>257</v>
      </c>
      <c r="D50" s="224"/>
      <c r="E50" s="224"/>
      <c r="F50" s="224"/>
      <c r="G50" s="224"/>
      <c r="H50" s="225"/>
      <c r="R50" t="s">
        <v>254</v>
      </c>
      <c r="S50" s="57" t="s">
        <v>170</v>
      </c>
      <c r="T50" s="57" t="s">
        <v>179</v>
      </c>
      <c r="U50" s="57" t="s">
        <v>193</v>
      </c>
      <c r="V50" s="57" t="s">
        <v>188</v>
      </c>
    </row>
    <row r="51" spans="1:24" ht="15.75" customHeight="1" x14ac:dyDescent="0.25">
      <c r="A51" s="123" t="s">
        <v>38</v>
      </c>
      <c r="B51" s="125"/>
      <c r="C51" s="123" t="s">
        <v>372</v>
      </c>
      <c r="D51" s="124"/>
      <c r="E51" s="125"/>
      <c r="F51" s="18" t="s">
        <v>39</v>
      </c>
      <c r="G51" s="126">
        <v>45328</v>
      </c>
      <c r="H51" s="125"/>
      <c r="R51"/>
      <c r="S51" s="57" t="s">
        <v>255</v>
      </c>
      <c r="T51" s="57" t="s">
        <v>260</v>
      </c>
      <c r="U51" s="57" t="s">
        <v>271</v>
      </c>
      <c r="V51" s="57" t="s">
        <v>276</v>
      </c>
    </row>
    <row r="52" spans="1:24" x14ac:dyDescent="0.25">
      <c r="A52" s="123" t="s">
        <v>40</v>
      </c>
      <c r="B52" s="125"/>
      <c r="C52" s="123" t="str">
        <f>C51</f>
        <v>Mhada -38/1070/2024</v>
      </c>
      <c r="D52" s="124"/>
      <c r="E52" s="125"/>
      <c r="F52" s="18" t="s">
        <v>39</v>
      </c>
      <c r="G52" s="126">
        <f>G51</f>
        <v>45328</v>
      </c>
      <c r="H52" s="125"/>
      <c r="R52"/>
      <c r="S52" s="57" t="s">
        <v>256</v>
      </c>
      <c r="T52" s="57" t="s">
        <v>261</v>
      </c>
      <c r="U52" s="57" t="s">
        <v>269</v>
      </c>
      <c r="V52" s="57" t="s">
        <v>277</v>
      </c>
    </row>
    <row r="53" spans="1:24" s="23" customFormat="1" ht="32.25" customHeight="1" x14ac:dyDescent="0.25">
      <c r="A53" s="231" t="s">
        <v>151</v>
      </c>
      <c r="B53" s="232"/>
      <c r="C53" s="123" t="s">
        <v>373</v>
      </c>
      <c r="D53" s="136"/>
      <c r="E53" s="137"/>
      <c r="F53" s="18" t="s">
        <v>39</v>
      </c>
      <c r="G53" s="126">
        <v>45336</v>
      </c>
      <c r="H53" s="125"/>
      <c r="R53"/>
      <c r="S53" s="57" t="s">
        <v>257</v>
      </c>
      <c r="T53" s="57" t="s">
        <v>262</v>
      </c>
      <c r="U53" s="57" t="s">
        <v>259</v>
      </c>
      <c r="V53" s="57" t="s">
        <v>278</v>
      </c>
    </row>
    <row r="54" spans="1:24" s="23" customFormat="1" ht="143.25" customHeight="1" x14ac:dyDescent="0.25">
      <c r="A54" s="233"/>
      <c r="B54" s="234"/>
      <c r="C54" s="123" t="s">
        <v>412</v>
      </c>
      <c r="D54" s="124"/>
      <c r="E54" s="125"/>
      <c r="F54" s="18" t="s">
        <v>117</v>
      </c>
      <c r="G54" s="126">
        <v>45787</v>
      </c>
      <c r="H54" s="125"/>
      <c r="R54"/>
      <c r="S54" s="57" t="s">
        <v>258</v>
      </c>
      <c r="T54" s="57" t="s">
        <v>265</v>
      </c>
      <c r="U54" s="57" t="s">
        <v>272</v>
      </c>
      <c r="V54" s="78"/>
    </row>
    <row r="55" spans="1:24" s="23" customFormat="1" x14ac:dyDescent="0.25">
      <c r="A55" s="119" t="s">
        <v>282</v>
      </c>
      <c r="B55" s="120"/>
      <c r="C55" s="123" t="s">
        <v>374</v>
      </c>
      <c r="D55" s="124"/>
      <c r="E55" s="125"/>
      <c r="F55" s="18" t="s">
        <v>39</v>
      </c>
      <c r="G55" s="126">
        <v>44543</v>
      </c>
      <c r="H55" s="125"/>
      <c r="R55"/>
      <c r="S55" s="57" t="s">
        <v>257</v>
      </c>
      <c r="T55" s="57" t="s">
        <v>262</v>
      </c>
      <c r="U55" s="57" t="s">
        <v>259</v>
      </c>
      <c r="V55" s="57" t="s">
        <v>278</v>
      </c>
    </row>
    <row r="56" spans="1:24" s="23" customFormat="1" x14ac:dyDescent="0.25">
      <c r="A56" s="121"/>
      <c r="B56" s="122"/>
      <c r="C56" s="245" t="s">
        <v>375</v>
      </c>
      <c r="D56" s="246"/>
      <c r="E56" s="246"/>
      <c r="F56" s="246"/>
      <c r="G56" s="246"/>
      <c r="H56" s="247"/>
      <c r="R56"/>
      <c r="S56" s="57" t="s">
        <v>259</v>
      </c>
      <c r="T56" s="57" t="s">
        <v>263</v>
      </c>
      <c r="U56" s="57" t="s">
        <v>273</v>
      </c>
      <c r="V56" s="79"/>
      <c r="W56" s="21"/>
      <c r="X56" s="21"/>
    </row>
    <row r="57" spans="1:24" s="23" customFormat="1" ht="34.5" hidden="1" customHeight="1" x14ac:dyDescent="0.25">
      <c r="A57" s="142" t="s">
        <v>283</v>
      </c>
      <c r="B57" s="143"/>
      <c r="C57" s="123" t="str">
        <f>C56</f>
        <v>Wing A &amp; B = Gr + 1st to 19th Floor (Height 67.71 Mtrs)</v>
      </c>
      <c r="D57" s="124"/>
      <c r="E57" s="125"/>
      <c r="F57" s="18" t="s">
        <v>39</v>
      </c>
      <c r="G57" s="123">
        <f>G56</f>
        <v>0</v>
      </c>
      <c r="H57" s="125"/>
      <c r="R57"/>
      <c r="S57" s="79"/>
      <c r="T57" s="57" t="s">
        <v>264</v>
      </c>
      <c r="U57" s="57" t="s">
        <v>274</v>
      </c>
      <c r="V57" s="79"/>
      <c r="W57" s="21"/>
      <c r="X57" s="21"/>
    </row>
    <row r="58" spans="1:24" s="23" customFormat="1" ht="41.25" hidden="1" customHeight="1" x14ac:dyDescent="0.25">
      <c r="A58" s="144"/>
      <c r="B58" s="145"/>
      <c r="C58" s="123"/>
      <c r="D58" s="124"/>
      <c r="E58" s="124"/>
      <c r="F58" s="124"/>
      <c r="G58" s="124"/>
      <c r="H58" s="125"/>
      <c r="R58"/>
      <c r="S58" s="79"/>
      <c r="T58" s="57" t="s">
        <v>266</v>
      </c>
      <c r="U58" s="57" t="s">
        <v>275</v>
      </c>
      <c r="V58" s="79"/>
      <c r="W58" s="21"/>
      <c r="X58" s="21"/>
    </row>
    <row r="59" spans="1:24" s="23" customFormat="1" ht="15.75" hidden="1" customHeight="1" x14ac:dyDescent="0.25">
      <c r="A59" s="142" t="s">
        <v>284</v>
      </c>
      <c r="B59" s="143"/>
      <c r="C59" s="123">
        <f>C58</f>
        <v>0</v>
      </c>
      <c r="D59" s="124"/>
      <c r="E59" s="125"/>
      <c r="F59" s="18" t="s">
        <v>39</v>
      </c>
      <c r="G59" s="123">
        <f>G58</f>
        <v>0</v>
      </c>
      <c r="H59" s="125"/>
      <c r="R59"/>
      <c r="S59" s="79"/>
      <c r="T59" s="57" t="s">
        <v>267</v>
      </c>
      <c r="U59" s="79" t="s">
        <v>298</v>
      </c>
      <c r="V59" s="79"/>
      <c r="W59" s="21"/>
      <c r="X59" s="21"/>
    </row>
    <row r="60" spans="1:24" s="23" customFormat="1" ht="33.75" hidden="1" customHeight="1" x14ac:dyDescent="0.25">
      <c r="A60" s="144"/>
      <c r="B60" s="145"/>
      <c r="C60" s="123"/>
      <c r="D60" s="124"/>
      <c r="E60" s="124"/>
      <c r="F60" s="124"/>
      <c r="G60" s="124"/>
      <c r="H60" s="125"/>
      <c r="R60"/>
      <c r="S60" s="79"/>
      <c r="T60" s="57" t="s">
        <v>268</v>
      </c>
      <c r="U60" s="79"/>
      <c r="V60" s="79"/>
      <c r="W60" s="21"/>
      <c r="X60" s="21"/>
    </row>
    <row r="61" spans="1:24" x14ac:dyDescent="0.25">
      <c r="A61" s="112" t="s">
        <v>41</v>
      </c>
      <c r="B61" s="113"/>
      <c r="C61" s="112" t="s">
        <v>102</v>
      </c>
      <c r="D61" s="114"/>
      <c r="E61" s="113"/>
      <c r="F61" s="43" t="s">
        <v>39</v>
      </c>
      <c r="G61" s="117" t="s">
        <v>27</v>
      </c>
      <c r="H61" s="118"/>
      <c r="R61"/>
      <c r="S61" s="79"/>
      <c r="T61" s="57" t="s">
        <v>270</v>
      </c>
      <c r="U61" s="79"/>
      <c r="V61" s="79"/>
    </row>
    <row r="62" spans="1:24" x14ac:dyDescent="0.25">
      <c r="A62" s="193" t="s">
        <v>43</v>
      </c>
      <c r="B62" s="193"/>
      <c r="C62" s="193"/>
      <c r="D62" s="193"/>
      <c r="E62" s="193"/>
      <c r="F62" s="193"/>
      <c r="G62" s="193"/>
      <c r="H62" s="193"/>
      <c r="S62" s="79"/>
      <c r="T62" s="57" t="s">
        <v>279</v>
      </c>
      <c r="U62" s="79"/>
      <c r="V62" s="79"/>
    </row>
    <row r="63" spans="1:24" x14ac:dyDescent="0.25">
      <c r="A63" s="128" t="s">
        <v>87</v>
      </c>
      <c r="B63" s="128"/>
      <c r="C63" s="128"/>
      <c r="D63" s="115">
        <f>E47</f>
        <v>4930.45</v>
      </c>
      <c r="E63" s="115"/>
      <c r="F63" s="115"/>
      <c r="G63" s="115"/>
      <c r="H63" s="115"/>
      <c r="R63"/>
    </row>
    <row r="64" spans="1:24" x14ac:dyDescent="0.25">
      <c r="A64" s="127" t="s">
        <v>44</v>
      </c>
      <c r="B64" s="116"/>
      <c r="C64" s="116"/>
      <c r="D64" s="116" t="s">
        <v>400</v>
      </c>
      <c r="E64" s="116"/>
      <c r="F64" s="116"/>
      <c r="G64" s="116"/>
      <c r="H64" s="116"/>
      <c r="I64" s="24"/>
      <c r="R64"/>
    </row>
    <row r="65" spans="1:19" x14ac:dyDescent="0.25">
      <c r="A65" s="119" t="s">
        <v>45</v>
      </c>
      <c r="B65" s="210"/>
      <c r="C65" s="120"/>
      <c r="D65" s="221" t="s">
        <v>376</v>
      </c>
      <c r="E65" s="222"/>
      <c r="F65" s="222"/>
      <c r="G65" s="222"/>
      <c r="H65" s="222"/>
      <c r="R65"/>
    </row>
    <row r="66" spans="1:19" ht="15.75" customHeight="1" x14ac:dyDescent="0.25">
      <c r="A66" s="119" t="s">
        <v>85</v>
      </c>
      <c r="B66" s="210"/>
      <c r="C66" s="210"/>
      <c r="D66" s="214" t="s">
        <v>376</v>
      </c>
      <c r="E66" s="215"/>
      <c r="F66" s="215"/>
      <c r="G66" s="215"/>
      <c r="H66" s="216"/>
      <c r="R66"/>
    </row>
    <row r="67" spans="1:19" ht="15.75" hidden="1" customHeight="1" x14ac:dyDescent="0.25">
      <c r="A67" s="211"/>
      <c r="B67" s="212"/>
      <c r="C67" s="212"/>
      <c r="D67" s="217" t="s">
        <v>299</v>
      </c>
      <c r="E67" s="218"/>
      <c r="F67" s="218"/>
      <c r="G67" s="218"/>
      <c r="H67" s="219"/>
      <c r="R67"/>
    </row>
    <row r="68" spans="1:19" ht="15.75" hidden="1" customHeight="1" x14ac:dyDescent="0.25">
      <c r="A68" s="121"/>
      <c r="B68" s="213"/>
      <c r="C68" s="213"/>
      <c r="D68" s="133" t="s">
        <v>166</v>
      </c>
      <c r="E68" s="134"/>
      <c r="F68" s="134"/>
      <c r="G68" s="134"/>
      <c r="H68" s="135"/>
      <c r="S68"/>
    </row>
    <row r="69" spans="1:19" ht="15.75" customHeight="1" x14ac:dyDescent="0.25">
      <c r="A69" s="115" t="s">
        <v>42</v>
      </c>
      <c r="B69" s="115"/>
      <c r="C69" s="115"/>
      <c r="D69" s="230" t="s">
        <v>377</v>
      </c>
      <c r="E69" s="230"/>
      <c r="F69" s="230"/>
      <c r="G69" s="230"/>
      <c r="H69" s="230"/>
      <c r="J69" s="25"/>
      <c r="K69" s="24"/>
      <c r="N69" s="24"/>
      <c r="S69"/>
    </row>
    <row r="70" spans="1:19" ht="15.75" customHeight="1" x14ac:dyDescent="0.25">
      <c r="A70" s="115" t="s">
        <v>83</v>
      </c>
      <c r="B70" s="115"/>
      <c r="C70" s="115"/>
      <c r="D70" s="257" t="str">
        <f>(IF(G61="NA","60 Years After Completion",IF(G61&lt;&gt;"NA",""&amp;60-ROUNDDOWN((E3-G61)/360,0)&amp;" Years"," ")))</f>
        <v>60 Years After Completion</v>
      </c>
      <c r="E70" s="257"/>
      <c r="F70" s="257"/>
      <c r="G70" s="257"/>
      <c r="H70" s="257"/>
      <c r="N70" s="24"/>
      <c r="S70"/>
    </row>
    <row r="71" spans="1:19" ht="15.75" customHeight="1" x14ac:dyDescent="0.25">
      <c r="A71" s="115" t="s">
        <v>84</v>
      </c>
      <c r="B71" s="115"/>
      <c r="C71" s="115"/>
      <c r="D71" s="128" t="s">
        <v>22</v>
      </c>
      <c r="E71" s="128"/>
      <c r="F71" s="128"/>
      <c r="G71" s="128"/>
      <c r="H71" s="128"/>
      <c r="J71" s="26"/>
      <c r="K71" s="26"/>
      <c r="S71"/>
    </row>
    <row r="72" spans="1:19" ht="50.25" customHeight="1" x14ac:dyDescent="0.25">
      <c r="A72" s="116" t="s">
        <v>378</v>
      </c>
      <c r="B72" s="116"/>
      <c r="C72" s="116"/>
      <c r="D72" s="127" t="s">
        <v>402</v>
      </c>
      <c r="E72" s="128"/>
      <c r="F72" s="128"/>
      <c r="G72" s="128"/>
      <c r="H72" s="128"/>
      <c r="I72" s="21" t="s">
        <v>404</v>
      </c>
      <c r="S72"/>
    </row>
    <row r="73" spans="1:19" x14ac:dyDescent="0.25">
      <c r="A73" s="128" t="s">
        <v>144</v>
      </c>
      <c r="B73" s="128"/>
      <c r="C73" s="128"/>
      <c r="D73" s="128" t="s">
        <v>27</v>
      </c>
      <c r="E73" s="128"/>
      <c r="F73" s="128"/>
      <c r="G73" s="128"/>
      <c r="H73" s="128"/>
      <c r="I73" s="27"/>
      <c r="J73" s="27"/>
      <c r="K73" s="27"/>
      <c r="L73" s="27"/>
      <c r="M73" s="27"/>
      <c r="N73" s="27"/>
    </row>
    <row r="74" spans="1:19" ht="15.75" customHeight="1" x14ac:dyDescent="0.25">
      <c r="A74" s="115" t="s">
        <v>82</v>
      </c>
      <c r="B74" s="115"/>
      <c r="C74" s="115"/>
      <c r="D74" s="127" t="str">
        <f ca="1">(IF(G80&gt;95%,"Nothing",IF(G80&gt;0%,"Cement, Aggregate, Steel, etc",IF(G80=0%,"Work not yet Started"))))</f>
        <v>Cement, Aggregate, Steel, etc</v>
      </c>
      <c r="E74" s="127"/>
      <c r="F74" s="127"/>
      <c r="G74" s="127"/>
      <c r="H74" s="127"/>
      <c r="J74" s="26"/>
      <c r="S74"/>
    </row>
    <row r="75" spans="1:19" ht="33.75" customHeight="1" thickBot="1" x14ac:dyDescent="0.3">
      <c r="A75" s="128" t="s">
        <v>115</v>
      </c>
      <c r="B75" s="128"/>
      <c r="C75" s="128"/>
      <c r="D75" s="127" t="str">
        <f ca="1">(IF(D74="Nothing","Yes",IF(D74="Cement, Aggregate, Steel, etc","Under Construction",IF(D74="Work not yet Started","Work not yet Started"))))</f>
        <v>Under Construction</v>
      </c>
      <c r="E75" s="127"/>
      <c r="F75" s="127" t="str">
        <f ca="1">(IF(D74="Nothing","Yes",IF(D74="Cement, Aggregate, Steel, etc","Under Construction",IF(D74="Work not yet Started","Work not yet Started"))))</f>
        <v>Under Construction</v>
      </c>
      <c r="G75" s="127"/>
      <c r="H75" s="127"/>
      <c r="S75"/>
    </row>
    <row r="76" spans="1:19" ht="15.75" customHeight="1" x14ac:dyDescent="0.25">
      <c r="A76" s="207" t="s">
        <v>136</v>
      </c>
      <c r="B76" s="207"/>
      <c r="C76" s="207" t="str">
        <f>D66</f>
        <v>A &amp; B Wing = Gr + 1st to 21st Floor</v>
      </c>
      <c r="D76" s="207"/>
      <c r="E76" s="207"/>
      <c r="F76" s="207"/>
      <c r="G76" s="207"/>
      <c r="H76" s="207"/>
      <c r="I76" s="100" t="str">
        <f ca="1">IF(D89=100%,"All work Completed. Possession granted to the Building.",IF(D88=100%,"All work Completed, Waiting for OC",I77&amp;""&amp;I78&amp;""&amp;J77&amp;""&amp;J76&amp;" "&amp;J78))</f>
        <v>Excavation, Plinth, RCC Slab, Brickwork, Internal Plaster, External Plaster Completed, Flooring upto 19 Floor, Painting upto 18 Floor, Finishing upto 4 Floor Completed</v>
      </c>
      <c r="J76" s="47"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Flooring upto 19 Floor, Painting upto 18 Floor, Finishing upto 4 Floor</v>
      </c>
      <c r="S76"/>
    </row>
    <row r="77" spans="1:19" x14ac:dyDescent="0.25">
      <c r="A77" s="16" t="s">
        <v>138</v>
      </c>
      <c r="B77" s="50">
        <f>IF(AND(ISNUMBER(SEARCH("1B",C76))),1,IF(AND(ISNUMBER(SEARCH("2B",C76))),2,IF(AND(ISNUMBER(SEARCH("3B",C76))),3,IF(AND(ISNUMBER(SEARCH("4B",C76))),4,IF(ISNUMBER(SEARCH("5B",C76)),5,0)))))</f>
        <v>0</v>
      </c>
      <c r="C77" s="50" t="s">
        <v>68</v>
      </c>
      <c r="D77" s="50">
        <v>1</v>
      </c>
      <c r="E77" s="50" t="s">
        <v>67</v>
      </c>
      <c r="F77" s="50">
        <v>0</v>
      </c>
      <c r="G77" s="50" t="s">
        <v>76</v>
      </c>
      <c r="H77" s="17">
        <f ca="1">--TRIM(RIGHT(SUBSTITUTE(LEFT(C76,_xlfn.AGGREGATE(16,6,FIND({0,1,2,3,4,5,6,7,8,9},C76,ROW(INDIRECT("1:"&amp;LEN(C76)))),1))," ",REPT(" ",LEN(C76))),LEN(C76)))</f>
        <v>21</v>
      </c>
      <c r="I77" s="48" t="str">
        <f ca="1">IF(D80=100%,"Excavation","")&amp;IF(D81=100%,", Plinth","")&amp;IF(D82=100%,", RCC Slab","")&amp;IF(D83=100%,", Brickwork","")&amp;IF(D84=100%,", Internal Plaster","")&amp;IF(D85=100%,", External Plaster","")&amp;IF(D86=100%,", Flooring","")&amp;IF(D87=100%,", Painting","")&amp;IF(D88=100%,", Building common Amenities","")</f>
        <v>Excavation, Plinth, RCC Slab, Brickwork, Internal Plaster, External Plaster</v>
      </c>
      <c r="J77" s="49"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47.25" customHeight="1" x14ac:dyDescent="0.25">
      <c r="A78" s="168" t="s">
        <v>86</v>
      </c>
      <c r="B78" s="169"/>
      <c r="C78" s="208" t="str">
        <f ca="1">I76</f>
        <v>Excavation, Plinth, RCC Slab, Brickwork, Internal Plaster, External Plaster Completed, Flooring upto 19 Floor, Painting upto 18 Floor, Finishing upto 4 Floor Completed</v>
      </c>
      <c r="D78" s="208"/>
      <c r="E78" s="208"/>
      <c r="F78" s="208"/>
      <c r="G78" s="208"/>
      <c r="H78" s="209"/>
      <c r="I78" s="48" t="str">
        <f ca="1">IF(I77&lt;&gt;""," Completed","")</f>
        <v xml:space="preserve"> Completed</v>
      </c>
      <c r="J78" s="49" t="str">
        <f ca="1">IF(J76&lt;&gt;"","Completed","")</f>
        <v>Completed</v>
      </c>
      <c r="S78"/>
    </row>
    <row r="79" spans="1:19" ht="15.75" customHeight="1" x14ac:dyDescent="0.25">
      <c r="A79" s="131" t="s">
        <v>46</v>
      </c>
      <c r="B79" s="132"/>
      <c r="C79" s="87" t="s">
        <v>135</v>
      </c>
      <c r="D79" s="87" t="s">
        <v>79</v>
      </c>
      <c r="E79" s="132" t="s">
        <v>81</v>
      </c>
      <c r="F79" s="132"/>
      <c r="G79" s="132" t="s">
        <v>80</v>
      </c>
      <c r="H79" s="146"/>
      <c r="I79" s="13" t="s">
        <v>137</v>
      </c>
      <c r="J79" s="28">
        <f ca="1">H77*25%</f>
        <v>5.25</v>
      </c>
      <c r="S79"/>
    </row>
    <row r="80" spans="1:19" x14ac:dyDescent="0.25">
      <c r="A80" s="131" t="s">
        <v>124</v>
      </c>
      <c r="B80" s="132"/>
      <c r="C80" s="87">
        <f ca="1">J81</f>
        <v>21</v>
      </c>
      <c r="D80" s="88">
        <f ca="1">((100/H77)*C80)/100</f>
        <v>1</v>
      </c>
      <c r="E80" s="248">
        <f ca="1">(((C81/H77*10)+(40/(D77+F77+H77)*C82)+(7.5/(H77)*C83)+(7.5/(H77)*C84)+(10/H77*C85)+(10/H77*C86)+(5/H77*C87)+(5/H77*C88)+(5/H77*C89))/100)</f>
        <v>0.8928571428571429</v>
      </c>
      <c r="F80" s="249"/>
      <c r="G80" s="248">
        <f ca="1">((((C80/H77)*20)+((C81/H77)*25)+(30/(H77+F77+D77)*C82)+(5/H77*C83)+(5/H77*C84)+(5/H77*C85)+(5/H77*C86)+(0/H77*C87)+(0/H77*C88)+(5/H77*C89))/100)</f>
        <v>0.94523809523809521</v>
      </c>
      <c r="H80" s="254"/>
      <c r="I80" s="13" t="s">
        <v>97</v>
      </c>
      <c r="J80" s="29">
        <f ca="1">H77*50%</f>
        <v>10.5</v>
      </c>
    </row>
    <row r="81" spans="1:19" x14ac:dyDescent="0.25">
      <c r="A81" s="131" t="s">
        <v>47</v>
      </c>
      <c r="B81" s="132"/>
      <c r="C81" s="87">
        <f ca="1">J89</f>
        <v>21</v>
      </c>
      <c r="D81" s="88">
        <f ca="1">((100/H77)*C81)/100</f>
        <v>1</v>
      </c>
      <c r="E81" s="250"/>
      <c r="F81" s="251"/>
      <c r="G81" s="250"/>
      <c r="H81" s="255"/>
      <c r="I81" s="13" t="s">
        <v>98</v>
      </c>
      <c r="J81" s="29">
        <f ca="1">H77</f>
        <v>21</v>
      </c>
      <c r="S81"/>
    </row>
    <row r="82" spans="1:19" ht="15.75" customHeight="1" x14ac:dyDescent="0.25">
      <c r="A82" s="131" t="s">
        <v>125</v>
      </c>
      <c r="B82" s="132"/>
      <c r="C82" s="87">
        <v>22</v>
      </c>
      <c r="D82" s="88">
        <f ca="1">((100/(D77+F77+H77))*C82)/100</f>
        <v>1.0000000000000002</v>
      </c>
      <c r="E82" s="250"/>
      <c r="F82" s="251"/>
      <c r="G82" s="250"/>
      <c r="H82" s="255"/>
      <c r="I82" s="13" t="s">
        <v>99</v>
      </c>
      <c r="J82" s="30">
        <f ca="1">(IF(B77&gt;1,(H77/(B77+2)),H77/4))</f>
        <v>5.25</v>
      </c>
      <c r="S82"/>
    </row>
    <row r="83" spans="1:19" ht="15.75" customHeight="1" x14ac:dyDescent="0.25">
      <c r="A83" s="131" t="s">
        <v>132</v>
      </c>
      <c r="B83" s="132" t="s">
        <v>126</v>
      </c>
      <c r="C83" s="87">
        <v>21</v>
      </c>
      <c r="D83" s="88">
        <f ca="1">((100/H77)*C83)/100</f>
        <v>1</v>
      </c>
      <c r="E83" s="250"/>
      <c r="F83" s="251"/>
      <c r="G83" s="250"/>
      <c r="H83" s="255"/>
      <c r="I83" s="13" t="s">
        <v>100</v>
      </c>
      <c r="J83" s="30">
        <f ca="1">(IF(B77&gt;1,(H77/(B77+2)+J82),H77/4+J82))</f>
        <v>10.5</v>
      </c>
    </row>
    <row r="84" spans="1:19" ht="15.75" customHeight="1" x14ac:dyDescent="0.25">
      <c r="A84" s="131" t="s">
        <v>133</v>
      </c>
      <c r="B84" s="132" t="s">
        <v>126</v>
      </c>
      <c r="C84" s="87">
        <v>21</v>
      </c>
      <c r="D84" s="88">
        <f ca="1">((100/H77)*C84)/100</f>
        <v>1</v>
      </c>
      <c r="E84" s="250"/>
      <c r="F84" s="251"/>
      <c r="G84" s="250"/>
      <c r="H84" s="255"/>
      <c r="I84" s="13" t="s">
        <v>142</v>
      </c>
      <c r="J84" s="30">
        <f>(IF(B77&gt;1,(H77/(B77+2)+J83),0))</f>
        <v>0</v>
      </c>
    </row>
    <row r="85" spans="1:19" ht="15" customHeight="1" x14ac:dyDescent="0.25">
      <c r="A85" s="131" t="s">
        <v>131</v>
      </c>
      <c r="B85" s="132" t="s">
        <v>128</v>
      </c>
      <c r="C85" s="87">
        <v>21</v>
      </c>
      <c r="D85" s="88">
        <f ca="1">((100/(H77))*C85)/100</f>
        <v>1</v>
      </c>
      <c r="E85" s="250"/>
      <c r="F85" s="251"/>
      <c r="G85" s="250"/>
      <c r="H85" s="255"/>
      <c r="I85" s="13" t="s">
        <v>139</v>
      </c>
      <c r="J85" s="30">
        <f>(IF(B77&gt;2,(H77/(B77+2)+J84),0))</f>
        <v>0</v>
      </c>
    </row>
    <row r="86" spans="1:19" ht="15.75" customHeight="1" x14ac:dyDescent="0.25">
      <c r="A86" s="131" t="s">
        <v>127</v>
      </c>
      <c r="B86" s="132" t="s">
        <v>127</v>
      </c>
      <c r="C86" s="87">
        <v>19</v>
      </c>
      <c r="D86" s="88">
        <f ca="1">((100/H77)*C86)/100</f>
        <v>0.90476190476190477</v>
      </c>
      <c r="E86" s="250"/>
      <c r="F86" s="251"/>
      <c r="G86" s="250"/>
      <c r="H86" s="255"/>
      <c r="I86" s="13" t="s">
        <v>140</v>
      </c>
      <c r="J86" s="31">
        <f>(IF(B77&gt;3,(H77/(B77+2)+J85),0))</f>
        <v>0</v>
      </c>
    </row>
    <row r="87" spans="1:19" ht="15.75" customHeight="1" x14ac:dyDescent="0.25">
      <c r="A87" s="131" t="s">
        <v>134</v>
      </c>
      <c r="B87" s="132"/>
      <c r="C87" s="87">
        <v>18</v>
      </c>
      <c r="D87" s="88">
        <f ca="1">((100/H77)*C87)/100</f>
        <v>0.8571428571428571</v>
      </c>
      <c r="E87" s="250"/>
      <c r="F87" s="251"/>
      <c r="G87" s="250"/>
      <c r="H87" s="255"/>
      <c r="I87" s="13" t="s">
        <v>141</v>
      </c>
      <c r="J87" s="30">
        <f>(IF(B77&gt;4,(H77/(B77+2)+J86),0))</f>
        <v>0</v>
      </c>
    </row>
    <row r="88" spans="1:19" ht="15.75" customHeight="1" x14ac:dyDescent="0.25">
      <c r="A88" s="131" t="s">
        <v>129</v>
      </c>
      <c r="B88" s="132" t="s">
        <v>129</v>
      </c>
      <c r="C88" s="87">
        <v>4</v>
      </c>
      <c r="D88" s="88">
        <f ca="1">((100/(H77))*C88)/100</f>
        <v>0.19047619047619047</v>
      </c>
      <c r="E88" s="250"/>
      <c r="F88" s="251"/>
      <c r="G88" s="250"/>
      <c r="H88" s="255"/>
      <c r="I88" s="13" t="s">
        <v>143</v>
      </c>
      <c r="J88" s="30">
        <f ca="1">(IF(B77=1,(H77/(B77+3)+J83),IF(B77=0,(H77/4+J83),IF(B77&gt;1,0))))</f>
        <v>15.75</v>
      </c>
    </row>
    <row r="89" spans="1:19" ht="16.5" thickBot="1" x14ac:dyDescent="0.3">
      <c r="A89" s="195" t="s">
        <v>130</v>
      </c>
      <c r="B89" s="196"/>
      <c r="C89" s="89">
        <v>0</v>
      </c>
      <c r="D89" s="90">
        <f ca="1">((100/(H77))*C89)/100</f>
        <v>0</v>
      </c>
      <c r="E89" s="252"/>
      <c r="F89" s="253"/>
      <c r="G89" s="252"/>
      <c r="H89" s="256"/>
      <c r="I89" s="15" t="s">
        <v>101</v>
      </c>
      <c r="J89" s="32">
        <f ca="1">(IF(B77&gt;1.5,(H77/(B77+2)+J83+MAX(0,J84-J83)+MAX(0,J85-J84)+MAX(0,J86-J85)+MAX(0,J87-J86)+MAX(0,J88-J87)),IF(B77=1,(H77/(B77+3)+J88),IF(B77=0,H77/4+J88))))</f>
        <v>21</v>
      </c>
    </row>
    <row r="90" spans="1:19" ht="15.75" hidden="1" customHeight="1" x14ac:dyDescent="0.25">
      <c r="A90" s="179" t="s">
        <v>136</v>
      </c>
      <c r="B90" s="180"/>
      <c r="C90" s="181" t="str">
        <f>D67</f>
        <v>B Wing = 1B + G + 1st to 19th Floor</v>
      </c>
      <c r="D90" s="182"/>
      <c r="E90" s="182"/>
      <c r="F90" s="182"/>
      <c r="G90" s="182"/>
      <c r="H90" s="183"/>
      <c r="I90" s="46" t="str">
        <f ca="1">IF(D103=100%,"All work Completed. Possession granted to the Building.",IF(D102=100%,"All work Completed, Waiting for OC",I91&amp;""&amp;I92&amp;""&amp;J91&amp;""&amp;J90&amp;" "&amp;J92))</f>
        <v xml:space="preserve">Excavation, Plinth Completed </v>
      </c>
      <c r="J90" s="47"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c r="S90"/>
    </row>
    <row r="91" spans="1:19" hidden="1" x14ac:dyDescent="0.25">
      <c r="A91" s="16" t="s">
        <v>138</v>
      </c>
      <c r="B91" s="50">
        <f>IF(AND(ISNUMBER(SEARCH("1B",C90))),1,IF(AND(ISNUMBER(SEARCH("2B",C90))),2,IF(AND(ISNUMBER(SEARCH("3B",C90))),3,IF(AND(ISNUMBER(SEARCH("4B",C90))),4,IF(ISNUMBER(SEARCH("5B",C90)),5,0)))))</f>
        <v>1</v>
      </c>
      <c r="C91" s="50" t="s">
        <v>68</v>
      </c>
      <c r="D91" s="50">
        <v>1</v>
      </c>
      <c r="E91" s="50" t="s">
        <v>67</v>
      </c>
      <c r="F91" s="14">
        <v>0</v>
      </c>
      <c r="G91" s="45" t="s">
        <v>76</v>
      </c>
      <c r="H91" s="17">
        <f ca="1">--TRIM(RIGHT(SUBSTITUTE(LEFT(C90,_xlfn.AGGREGATE(16,6,FIND({0,1,2,3,4,5,6,7,8,9},C90,ROW(INDIRECT("1:"&amp;LEN(C90)))),1))," ",REPT(" ",LEN(C90))),LEN(C90)))</f>
        <v>19</v>
      </c>
      <c r="I91" s="48" t="str">
        <f ca="1">IF(D94=100%,"Excavation","")&amp;IF(D95=100%,", Plinth","")&amp;IF(D96=100%,", RCC Slab","")&amp;IF(D97=100%,", Brickwork","")&amp;IF(D98=100%,", Internal Plaster","")&amp;IF(D99=100%,", External Plaster","")&amp;IF(D100=100%,", Flooring","")&amp;IF(D101=100%,", Painting","")&amp;IF(D102=100%,", Building common Amenities","")</f>
        <v>Excavation, Plinth</v>
      </c>
      <c r="J91" s="49"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ht="36.75" hidden="1" customHeight="1" x14ac:dyDescent="0.25">
      <c r="A92" s="168" t="s">
        <v>86</v>
      </c>
      <c r="B92" s="169"/>
      <c r="C92" s="208" t="str">
        <f ca="1">I90</f>
        <v xml:space="preserve">Excavation, Plinth Completed </v>
      </c>
      <c r="D92" s="208"/>
      <c r="E92" s="208"/>
      <c r="F92" s="208"/>
      <c r="G92" s="208"/>
      <c r="H92" s="209"/>
      <c r="I92" s="48" t="str">
        <f ca="1">IF(I91&lt;&gt;""," Completed","")</f>
        <v xml:space="preserve"> Completed</v>
      </c>
      <c r="J92" s="49" t="str">
        <f ca="1">IF(J90&lt;&gt;"","Completed","")</f>
        <v/>
      </c>
      <c r="S92"/>
    </row>
    <row r="93" spans="1:19" ht="15.75" hidden="1" customHeight="1" x14ac:dyDescent="0.25">
      <c r="A93" s="152" t="s">
        <v>46</v>
      </c>
      <c r="B93" s="153"/>
      <c r="C93" s="81" t="s">
        <v>135</v>
      </c>
      <c r="D93" s="81" t="s">
        <v>79</v>
      </c>
      <c r="E93" s="153" t="s">
        <v>81</v>
      </c>
      <c r="F93" s="153"/>
      <c r="G93" s="153" t="s">
        <v>80</v>
      </c>
      <c r="H93" s="184"/>
      <c r="I93" s="13" t="s">
        <v>137</v>
      </c>
      <c r="J93" s="28">
        <f ca="1">H91*25%</f>
        <v>4.75</v>
      </c>
      <c r="S93"/>
    </row>
    <row r="94" spans="1:19" hidden="1" x14ac:dyDescent="0.25">
      <c r="A94" s="152" t="s">
        <v>124</v>
      </c>
      <c r="B94" s="153"/>
      <c r="C94" s="61">
        <f ca="1">J95</f>
        <v>19</v>
      </c>
      <c r="D94" s="19">
        <f ca="1">((100/H91)*C94)/100</f>
        <v>1</v>
      </c>
      <c r="E94" s="173">
        <f ca="1">(((C95/H91*10)+(40/(D91+F91+H91)*C96)+(7.5/(H91)*C97)+(7.5/(H91)*C98)+(10/H91*C99)+(10/H91*C100)+(5/H91*C101)+(5/H91*C102)+(5/H91*C103))/100)</f>
        <v>0.1</v>
      </c>
      <c r="F94" s="174"/>
      <c r="G94" s="173">
        <f ca="1">((((C94/H91)*20)+((C95/H91)*25)+(30/(H91+F91+D91)*C96)+(5/H91*C97)+(5/H91*C98)+(5/H91*C99)+(5/H91*C100)+(0/H91*C101)+(0/H91*C102)+(5/H91*C103))/100)</f>
        <v>0.45</v>
      </c>
      <c r="H94" s="185"/>
      <c r="I94" s="13" t="s">
        <v>97</v>
      </c>
      <c r="J94" s="29">
        <f ca="1">H91*50%</f>
        <v>9.5</v>
      </c>
    </row>
    <row r="95" spans="1:19" hidden="1" x14ac:dyDescent="0.25">
      <c r="A95" s="152" t="s">
        <v>47</v>
      </c>
      <c r="B95" s="153"/>
      <c r="C95" s="81">
        <f ca="1">J103</f>
        <v>19</v>
      </c>
      <c r="D95" s="19">
        <f ca="1">((100/H91)*C95)/100</f>
        <v>1</v>
      </c>
      <c r="E95" s="175"/>
      <c r="F95" s="176"/>
      <c r="G95" s="175"/>
      <c r="H95" s="186"/>
      <c r="I95" s="13" t="s">
        <v>98</v>
      </c>
      <c r="J95" s="29">
        <f ca="1">H91</f>
        <v>19</v>
      </c>
      <c r="S95"/>
    </row>
    <row r="96" spans="1:19" ht="15.75" hidden="1" customHeight="1" x14ac:dyDescent="0.25">
      <c r="A96" s="152" t="s">
        <v>125</v>
      </c>
      <c r="B96" s="153"/>
      <c r="C96" s="81">
        <v>0</v>
      </c>
      <c r="D96" s="19">
        <f ca="1">((100/(D91+F91+H91))*C96)/100</f>
        <v>0</v>
      </c>
      <c r="E96" s="175"/>
      <c r="F96" s="176"/>
      <c r="G96" s="175"/>
      <c r="H96" s="186"/>
      <c r="I96" s="13" t="s">
        <v>99</v>
      </c>
      <c r="J96" s="30">
        <f ca="1">(IF(B91&gt;1,(H91/(B91+2)),H91/4))</f>
        <v>4.75</v>
      </c>
      <c r="S96"/>
    </row>
    <row r="97" spans="1:19" ht="15.75" hidden="1" customHeight="1" x14ac:dyDescent="0.25">
      <c r="A97" s="152" t="s">
        <v>132</v>
      </c>
      <c r="B97" s="153" t="s">
        <v>126</v>
      </c>
      <c r="C97" s="81">
        <v>0</v>
      </c>
      <c r="D97" s="19">
        <f ca="1">((100/H91)*C97)/100</f>
        <v>0</v>
      </c>
      <c r="E97" s="175"/>
      <c r="F97" s="176"/>
      <c r="G97" s="175"/>
      <c r="H97" s="186"/>
      <c r="I97" s="13" t="s">
        <v>100</v>
      </c>
      <c r="J97" s="30">
        <f ca="1">(IF(B91&gt;1,(H91/(B91+2)+J96),H91/4+J96))</f>
        <v>9.5</v>
      </c>
    </row>
    <row r="98" spans="1:19" ht="15.75" hidden="1" customHeight="1" x14ac:dyDescent="0.25">
      <c r="A98" s="152" t="s">
        <v>133</v>
      </c>
      <c r="B98" s="153" t="s">
        <v>126</v>
      </c>
      <c r="C98" s="81">
        <v>0</v>
      </c>
      <c r="D98" s="19">
        <f ca="1">((100/H91)*C98)/100</f>
        <v>0</v>
      </c>
      <c r="E98" s="175"/>
      <c r="F98" s="176"/>
      <c r="G98" s="175"/>
      <c r="H98" s="186"/>
      <c r="I98" s="13" t="s">
        <v>142</v>
      </c>
      <c r="J98" s="30">
        <f>(IF(B91&gt;1,(H91/(B91+2)+J97),0))</f>
        <v>0</v>
      </c>
    </row>
    <row r="99" spans="1:19" ht="15" hidden="1" customHeight="1" x14ac:dyDescent="0.25">
      <c r="A99" s="152" t="s">
        <v>131</v>
      </c>
      <c r="B99" s="153" t="s">
        <v>128</v>
      </c>
      <c r="C99" s="81">
        <v>0</v>
      </c>
      <c r="D99" s="19">
        <f ca="1">((100/(H91))*C99)/100</f>
        <v>0</v>
      </c>
      <c r="E99" s="175"/>
      <c r="F99" s="176"/>
      <c r="G99" s="175"/>
      <c r="H99" s="186"/>
      <c r="I99" s="13" t="s">
        <v>139</v>
      </c>
      <c r="J99" s="30">
        <f>(IF(B91&gt;2,(H91/(B91+2)+J98),0))</f>
        <v>0</v>
      </c>
    </row>
    <row r="100" spans="1:19" ht="15.75" hidden="1" customHeight="1" x14ac:dyDescent="0.25">
      <c r="A100" s="152" t="s">
        <v>127</v>
      </c>
      <c r="B100" s="153" t="s">
        <v>127</v>
      </c>
      <c r="C100" s="81">
        <v>0</v>
      </c>
      <c r="D100" s="19">
        <f ca="1">((100/H91)*C100)/100</f>
        <v>0</v>
      </c>
      <c r="E100" s="175"/>
      <c r="F100" s="176"/>
      <c r="G100" s="175"/>
      <c r="H100" s="186"/>
      <c r="I100" s="13" t="s">
        <v>140</v>
      </c>
      <c r="J100" s="31">
        <f>(IF(B91&gt;3,(H91/(B91+2)+J99),0))</f>
        <v>0</v>
      </c>
    </row>
    <row r="101" spans="1:19" ht="15.75" hidden="1" customHeight="1" x14ac:dyDescent="0.25">
      <c r="A101" s="152" t="s">
        <v>134</v>
      </c>
      <c r="B101" s="153"/>
      <c r="C101" s="81">
        <v>0</v>
      </c>
      <c r="D101" s="19">
        <f ca="1">((100/H91)*C101)/100</f>
        <v>0</v>
      </c>
      <c r="E101" s="175"/>
      <c r="F101" s="176"/>
      <c r="G101" s="175"/>
      <c r="H101" s="186"/>
      <c r="I101" s="13" t="s">
        <v>141</v>
      </c>
      <c r="J101" s="30">
        <f>(IF(B91&gt;4,(H91/(B91+2)+J100),0))</f>
        <v>0</v>
      </c>
    </row>
    <row r="102" spans="1:19" ht="15.75" hidden="1" customHeight="1" x14ac:dyDescent="0.25">
      <c r="A102" s="152" t="s">
        <v>129</v>
      </c>
      <c r="B102" s="153" t="s">
        <v>129</v>
      </c>
      <c r="C102" s="81">
        <v>0</v>
      </c>
      <c r="D102" s="19">
        <f ca="1">((100/(H91))*C102)/100</f>
        <v>0</v>
      </c>
      <c r="E102" s="175"/>
      <c r="F102" s="176"/>
      <c r="G102" s="175"/>
      <c r="H102" s="186"/>
      <c r="I102" s="13" t="s">
        <v>143</v>
      </c>
      <c r="J102" s="30">
        <f ca="1">(IF(B91=1,(H91/(B91+3)+J97),IF(B91=0,(H91/4+J97),IF(B91&gt;1,0))))</f>
        <v>14.25</v>
      </c>
    </row>
    <row r="103" spans="1:19" ht="16.5" hidden="1" thickBot="1" x14ac:dyDescent="0.3">
      <c r="A103" s="156" t="s">
        <v>130</v>
      </c>
      <c r="B103" s="157"/>
      <c r="C103" s="80">
        <v>0</v>
      </c>
      <c r="D103" s="20">
        <f ca="1">((100/(H91))*C103)/100</f>
        <v>0</v>
      </c>
      <c r="E103" s="177"/>
      <c r="F103" s="178"/>
      <c r="G103" s="177"/>
      <c r="H103" s="187"/>
      <c r="I103" s="15" t="s">
        <v>101</v>
      </c>
      <c r="J103" s="32">
        <f ca="1">(IF(B91&gt;1.5,(H91/(B91+2)+J97+MAX(0,J98-J97)+MAX(0,J99-J98)+MAX(0,J100-J99)+MAX(0,J101-J100)+MAX(0,J102-J101)),IF(B91=1,(H91/(B91+3)+J102),IF(B91=0,H91/4+J102))))</f>
        <v>19</v>
      </c>
    </row>
    <row r="104" spans="1:19" ht="15.75" hidden="1" customHeight="1" x14ac:dyDescent="0.25">
      <c r="A104" s="179" t="s">
        <v>136</v>
      </c>
      <c r="B104" s="180"/>
      <c r="C104" s="181" t="str">
        <f>D68</f>
        <v>C Wing = 1B + G + 1st to 20th Floor</v>
      </c>
      <c r="D104" s="182"/>
      <c r="E104" s="182"/>
      <c r="F104" s="182"/>
      <c r="G104" s="182"/>
      <c r="H104" s="183"/>
      <c r="I104" s="46" t="str">
        <f ca="1">IF(D117=100%,"All work Completed. Possession granted to the Building.",IF(D116=100%,"All work Completed, Waiting for OC",I105&amp;""&amp;I106&amp;""&amp;J105&amp;""&amp;J104&amp;" "&amp;J106))</f>
        <v xml:space="preserve">Excavation, Plinth Completed </v>
      </c>
      <c r="J104" s="47"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c r="S104"/>
    </row>
    <row r="105" spans="1:19" hidden="1" x14ac:dyDescent="0.25">
      <c r="A105" s="16" t="s">
        <v>138</v>
      </c>
      <c r="B105" s="50">
        <f>IF(AND(ISNUMBER(SEARCH("1B",C104))),1,IF(AND(ISNUMBER(SEARCH("2B",C104))),2,IF(AND(ISNUMBER(SEARCH("3B",C104))),3,IF(AND(ISNUMBER(SEARCH("4B",C104))),4,IF(ISNUMBER(SEARCH("5B",C104)),5,0)))))</f>
        <v>1</v>
      </c>
      <c r="C105" s="50" t="s">
        <v>68</v>
      </c>
      <c r="D105" s="50">
        <v>1</v>
      </c>
      <c r="E105" s="50" t="s">
        <v>67</v>
      </c>
      <c r="F105" s="14">
        <v>0</v>
      </c>
      <c r="G105" s="45" t="s">
        <v>76</v>
      </c>
      <c r="H105" s="17">
        <f ca="1">--TRIM(RIGHT(SUBSTITUTE(LEFT(C104,_xlfn.AGGREGATE(16,6,FIND({0,1,2,3,4,5,6,7,8,9},C104,ROW(INDIRECT("1:"&amp;LEN(C104)))),1))," ",REPT(" ",LEN(C104))),LEN(C104)))</f>
        <v>20</v>
      </c>
      <c r="I105" s="48" t="str">
        <f ca="1">IF(D108=100%,"Excavation","")&amp;IF(D109=100%,", Plinth","")&amp;IF(D110=100%,", RCC Slab","")&amp;IF(D111=100%,", Brickwork","")&amp;IF(D112=100%,", Internal Plaster","")&amp;IF(D113=100%,", External Plaster","")&amp;IF(D114=100%,", Flooring","")&amp;IF(D115=100%,", Painting","")&amp;IF(D116=100%,", Building common Amenities","")</f>
        <v>Excavation, Plinth</v>
      </c>
      <c r="J105" s="49"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c r="S105"/>
    </row>
    <row r="106" spans="1:19" ht="36.75" hidden="1" customHeight="1" x14ac:dyDescent="0.25">
      <c r="A106" s="168" t="s">
        <v>86</v>
      </c>
      <c r="B106" s="169"/>
      <c r="C106" s="208" t="str">
        <f ca="1">I104</f>
        <v xml:space="preserve">Excavation, Plinth Completed </v>
      </c>
      <c r="D106" s="208"/>
      <c r="E106" s="208"/>
      <c r="F106" s="208"/>
      <c r="G106" s="208"/>
      <c r="H106" s="209"/>
      <c r="I106" s="48" t="str">
        <f ca="1">IF(I105&lt;&gt;""," Completed","")</f>
        <v xml:space="preserve"> Completed</v>
      </c>
      <c r="J106" s="49" t="str">
        <f ca="1">IF(J104&lt;&gt;"","Completed","")</f>
        <v/>
      </c>
      <c r="S106"/>
    </row>
    <row r="107" spans="1:19" ht="15.75" hidden="1" customHeight="1" x14ac:dyDescent="0.25">
      <c r="A107" s="152" t="s">
        <v>46</v>
      </c>
      <c r="B107" s="153"/>
      <c r="C107" s="81" t="s">
        <v>135</v>
      </c>
      <c r="D107" s="81" t="s">
        <v>79</v>
      </c>
      <c r="E107" s="153" t="s">
        <v>81</v>
      </c>
      <c r="F107" s="153"/>
      <c r="G107" s="153" t="s">
        <v>80</v>
      </c>
      <c r="H107" s="184"/>
      <c r="I107" s="13" t="s">
        <v>137</v>
      </c>
      <c r="J107" s="28">
        <f ca="1">H105*25%</f>
        <v>5</v>
      </c>
      <c r="S107"/>
    </row>
    <row r="108" spans="1:19" hidden="1" x14ac:dyDescent="0.25">
      <c r="A108" s="152" t="s">
        <v>124</v>
      </c>
      <c r="B108" s="153"/>
      <c r="C108" s="61">
        <f ca="1">J109</f>
        <v>20</v>
      </c>
      <c r="D108" s="19">
        <f ca="1">((100/H105)*C108)/100</f>
        <v>1</v>
      </c>
      <c r="E108" s="173">
        <f ca="1">(((C109/H105*10)+(40/(D105+F105+H105)*C110)+(7.5/(H105)*C111)+(7.5/(H105)*C112)+(10/H105*C113)+(10/H105*C114)+(5/H105*C115)+(5/H105*C116)+(5/H105*C117))/100)</f>
        <v>0.1</v>
      </c>
      <c r="F108" s="174"/>
      <c r="G108" s="173">
        <f ca="1">((((C108/H105)*20)+((C109/H105)*25)+(30/(H105+F105+D105)*C110)+(5/H105*C111)+(5/H105*C112)+(5/H105*C113)+(5/H105*C114)+(0/H105*C115)+(0/H105*C116)+(5/H105*C117))/100)</f>
        <v>0.45</v>
      </c>
      <c r="H108" s="185"/>
      <c r="I108" s="13" t="s">
        <v>97</v>
      </c>
      <c r="J108" s="29">
        <f ca="1">H105*50%</f>
        <v>10</v>
      </c>
    </row>
    <row r="109" spans="1:19" hidden="1" x14ac:dyDescent="0.25">
      <c r="A109" s="152" t="s">
        <v>47</v>
      </c>
      <c r="B109" s="153"/>
      <c r="C109" s="81">
        <f ca="1">J117</f>
        <v>20</v>
      </c>
      <c r="D109" s="19">
        <f ca="1">((100/H105)*C109)/100</f>
        <v>1</v>
      </c>
      <c r="E109" s="175"/>
      <c r="F109" s="176"/>
      <c r="G109" s="175"/>
      <c r="H109" s="186"/>
      <c r="I109" s="13" t="s">
        <v>98</v>
      </c>
      <c r="J109" s="29">
        <f ca="1">H105</f>
        <v>20</v>
      </c>
      <c r="S109"/>
    </row>
    <row r="110" spans="1:19" ht="15.75" hidden="1" customHeight="1" x14ac:dyDescent="0.25">
      <c r="A110" s="152" t="s">
        <v>125</v>
      </c>
      <c r="B110" s="153"/>
      <c r="C110" s="81">
        <v>0</v>
      </c>
      <c r="D110" s="19">
        <f ca="1">((100/(D105+F105+H105))*C110)/100</f>
        <v>0</v>
      </c>
      <c r="E110" s="175"/>
      <c r="F110" s="176"/>
      <c r="G110" s="175"/>
      <c r="H110" s="186"/>
      <c r="I110" s="13" t="s">
        <v>99</v>
      </c>
      <c r="J110" s="30">
        <f ca="1">(IF(B105&gt;1,(H105/(B105+2)),H105/4))</f>
        <v>5</v>
      </c>
      <c r="S110"/>
    </row>
    <row r="111" spans="1:19" ht="15.75" hidden="1" customHeight="1" x14ac:dyDescent="0.25">
      <c r="A111" s="152" t="s">
        <v>132</v>
      </c>
      <c r="B111" s="153" t="s">
        <v>126</v>
      </c>
      <c r="C111" s="81">
        <v>0</v>
      </c>
      <c r="D111" s="19">
        <f ca="1">((100/H105)*C111)/100</f>
        <v>0</v>
      </c>
      <c r="E111" s="175"/>
      <c r="F111" s="176"/>
      <c r="G111" s="175"/>
      <c r="H111" s="186"/>
      <c r="I111" s="13" t="s">
        <v>100</v>
      </c>
      <c r="J111" s="30">
        <f ca="1">(IF(B105&gt;1,(H105/(B105+2)+J110),H105/4+J110))</f>
        <v>10</v>
      </c>
    </row>
    <row r="112" spans="1:19" ht="15.75" hidden="1" customHeight="1" x14ac:dyDescent="0.25">
      <c r="A112" s="152" t="s">
        <v>133</v>
      </c>
      <c r="B112" s="153" t="s">
        <v>126</v>
      </c>
      <c r="C112" s="81">
        <v>0</v>
      </c>
      <c r="D112" s="19">
        <f ca="1">((100/H105)*C112)/100</f>
        <v>0</v>
      </c>
      <c r="E112" s="175"/>
      <c r="F112" s="176"/>
      <c r="G112" s="175"/>
      <c r="H112" s="186"/>
      <c r="I112" s="13" t="s">
        <v>142</v>
      </c>
      <c r="J112" s="30">
        <f>(IF(B105&gt;1,(H105/(B105+2)+J111),0))</f>
        <v>0</v>
      </c>
    </row>
    <row r="113" spans="1:22" ht="15" hidden="1" customHeight="1" x14ac:dyDescent="0.25">
      <c r="A113" s="152" t="s">
        <v>131</v>
      </c>
      <c r="B113" s="153" t="s">
        <v>128</v>
      </c>
      <c r="C113" s="81">
        <v>0</v>
      </c>
      <c r="D113" s="19">
        <f ca="1">((100/(H105))*C113)/100</f>
        <v>0</v>
      </c>
      <c r="E113" s="175"/>
      <c r="F113" s="176"/>
      <c r="G113" s="175"/>
      <c r="H113" s="186"/>
      <c r="I113" s="13" t="s">
        <v>139</v>
      </c>
      <c r="J113" s="30">
        <f>(IF(B105&gt;2,(H105/(B105+2)+J112),0))</f>
        <v>0</v>
      </c>
    </row>
    <row r="114" spans="1:22" ht="15.75" hidden="1" customHeight="1" x14ac:dyDescent="0.25">
      <c r="A114" s="152" t="s">
        <v>127</v>
      </c>
      <c r="B114" s="153" t="s">
        <v>127</v>
      </c>
      <c r="C114" s="81">
        <v>0</v>
      </c>
      <c r="D114" s="19">
        <f ca="1">((100/H105)*C114)/100</f>
        <v>0</v>
      </c>
      <c r="E114" s="175"/>
      <c r="F114" s="176"/>
      <c r="G114" s="175"/>
      <c r="H114" s="186"/>
      <c r="I114" s="13" t="s">
        <v>140</v>
      </c>
      <c r="J114" s="31">
        <f>(IF(B105&gt;3,(H105/(B105+2)+J113),0))</f>
        <v>0</v>
      </c>
    </row>
    <row r="115" spans="1:22" ht="15.75" hidden="1" customHeight="1" x14ac:dyDescent="0.25">
      <c r="A115" s="152" t="s">
        <v>134</v>
      </c>
      <c r="B115" s="153"/>
      <c r="C115" s="81">
        <v>0</v>
      </c>
      <c r="D115" s="19">
        <f ca="1">((100/H105)*C115)/100</f>
        <v>0</v>
      </c>
      <c r="E115" s="175"/>
      <c r="F115" s="176"/>
      <c r="G115" s="175"/>
      <c r="H115" s="186"/>
      <c r="I115" s="13" t="s">
        <v>141</v>
      </c>
      <c r="J115" s="30">
        <f>(IF(B105&gt;4,(H105/(B105+2)+J114),0))</f>
        <v>0</v>
      </c>
    </row>
    <row r="116" spans="1:22" ht="15.75" hidden="1" customHeight="1" x14ac:dyDescent="0.25">
      <c r="A116" s="152" t="s">
        <v>129</v>
      </c>
      <c r="B116" s="153" t="s">
        <v>129</v>
      </c>
      <c r="C116" s="81">
        <v>0</v>
      </c>
      <c r="D116" s="19">
        <f ca="1">((100/(H105))*C116)/100</f>
        <v>0</v>
      </c>
      <c r="E116" s="175"/>
      <c r="F116" s="176"/>
      <c r="G116" s="175"/>
      <c r="H116" s="186"/>
      <c r="I116" s="13" t="s">
        <v>143</v>
      </c>
      <c r="J116" s="30">
        <f ca="1">(IF(B105=1,(H105/(B105+3)+J111),IF(B105=0,(H105/4+J111),IF(B105&gt;1,0))))</f>
        <v>15</v>
      </c>
    </row>
    <row r="117" spans="1:22" ht="16.5" hidden="1" thickBot="1" x14ac:dyDescent="0.3">
      <c r="A117" s="156" t="s">
        <v>130</v>
      </c>
      <c r="B117" s="157"/>
      <c r="C117" s="80">
        <v>0</v>
      </c>
      <c r="D117" s="20">
        <f ca="1">((100/(H105))*C117)/100</f>
        <v>0</v>
      </c>
      <c r="E117" s="177"/>
      <c r="F117" s="178"/>
      <c r="G117" s="177"/>
      <c r="H117" s="187"/>
      <c r="I117" s="15" t="s">
        <v>101</v>
      </c>
      <c r="J117" s="32">
        <f ca="1">(IF(B105&gt;1.5,(H105/(B105+2)+J111+MAX(0,J112-J111)+MAX(0,J113-J112)+MAX(0,J114-J113)+MAX(0,J115-J114)+MAX(0,J116-J115)),IF(B105=1,(H105/(B105+3)+J116),IF(B105=0,H105/4+J116))))</f>
        <v>20</v>
      </c>
    </row>
    <row r="118" spans="1:22" x14ac:dyDescent="0.25">
      <c r="A118" s="194" t="s">
        <v>153</v>
      </c>
      <c r="B118" s="194"/>
      <c r="C118" s="194"/>
      <c r="D118" s="194"/>
      <c r="E118" s="194"/>
      <c r="F118" s="165" t="s">
        <v>157</v>
      </c>
      <c r="G118" s="165"/>
      <c r="H118" s="165"/>
      <c r="R118" t="s">
        <v>254</v>
      </c>
      <c r="S118" t="s">
        <v>170</v>
      </c>
      <c r="T118" t="s">
        <v>179</v>
      </c>
      <c r="U118" t="s">
        <v>193</v>
      </c>
      <c r="V118" t="s">
        <v>188</v>
      </c>
    </row>
    <row r="119" spans="1:22" x14ac:dyDescent="0.25">
      <c r="A119" s="115" t="s">
        <v>155</v>
      </c>
      <c r="B119" s="115"/>
      <c r="C119" s="115"/>
      <c r="D119" s="115"/>
      <c r="E119" s="115"/>
      <c r="F119" s="138">
        <v>16000</v>
      </c>
      <c r="G119" s="138"/>
      <c r="H119" s="138"/>
      <c r="I119" s="21" t="s">
        <v>409</v>
      </c>
      <c r="R119"/>
      <c r="S119">
        <v>800000</v>
      </c>
      <c r="T119">
        <v>150000</v>
      </c>
      <c r="U119">
        <v>100000</v>
      </c>
      <c r="V119">
        <v>100000</v>
      </c>
    </row>
    <row r="120" spans="1:22" x14ac:dyDescent="0.25">
      <c r="A120" s="115" t="s">
        <v>154</v>
      </c>
      <c r="B120" s="115"/>
      <c r="C120" s="115"/>
      <c r="D120" s="115"/>
      <c r="E120" s="115"/>
      <c r="F120" s="138">
        <v>25000</v>
      </c>
      <c r="G120" s="138"/>
      <c r="H120" s="138"/>
      <c r="J120" s="24">
        <f>valuation!G5</f>
        <v>16038.359788359787</v>
      </c>
      <c r="R120"/>
      <c r="S120">
        <v>900000</v>
      </c>
      <c r="T120">
        <v>200000</v>
      </c>
      <c r="U120">
        <v>150000</v>
      </c>
      <c r="V120">
        <v>150000</v>
      </c>
    </row>
    <row r="121" spans="1:22" x14ac:dyDescent="0.25">
      <c r="A121" s="115" t="s">
        <v>156</v>
      </c>
      <c r="B121" s="115"/>
      <c r="C121" s="115"/>
      <c r="D121" s="115"/>
      <c r="E121" s="115"/>
      <c r="F121" s="138">
        <v>23000</v>
      </c>
      <c r="G121" s="138"/>
      <c r="H121" s="138"/>
      <c r="R121"/>
      <c r="S121">
        <v>1000000</v>
      </c>
      <c r="T121">
        <v>250000</v>
      </c>
      <c r="U121">
        <v>200000</v>
      </c>
      <c r="V121">
        <v>200000</v>
      </c>
    </row>
    <row r="122" spans="1:22" s="33" customFormat="1" hidden="1" x14ac:dyDescent="0.25">
      <c r="A122" s="115" t="s">
        <v>173</v>
      </c>
      <c r="B122" s="115"/>
      <c r="C122" s="115"/>
      <c r="D122" s="115"/>
      <c r="E122" s="115"/>
      <c r="F122" s="138"/>
      <c r="G122" s="138"/>
      <c r="H122" s="138"/>
      <c r="R122"/>
      <c r="S122">
        <v>1100000</v>
      </c>
      <c r="T122">
        <v>300000</v>
      </c>
      <c r="U122">
        <v>250000</v>
      </c>
      <c r="V122" s="23">
        <v>250000</v>
      </c>
    </row>
    <row r="123" spans="1:22" s="33" customFormat="1" hidden="1" x14ac:dyDescent="0.25">
      <c r="A123" s="115" t="s">
        <v>91</v>
      </c>
      <c r="B123" s="115"/>
      <c r="C123" s="115"/>
      <c r="D123" s="115"/>
      <c r="E123" s="115"/>
      <c r="F123" s="138"/>
      <c r="G123" s="138"/>
      <c r="H123" s="138"/>
      <c r="R123"/>
      <c r="S123">
        <v>1200000</v>
      </c>
      <c r="T123">
        <v>350000</v>
      </c>
      <c r="U123">
        <v>300000</v>
      </c>
      <c r="V123">
        <v>300000</v>
      </c>
    </row>
    <row r="124" spans="1:22" s="33" customFormat="1" hidden="1" x14ac:dyDescent="0.25">
      <c r="A124" s="115" t="s">
        <v>92</v>
      </c>
      <c r="B124" s="115"/>
      <c r="C124" s="115"/>
      <c r="D124" s="115"/>
      <c r="E124" s="115"/>
      <c r="F124" s="138"/>
      <c r="G124" s="138"/>
      <c r="H124" s="138"/>
      <c r="R124"/>
      <c r="S124">
        <v>1300000</v>
      </c>
      <c r="T124">
        <v>400000</v>
      </c>
      <c r="U124">
        <v>350000</v>
      </c>
      <c r="V124" s="23">
        <v>400000</v>
      </c>
    </row>
    <row r="125" spans="1:22" s="33" customFormat="1" hidden="1" x14ac:dyDescent="0.25">
      <c r="A125" s="115" t="s">
        <v>93</v>
      </c>
      <c r="B125" s="115"/>
      <c r="C125" s="115"/>
      <c r="D125" s="115"/>
      <c r="E125" s="115"/>
      <c r="F125" s="138"/>
      <c r="G125" s="138"/>
      <c r="H125" s="138"/>
      <c r="R125"/>
      <c r="S125">
        <v>1400000</v>
      </c>
      <c r="T125">
        <v>500000</v>
      </c>
      <c r="U125">
        <v>400000</v>
      </c>
      <c r="V125"/>
    </row>
    <row r="126" spans="1:22" s="33" customFormat="1" hidden="1" x14ac:dyDescent="0.25">
      <c r="A126" s="115" t="s">
        <v>94</v>
      </c>
      <c r="B126" s="115"/>
      <c r="C126" s="115"/>
      <c r="D126" s="115"/>
      <c r="E126" s="115"/>
      <c r="F126" s="138"/>
      <c r="G126" s="138"/>
      <c r="H126" s="138"/>
      <c r="R126"/>
      <c r="S126">
        <v>1500000</v>
      </c>
      <c r="T126">
        <v>600000</v>
      </c>
      <c r="U126">
        <v>500000</v>
      </c>
      <c r="V126" s="23"/>
    </row>
    <row r="127" spans="1:22" s="33" customFormat="1" hidden="1" x14ac:dyDescent="0.25">
      <c r="A127" s="115" t="s">
        <v>95</v>
      </c>
      <c r="B127" s="115"/>
      <c r="C127" s="115"/>
      <c r="D127" s="115"/>
      <c r="E127" s="115"/>
      <c r="F127" s="138"/>
      <c r="G127" s="138"/>
      <c r="H127" s="138"/>
      <c r="R127"/>
      <c r="S127">
        <v>1600000</v>
      </c>
      <c r="T127">
        <v>700000</v>
      </c>
      <c r="U127">
        <v>600000</v>
      </c>
      <c r="V127"/>
    </row>
    <row r="128" spans="1:22" s="33" customFormat="1" hidden="1" x14ac:dyDescent="0.25">
      <c r="A128" s="115" t="s">
        <v>96</v>
      </c>
      <c r="B128" s="115"/>
      <c r="C128" s="115"/>
      <c r="D128" s="115"/>
      <c r="E128" s="115"/>
      <c r="F128" s="138"/>
      <c r="G128" s="138"/>
      <c r="H128" s="138"/>
      <c r="R128"/>
      <c r="S128">
        <v>1700000</v>
      </c>
      <c r="T128">
        <v>800000</v>
      </c>
      <c r="U128"/>
      <c r="V128" s="23"/>
    </row>
    <row r="129" spans="1:22" x14ac:dyDescent="0.25">
      <c r="A129" s="115" t="s">
        <v>48</v>
      </c>
      <c r="B129" s="115"/>
      <c r="C129" s="115"/>
      <c r="D129" s="115"/>
      <c r="E129" s="115"/>
      <c r="F129" s="138">
        <v>800000</v>
      </c>
      <c r="G129" s="138"/>
      <c r="H129" s="138"/>
      <c r="R129"/>
      <c r="S129">
        <v>1800000</v>
      </c>
      <c r="T129">
        <v>900000</v>
      </c>
      <c r="U129"/>
    </row>
    <row r="130" spans="1:22" s="34" customFormat="1" x14ac:dyDescent="0.25">
      <c r="A130" s="191" t="s">
        <v>49</v>
      </c>
      <c r="B130" s="191"/>
      <c r="C130" s="191"/>
      <c r="D130" s="191"/>
      <c r="E130" s="191"/>
      <c r="F130" s="192">
        <f>F119*0.8</f>
        <v>12800</v>
      </c>
      <c r="G130" s="192"/>
      <c r="H130" s="192"/>
      <c r="R130" s="21"/>
      <c r="S130" s="21"/>
      <c r="T130">
        <v>1000000</v>
      </c>
      <c r="U130"/>
      <c r="V130" s="21"/>
    </row>
    <row r="131" spans="1:22" s="35" customFormat="1" ht="15.75" customHeight="1" x14ac:dyDescent="0.25">
      <c r="A131" s="190" t="s">
        <v>71</v>
      </c>
      <c r="B131" s="190"/>
      <c r="C131" s="190"/>
      <c r="D131" s="190"/>
      <c r="E131" s="190"/>
      <c r="F131" s="190"/>
      <c r="G131" s="190"/>
      <c r="H131" s="190"/>
      <c r="R131"/>
      <c r="S131" s="21"/>
      <c r="T131"/>
      <c r="U131"/>
      <c r="V131" s="21"/>
    </row>
    <row r="132" spans="1:22" s="35" customFormat="1" ht="15.75" customHeight="1" x14ac:dyDescent="0.25">
      <c r="A132" s="140" t="s">
        <v>50</v>
      </c>
      <c r="B132" s="140"/>
      <c r="C132" s="141" t="s">
        <v>74</v>
      </c>
      <c r="D132" s="141"/>
      <c r="E132" s="139" t="s">
        <v>51</v>
      </c>
      <c r="F132" s="139"/>
      <c r="G132" s="140" t="s">
        <v>52</v>
      </c>
      <c r="H132" s="140"/>
      <c r="J132" s="35">
        <f>26000/1.5</f>
        <v>17333.333333333332</v>
      </c>
      <c r="R132"/>
      <c r="S132" s="21"/>
      <c r="T132"/>
      <c r="U132" s="21"/>
      <c r="V132" s="21"/>
    </row>
    <row r="133" spans="1:22" s="35" customFormat="1" x14ac:dyDescent="0.25">
      <c r="A133" s="171" t="s">
        <v>379</v>
      </c>
      <c r="B133" s="91" t="s">
        <v>396</v>
      </c>
      <c r="C133" s="154">
        <f>COUNT(D148:D154)</f>
        <v>7</v>
      </c>
      <c r="D133" s="155"/>
      <c r="E133" s="154">
        <f>SUM(F148:F154)</f>
        <v>1364.7535668</v>
      </c>
      <c r="F133" s="155"/>
      <c r="G133" s="154">
        <f t="shared" ref="G133" si="0">SUM(H148:H154)</f>
        <v>2047.1303501999996</v>
      </c>
      <c r="H133" s="155"/>
      <c r="R133"/>
      <c r="S133" s="21"/>
      <c r="T133"/>
      <c r="U133" s="21"/>
      <c r="V133" s="21"/>
    </row>
    <row r="134" spans="1:22" s="35" customFormat="1" x14ac:dyDescent="0.25">
      <c r="A134" s="172"/>
      <c r="B134" s="91" t="s">
        <v>397</v>
      </c>
      <c r="C134" s="154">
        <f>COUNT(D157:D160)</f>
        <v>4</v>
      </c>
      <c r="D134" s="155"/>
      <c r="E134" s="154">
        <f>SUM(F157:F160)</f>
        <v>1950.9384023999996</v>
      </c>
      <c r="F134" s="155"/>
      <c r="G134" s="154">
        <f t="shared" ref="G134" si="1">SUM(H157:H160)</f>
        <v>2926.4076035999997</v>
      </c>
      <c r="H134" s="155"/>
      <c r="R134"/>
      <c r="S134" s="21"/>
      <c r="T134"/>
      <c r="U134" s="21"/>
      <c r="V134" s="21"/>
    </row>
    <row r="135" spans="1:22" s="35" customFormat="1" x14ac:dyDescent="0.25">
      <c r="A135" s="190" t="s">
        <v>146</v>
      </c>
      <c r="B135" s="190"/>
      <c r="C135" s="263">
        <f>SUM(C133:D134)</f>
        <v>11</v>
      </c>
      <c r="D135" s="141"/>
      <c r="E135" s="170">
        <f>SUM(E133:F134)</f>
        <v>3315.6919691999997</v>
      </c>
      <c r="F135" s="139"/>
      <c r="G135" s="140">
        <f>SUM(G133:H134)</f>
        <v>4973.5379537999997</v>
      </c>
      <c r="H135" s="140"/>
      <c r="R135"/>
      <c r="S135" s="21"/>
      <c r="T135"/>
      <c r="U135" s="21"/>
      <c r="V135" s="21"/>
    </row>
    <row r="136" spans="1:22" s="35" customFormat="1" x14ac:dyDescent="0.25">
      <c r="A136" s="190" t="s">
        <v>66</v>
      </c>
      <c r="B136" s="190"/>
      <c r="C136" s="190"/>
      <c r="D136" s="190"/>
      <c r="E136" s="190"/>
      <c r="F136" s="190"/>
      <c r="G136" s="190"/>
      <c r="H136" s="190"/>
      <c r="T136"/>
    </row>
    <row r="137" spans="1:22" s="35" customFormat="1" ht="15.75" customHeight="1" x14ac:dyDescent="0.25">
      <c r="A137" s="140" t="s">
        <v>50</v>
      </c>
      <c r="B137" s="140"/>
      <c r="C137" s="141" t="s">
        <v>74</v>
      </c>
      <c r="D137" s="141"/>
      <c r="E137" s="139" t="s">
        <v>51</v>
      </c>
      <c r="F137" s="139"/>
      <c r="G137" s="140" t="s">
        <v>52</v>
      </c>
      <c r="H137" s="140"/>
      <c r="T137"/>
    </row>
    <row r="138" spans="1:22" s="35" customFormat="1" x14ac:dyDescent="0.25">
      <c r="A138" s="171" t="s">
        <v>398</v>
      </c>
      <c r="B138" s="91" t="s">
        <v>383</v>
      </c>
      <c r="C138" s="155">
        <f>COUNT(D166:D168)+COUNT(D171:D173)*17+COUNT(D176,D178)+COUNT(D181)+COUNT(D186,D188)</f>
        <v>59</v>
      </c>
      <c r="D138" s="155"/>
      <c r="E138" s="154">
        <f t="shared" ref="E138" si="2">SUM(F166:F168)+SUM(F171:F173)*17+SUM(F176,F178)+SUM(F181)+SUM(F186,F188)</f>
        <v>21245.843268000001</v>
      </c>
      <c r="F138" s="154"/>
      <c r="G138" s="154">
        <f t="shared" ref="G138" si="3">SUM(H166:H168)+SUM(H171:H173)*17+SUM(H176,H178)+SUM(H181)+SUM(H186,H188)</f>
        <v>31868.764901999992</v>
      </c>
      <c r="H138" s="154"/>
      <c r="T138"/>
    </row>
    <row r="139" spans="1:22" s="35" customFormat="1" x14ac:dyDescent="0.25">
      <c r="A139" s="172"/>
      <c r="B139" s="91" t="s">
        <v>379</v>
      </c>
      <c r="C139" s="155">
        <f>COUNT(D192:D195)*17+COUNT(D197:D198,D200)+COUNT(D202:D203,D205)+COUNT(D207:D208,D210)</f>
        <v>77</v>
      </c>
      <c r="D139" s="155"/>
      <c r="E139" s="154">
        <f t="shared" ref="E139" si="4">SUM(F192:F195)*17+SUM(F197:F198,F200)+SUM(F202:F203,F205)+SUM(F207:F208,F210)</f>
        <v>35904.511421999996</v>
      </c>
      <c r="F139" s="154"/>
      <c r="G139" s="154">
        <f t="shared" ref="G139" si="5">SUM(H192:H195)*17+SUM(H197:H198,H200)+SUM(H202:H203,H205)+SUM(H207:H208,H210)</f>
        <v>53856.767132999987</v>
      </c>
      <c r="H139" s="154"/>
      <c r="T139"/>
    </row>
    <row r="140" spans="1:22" s="35" customFormat="1" ht="16.5" thickBot="1" x14ac:dyDescent="0.3">
      <c r="A140" s="236" t="s">
        <v>146</v>
      </c>
      <c r="B140" s="236"/>
      <c r="C140" s="158">
        <f>SUM(C138:D139)</f>
        <v>136</v>
      </c>
      <c r="D140" s="158"/>
      <c r="E140" s="237">
        <f>SUM(E138:F139)</f>
        <v>57150.354689999993</v>
      </c>
      <c r="F140" s="238"/>
      <c r="G140" s="265">
        <f>SUM(G138:H139)</f>
        <v>85725.532034999982</v>
      </c>
      <c r="H140" s="265"/>
      <c r="T140"/>
    </row>
    <row r="141" spans="1:22" s="35" customFormat="1" x14ac:dyDescent="0.25">
      <c r="A141" s="198" t="s">
        <v>163</v>
      </c>
      <c r="B141" s="199"/>
      <c r="C141" s="200">
        <f>C135+C140</f>
        <v>147</v>
      </c>
      <c r="D141" s="201"/>
      <c r="E141" s="264">
        <f>E135+E140</f>
        <v>60466.046659199994</v>
      </c>
      <c r="F141" s="264"/>
      <c r="G141" s="243">
        <f>G135+G140</f>
        <v>90699.06998879998</v>
      </c>
      <c r="H141" s="244"/>
      <c r="T141"/>
    </row>
    <row r="142" spans="1:22" s="34" customFormat="1" x14ac:dyDescent="0.25">
      <c r="A142" s="167" t="s">
        <v>53</v>
      </c>
      <c r="B142" s="167"/>
      <c r="C142" s="167"/>
      <c r="D142" s="167"/>
      <c r="E142" s="167"/>
      <c r="F142" s="167"/>
      <c r="G142" s="167"/>
      <c r="H142" s="167"/>
      <c r="T142" s="35"/>
    </row>
    <row r="143" spans="1:22" x14ac:dyDescent="0.25">
      <c r="A143" s="197" t="s">
        <v>172</v>
      </c>
      <c r="B143" s="197"/>
      <c r="C143" s="197"/>
      <c r="D143" s="197"/>
      <c r="E143" s="197"/>
      <c r="F143" s="197"/>
      <c r="G143" s="197"/>
      <c r="H143" s="197"/>
      <c r="T143" s="35"/>
    </row>
    <row r="144" spans="1:22" ht="47.25" customHeight="1" x14ac:dyDescent="0.25">
      <c r="A144" s="240" t="s">
        <v>399</v>
      </c>
      <c r="B144" s="240" t="s">
        <v>175</v>
      </c>
      <c r="C144" s="240" t="s">
        <v>54</v>
      </c>
      <c r="D144" s="240" t="s">
        <v>232</v>
      </c>
      <c r="E144" s="235" t="s">
        <v>152</v>
      </c>
      <c r="F144" s="240" t="s">
        <v>55</v>
      </c>
      <c r="G144" s="235" t="s">
        <v>56</v>
      </c>
      <c r="H144" s="99" t="s">
        <v>145</v>
      </c>
      <c r="T144" s="35"/>
    </row>
    <row r="145" spans="1:20" s="37" customFormat="1" x14ac:dyDescent="0.25">
      <c r="A145" s="240"/>
      <c r="B145" s="240"/>
      <c r="C145" s="240"/>
      <c r="D145" s="240"/>
      <c r="E145" s="235"/>
      <c r="F145" s="240"/>
      <c r="G145" s="235"/>
      <c r="H145" s="97">
        <v>0.5</v>
      </c>
      <c r="T145" s="35"/>
    </row>
    <row r="146" spans="1:20" s="86" customFormat="1" x14ac:dyDescent="0.25">
      <c r="A146" s="109" t="s">
        <v>379</v>
      </c>
      <c r="B146" s="109"/>
      <c r="C146" s="109"/>
      <c r="D146" s="109"/>
      <c r="E146" s="109"/>
      <c r="F146" s="109"/>
      <c r="G146" s="109"/>
      <c r="H146" s="109"/>
      <c r="J146" s="36"/>
      <c r="N146" s="93">
        <v>10.763999999999999</v>
      </c>
      <c r="T146" s="35"/>
    </row>
    <row r="147" spans="1:20" s="37" customFormat="1" x14ac:dyDescent="0.25">
      <c r="A147" s="109" t="s">
        <v>380</v>
      </c>
      <c r="B147" s="109"/>
      <c r="C147" s="109"/>
      <c r="D147" s="109"/>
      <c r="E147" s="109"/>
      <c r="F147" s="109"/>
      <c r="G147" s="109"/>
      <c r="H147" s="109"/>
      <c r="J147" s="36"/>
      <c r="T147" s="35"/>
    </row>
    <row r="148" spans="1:20" s="37" customFormat="1" ht="15.75" customHeight="1" x14ac:dyDescent="0.25">
      <c r="A148" s="102">
        <v>1</v>
      </c>
      <c r="B148" s="102"/>
      <c r="C148" s="98" t="s">
        <v>381</v>
      </c>
      <c r="D148" s="93">
        <f>(5.3*4.26+4.87*4.26)*10.764</f>
        <v>466.34168879999993</v>
      </c>
      <c r="E148" s="98">
        <v>0</v>
      </c>
      <c r="F148" s="98">
        <f>D148+(IF(E148&lt;201,E148,IF(E148&lt;301,E148/2,E148/3)))</f>
        <v>466.34168879999993</v>
      </c>
      <c r="G148" s="62">
        <v>0</v>
      </c>
      <c r="H148" s="98">
        <f>(F148+(IF(G148&lt;101,G148,IF(G148&lt;201,G148/2,IF(G148&lt;=301,G148/3,G148/4)))))*(($H$145)+1)</f>
        <v>699.51253319999989</v>
      </c>
      <c r="I148" s="36"/>
      <c r="L148" s="101"/>
      <c r="M148" s="101"/>
      <c r="N148" s="36"/>
      <c r="T148" s="35"/>
    </row>
    <row r="149" spans="1:20" s="37" customFormat="1" ht="15.75" customHeight="1" x14ac:dyDescent="0.25">
      <c r="A149" s="102">
        <f>A148+1</f>
        <v>2</v>
      </c>
      <c r="B149" s="102"/>
      <c r="C149" s="98" t="s">
        <v>381</v>
      </c>
      <c r="D149" s="93">
        <f>(4.87*4.1)*10.764</f>
        <v>214.92478799999998</v>
      </c>
      <c r="E149" s="98">
        <v>0</v>
      </c>
      <c r="F149" s="98">
        <f t="shared" ref="F149:F151" si="6">D149+(IF(E149&lt;201,E149,IF(E149&lt;301,E149/2,E149/3)))</f>
        <v>214.92478799999998</v>
      </c>
      <c r="G149" s="98">
        <v>0</v>
      </c>
      <c r="H149" s="98">
        <f t="shared" ref="H149:H151" si="7">(F149+(IF(G149&lt;101,G149,IF(G149&lt;201,G149/2,IF(G149&lt;=301,G149/3,G149/4)))))*(($H$145)+1)</f>
        <v>322.38718199999994</v>
      </c>
      <c r="I149" s="36"/>
      <c r="L149" s="101"/>
      <c r="M149" s="101"/>
      <c r="N149" s="36"/>
      <c r="T149" s="34"/>
    </row>
    <row r="150" spans="1:20" s="37" customFormat="1" ht="15.75" customHeight="1" x14ac:dyDescent="0.25">
      <c r="A150" s="102">
        <f>A149+1</f>
        <v>3</v>
      </c>
      <c r="B150" s="102"/>
      <c r="C150" s="98" t="s">
        <v>381</v>
      </c>
      <c r="D150" s="93">
        <f>(4.87*2.18)*10.764</f>
        <v>114.27708240000001</v>
      </c>
      <c r="E150" s="98">
        <v>0</v>
      </c>
      <c r="F150" s="98">
        <f t="shared" si="6"/>
        <v>114.27708240000001</v>
      </c>
      <c r="G150" s="98">
        <v>0</v>
      </c>
      <c r="H150" s="98">
        <f t="shared" si="7"/>
        <v>171.4156236</v>
      </c>
      <c r="I150" s="36"/>
      <c r="L150" s="101"/>
      <c r="M150" s="101"/>
      <c r="N150" s="36"/>
      <c r="T150" s="21"/>
    </row>
    <row r="151" spans="1:20" s="37" customFormat="1" ht="15.75" customHeight="1" x14ac:dyDescent="0.25">
      <c r="A151" s="102">
        <f>A150+1</f>
        <v>4</v>
      </c>
      <c r="B151" s="102"/>
      <c r="C151" s="98" t="s">
        <v>381</v>
      </c>
      <c r="D151" s="93">
        <f>(3.01*4.49)*10.764</f>
        <v>145.47438359999998</v>
      </c>
      <c r="E151" s="98">
        <v>0</v>
      </c>
      <c r="F151" s="98">
        <f t="shared" si="6"/>
        <v>145.47438359999998</v>
      </c>
      <c r="G151" s="98">
        <v>0</v>
      </c>
      <c r="H151" s="98">
        <f t="shared" si="7"/>
        <v>218.21157539999996</v>
      </c>
      <c r="I151" s="36"/>
      <c r="L151" s="101"/>
      <c r="M151" s="101"/>
      <c r="N151" s="36"/>
      <c r="T151" s="21"/>
    </row>
    <row r="152" spans="1:20" s="86" customFormat="1" ht="15.75" customHeight="1" x14ac:dyDescent="0.25">
      <c r="A152" s="106">
        <f t="shared" ref="A152:A154" si="8">A151+1</f>
        <v>5</v>
      </c>
      <c r="B152" s="108"/>
      <c r="C152" s="85" t="s">
        <v>381</v>
      </c>
      <c r="D152" s="93">
        <f>(2.75*4.49)*10.764</f>
        <v>132.90849</v>
      </c>
      <c r="E152" s="85">
        <v>0</v>
      </c>
      <c r="F152" s="85">
        <f t="shared" ref="F152:F154" si="9">D152+(IF(E152&lt;201,E152,IF(E152&lt;301,E152/2,E152/3)))</f>
        <v>132.90849</v>
      </c>
      <c r="G152" s="85">
        <v>0</v>
      </c>
      <c r="H152" s="85">
        <f t="shared" ref="H152:H154" si="10">(F152+(IF(G152&lt;101,G152,IF(G152&lt;201,G152/2,IF(G152&lt;=301,G152/3,G152/4)))))*(($H$145)+1)</f>
        <v>199.36273499999999</v>
      </c>
      <c r="I152" s="36"/>
      <c r="L152" s="101"/>
      <c r="M152" s="101"/>
      <c r="N152" s="36"/>
      <c r="T152" s="21"/>
    </row>
    <row r="153" spans="1:20" s="86" customFormat="1" ht="15.75" customHeight="1" x14ac:dyDescent="0.25">
      <c r="A153" s="106">
        <f t="shared" si="8"/>
        <v>6</v>
      </c>
      <c r="B153" s="108"/>
      <c r="C153" s="85" t="s">
        <v>381</v>
      </c>
      <c r="D153" s="93">
        <f>(2.75*3.65+1.4*3.29)*10.764</f>
        <v>157.62263399999998</v>
      </c>
      <c r="E153" s="85">
        <v>0</v>
      </c>
      <c r="F153" s="85">
        <f t="shared" si="9"/>
        <v>157.62263399999998</v>
      </c>
      <c r="G153" s="85">
        <v>0</v>
      </c>
      <c r="H153" s="85">
        <f t="shared" si="10"/>
        <v>236.43395099999998</v>
      </c>
      <c r="I153" s="36"/>
      <c r="L153" s="101"/>
      <c r="M153" s="101"/>
      <c r="N153" s="36"/>
      <c r="T153" s="21"/>
    </row>
    <row r="154" spans="1:20" s="86" customFormat="1" ht="15.75" customHeight="1" x14ac:dyDescent="0.25">
      <c r="A154" s="106">
        <f t="shared" si="8"/>
        <v>7</v>
      </c>
      <c r="B154" s="108"/>
      <c r="C154" s="85" t="s">
        <v>381</v>
      </c>
      <c r="D154" s="93">
        <f>(2.75*4.5)*10.764</f>
        <v>133.2045</v>
      </c>
      <c r="E154" s="85">
        <v>0</v>
      </c>
      <c r="F154" s="85">
        <f t="shared" si="9"/>
        <v>133.2045</v>
      </c>
      <c r="G154" s="85">
        <v>0</v>
      </c>
      <c r="H154" s="85">
        <f t="shared" si="10"/>
        <v>199.80674999999999</v>
      </c>
      <c r="I154" s="36"/>
      <c r="L154" s="101"/>
      <c r="M154" s="101"/>
      <c r="N154" s="36"/>
      <c r="T154" s="21"/>
    </row>
    <row r="155" spans="1:20" s="86" customFormat="1" x14ac:dyDescent="0.25">
      <c r="A155" s="103" t="s">
        <v>379</v>
      </c>
      <c r="B155" s="104"/>
      <c r="C155" s="104"/>
      <c r="D155" s="104"/>
      <c r="E155" s="104"/>
      <c r="F155" s="104"/>
      <c r="G155" s="104"/>
      <c r="H155" s="105"/>
      <c r="J155" s="36"/>
      <c r="T155" s="35"/>
    </row>
    <row r="156" spans="1:20" s="86" customFormat="1" x14ac:dyDescent="0.25">
      <c r="A156" s="103" t="s">
        <v>392</v>
      </c>
      <c r="B156" s="104"/>
      <c r="C156" s="104"/>
      <c r="D156" s="104"/>
      <c r="E156" s="104"/>
      <c r="F156" s="104"/>
      <c r="G156" s="104"/>
      <c r="H156" s="105"/>
      <c r="J156" s="36"/>
      <c r="T156" s="35"/>
    </row>
    <row r="157" spans="1:20" s="86" customFormat="1" ht="15.75" customHeight="1" x14ac:dyDescent="0.25">
      <c r="A157" s="106">
        <v>1</v>
      </c>
      <c r="B157" s="108"/>
      <c r="C157" s="85" t="s">
        <v>393</v>
      </c>
      <c r="D157" s="93">
        <f>(5.15*4.75+4.86*2.8+3.35*2.84+3.79*2.75)*10.764</f>
        <v>624.38734799999997</v>
      </c>
      <c r="E157" s="85">
        <v>0</v>
      </c>
      <c r="F157" s="85">
        <f>D157+(IF(E157&lt;201,E157,IF(E157&lt;301,E157/2,E157/3)))</f>
        <v>624.38734799999997</v>
      </c>
      <c r="G157" s="62">
        <v>0</v>
      </c>
      <c r="H157" s="85">
        <f>(F157+(IF(G157&lt;101,G157,IF(G157&lt;201,G157/2,IF(G157&lt;=301,G157/3,G157/4)))))*(($H$145)+1)</f>
        <v>936.58102199999996</v>
      </c>
      <c r="I157" s="36"/>
      <c r="L157" s="101"/>
      <c r="M157" s="101"/>
      <c r="N157" s="36"/>
      <c r="T157" s="35"/>
    </row>
    <row r="158" spans="1:20" s="86" customFormat="1" ht="15.75" customHeight="1" x14ac:dyDescent="0.25">
      <c r="A158" s="106">
        <f>A157+1</f>
        <v>2</v>
      </c>
      <c r="B158" s="108"/>
      <c r="C158" s="85" t="s">
        <v>393</v>
      </c>
      <c r="D158" s="93">
        <f>(5.91*4.91+2.74*2.75+1.4*3.29+1.05*2.25)*10.764</f>
        <v>468.46650239999997</v>
      </c>
      <c r="E158" s="85">
        <v>0</v>
      </c>
      <c r="F158" s="85">
        <f t="shared" ref="F158:F160" si="11">D158+(IF(E158&lt;201,E158,IF(E158&lt;301,E158/2,E158/3)))</f>
        <v>468.46650239999997</v>
      </c>
      <c r="G158" s="85">
        <v>0</v>
      </c>
      <c r="H158" s="85">
        <f t="shared" ref="H158:H160" si="12">(F158+(IF(G158&lt;101,G158,IF(G158&lt;201,G158/2,IF(G158&lt;=301,G158/3,G158/4)))))*(($H$145)+1)</f>
        <v>702.69975359999989</v>
      </c>
      <c r="I158" s="36"/>
      <c r="L158" s="101"/>
      <c r="M158" s="101"/>
      <c r="N158" s="36"/>
      <c r="T158" s="34"/>
    </row>
    <row r="159" spans="1:20" s="86" customFormat="1" ht="15.75" customHeight="1" x14ac:dyDescent="0.25">
      <c r="A159" s="106">
        <f>A158+1</f>
        <v>3</v>
      </c>
      <c r="B159" s="108"/>
      <c r="C159" s="85" t="s">
        <v>393</v>
      </c>
      <c r="D159" s="93">
        <f>(1.25*1.81+7.55*3.26+3.25*3.75+2.1*1.15)*10.764</f>
        <v>446.46919199999996</v>
      </c>
      <c r="E159" s="85">
        <v>0</v>
      </c>
      <c r="F159" s="85">
        <f t="shared" si="11"/>
        <v>446.46919199999996</v>
      </c>
      <c r="G159" s="85">
        <v>0</v>
      </c>
      <c r="H159" s="85">
        <f t="shared" si="12"/>
        <v>669.70378799999992</v>
      </c>
      <c r="I159" s="36"/>
      <c r="L159" s="101"/>
      <c r="M159" s="101"/>
      <c r="N159" s="36"/>
      <c r="T159" s="21"/>
    </row>
    <row r="160" spans="1:20" s="86" customFormat="1" ht="15.75" customHeight="1" x14ac:dyDescent="0.25">
      <c r="A160" s="106">
        <f>A159+1</f>
        <v>4</v>
      </c>
      <c r="B160" s="108"/>
      <c r="C160" s="85" t="s">
        <v>393</v>
      </c>
      <c r="D160" s="93">
        <f>(5*4.68+2.86*3.5+2.1*1.15+2.1*1.15)*10.764</f>
        <v>411.6153599999999</v>
      </c>
      <c r="E160" s="85">
        <v>0</v>
      </c>
      <c r="F160" s="85">
        <f t="shared" si="11"/>
        <v>411.6153599999999</v>
      </c>
      <c r="G160" s="85">
        <v>0</v>
      </c>
      <c r="H160" s="85">
        <f t="shared" si="12"/>
        <v>617.4230399999999</v>
      </c>
      <c r="I160" s="36"/>
      <c r="L160" s="101"/>
      <c r="M160" s="101"/>
      <c r="N160" s="36"/>
      <c r="T160" s="21"/>
    </row>
    <row r="161" spans="1:20" s="37" customFormat="1" x14ac:dyDescent="0.25">
      <c r="A161" s="106"/>
      <c r="B161" s="107"/>
      <c r="C161" s="107"/>
      <c r="D161" s="107"/>
      <c r="E161" s="107"/>
      <c r="F161" s="107"/>
      <c r="G161" s="107"/>
      <c r="H161" s="108"/>
      <c r="I161" s="36"/>
      <c r="N161" s="36"/>
    </row>
    <row r="162" spans="1:20" ht="47.25" customHeight="1" x14ac:dyDescent="0.25">
      <c r="A162" s="258" t="s">
        <v>116</v>
      </c>
      <c r="B162" s="150" t="s">
        <v>176</v>
      </c>
      <c r="C162" s="150" t="s">
        <v>54</v>
      </c>
      <c r="D162" s="148" t="s">
        <v>232</v>
      </c>
      <c r="E162" s="150" t="s">
        <v>231</v>
      </c>
      <c r="F162" s="150" t="s">
        <v>55</v>
      </c>
      <c r="G162" s="241" t="s">
        <v>56</v>
      </c>
      <c r="H162" s="67" t="s">
        <v>145</v>
      </c>
      <c r="I162" s="36"/>
      <c r="T162" s="37"/>
    </row>
    <row r="163" spans="1:20" s="37" customFormat="1" x14ac:dyDescent="0.25">
      <c r="A163" s="259"/>
      <c r="B163" s="151"/>
      <c r="C163" s="151"/>
      <c r="D163" s="149"/>
      <c r="E163" s="151"/>
      <c r="F163" s="151"/>
      <c r="G163" s="242"/>
      <c r="H163" s="92">
        <v>0.5</v>
      </c>
      <c r="I163" s="36"/>
    </row>
    <row r="164" spans="1:20" s="86" customFormat="1" x14ac:dyDescent="0.25">
      <c r="A164" s="103" t="s">
        <v>383</v>
      </c>
      <c r="B164" s="104"/>
      <c r="C164" s="104"/>
      <c r="D164" s="104"/>
      <c r="E164" s="104"/>
      <c r="F164" s="104"/>
      <c r="G164" s="104"/>
      <c r="H164" s="105"/>
      <c r="J164" s="36"/>
    </row>
    <row r="165" spans="1:20" s="37" customFormat="1" x14ac:dyDescent="0.25">
      <c r="A165" s="103" t="s">
        <v>382</v>
      </c>
      <c r="B165" s="104"/>
      <c r="C165" s="104"/>
      <c r="D165" s="104"/>
      <c r="E165" s="104"/>
      <c r="F165" s="104"/>
      <c r="G165" s="104"/>
      <c r="H165" s="105"/>
      <c r="I165" s="37">
        <v>1</v>
      </c>
      <c r="J165" s="36">
        <v>16000</v>
      </c>
    </row>
    <row r="166" spans="1:20" s="37" customFormat="1" ht="15.75" customHeight="1" x14ac:dyDescent="0.25">
      <c r="A166" s="106">
        <v>1</v>
      </c>
      <c r="B166" s="108"/>
      <c r="C166" s="42" t="s">
        <v>385</v>
      </c>
      <c r="D166" s="85">
        <f>(2.75*3.82+2.1*2.45+2.75*3.5+1.15*2.1+2.1*1.15+1.45*0.9+0.95*2.08)*10.764</f>
        <v>359.36690399999992</v>
      </c>
      <c r="E166" s="42">
        <v>0</v>
      </c>
      <c r="F166" s="42">
        <f>D166+E166</f>
        <v>359.36690399999992</v>
      </c>
      <c r="G166" s="54">
        <v>0</v>
      </c>
      <c r="H166" s="54">
        <f>F166*(($H$163)+1)+(IF(G166&lt;101,G166,IF(G166&lt;201,G166/2,IF(G166&lt;=301,G166/3,G166/4))))</f>
        <v>539.05035599999985</v>
      </c>
      <c r="I166" s="36">
        <f>9700000/H166</f>
        <v>17994.608281086086</v>
      </c>
      <c r="J166" s="37">
        <f>J$165*H166</f>
        <v>8624805.6959999967</v>
      </c>
      <c r="L166" s="101"/>
      <c r="M166" s="101"/>
      <c r="N166" s="85">
        <v>10.763999999999999</v>
      </c>
    </row>
    <row r="167" spans="1:20" s="37" customFormat="1" ht="15.75" customHeight="1" x14ac:dyDescent="0.25">
      <c r="A167" s="106">
        <f>A166+1</f>
        <v>2</v>
      </c>
      <c r="B167" s="108"/>
      <c r="C167" s="42" t="s">
        <v>385</v>
      </c>
      <c r="D167" s="85">
        <f>(2.75*3.81+2.1*2.6+2.75*3.5+2.1*1.15+1.15*2.1+0.95*2.06+1.45*0.9)*10.764</f>
        <v>362.25703799999997</v>
      </c>
      <c r="E167" s="42">
        <v>0</v>
      </c>
      <c r="F167" s="54">
        <f>D167+E167</f>
        <v>362.25703799999997</v>
      </c>
      <c r="G167" s="54">
        <v>0</v>
      </c>
      <c r="H167" s="54">
        <f>F167*(($H$163)+1)+(IF(G167&lt;101,G167,IF(G167&lt;201,G167/2,IF(G167&lt;=301,G167/3,G167/4))))</f>
        <v>543.38555699999995</v>
      </c>
      <c r="I167" s="36">
        <f>9900000/H167</f>
        <v>18219.107726486742</v>
      </c>
      <c r="J167" s="95">
        <f t="shared" ref="J167:J202" si="13">J$165*H167</f>
        <v>8694168.9119999986</v>
      </c>
      <c r="L167" s="101"/>
      <c r="M167" s="101"/>
      <c r="N167" s="36"/>
    </row>
    <row r="168" spans="1:20" s="37" customFormat="1" ht="15.75" customHeight="1" x14ac:dyDescent="0.25">
      <c r="A168" s="106">
        <f>A167+1</f>
        <v>3</v>
      </c>
      <c r="B168" s="108"/>
      <c r="C168" s="42" t="s">
        <v>385</v>
      </c>
      <c r="D168" s="85">
        <f>(2.75*3.9+2*2.37+2.75*3.42+2.05*1.1+1.25*2.27+1.05*2.15+1.25*0.9)*10.764</f>
        <v>358.92557999999991</v>
      </c>
      <c r="E168" s="42">
        <v>0</v>
      </c>
      <c r="F168" s="54">
        <f>D168+E168</f>
        <v>358.92557999999991</v>
      </c>
      <c r="G168" s="54">
        <v>0</v>
      </c>
      <c r="H168" s="54">
        <f>F168*(($H$163)+1)+(IF(G168&lt;101,G168,IF(G168&lt;201,G168/2,IF(G168&lt;=301,G168/3,G168/4))))</f>
        <v>538.3883699999999</v>
      </c>
      <c r="I168" s="36"/>
      <c r="J168" s="95">
        <f t="shared" si="13"/>
        <v>8614213.9199999981</v>
      </c>
      <c r="L168" s="101"/>
      <c r="M168" s="101"/>
      <c r="N168" s="36"/>
    </row>
    <row r="169" spans="1:20" s="37" customFormat="1" ht="15.75" customHeight="1" x14ac:dyDescent="0.25">
      <c r="A169" s="106">
        <f>A168+1</f>
        <v>4</v>
      </c>
      <c r="B169" s="108"/>
      <c r="C169" s="106" t="s">
        <v>384</v>
      </c>
      <c r="D169" s="107"/>
      <c r="E169" s="107"/>
      <c r="F169" s="107"/>
      <c r="G169" s="107"/>
      <c r="H169" s="108"/>
      <c r="I169" s="36"/>
      <c r="J169" s="95">
        <f t="shared" si="13"/>
        <v>0</v>
      </c>
      <c r="L169" s="101"/>
      <c r="M169" s="101"/>
      <c r="N169" s="36"/>
      <c r="T169" s="21"/>
    </row>
    <row r="170" spans="1:20" s="86" customFormat="1" x14ac:dyDescent="0.25">
      <c r="A170" s="103" t="s">
        <v>386</v>
      </c>
      <c r="B170" s="104"/>
      <c r="C170" s="104"/>
      <c r="D170" s="104"/>
      <c r="E170" s="104"/>
      <c r="F170" s="104"/>
      <c r="G170" s="104"/>
      <c r="H170" s="105"/>
      <c r="I170" s="86">
        <f>5+6+6</f>
        <v>17</v>
      </c>
      <c r="J170" s="95">
        <f t="shared" si="13"/>
        <v>0</v>
      </c>
    </row>
    <row r="171" spans="1:20" s="86" customFormat="1" ht="15.75" customHeight="1" x14ac:dyDescent="0.25">
      <c r="A171" s="106">
        <v>1</v>
      </c>
      <c r="B171" s="108"/>
      <c r="C171" s="85" t="s">
        <v>385</v>
      </c>
      <c r="D171" s="85">
        <f>(2.75*3.82+2.1*2.45+2.75*3.5+1.15*2.1+2.1*1.15+1.45*0.9+0.95*2.08)*10.764</f>
        <v>359.36690399999992</v>
      </c>
      <c r="E171" s="85">
        <v>0</v>
      </c>
      <c r="F171" s="85">
        <f>D171+E171</f>
        <v>359.36690399999992</v>
      </c>
      <c r="G171" s="85">
        <v>0</v>
      </c>
      <c r="H171" s="85">
        <f>F171*(($H$163)+1)+(IF(G171&lt;101,G171,IF(G171&lt;201,G171/2,IF(G171&lt;=301,G171/3,G171/4))))</f>
        <v>539.05035599999985</v>
      </c>
      <c r="I171" s="36"/>
      <c r="J171" s="95">
        <f t="shared" si="13"/>
        <v>8624805.6959999967</v>
      </c>
      <c r="L171" s="101"/>
      <c r="M171" s="101"/>
      <c r="N171" s="36"/>
    </row>
    <row r="172" spans="1:20" s="86" customFormat="1" ht="15.75" customHeight="1" x14ac:dyDescent="0.25">
      <c r="A172" s="106">
        <f>A171+1</f>
        <v>2</v>
      </c>
      <c r="B172" s="108"/>
      <c r="C172" s="85" t="s">
        <v>385</v>
      </c>
      <c r="D172" s="85">
        <f>(2.75*3.81+2.1*2.6+2.75*3.5+2.1*1.15+1.15*2.1+0.95*2.06+1.45*0.9)*10.764</f>
        <v>362.25703799999997</v>
      </c>
      <c r="E172" s="85">
        <v>0</v>
      </c>
      <c r="F172" s="85">
        <f>D172+E172</f>
        <v>362.25703799999997</v>
      </c>
      <c r="G172" s="85">
        <v>0</v>
      </c>
      <c r="H172" s="85">
        <f>F172*(($H$163)+1)+(IF(G172&lt;101,G172,IF(G172&lt;201,G172/2,IF(G172&lt;=301,G172/3,G172/4))))</f>
        <v>543.38555699999995</v>
      </c>
      <c r="I172" s="36"/>
      <c r="J172" s="95">
        <f t="shared" si="13"/>
        <v>8694168.9119999986</v>
      </c>
      <c r="L172" s="101"/>
      <c r="M172" s="101"/>
      <c r="N172" s="36"/>
    </row>
    <row r="173" spans="1:20" s="86" customFormat="1" ht="15.75" customHeight="1" x14ac:dyDescent="0.25">
      <c r="A173" s="106">
        <f>A172+1</f>
        <v>3</v>
      </c>
      <c r="B173" s="108"/>
      <c r="C173" s="85" t="s">
        <v>385</v>
      </c>
      <c r="D173" s="85">
        <f>(2.75*3.9+2*2.37+2.75*3.42+2.05*1.1+1.25*2.27+1.05*2.15+1.25*0.9)*10.764</f>
        <v>358.92557999999991</v>
      </c>
      <c r="E173" s="85">
        <v>0</v>
      </c>
      <c r="F173" s="85">
        <f>D173+E173</f>
        <v>358.92557999999991</v>
      </c>
      <c r="G173" s="85">
        <v>0</v>
      </c>
      <c r="H173" s="85">
        <f>F173*(($H$163)+1)+(IF(G173&lt;101,G173,IF(G173&lt;201,G173/2,IF(G173&lt;=301,G173/3,G173/4))))</f>
        <v>538.3883699999999</v>
      </c>
      <c r="I173" s="36"/>
      <c r="J173" s="95">
        <f t="shared" si="13"/>
        <v>8614213.9199999981</v>
      </c>
      <c r="L173" s="101"/>
      <c r="M173" s="101"/>
      <c r="N173" s="36"/>
    </row>
    <row r="174" spans="1:20" s="86" customFormat="1" ht="15.75" customHeight="1" x14ac:dyDescent="0.25">
      <c r="A174" s="106">
        <f>A173+1</f>
        <v>4</v>
      </c>
      <c r="B174" s="108"/>
      <c r="C174" s="106" t="s">
        <v>384</v>
      </c>
      <c r="D174" s="107"/>
      <c r="E174" s="107"/>
      <c r="F174" s="107"/>
      <c r="G174" s="107"/>
      <c r="H174" s="108"/>
      <c r="I174" s="36"/>
      <c r="J174" s="95">
        <f t="shared" si="13"/>
        <v>0</v>
      </c>
      <c r="L174" s="101"/>
      <c r="M174" s="101"/>
      <c r="N174" s="36"/>
      <c r="T174" s="21"/>
    </row>
    <row r="175" spans="1:20" s="86" customFormat="1" x14ac:dyDescent="0.25">
      <c r="A175" s="103" t="s">
        <v>387</v>
      </c>
      <c r="B175" s="104"/>
      <c r="C175" s="104"/>
      <c r="D175" s="104"/>
      <c r="E175" s="104"/>
      <c r="F175" s="104"/>
      <c r="G175" s="104"/>
      <c r="H175" s="105"/>
      <c r="I175" s="86">
        <v>1</v>
      </c>
      <c r="J175" s="95">
        <f t="shared" si="13"/>
        <v>0</v>
      </c>
    </row>
    <row r="176" spans="1:20" s="86" customFormat="1" ht="15.75" customHeight="1" x14ac:dyDescent="0.25">
      <c r="A176" s="106">
        <v>1</v>
      </c>
      <c r="B176" s="108"/>
      <c r="C176" s="85" t="s">
        <v>385</v>
      </c>
      <c r="D176" s="85">
        <f>(2.75*3.82+2.1*2.45+2.75*3.5+1.15*2.1+2.1*1.15+1.45*0.9+0.95*2.08)*10.764</f>
        <v>359.36690399999992</v>
      </c>
      <c r="E176" s="85">
        <v>0</v>
      </c>
      <c r="F176" s="85">
        <f>D176+E176</f>
        <v>359.36690399999992</v>
      </c>
      <c r="G176" s="85">
        <v>0</v>
      </c>
      <c r="H176" s="85">
        <f>F176*(($H$163)+1)+(IF(G176&lt;101,G176,IF(G176&lt;201,G176/2,IF(G176&lt;=301,G176/3,G176/4))))</f>
        <v>539.05035599999985</v>
      </c>
      <c r="I176" s="36"/>
      <c r="J176" s="95">
        <f t="shared" si="13"/>
        <v>8624805.6959999967</v>
      </c>
      <c r="L176" s="101"/>
      <c r="M176" s="101"/>
      <c r="N176" s="36"/>
    </row>
    <row r="177" spans="1:20" s="86" customFormat="1" ht="15.75" customHeight="1" x14ac:dyDescent="0.25">
      <c r="A177" s="106">
        <f>A176+1</f>
        <v>2</v>
      </c>
      <c r="B177" s="108"/>
      <c r="C177" s="106" t="s">
        <v>388</v>
      </c>
      <c r="D177" s="107"/>
      <c r="E177" s="107"/>
      <c r="F177" s="107"/>
      <c r="G177" s="107"/>
      <c r="H177" s="108"/>
      <c r="I177" s="36"/>
      <c r="J177" s="95">
        <f t="shared" si="13"/>
        <v>0</v>
      </c>
      <c r="L177" s="101"/>
      <c r="M177" s="101"/>
      <c r="N177" s="36"/>
    </row>
    <row r="178" spans="1:20" s="86" customFormat="1" ht="15.75" customHeight="1" x14ac:dyDescent="0.25">
      <c r="A178" s="106">
        <f>A177+1</f>
        <v>3</v>
      </c>
      <c r="B178" s="108"/>
      <c r="C178" s="85" t="s">
        <v>385</v>
      </c>
      <c r="D178" s="85">
        <f>(2.75*3.9+2*2.37+2.75*3.42+2.05*1.1+1.25*2.27+1.05*2.15+1.25*0.9)*10.764</f>
        <v>358.92557999999991</v>
      </c>
      <c r="E178" s="85">
        <v>0</v>
      </c>
      <c r="F178" s="85">
        <f>D178+E178</f>
        <v>358.92557999999991</v>
      </c>
      <c r="G178" s="85">
        <v>0</v>
      </c>
      <c r="H178" s="85">
        <f>F178*(($H$163)+1)+(IF(G178&lt;101,G178,IF(G178&lt;201,G178/2,IF(G178&lt;=301,G178/3,G178/4))))</f>
        <v>538.3883699999999</v>
      </c>
      <c r="I178" s="36"/>
      <c r="J178" s="95">
        <f t="shared" si="13"/>
        <v>8614213.9199999981</v>
      </c>
      <c r="L178" s="101"/>
      <c r="M178" s="101"/>
      <c r="N178" s="36"/>
    </row>
    <row r="179" spans="1:20" s="86" customFormat="1" ht="15.75" customHeight="1" x14ac:dyDescent="0.25">
      <c r="A179" s="106">
        <f>A178+1</f>
        <v>4</v>
      </c>
      <c r="B179" s="108"/>
      <c r="C179" s="106" t="s">
        <v>384</v>
      </c>
      <c r="D179" s="107"/>
      <c r="E179" s="107"/>
      <c r="F179" s="107"/>
      <c r="G179" s="107"/>
      <c r="H179" s="108"/>
      <c r="I179" s="36"/>
      <c r="J179" s="95">
        <f t="shared" si="13"/>
        <v>0</v>
      </c>
      <c r="L179" s="101"/>
      <c r="M179" s="101"/>
      <c r="N179" s="36"/>
      <c r="T179" s="21"/>
    </row>
    <row r="180" spans="1:20" s="86" customFormat="1" x14ac:dyDescent="0.25">
      <c r="A180" s="103" t="s">
        <v>389</v>
      </c>
      <c r="B180" s="104"/>
      <c r="C180" s="104"/>
      <c r="D180" s="104"/>
      <c r="E180" s="104"/>
      <c r="F180" s="104"/>
      <c r="G180" s="104"/>
      <c r="H180" s="105"/>
      <c r="I180" s="86">
        <v>1</v>
      </c>
      <c r="J180" s="95">
        <f t="shared" si="13"/>
        <v>0</v>
      </c>
    </row>
    <row r="181" spans="1:20" s="86" customFormat="1" ht="15.75" customHeight="1" x14ac:dyDescent="0.25">
      <c r="A181" s="106">
        <v>1</v>
      </c>
      <c r="B181" s="108"/>
      <c r="C181" s="85" t="s">
        <v>385</v>
      </c>
      <c r="D181" s="85">
        <f>(2.75*3.82+2.1*2.45+2.75*3.5+1.15*2.1+2.1*1.15+1.45*0.9+0.95*2.08)*10.764</f>
        <v>359.36690399999992</v>
      </c>
      <c r="E181" s="85">
        <v>0</v>
      </c>
      <c r="F181" s="85">
        <f>D181+E181</f>
        <v>359.36690399999992</v>
      </c>
      <c r="G181" s="85">
        <v>0</v>
      </c>
      <c r="H181" s="85">
        <f>F181*(($H$163)+1)+(IF(G181&lt;101,G181,IF(G181&lt;201,G181/2,IF(G181&lt;=301,G181/3,G181/4))))</f>
        <v>539.05035599999985</v>
      </c>
      <c r="I181" s="36"/>
      <c r="J181" s="95">
        <f t="shared" si="13"/>
        <v>8624805.6959999967</v>
      </c>
      <c r="L181" s="101"/>
      <c r="M181" s="101"/>
      <c r="N181" s="36"/>
    </row>
    <row r="182" spans="1:20" s="86" customFormat="1" ht="15.75" customHeight="1" x14ac:dyDescent="0.25">
      <c r="A182" s="106">
        <f>A181+1</f>
        <v>2</v>
      </c>
      <c r="B182" s="108"/>
      <c r="C182" s="106" t="s">
        <v>388</v>
      </c>
      <c r="D182" s="107"/>
      <c r="E182" s="107"/>
      <c r="F182" s="107"/>
      <c r="G182" s="107"/>
      <c r="H182" s="108"/>
      <c r="I182" s="36"/>
      <c r="J182" s="95">
        <f t="shared" si="13"/>
        <v>0</v>
      </c>
      <c r="L182" s="101"/>
      <c r="M182" s="101"/>
      <c r="N182" s="36"/>
    </row>
    <row r="183" spans="1:20" s="86" customFormat="1" ht="15.75" customHeight="1" x14ac:dyDescent="0.25">
      <c r="A183" s="106">
        <f>A182+1</f>
        <v>3</v>
      </c>
      <c r="B183" s="108"/>
      <c r="C183" s="106" t="s">
        <v>388</v>
      </c>
      <c r="D183" s="107"/>
      <c r="E183" s="107"/>
      <c r="F183" s="107"/>
      <c r="G183" s="107"/>
      <c r="H183" s="108"/>
      <c r="I183" s="36"/>
      <c r="J183" s="95">
        <f t="shared" si="13"/>
        <v>0</v>
      </c>
      <c r="L183" s="101"/>
      <c r="M183" s="101"/>
      <c r="N183" s="36"/>
    </row>
    <row r="184" spans="1:20" s="86" customFormat="1" ht="15.75" customHeight="1" x14ac:dyDescent="0.25">
      <c r="A184" s="106">
        <f>A183+1</f>
        <v>4</v>
      </c>
      <c r="B184" s="108"/>
      <c r="C184" s="106" t="s">
        <v>384</v>
      </c>
      <c r="D184" s="107"/>
      <c r="E184" s="107"/>
      <c r="F184" s="107"/>
      <c r="G184" s="107"/>
      <c r="H184" s="108"/>
      <c r="I184" s="36"/>
      <c r="J184" s="95">
        <f t="shared" si="13"/>
        <v>0</v>
      </c>
      <c r="L184" s="101"/>
      <c r="M184" s="101"/>
      <c r="N184" s="36"/>
      <c r="T184" s="21"/>
    </row>
    <row r="185" spans="1:20" s="86" customFormat="1" x14ac:dyDescent="0.25">
      <c r="A185" s="109" t="s">
        <v>390</v>
      </c>
      <c r="B185" s="109"/>
      <c r="C185" s="109"/>
      <c r="D185" s="109"/>
      <c r="E185" s="109"/>
      <c r="F185" s="109"/>
      <c r="G185" s="109"/>
      <c r="H185" s="109"/>
      <c r="I185" s="86">
        <v>1</v>
      </c>
      <c r="J185" s="95">
        <f t="shared" si="13"/>
        <v>0</v>
      </c>
    </row>
    <row r="186" spans="1:20" s="86" customFormat="1" ht="15.75" customHeight="1" x14ac:dyDescent="0.25">
      <c r="A186" s="102">
        <v>1</v>
      </c>
      <c r="B186" s="102"/>
      <c r="C186" s="96" t="s">
        <v>385</v>
      </c>
      <c r="D186" s="96">
        <f>(2.75*3.82+2.1*2.45+2.75*3.5+1.15*2.1+2.1*1.15+1.45*0.9+0.95*2.08)*10.764</f>
        <v>359.36690399999992</v>
      </c>
      <c r="E186" s="96">
        <v>0</v>
      </c>
      <c r="F186" s="96">
        <f>D186+E186</f>
        <v>359.36690399999992</v>
      </c>
      <c r="G186" s="96">
        <v>0</v>
      </c>
      <c r="H186" s="96">
        <f>F186*(($H$163)+1)+(IF(G186&lt;101,G186,IF(G186&lt;201,G186/2,IF(G186&lt;=301,G186/3,G186/4))))</f>
        <v>539.05035599999985</v>
      </c>
      <c r="I186" s="36"/>
      <c r="J186" s="95">
        <f t="shared" si="13"/>
        <v>8624805.6959999967</v>
      </c>
      <c r="L186" s="101"/>
      <c r="M186" s="101"/>
      <c r="N186" s="36"/>
    </row>
    <row r="187" spans="1:20" s="86" customFormat="1" ht="15.75" customHeight="1" x14ac:dyDescent="0.25">
      <c r="A187" s="102">
        <f>A186+1</f>
        <v>2</v>
      </c>
      <c r="B187" s="102"/>
      <c r="C187" s="102" t="s">
        <v>391</v>
      </c>
      <c r="D187" s="102"/>
      <c r="E187" s="102"/>
      <c r="F187" s="102"/>
      <c r="G187" s="102"/>
      <c r="H187" s="102"/>
      <c r="I187" s="36"/>
      <c r="J187" s="95">
        <f t="shared" si="13"/>
        <v>0</v>
      </c>
      <c r="L187" s="101"/>
      <c r="M187" s="101"/>
      <c r="N187" s="36"/>
    </row>
    <row r="188" spans="1:20" s="86" customFormat="1" ht="15.75" customHeight="1" x14ac:dyDescent="0.25">
      <c r="A188" s="102">
        <f>A187+1</f>
        <v>3</v>
      </c>
      <c r="B188" s="102"/>
      <c r="C188" s="96" t="s">
        <v>385</v>
      </c>
      <c r="D188" s="96">
        <f>(2.75*3.9+2*2.37+2.75*3.42+2.05*1.1+1.25*2.27+1.05*2.15+1.25*0.9)*10.764</f>
        <v>358.92557999999991</v>
      </c>
      <c r="E188" s="96">
        <v>0</v>
      </c>
      <c r="F188" s="96">
        <f>D188+E188</f>
        <v>358.92557999999991</v>
      </c>
      <c r="G188" s="96">
        <v>0</v>
      </c>
      <c r="H188" s="96">
        <f>F188*(($H$163)+1)+(IF(G188&lt;101,G188,IF(G188&lt;201,G188/2,IF(G188&lt;=301,G188/3,G188/4))))</f>
        <v>538.3883699999999</v>
      </c>
      <c r="I188" s="36"/>
      <c r="J188" s="95">
        <f t="shared" si="13"/>
        <v>8614213.9199999981</v>
      </c>
      <c r="L188" s="101"/>
      <c r="M188" s="101"/>
      <c r="N188" s="36"/>
    </row>
    <row r="189" spans="1:20" s="86" customFormat="1" ht="15.75" customHeight="1" x14ac:dyDescent="0.25">
      <c r="A189" s="102">
        <f>A188+1</f>
        <v>4</v>
      </c>
      <c r="B189" s="102"/>
      <c r="C189" s="102" t="s">
        <v>384</v>
      </c>
      <c r="D189" s="102"/>
      <c r="E189" s="102"/>
      <c r="F189" s="102"/>
      <c r="G189" s="102"/>
      <c r="H189" s="102"/>
      <c r="I189" s="36"/>
      <c r="J189" s="95">
        <f t="shared" si="13"/>
        <v>0</v>
      </c>
      <c r="L189" s="101"/>
      <c r="M189" s="101"/>
      <c r="N189" s="36"/>
      <c r="T189" s="21"/>
    </row>
    <row r="190" spans="1:20" s="86" customFormat="1" x14ac:dyDescent="0.25">
      <c r="A190" s="109" t="s">
        <v>379</v>
      </c>
      <c r="B190" s="109"/>
      <c r="C190" s="109"/>
      <c r="D190" s="109"/>
      <c r="E190" s="109"/>
      <c r="F190" s="109"/>
      <c r="G190" s="109"/>
      <c r="H190" s="109"/>
      <c r="I190" s="36"/>
      <c r="J190" s="95">
        <f t="shared" si="13"/>
        <v>0</v>
      </c>
      <c r="L190" s="101"/>
      <c r="M190" s="101"/>
    </row>
    <row r="191" spans="1:20" s="37" customFormat="1" x14ac:dyDescent="0.25">
      <c r="A191" s="109" t="s">
        <v>408</v>
      </c>
      <c r="B191" s="109"/>
      <c r="C191" s="109"/>
      <c r="D191" s="109"/>
      <c r="E191" s="109"/>
      <c r="F191" s="109"/>
      <c r="G191" s="109"/>
      <c r="H191" s="109"/>
      <c r="I191" s="36">
        <v>17</v>
      </c>
      <c r="J191" s="95">
        <f t="shared" si="13"/>
        <v>0</v>
      </c>
      <c r="L191" s="101"/>
      <c r="M191" s="101"/>
    </row>
    <row r="192" spans="1:20" s="37" customFormat="1" x14ac:dyDescent="0.25">
      <c r="A192" s="102">
        <v>1</v>
      </c>
      <c r="B192" s="102"/>
      <c r="C192" s="98" t="s">
        <v>394</v>
      </c>
      <c r="D192" s="98">
        <f>(2.9*4.75+2.1*2.75+3.5*2.95+3.79*2.75+2.15*1.2+2.15*1.2+2.4*2+0.9*2.69)*10.764</f>
        <v>567.03137399999991</v>
      </c>
      <c r="E192" s="98">
        <v>0</v>
      </c>
      <c r="F192" s="98">
        <f>D192+E192</f>
        <v>567.03137399999991</v>
      </c>
      <c r="G192" s="98">
        <v>0</v>
      </c>
      <c r="H192" s="98">
        <f>F192*(($H$163)+1)+(IF(G192&lt;101,G192,IF(G192&lt;201,G192/2,IF(G192&lt;=301,G192/3,G192/4))))</f>
        <v>850.54706099999987</v>
      </c>
      <c r="I192" s="36">
        <f>16900000/H192</f>
        <v>19869.564865852852</v>
      </c>
      <c r="J192" s="95">
        <f t="shared" si="13"/>
        <v>13608752.975999998</v>
      </c>
      <c r="N192" s="36"/>
    </row>
    <row r="193" spans="1:14" s="37" customFormat="1" x14ac:dyDescent="0.25">
      <c r="A193" s="102">
        <f>A192+1</f>
        <v>2</v>
      </c>
      <c r="B193" s="102"/>
      <c r="C193" s="98" t="s">
        <v>394</v>
      </c>
      <c r="D193" s="98">
        <f>(2.75*4.91+2*2.9+3.6*2.75+2.75*3.75+1.25*2.1+1.05*2.25+1.55*1.04+3.16*2.01)*10.764</f>
        <v>564.74510039999996</v>
      </c>
      <c r="E193" s="98">
        <v>0</v>
      </c>
      <c r="F193" s="98">
        <f>D193+E193</f>
        <v>564.74510039999996</v>
      </c>
      <c r="G193" s="98">
        <v>0</v>
      </c>
      <c r="H193" s="98">
        <f>F193*(($H$163)+1)+(IF(G193&lt;101,G193,IF(G193&lt;201,G193/2,IF(G193&lt;=301,G193/3,G193/4))))</f>
        <v>847.11765059999993</v>
      </c>
      <c r="I193" s="36"/>
      <c r="J193" s="95">
        <f t="shared" si="13"/>
        <v>13553882.409599999</v>
      </c>
      <c r="N193" s="36"/>
    </row>
    <row r="194" spans="1:14" s="37" customFormat="1" x14ac:dyDescent="0.25">
      <c r="A194" s="102">
        <f>A193+1</f>
        <v>3</v>
      </c>
      <c r="B194" s="102"/>
      <c r="C194" s="98" t="s">
        <v>385</v>
      </c>
      <c r="D194" s="98">
        <f>(2.75*3.75+2.1*2.45+2.75*3.5+1.15*2.1+2.1*1.15+1.45*0.89+0.95*2.05)*10.764</f>
        <v>356.83198199999998</v>
      </c>
      <c r="E194" s="98">
        <v>0</v>
      </c>
      <c r="F194" s="98">
        <f>D194+E194</f>
        <v>356.83198199999998</v>
      </c>
      <c r="G194" s="98">
        <v>0</v>
      </c>
      <c r="H194" s="98">
        <f>F194*(($H$163)+1)+(IF(G194&lt;101,G194,IF(G194&lt;201,G194/2,IF(G194&lt;=301,G194/3,G194/4))))</f>
        <v>535.247973</v>
      </c>
      <c r="I194" s="36"/>
      <c r="J194" s="95">
        <f t="shared" si="13"/>
        <v>8563967.568</v>
      </c>
      <c r="N194" s="36"/>
    </row>
    <row r="195" spans="1:14" s="37" customFormat="1" x14ac:dyDescent="0.25">
      <c r="A195" s="102">
        <f>A194+1</f>
        <v>4</v>
      </c>
      <c r="B195" s="102"/>
      <c r="C195" s="98" t="s">
        <v>385</v>
      </c>
      <c r="D195" s="98">
        <f>(2.75*3.82+2.1*2.45+2.75*3.5+2.1*1.15+1.15*2.1+1.53*0.9+0.95*2.08)*10.764</f>
        <v>360.14191199999993</v>
      </c>
      <c r="E195" s="98">
        <v>0</v>
      </c>
      <c r="F195" s="98">
        <f>D195+E195</f>
        <v>360.14191199999993</v>
      </c>
      <c r="G195" s="98">
        <v>0</v>
      </c>
      <c r="H195" s="98">
        <f>F195*(($H$163)+1)+(IF(G195&lt;101,G195,IF(G195&lt;201,G195/2,IF(G195&lt;=301,G195/3,G195/4))))</f>
        <v>540.21286799999984</v>
      </c>
      <c r="I195" s="36"/>
      <c r="J195" s="95">
        <f t="shared" si="13"/>
        <v>8643405.8879999984</v>
      </c>
      <c r="N195" s="36"/>
    </row>
    <row r="196" spans="1:14" s="86" customFormat="1" x14ac:dyDescent="0.25">
      <c r="A196" s="109" t="s">
        <v>387</v>
      </c>
      <c r="B196" s="109"/>
      <c r="C196" s="109"/>
      <c r="D196" s="109"/>
      <c r="E196" s="109"/>
      <c r="F196" s="109"/>
      <c r="G196" s="109"/>
      <c r="H196" s="109"/>
      <c r="I196" s="36">
        <v>1</v>
      </c>
      <c r="J196" s="95">
        <f t="shared" si="13"/>
        <v>0</v>
      </c>
      <c r="L196" s="101"/>
      <c r="M196" s="101"/>
    </row>
    <row r="197" spans="1:14" s="86" customFormat="1" x14ac:dyDescent="0.25">
      <c r="A197" s="102">
        <v>1</v>
      </c>
      <c r="B197" s="102"/>
      <c r="C197" s="98" t="s">
        <v>394</v>
      </c>
      <c r="D197" s="98">
        <f>(2.9*4.75+2.1*2.75+3.5*2.95+3.79*2.75+2.15*1.2+2.15*1.2+2.4*2+0.9*2.69)*10.764</f>
        <v>567.03137399999991</v>
      </c>
      <c r="E197" s="98">
        <v>0</v>
      </c>
      <c r="F197" s="98">
        <f>D197+E197</f>
        <v>567.03137399999991</v>
      </c>
      <c r="G197" s="98">
        <v>0</v>
      </c>
      <c r="H197" s="98">
        <f>F197*(($H$163)+1)+(IF(G197&lt;101,G197,IF(G197&lt;201,G197/2,IF(G197&lt;=301,G197/3,G197/4))))</f>
        <v>850.54706099999987</v>
      </c>
      <c r="I197" s="36"/>
      <c r="J197" s="95">
        <f t="shared" si="13"/>
        <v>13608752.975999998</v>
      </c>
      <c r="N197" s="36"/>
    </row>
    <row r="198" spans="1:14" s="86" customFormat="1" x14ac:dyDescent="0.25">
      <c r="A198" s="102">
        <f>A197+1</f>
        <v>2</v>
      </c>
      <c r="B198" s="102"/>
      <c r="C198" s="85" t="s">
        <v>394</v>
      </c>
      <c r="D198" s="85">
        <f>(2.75*4.91+2*2.9+3.6*2.75+2.75*3.75+1.25*2.1+1.05*2.25+1.55*1.04+3.16*2.01)*10.764</f>
        <v>564.74510039999996</v>
      </c>
      <c r="E198" s="85">
        <v>0</v>
      </c>
      <c r="F198" s="85">
        <f>D198+E198</f>
        <v>564.74510039999996</v>
      </c>
      <c r="G198" s="85">
        <v>0</v>
      </c>
      <c r="H198" s="85">
        <f>F198*(($H$163)+1)+(IF(G198&lt;101,G198,IF(G198&lt;201,G198/2,IF(G198&lt;=301,G198/3,G198/4))))</f>
        <v>847.11765059999993</v>
      </c>
      <c r="I198" s="36"/>
      <c r="J198" s="95">
        <f t="shared" si="13"/>
        <v>13553882.409599999</v>
      </c>
      <c r="N198" s="36"/>
    </row>
    <row r="199" spans="1:14" s="86" customFormat="1" x14ac:dyDescent="0.25">
      <c r="A199" s="102">
        <f>A198+1</f>
        <v>3</v>
      </c>
      <c r="B199" s="102"/>
      <c r="C199" s="106" t="s">
        <v>388</v>
      </c>
      <c r="D199" s="107"/>
      <c r="E199" s="107"/>
      <c r="F199" s="107"/>
      <c r="G199" s="107"/>
      <c r="H199" s="108"/>
      <c r="I199" s="36"/>
      <c r="J199" s="95">
        <f t="shared" si="13"/>
        <v>0</v>
      </c>
      <c r="N199" s="36"/>
    </row>
    <row r="200" spans="1:14" s="86" customFormat="1" x14ac:dyDescent="0.25">
      <c r="A200" s="102">
        <f>A199+1</f>
        <v>4</v>
      </c>
      <c r="B200" s="102"/>
      <c r="C200" s="85" t="s">
        <v>385</v>
      </c>
      <c r="D200" s="85">
        <f>(2.75*3.82+2.1*2.45+2.75*3.5+2.1*1.15+1.15*2.1+1.53*0.9+0.95*2.08)*10.764</f>
        <v>360.14191199999993</v>
      </c>
      <c r="E200" s="85">
        <v>0</v>
      </c>
      <c r="F200" s="85">
        <f>D200+E200</f>
        <v>360.14191199999993</v>
      </c>
      <c r="G200" s="85">
        <v>0</v>
      </c>
      <c r="H200" s="85">
        <f>F200*(($H$163)+1)+(IF(G200&lt;101,G200,IF(G200&lt;201,G200/2,IF(G200&lt;=301,G200/3,G200/4))))</f>
        <v>540.21286799999984</v>
      </c>
      <c r="I200" s="36"/>
      <c r="J200" s="95">
        <f t="shared" si="13"/>
        <v>8643405.8879999984</v>
      </c>
      <c r="N200" s="36"/>
    </row>
    <row r="201" spans="1:14" s="86" customFormat="1" x14ac:dyDescent="0.25">
      <c r="A201" s="103" t="s">
        <v>389</v>
      </c>
      <c r="B201" s="104"/>
      <c r="C201" s="104"/>
      <c r="D201" s="104"/>
      <c r="E201" s="104"/>
      <c r="F201" s="104"/>
      <c r="G201" s="104"/>
      <c r="H201" s="105"/>
      <c r="I201" s="36">
        <v>1</v>
      </c>
      <c r="J201" s="95">
        <f t="shared" si="13"/>
        <v>0</v>
      </c>
      <c r="L201" s="101"/>
      <c r="M201" s="101"/>
    </row>
    <row r="202" spans="1:14" s="86" customFormat="1" x14ac:dyDescent="0.25">
      <c r="A202" s="102">
        <v>1</v>
      </c>
      <c r="B202" s="102"/>
      <c r="C202" s="85" t="s">
        <v>394</v>
      </c>
      <c r="D202" s="85">
        <f>(2.9*4.75+2.1*2.75+3.5*2.95+3.79*2.75+2.15*1.2+2.15*1.2+2.4*2+0.9*2.69)*10.764</f>
        <v>567.03137399999991</v>
      </c>
      <c r="E202" s="85">
        <v>0</v>
      </c>
      <c r="F202" s="85">
        <f>D202+E202</f>
        <v>567.03137399999991</v>
      </c>
      <c r="G202" s="85">
        <v>0</v>
      </c>
      <c r="H202" s="85">
        <f>F202*(($H$163)+1)+(IF(G202&lt;101,G202,IF(G202&lt;201,G202/2,IF(G202&lt;=301,G202/3,G202/4))))</f>
        <v>850.54706099999987</v>
      </c>
      <c r="I202" s="36"/>
      <c r="J202" s="95">
        <f t="shared" si="13"/>
        <v>13608752.975999998</v>
      </c>
      <c r="N202" s="36"/>
    </row>
    <row r="203" spans="1:14" s="86" customFormat="1" x14ac:dyDescent="0.25">
      <c r="A203" s="102">
        <f>A202+1</f>
        <v>2</v>
      </c>
      <c r="B203" s="102"/>
      <c r="C203" s="85" t="s">
        <v>394</v>
      </c>
      <c r="D203" s="85">
        <f>(2.75*4.91+2*2.9+3.6*2.75+2.75*3.75+1.25*2.1+1.05*2.25+1.55*1.04+3.16*2.01)*10.764</f>
        <v>564.74510039999996</v>
      </c>
      <c r="E203" s="85">
        <v>0</v>
      </c>
      <c r="F203" s="85">
        <f>D203+E203</f>
        <v>564.74510039999996</v>
      </c>
      <c r="G203" s="85">
        <v>0</v>
      </c>
      <c r="H203" s="85">
        <f>F203*(($H$163)+1)+(IF(G203&lt;101,G203,IF(G203&lt;201,G203/2,IF(G203&lt;=301,G203/3,G203/4))))</f>
        <v>847.11765059999993</v>
      </c>
      <c r="I203" s="36"/>
      <c r="N203" s="36"/>
    </row>
    <row r="204" spans="1:14" s="86" customFormat="1" x14ac:dyDescent="0.25">
      <c r="A204" s="102">
        <f>A203+1</f>
        <v>3</v>
      </c>
      <c r="B204" s="102"/>
      <c r="C204" s="106" t="s">
        <v>388</v>
      </c>
      <c r="D204" s="107"/>
      <c r="E204" s="107"/>
      <c r="F204" s="107"/>
      <c r="G204" s="107"/>
      <c r="H204" s="108"/>
      <c r="I204" s="36"/>
      <c r="N204" s="36"/>
    </row>
    <row r="205" spans="1:14" s="86" customFormat="1" x14ac:dyDescent="0.25">
      <c r="A205" s="102">
        <f>A204+1</f>
        <v>4</v>
      </c>
      <c r="B205" s="102"/>
      <c r="C205" s="85" t="s">
        <v>385</v>
      </c>
      <c r="D205" s="85">
        <f>(2.75*3.82+2.1*2.45+2.75*3.5+2.1*1.15+1.15*2.1+1.53*0.9+0.95*2.08)*10.764</f>
        <v>360.14191199999993</v>
      </c>
      <c r="E205" s="85">
        <v>0</v>
      </c>
      <c r="F205" s="85">
        <f>D205+E205</f>
        <v>360.14191199999993</v>
      </c>
      <c r="G205" s="85">
        <v>0</v>
      </c>
      <c r="H205" s="85">
        <f>F205*(($H$163)+1)+(IF(G205&lt;101,G205,IF(G205&lt;201,G205/2,IF(G205&lt;=301,G205/3,G205/4))))</f>
        <v>540.21286799999984</v>
      </c>
      <c r="I205" s="36"/>
      <c r="N205" s="36"/>
    </row>
    <row r="206" spans="1:14" s="86" customFormat="1" x14ac:dyDescent="0.25">
      <c r="A206" s="103" t="s">
        <v>390</v>
      </c>
      <c r="B206" s="104"/>
      <c r="C206" s="104"/>
      <c r="D206" s="104"/>
      <c r="E206" s="104"/>
      <c r="F206" s="104"/>
      <c r="G206" s="104"/>
      <c r="H206" s="105"/>
      <c r="I206" s="36">
        <v>1</v>
      </c>
      <c r="L206" s="101"/>
      <c r="M206" s="101"/>
    </row>
    <row r="207" spans="1:14" s="86" customFormat="1" x14ac:dyDescent="0.25">
      <c r="A207" s="102">
        <v>1</v>
      </c>
      <c r="B207" s="102"/>
      <c r="C207" s="85" t="s">
        <v>394</v>
      </c>
      <c r="D207" s="85">
        <f>(2.9*4.75+2.1*2.75+3.5*2.95+3.79*2.75+2.15*1.2+2.15*1.2+2.4*2+0.9*2.69)*10.764</f>
        <v>567.03137399999991</v>
      </c>
      <c r="E207" s="85">
        <v>0</v>
      </c>
      <c r="F207" s="85">
        <f>D207+E207</f>
        <v>567.03137399999991</v>
      </c>
      <c r="G207" s="85">
        <v>0</v>
      </c>
      <c r="H207" s="85">
        <f>F207*(($H$163)+1)+(IF(G207&lt;101,G207,IF(G207&lt;201,G207/2,IF(G207&lt;=301,G207/3,G207/4))))</f>
        <v>850.54706099999987</v>
      </c>
      <c r="I207" s="36"/>
      <c r="N207" s="36"/>
    </row>
    <row r="208" spans="1:14" s="86" customFormat="1" x14ac:dyDescent="0.25">
      <c r="A208" s="102">
        <f>A207+1</f>
        <v>2</v>
      </c>
      <c r="B208" s="102"/>
      <c r="C208" s="85" t="s">
        <v>394</v>
      </c>
      <c r="D208" s="85">
        <f>(2.75*4.91+2*2.9+3.6*2.75+2.75*3.75+1.25*2.1+1.05*2.25+1.55*1.04+3.16*2.01)*10.764</f>
        <v>564.74510039999996</v>
      </c>
      <c r="E208" s="85">
        <v>0</v>
      </c>
      <c r="F208" s="85">
        <f>D208+E208</f>
        <v>564.74510039999996</v>
      </c>
      <c r="G208" s="85">
        <v>0</v>
      </c>
      <c r="H208" s="85">
        <f>F208*(($H$163)+1)+(IF(G208&lt;101,G208,IF(G208&lt;201,G208/2,IF(G208&lt;=301,G208/3,G208/4))))</f>
        <v>847.11765059999993</v>
      </c>
      <c r="I208" s="36"/>
      <c r="N208" s="36"/>
    </row>
    <row r="209" spans="1:20" s="86" customFormat="1" x14ac:dyDescent="0.25">
      <c r="A209" s="102">
        <f>A208+1</f>
        <v>3</v>
      </c>
      <c r="B209" s="102"/>
      <c r="C209" s="106" t="s">
        <v>391</v>
      </c>
      <c r="D209" s="107"/>
      <c r="E209" s="107"/>
      <c r="F209" s="107"/>
      <c r="G209" s="107"/>
      <c r="H209" s="108"/>
      <c r="I209" s="36"/>
      <c r="N209" s="36"/>
    </row>
    <row r="210" spans="1:20" s="86" customFormat="1" x14ac:dyDescent="0.25">
      <c r="A210" s="102">
        <f>A209+1</f>
        <v>4</v>
      </c>
      <c r="B210" s="102"/>
      <c r="C210" s="85" t="s">
        <v>385</v>
      </c>
      <c r="D210" s="85">
        <f>(2.75*3.82+2.1*2.45+2.75*3.5+2.1*1.15+1.15*2.1+1.53*0.9+0.95*2.08)*10.764</f>
        <v>360.14191199999993</v>
      </c>
      <c r="E210" s="85">
        <v>0</v>
      </c>
      <c r="F210" s="85">
        <f>D210+E210</f>
        <v>360.14191199999993</v>
      </c>
      <c r="G210" s="85">
        <v>0</v>
      </c>
      <c r="H210" s="85">
        <f>F210*(($H$163)+1)+(IF(G210&lt;101,G210,IF(G210&lt;201,G210/2,IF(G210&lt;=301,G210/3,G210/4))))</f>
        <v>540.21286799999984</v>
      </c>
      <c r="I210" s="36"/>
      <c r="N210" s="36"/>
    </row>
    <row r="211" spans="1:20" s="35" customFormat="1" x14ac:dyDescent="0.25">
      <c r="A211" s="166" t="s">
        <v>64</v>
      </c>
      <c r="B211" s="166"/>
      <c r="C211" s="166"/>
      <c r="D211" s="166"/>
      <c r="E211" s="166"/>
      <c r="F211" s="166"/>
      <c r="G211" s="166"/>
      <c r="H211" s="166"/>
      <c r="T211" s="37"/>
    </row>
    <row r="212" spans="1:20" s="35" customFormat="1" x14ac:dyDescent="0.25">
      <c r="A212" s="44" t="s">
        <v>149</v>
      </c>
      <c r="B212" s="162" t="s">
        <v>411</v>
      </c>
      <c r="C212" s="163"/>
      <c r="D212" s="163"/>
      <c r="E212" s="163"/>
      <c r="F212" s="163"/>
      <c r="G212" s="163"/>
      <c r="H212" s="164"/>
      <c r="T212" s="37"/>
    </row>
    <row r="213" spans="1:20" s="35" customFormat="1" x14ac:dyDescent="0.25">
      <c r="A213" s="44" t="s">
        <v>149</v>
      </c>
      <c r="B213" s="162" t="str">
        <f>(IF(H162="Saleable area Loading :","We have considered Saleable area of Flats as per our Calculation.","We considered Saleable area of Flat as per Builder area Sheet."))</f>
        <v>We have considered Saleable area of Flats as per our Calculation.</v>
      </c>
      <c r="C213" s="163"/>
      <c r="D213" s="163"/>
      <c r="E213" s="163"/>
      <c r="F213" s="163"/>
      <c r="G213" s="163"/>
      <c r="H213" s="164"/>
      <c r="T213" s="37"/>
    </row>
    <row r="214" spans="1:20" s="35" customFormat="1" x14ac:dyDescent="0.25">
      <c r="A214" s="44" t="s">
        <v>149</v>
      </c>
      <c r="B214" s="162" t="str">
        <f>(IF(H144="Saleable area Loading :","We have considered Saleable area of Commercial as per our Calculation.","We considered Saleable area of Commercial as per Builder area Sheet."))</f>
        <v>We have considered Saleable area of Commercial as per our Calculation.</v>
      </c>
      <c r="C214" s="163"/>
      <c r="D214" s="163"/>
      <c r="E214" s="163"/>
      <c r="F214" s="163"/>
      <c r="G214" s="163"/>
      <c r="H214" s="164"/>
      <c r="T214" s="37"/>
    </row>
    <row r="215" spans="1:20" s="35" customFormat="1" x14ac:dyDescent="0.25">
      <c r="A215" s="44" t="s">
        <v>149</v>
      </c>
      <c r="B215" s="159" t="s">
        <v>119</v>
      </c>
      <c r="C215" s="160"/>
      <c r="D215" s="160"/>
      <c r="E215" s="160"/>
      <c r="F215" s="160"/>
      <c r="G215" s="160"/>
      <c r="H215" s="161"/>
      <c r="T215" s="37"/>
    </row>
    <row r="216" spans="1:20" s="35" customFormat="1" x14ac:dyDescent="0.25">
      <c r="A216" s="44" t="s">
        <v>149</v>
      </c>
      <c r="B216" s="159" t="s">
        <v>395</v>
      </c>
      <c r="C216" s="160"/>
      <c r="D216" s="160"/>
      <c r="E216" s="160"/>
      <c r="F216" s="160"/>
      <c r="G216" s="160"/>
      <c r="H216" s="161"/>
      <c r="T216" s="37"/>
    </row>
    <row r="217" spans="1:20" s="35" customFormat="1" x14ac:dyDescent="0.25">
      <c r="A217" s="44" t="s">
        <v>149</v>
      </c>
      <c r="B217" s="159" t="s">
        <v>148</v>
      </c>
      <c r="C217" s="160"/>
      <c r="D217" s="160"/>
      <c r="E217" s="160"/>
      <c r="F217" s="160"/>
      <c r="G217" s="160"/>
      <c r="H217" s="161"/>
    </row>
    <row r="218" spans="1:20" s="35" customFormat="1" x14ac:dyDescent="0.25">
      <c r="A218" s="44" t="s">
        <v>149</v>
      </c>
      <c r="B218" s="159" t="s">
        <v>120</v>
      </c>
      <c r="C218" s="160"/>
      <c r="D218" s="160"/>
      <c r="E218" s="160"/>
      <c r="F218" s="160"/>
      <c r="G218" s="160"/>
      <c r="H218" s="161"/>
    </row>
    <row r="219" spans="1:20" s="35" customFormat="1" ht="34.5" customHeight="1" x14ac:dyDescent="0.25">
      <c r="A219" s="44" t="s">
        <v>149</v>
      </c>
      <c r="B219" s="159" t="s">
        <v>150</v>
      </c>
      <c r="C219" s="160"/>
      <c r="D219" s="160"/>
      <c r="E219" s="160"/>
      <c r="F219" s="160"/>
      <c r="G219" s="160"/>
      <c r="H219" s="161"/>
    </row>
    <row r="220" spans="1:20" s="35" customFormat="1" x14ac:dyDescent="0.25">
      <c r="A220" s="44" t="s">
        <v>149</v>
      </c>
      <c r="B220" s="159" t="s">
        <v>121</v>
      </c>
      <c r="C220" s="160"/>
      <c r="D220" s="160"/>
      <c r="E220" s="160"/>
      <c r="F220" s="160"/>
      <c r="G220" s="160"/>
      <c r="H220" s="161"/>
    </row>
    <row r="221" spans="1:20" s="35" customFormat="1" ht="32.25" customHeight="1" x14ac:dyDescent="0.25">
      <c r="A221" s="55" t="s">
        <v>149</v>
      </c>
      <c r="B221" s="162" t="s">
        <v>177</v>
      </c>
      <c r="C221" s="163"/>
      <c r="D221" s="163"/>
      <c r="E221" s="163"/>
      <c r="F221" s="163"/>
      <c r="G221" s="163"/>
      <c r="H221" s="164"/>
    </row>
    <row r="222" spans="1:20" s="35" customFormat="1" x14ac:dyDescent="0.25">
      <c r="A222" s="51" t="s">
        <v>149</v>
      </c>
      <c r="B222" s="162" t="s">
        <v>414</v>
      </c>
      <c r="C222" s="163"/>
      <c r="D222" s="163"/>
      <c r="E222" s="163"/>
      <c r="F222" s="163"/>
      <c r="G222" s="163"/>
      <c r="H222" s="164"/>
    </row>
    <row r="223" spans="1:20" s="35" customFormat="1" hidden="1" x14ac:dyDescent="0.25">
      <c r="A223" s="55" t="s">
        <v>149</v>
      </c>
      <c r="B223" s="260" t="s">
        <v>233</v>
      </c>
      <c r="C223" s="261"/>
      <c r="D223" s="261"/>
      <c r="E223" s="261"/>
      <c r="F223" s="261"/>
      <c r="G223" s="261"/>
      <c r="H223" s="262"/>
    </row>
    <row r="224" spans="1:20" x14ac:dyDescent="0.25">
      <c r="A224" s="193" t="s">
        <v>57</v>
      </c>
      <c r="B224" s="193"/>
      <c r="C224" s="193"/>
      <c r="D224" s="193"/>
      <c r="E224" s="193"/>
      <c r="F224" s="193"/>
      <c r="G224" s="193"/>
      <c r="H224" s="193"/>
      <c r="T224" s="35"/>
    </row>
    <row r="225" spans="1:20" x14ac:dyDescent="0.25">
      <c r="A225" s="115" t="s">
        <v>58</v>
      </c>
      <c r="B225" s="115"/>
      <c r="C225" s="115"/>
      <c r="D225" s="115"/>
      <c r="E225" s="115"/>
      <c r="F225" s="115"/>
      <c r="G225" s="115"/>
      <c r="H225" s="115"/>
      <c r="T225" s="35"/>
    </row>
    <row r="226" spans="1:20" ht="15.75" customHeight="1" x14ac:dyDescent="0.25">
      <c r="A226" s="147" t="s">
        <v>59</v>
      </c>
      <c r="B226" s="147"/>
      <c r="C226" s="147"/>
      <c r="D226" s="147"/>
      <c r="E226" s="147"/>
      <c r="F226" s="147"/>
      <c r="G226" s="147"/>
      <c r="H226" s="147"/>
      <c r="T226" s="35"/>
    </row>
    <row r="227" spans="1:20" x14ac:dyDescent="0.25">
      <c r="A227" s="115" t="s">
        <v>60</v>
      </c>
      <c r="B227" s="115"/>
      <c r="C227" s="115"/>
      <c r="D227" s="115"/>
      <c r="E227" s="115"/>
      <c r="F227" s="115"/>
      <c r="G227" s="115"/>
      <c r="H227" s="115"/>
      <c r="T227" s="35"/>
    </row>
    <row r="228" spans="1:20" x14ac:dyDescent="0.25">
      <c r="A228" s="115" t="s">
        <v>61</v>
      </c>
      <c r="B228" s="115"/>
      <c r="C228" s="115"/>
      <c r="D228" s="115"/>
      <c r="E228" s="115"/>
      <c r="F228" s="115"/>
      <c r="G228" s="115"/>
      <c r="H228" s="115"/>
      <c r="T228" s="35"/>
    </row>
    <row r="229" spans="1:20" x14ac:dyDescent="0.25">
      <c r="A229" s="115" t="s">
        <v>122</v>
      </c>
      <c r="B229" s="115"/>
      <c r="C229" s="115"/>
      <c r="D229" s="115"/>
      <c r="E229" s="115"/>
      <c r="F229" s="115"/>
      <c r="G229" s="115"/>
      <c r="H229" s="115"/>
      <c r="T229" s="35"/>
    </row>
    <row r="230" spans="1:20" ht="33.950000000000003" customHeight="1" x14ac:dyDescent="0.25">
      <c r="A230" s="128" t="s">
        <v>123</v>
      </c>
      <c r="B230" s="128"/>
      <c r="C230" s="128"/>
      <c r="D230" s="128"/>
      <c r="E230" s="128"/>
      <c r="F230" s="128"/>
      <c r="G230" s="128"/>
      <c r="H230" s="128"/>
    </row>
    <row r="231" spans="1:20" x14ac:dyDescent="0.25">
      <c r="A231" s="189" t="s">
        <v>73</v>
      </c>
      <c r="B231" s="189"/>
      <c r="C231" s="189" t="s">
        <v>413</v>
      </c>
      <c r="D231" s="189"/>
      <c r="E231" s="189" t="s">
        <v>103</v>
      </c>
      <c r="F231" s="189"/>
      <c r="G231" s="189" t="s">
        <v>415</v>
      </c>
      <c r="H231" s="189"/>
    </row>
    <row r="232" spans="1:20" x14ac:dyDescent="0.25">
      <c r="A232" s="188" t="s">
        <v>75</v>
      </c>
      <c r="B232" s="188"/>
      <c r="C232" s="188"/>
      <c r="D232" s="188"/>
      <c r="E232" s="188"/>
      <c r="F232" s="188"/>
      <c r="G232" s="188"/>
      <c r="H232" s="188"/>
    </row>
    <row r="233" spans="1:20" x14ac:dyDescent="0.25">
      <c r="A233" s="188"/>
      <c r="B233" s="188"/>
      <c r="C233" s="188"/>
      <c r="D233" s="188"/>
      <c r="E233" s="188"/>
      <c r="F233" s="188"/>
      <c r="G233" s="188"/>
      <c r="H233" s="188"/>
    </row>
    <row r="234" spans="1:20" x14ac:dyDescent="0.25">
      <c r="A234" s="188"/>
      <c r="B234" s="188"/>
      <c r="C234" s="188"/>
      <c r="D234" s="188"/>
      <c r="E234" s="188"/>
      <c r="F234" s="188"/>
      <c r="G234" s="188"/>
      <c r="H234" s="188"/>
    </row>
    <row r="235" spans="1:20" x14ac:dyDescent="0.25">
      <c r="A235" s="188"/>
      <c r="B235" s="188"/>
      <c r="C235" s="188"/>
      <c r="D235" s="188"/>
      <c r="E235" s="188"/>
      <c r="F235" s="188"/>
      <c r="G235" s="188"/>
      <c r="H235" s="188"/>
    </row>
    <row r="236" spans="1:20" x14ac:dyDescent="0.25">
      <c r="A236" s="38" t="s">
        <v>62</v>
      </c>
      <c r="B236" s="39"/>
      <c r="C236" s="39"/>
      <c r="D236" s="38" t="str">
        <f>E9</f>
        <v>Saptarshi CHS</v>
      </c>
      <c r="F236" s="39"/>
      <c r="G236" s="39"/>
      <c r="H236" s="39"/>
    </row>
    <row r="237" spans="1:20" x14ac:dyDescent="0.25">
      <c r="A237" s="39"/>
      <c r="B237" s="39"/>
      <c r="C237" s="39"/>
      <c r="D237" s="39"/>
      <c r="E237" s="39"/>
      <c r="F237" s="39"/>
      <c r="G237" s="39"/>
      <c r="H237" s="39"/>
    </row>
    <row r="238" spans="1:20" x14ac:dyDescent="0.25">
      <c r="A238" s="39"/>
      <c r="B238" s="39"/>
      <c r="C238" s="39"/>
      <c r="D238" s="39"/>
      <c r="E238" s="39"/>
      <c r="F238" s="39"/>
      <c r="G238" s="39"/>
      <c r="H238" s="39"/>
    </row>
    <row r="239" spans="1:20" ht="15" customHeight="1" x14ac:dyDescent="0.25"/>
    <row r="280" spans="1:1" x14ac:dyDescent="0.25">
      <c r="A280" s="41" t="s">
        <v>160</v>
      </c>
    </row>
    <row r="324" spans="1:1" x14ac:dyDescent="0.25">
      <c r="A324" s="41" t="s">
        <v>63</v>
      </c>
    </row>
  </sheetData>
  <mergeCells count="429">
    <mergeCell ref="B223:H223"/>
    <mergeCell ref="D144:D145"/>
    <mergeCell ref="A135:B135"/>
    <mergeCell ref="C135:D135"/>
    <mergeCell ref="B217:H217"/>
    <mergeCell ref="E141:F141"/>
    <mergeCell ref="G140:H140"/>
    <mergeCell ref="A146:H146"/>
    <mergeCell ref="A152:B152"/>
    <mergeCell ref="A164:H164"/>
    <mergeCell ref="A210:B210"/>
    <mergeCell ref="A199:B199"/>
    <mergeCell ref="A200:B200"/>
    <mergeCell ref="B214:H214"/>
    <mergeCell ref="B221:H221"/>
    <mergeCell ref="A115:B115"/>
    <mergeCell ref="C134:D134"/>
    <mergeCell ref="E134:F134"/>
    <mergeCell ref="G134:H134"/>
    <mergeCell ref="C144:C145"/>
    <mergeCell ref="B162:B163"/>
    <mergeCell ref="A162:A163"/>
    <mergeCell ref="F162:F163"/>
    <mergeCell ref="A148:B148"/>
    <mergeCell ref="A122:E122"/>
    <mergeCell ref="A41:B41"/>
    <mergeCell ref="C41:H41"/>
    <mergeCell ref="F144:F145"/>
    <mergeCell ref="C133:D133"/>
    <mergeCell ref="E133:F133"/>
    <mergeCell ref="B144:B145"/>
    <mergeCell ref="A144:A145"/>
    <mergeCell ref="C162:C163"/>
    <mergeCell ref="G162:G163"/>
    <mergeCell ref="G141:H141"/>
    <mergeCell ref="C56:H56"/>
    <mergeCell ref="A116:B116"/>
    <mergeCell ref="A92:B92"/>
    <mergeCell ref="G144:G145"/>
    <mergeCell ref="A82:B82"/>
    <mergeCell ref="E80:F89"/>
    <mergeCell ref="G80:H89"/>
    <mergeCell ref="A117:B117"/>
    <mergeCell ref="A93:B93"/>
    <mergeCell ref="E93:F93"/>
    <mergeCell ref="C106:H106"/>
    <mergeCell ref="A107:B107"/>
    <mergeCell ref="E107:F107"/>
    <mergeCell ref="D70:H70"/>
    <mergeCell ref="L151:M151"/>
    <mergeCell ref="L150:M150"/>
    <mergeCell ref="L149:M149"/>
    <mergeCell ref="L148:M148"/>
    <mergeCell ref="A87:B87"/>
    <mergeCell ref="C138:D138"/>
    <mergeCell ref="E138:F138"/>
    <mergeCell ref="G138:H138"/>
    <mergeCell ref="A119:E119"/>
    <mergeCell ref="A90:B90"/>
    <mergeCell ref="C90:H90"/>
    <mergeCell ref="A147:H147"/>
    <mergeCell ref="E144:E145"/>
    <mergeCell ref="A94:B94"/>
    <mergeCell ref="C92:H92"/>
    <mergeCell ref="A95:B95"/>
    <mergeCell ref="A96:B96"/>
    <mergeCell ref="G94:H103"/>
    <mergeCell ref="A97:B97"/>
    <mergeCell ref="F120:H120"/>
    <mergeCell ref="A120:E120"/>
    <mergeCell ref="A123:E123"/>
    <mergeCell ref="A140:B140"/>
    <mergeCell ref="E140:F140"/>
    <mergeCell ref="A39:H39"/>
    <mergeCell ref="A38:B38"/>
    <mergeCell ref="C38:E38"/>
    <mergeCell ref="A43:D43"/>
    <mergeCell ref="E43:H43"/>
    <mergeCell ref="A42:H42"/>
    <mergeCell ref="A69:C69"/>
    <mergeCell ref="A70:C70"/>
    <mergeCell ref="D69:H69"/>
    <mergeCell ref="F38:H38"/>
    <mergeCell ref="C52:E52"/>
    <mergeCell ref="C51:E51"/>
    <mergeCell ref="G51:H51"/>
    <mergeCell ref="A52:B52"/>
    <mergeCell ref="G57:H57"/>
    <mergeCell ref="A59:B60"/>
    <mergeCell ref="C59:E59"/>
    <mergeCell ref="G59:H59"/>
    <mergeCell ref="G52:H52"/>
    <mergeCell ref="A53:B54"/>
    <mergeCell ref="A40:B40"/>
    <mergeCell ref="C40:H40"/>
    <mergeCell ref="A47:D47"/>
    <mergeCell ref="A48:D48"/>
    <mergeCell ref="A45:D45"/>
    <mergeCell ref="E45:H45"/>
    <mergeCell ref="E46:H46"/>
    <mergeCell ref="E47:H47"/>
    <mergeCell ref="E48:H48"/>
    <mergeCell ref="C58:H58"/>
    <mergeCell ref="C60:H60"/>
    <mergeCell ref="A49:H49"/>
    <mergeCell ref="D65:H65"/>
    <mergeCell ref="A65:C65"/>
    <mergeCell ref="A46:D46"/>
    <mergeCell ref="A50:B50"/>
    <mergeCell ref="C50:H50"/>
    <mergeCell ref="A66:C68"/>
    <mergeCell ref="D66:H66"/>
    <mergeCell ref="D67:H67"/>
    <mergeCell ref="C54:E54"/>
    <mergeCell ref="G54:H54"/>
    <mergeCell ref="G53:H53"/>
    <mergeCell ref="A62:H62"/>
    <mergeCell ref="A63:C63"/>
    <mergeCell ref="A64:C64"/>
    <mergeCell ref="A78:B78"/>
    <mergeCell ref="A76:B76"/>
    <mergeCell ref="C76:H76"/>
    <mergeCell ref="A71:C71"/>
    <mergeCell ref="D71:H71"/>
    <mergeCell ref="C78:H78"/>
    <mergeCell ref="A72:C72"/>
    <mergeCell ref="D72:H72"/>
    <mergeCell ref="A75:C75"/>
    <mergeCell ref="D75:H75"/>
    <mergeCell ref="A74:C74"/>
    <mergeCell ref="A31:D31"/>
    <mergeCell ref="E31:H31"/>
    <mergeCell ref="A28:D28"/>
    <mergeCell ref="A37:B37"/>
    <mergeCell ref="C37:E37"/>
    <mergeCell ref="A32:D32"/>
    <mergeCell ref="E32:H32"/>
    <mergeCell ref="A33:D33"/>
    <mergeCell ref="E33:H33"/>
    <mergeCell ref="A29:D29"/>
    <mergeCell ref="E29:H29"/>
    <mergeCell ref="C34:E34"/>
    <mergeCell ref="F37:H37"/>
    <mergeCell ref="F34:H34"/>
    <mergeCell ref="A35:B35"/>
    <mergeCell ref="A34:B34"/>
    <mergeCell ref="C35:E35"/>
    <mergeCell ref="A36:B36"/>
    <mergeCell ref="C36:E36"/>
    <mergeCell ref="F35:H35"/>
    <mergeCell ref="F36:H36"/>
    <mergeCell ref="A23:B23"/>
    <mergeCell ref="C23:D23"/>
    <mergeCell ref="E23:F23"/>
    <mergeCell ref="G23:H23"/>
    <mergeCell ref="E28:H28"/>
    <mergeCell ref="A30:D30"/>
    <mergeCell ref="E30:H30"/>
    <mergeCell ref="A27:D27"/>
    <mergeCell ref="E27:H27"/>
    <mergeCell ref="A26:D26"/>
    <mergeCell ref="E26:H26"/>
    <mergeCell ref="A14:D14"/>
    <mergeCell ref="E14:H14"/>
    <mergeCell ref="A13:D13"/>
    <mergeCell ref="E13:H13"/>
    <mergeCell ref="A18:B18"/>
    <mergeCell ref="A15:D15"/>
    <mergeCell ref="A20:B20"/>
    <mergeCell ref="C20:D20"/>
    <mergeCell ref="E20:F20"/>
    <mergeCell ref="G20:H20"/>
    <mergeCell ref="E15:H15"/>
    <mergeCell ref="A16:D16"/>
    <mergeCell ref="A1:H1"/>
    <mergeCell ref="A2:H2"/>
    <mergeCell ref="A3:D3"/>
    <mergeCell ref="E3:H3"/>
    <mergeCell ref="A5:D5"/>
    <mergeCell ref="A9:D9"/>
    <mergeCell ref="E9:H9"/>
    <mergeCell ref="A11:D11"/>
    <mergeCell ref="E11:H11"/>
    <mergeCell ref="E5:H5"/>
    <mergeCell ref="A6:D6"/>
    <mergeCell ref="E6:H6"/>
    <mergeCell ref="A7:D7"/>
    <mergeCell ref="E7:H7"/>
    <mergeCell ref="A8:D8"/>
    <mergeCell ref="E8:H8"/>
    <mergeCell ref="A4:D4"/>
    <mergeCell ref="E4:H4"/>
    <mergeCell ref="A10:D10"/>
    <mergeCell ref="E10:H10"/>
    <mergeCell ref="A12:D12"/>
    <mergeCell ref="E12:H12"/>
    <mergeCell ref="A24:D25"/>
    <mergeCell ref="A186:B186"/>
    <mergeCell ref="A101:B101"/>
    <mergeCell ref="A102:B102"/>
    <mergeCell ref="A121:E121"/>
    <mergeCell ref="A118:E118"/>
    <mergeCell ref="F122:H122"/>
    <mergeCell ref="G93:H93"/>
    <mergeCell ref="A181:B181"/>
    <mergeCell ref="A185:H185"/>
    <mergeCell ref="A88:B88"/>
    <mergeCell ref="A89:B89"/>
    <mergeCell ref="A84:B84"/>
    <mergeCell ref="A81:B81"/>
    <mergeCell ref="A83:B83"/>
    <mergeCell ref="E79:F79"/>
    <mergeCell ref="A86:B86"/>
    <mergeCell ref="F126:H126"/>
    <mergeCell ref="A143:H143"/>
    <mergeCell ref="G132:H132"/>
    <mergeCell ref="A141:B141"/>
    <mergeCell ref="C141:D141"/>
    <mergeCell ref="A232:H235"/>
    <mergeCell ref="A231:B231"/>
    <mergeCell ref="E231:F231"/>
    <mergeCell ref="C231:D231"/>
    <mergeCell ref="G231:H231"/>
    <mergeCell ref="A131:H131"/>
    <mergeCell ref="A129:E129"/>
    <mergeCell ref="F129:H129"/>
    <mergeCell ref="A130:E130"/>
    <mergeCell ref="F130:H130"/>
    <mergeCell ref="A191:H191"/>
    <mergeCell ref="A227:H227"/>
    <mergeCell ref="A136:H136"/>
    <mergeCell ref="A230:H230"/>
    <mergeCell ref="A228:H228"/>
    <mergeCell ref="A224:H224"/>
    <mergeCell ref="G137:H137"/>
    <mergeCell ref="A150:B150"/>
    <mergeCell ref="C169:H169"/>
    <mergeCell ref="A170:H170"/>
    <mergeCell ref="A171:B171"/>
    <mergeCell ref="A174:B174"/>
    <mergeCell ref="C174:H174"/>
    <mergeCell ref="A180:H180"/>
    <mergeCell ref="A99:B99"/>
    <mergeCell ref="A106:B106"/>
    <mergeCell ref="A79:B79"/>
    <mergeCell ref="E135:F135"/>
    <mergeCell ref="G135:H135"/>
    <mergeCell ref="C139:D139"/>
    <mergeCell ref="E139:F139"/>
    <mergeCell ref="G139:H139"/>
    <mergeCell ref="A128:E128"/>
    <mergeCell ref="A133:A134"/>
    <mergeCell ref="A138:A139"/>
    <mergeCell ref="E94:F103"/>
    <mergeCell ref="A104:B104"/>
    <mergeCell ref="C104:H104"/>
    <mergeCell ref="G107:H107"/>
    <mergeCell ref="A108:B108"/>
    <mergeCell ref="E108:F117"/>
    <mergeCell ref="G108:H117"/>
    <mergeCell ref="A109:B109"/>
    <mergeCell ref="A110:B110"/>
    <mergeCell ref="A111:B111"/>
    <mergeCell ref="A112:B112"/>
    <mergeCell ref="A113:B113"/>
    <mergeCell ref="A114:B114"/>
    <mergeCell ref="A225:H225"/>
    <mergeCell ref="F118:H118"/>
    <mergeCell ref="F123:H123"/>
    <mergeCell ref="A211:H211"/>
    <mergeCell ref="F128:H128"/>
    <mergeCell ref="A124:E124"/>
    <mergeCell ref="F124:H124"/>
    <mergeCell ref="A126:E126"/>
    <mergeCell ref="F121:H121"/>
    <mergeCell ref="A125:E125"/>
    <mergeCell ref="A161:H161"/>
    <mergeCell ref="E137:F137"/>
    <mergeCell ref="A142:H142"/>
    <mergeCell ref="B222:H222"/>
    <mergeCell ref="B220:H220"/>
    <mergeCell ref="B218:H218"/>
    <mergeCell ref="A195:B195"/>
    <mergeCell ref="B219:H219"/>
    <mergeCell ref="A193:B193"/>
    <mergeCell ref="A194:B194"/>
    <mergeCell ref="A167:B167"/>
    <mergeCell ref="A168:B168"/>
    <mergeCell ref="A169:B169"/>
    <mergeCell ref="A151:B151"/>
    <mergeCell ref="A229:H229"/>
    <mergeCell ref="A226:H226"/>
    <mergeCell ref="A192:B192"/>
    <mergeCell ref="A137:B137"/>
    <mergeCell ref="D162:D163"/>
    <mergeCell ref="E162:E163"/>
    <mergeCell ref="A98:B98"/>
    <mergeCell ref="A100:B100"/>
    <mergeCell ref="F119:H119"/>
    <mergeCell ref="G133:H133"/>
    <mergeCell ref="A103:B103"/>
    <mergeCell ref="F125:H125"/>
    <mergeCell ref="C132:D132"/>
    <mergeCell ref="C140:D140"/>
    <mergeCell ref="A165:H165"/>
    <mergeCell ref="B216:H216"/>
    <mergeCell ref="B212:H212"/>
    <mergeCell ref="B213:H213"/>
    <mergeCell ref="B215:H215"/>
    <mergeCell ref="C199:H199"/>
    <mergeCell ref="A187:B187"/>
    <mergeCell ref="C187:H187"/>
    <mergeCell ref="A209:B209"/>
    <mergeCell ref="C209:H209"/>
    <mergeCell ref="L152:M152"/>
    <mergeCell ref="A153:B153"/>
    <mergeCell ref="L153:M153"/>
    <mergeCell ref="A154:B154"/>
    <mergeCell ref="L154:M154"/>
    <mergeCell ref="E44:H44"/>
    <mergeCell ref="A44:D44"/>
    <mergeCell ref="A85:B85"/>
    <mergeCell ref="A51:B51"/>
    <mergeCell ref="D68:H68"/>
    <mergeCell ref="C53:E53"/>
    <mergeCell ref="A127:E127"/>
    <mergeCell ref="A149:B149"/>
    <mergeCell ref="F127:H127"/>
    <mergeCell ref="E132:F132"/>
    <mergeCell ref="A132:B132"/>
    <mergeCell ref="C137:D137"/>
    <mergeCell ref="D73:H73"/>
    <mergeCell ref="A57:B58"/>
    <mergeCell ref="C57:E57"/>
    <mergeCell ref="A73:C73"/>
    <mergeCell ref="D74:H74"/>
    <mergeCell ref="A80:B80"/>
    <mergeCell ref="G79:H79"/>
    <mergeCell ref="I16:P16"/>
    <mergeCell ref="A61:B61"/>
    <mergeCell ref="C61:E61"/>
    <mergeCell ref="D63:H63"/>
    <mergeCell ref="D64:H64"/>
    <mergeCell ref="G61:H61"/>
    <mergeCell ref="A55:B56"/>
    <mergeCell ref="C55:E55"/>
    <mergeCell ref="G55:H55"/>
    <mergeCell ref="E24:H25"/>
    <mergeCell ref="E16:H16"/>
    <mergeCell ref="A17:B17"/>
    <mergeCell ref="C17:H17"/>
    <mergeCell ref="C18:H18"/>
    <mergeCell ref="A19:B19"/>
    <mergeCell ref="C19:H19"/>
    <mergeCell ref="A21:B21"/>
    <mergeCell ref="C21:D21"/>
    <mergeCell ref="E21:F21"/>
    <mergeCell ref="G21:H21"/>
    <mergeCell ref="A22:B22"/>
    <mergeCell ref="C22:D22"/>
    <mergeCell ref="E22:F22"/>
    <mergeCell ref="G22:H22"/>
    <mergeCell ref="L171:M171"/>
    <mergeCell ref="A172:B172"/>
    <mergeCell ref="L172:M172"/>
    <mergeCell ref="A173:B173"/>
    <mergeCell ref="L173:M173"/>
    <mergeCell ref="L169:M169"/>
    <mergeCell ref="L166:M166"/>
    <mergeCell ref="L167:M167"/>
    <mergeCell ref="L168:M168"/>
    <mergeCell ref="A166:B166"/>
    <mergeCell ref="L176:M176"/>
    <mergeCell ref="A177:B177"/>
    <mergeCell ref="L177:M177"/>
    <mergeCell ref="A178:B178"/>
    <mergeCell ref="L178:M178"/>
    <mergeCell ref="A179:B179"/>
    <mergeCell ref="C179:H179"/>
    <mergeCell ref="L179:M179"/>
    <mergeCell ref="C177:H177"/>
    <mergeCell ref="L186:M186"/>
    <mergeCell ref="A155:H155"/>
    <mergeCell ref="A156:H156"/>
    <mergeCell ref="A157:B157"/>
    <mergeCell ref="L157:M157"/>
    <mergeCell ref="A158:B158"/>
    <mergeCell ref="L158:M158"/>
    <mergeCell ref="A159:B159"/>
    <mergeCell ref="L159:M159"/>
    <mergeCell ref="A160:B160"/>
    <mergeCell ref="L160:M160"/>
    <mergeCell ref="L181:M181"/>
    <mergeCell ref="A182:B182"/>
    <mergeCell ref="C182:H182"/>
    <mergeCell ref="L182:M182"/>
    <mergeCell ref="A183:B183"/>
    <mergeCell ref="L183:M183"/>
    <mergeCell ref="A184:B184"/>
    <mergeCell ref="C184:H184"/>
    <mergeCell ref="L184:M184"/>
    <mergeCell ref="C183:H183"/>
    <mergeCell ref="L174:M174"/>
    <mergeCell ref="A175:H175"/>
    <mergeCell ref="A176:B176"/>
    <mergeCell ref="L187:M187"/>
    <mergeCell ref="A188:B188"/>
    <mergeCell ref="L188:M188"/>
    <mergeCell ref="A189:B189"/>
    <mergeCell ref="C189:H189"/>
    <mergeCell ref="L189:M189"/>
    <mergeCell ref="L191:M191"/>
    <mergeCell ref="A207:B207"/>
    <mergeCell ref="A208:B208"/>
    <mergeCell ref="A201:H201"/>
    <mergeCell ref="L201:M201"/>
    <mergeCell ref="A202:B202"/>
    <mergeCell ref="A203:B203"/>
    <mergeCell ref="A204:B204"/>
    <mergeCell ref="C204:H204"/>
    <mergeCell ref="A205:B205"/>
    <mergeCell ref="A206:H206"/>
    <mergeCell ref="L206:M206"/>
    <mergeCell ref="A190:H190"/>
    <mergeCell ref="L190:M190"/>
    <mergeCell ref="A196:H196"/>
    <mergeCell ref="L196:M196"/>
    <mergeCell ref="A197:B197"/>
    <mergeCell ref="A198:B198"/>
  </mergeCells>
  <dataValidations count="17">
    <dataValidation type="list" allowBlank="1" showInputMessage="1" showErrorMessage="1" sqref="E5:H5">
      <formula1>OFFSET($L$3,1,MATCH($E4,$L$3:$P$3,0)-1,10,1)</formula1>
    </dataValidation>
    <dataValidation type="list" allowBlank="1" showInputMessage="1" showErrorMessage="1" sqref="A18:B18">
      <formula1>"CTS No,Survey No,Plot No,Gut No,FP No,"</formula1>
    </dataValidation>
    <dataValidation type="list" allowBlank="1" showInputMessage="1" showErrorMessage="1" sqref="G21:H21">
      <formula1>$S$14:$W$14</formula1>
    </dataValidation>
    <dataValidation type="list" allowBlank="1" showInputMessage="1" showErrorMessage="1" sqref="E144:E145">
      <formula1>"Attached Loft area,Attached Otla area,Attached Mezzanine area"</formula1>
    </dataValidation>
    <dataValidation type="list" allowBlank="1" showInputMessage="1" showErrorMessage="1" sqref="G231:H231">
      <formula1>"Kunal Kadam,Pranita Mhatre,Shruti Fule,Pooja Kawale,Gaurav Panchal,Shruti Tathare, Hitakshi Mhatre, Sachin Sawant"</formula1>
    </dataValidation>
    <dataValidation type="list" allowBlank="1" showInputMessage="1" showErrorMessage="1" sqref="F118:H118">
      <formula1>"On Saleable Area,On Builtup Area,On Carpet Area,On Plot Area"</formula1>
    </dataValidation>
    <dataValidation type="list" allowBlank="1" showInputMessage="1" showErrorMessage="1" sqref="F129:H129">
      <formula1>OFFSET($S$118,1,MATCH($G21,$S$118:$W$118,0)-1,15,1)</formula1>
    </dataValidation>
    <dataValidation type="list" allowBlank="1" showInputMessage="1" showErrorMessage="1" sqref="B144:B145">
      <formula1>"Shop No. (Sale Plan),Sale / Rehab,Sale / Mhada"</formula1>
    </dataValidation>
    <dataValidation type="list" allowBlank="1" showInputMessage="1" showErrorMessage="1" sqref="B162:B163">
      <formula1>"Flat No. (Sale Plan),Sale / Rehab,Sale / Mhada"</formula1>
    </dataValidation>
    <dataValidation type="list" allowBlank="1" showInputMessage="1" showErrorMessage="1" sqref="C22:D22">
      <formula1>OFFSET($S$14,1,MATCH($G21,$S$14:$W$14,0)-1,15,1)</formula1>
    </dataValidation>
    <dataValidation type="list" allowBlank="1" showInputMessage="1" showErrorMessage="1" sqref="Y14">
      <formula1>$D$5:$H$5</formula1>
    </dataValidation>
    <dataValidation type="list" allowBlank="1" showInputMessage="1" showErrorMessage="1" sqref="E162:E163">
      <formula1>"Fungible area,Balcony Area,Chajja Area,Cornice Area,AP Area,WS Area"</formula1>
    </dataValidation>
    <dataValidation type="list" allowBlank="1" showInputMessage="1" showErrorMessage="1" sqref="H145 H163">
      <formula1>".45,.50,.55,.60"</formula1>
    </dataValidation>
    <dataValidation type="list" allowBlank="1" showInputMessage="1" showErrorMessage="1" sqref="E4:H4">
      <formula1>$L$3:$P$3</formula1>
    </dataValidation>
    <dataValidation type="list" allowBlank="1" showInputMessage="1" showErrorMessage="1" sqref="C50:H50">
      <formula1>OFFSET($S$50,1,MATCH($G21,$S$50:$W$50,0)-1,15,1)</formula1>
    </dataValidation>
    <dataValidation type="list" allowBlank="1" showInputMessage="1" showErrorMessage="1" sqref="H144 H162">
      <formula1>"Saleable area Loading :,Builder Saleable Area"</formula1>
    </dataValidation>
    <dataValidation type="list" allowBlank="1" showInputMessage="1" showErrorMessage="1" sqref="D144:D145 D162:D163">
      <formula1>"Carpet area,RERA Carpet area"</formula1>
    </dataValidation>
  </dataValidations>
  <hyperlinks>
    <hyperlink ref="C41" r:id="rId1"/>
  </hyperlinks>
  <printOptions horizontalCentered="1"/>
  <pageMargins left="0.39370078740157483" right="0.39370078740157483" top="0.82677165354330717" bottom="0.78740157480314965" header="0.15748031496062992" footer="0.19685039370078741"/>
  <pageSetup paperSize="2" scale="98" fitToHeight="0" orientation="portrait" r:id="rId2"/>
  <headerFooter>
    <oddHeader>&amp;C&amp;G</oddHeader>
    <oddFooter>&amp;L&amp;"Times New Roman,Bold"&amp;12Ref No: &amp;F&amp;C&amp;G&amp;R&amp;"Times New Roman,Bold"&amp;12&amp;P</oddFooter>
  </headerFooter>
  <rowBreaks count="3" manualBreakCount="3">
    <brk id="235" max="16383" man="1"/>
    <brk id="279" max="16383" man="1"/>
    <brk id="32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G5" sqref="G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66" t="s">
        <v>104</v>
      </c>
      <c r="C3" s="266"/>
      <c r="D3" s="266"/>
      <c r="E3" s="266"/>
      <c r="F3" s="266"/>
      <c r="G3" s="266"/>
      <c r="H3" s="266"/>
    </row>
    <row r="4" spans="1:9" x14ac:dyDescent="0.25">
      <c r="A4" s="2"/>
      <c r="B4" s="3" t="s">
        <v>105</v>
      </c>
      <c r="C4" s="3" t="s">
        <v>106</v>
      </c>
      <c r="D4" s="3" t="s">
        <v>65</v>
      </c>
      <c r="E4" s="3" t="s">
        <v>107</v>
      </c>
      <c r="F4" s="3" t="s">
        <v>113</v>
      </c>
      <c r="G4" s="3" t="s">
        <v>114</v>
      </c>
      <c r="H4" s="3" t="s">
        <v>108</v>
      </c>
    </row>
    <row r="5" spans="1:9" ht="15" customHeight="1" x14ac:dyDescent="0.25">
      <c r="A5" s="2"/>
      <c r="B5" s="94" t="s">
        <v>405</v>
      </c>
      <c r="C5" s="267" t="s">
        <v>406</v>
      </c>
      <c r="D5" s="94" t="s">
        <v>385</v>
      </c>
      <c r="E5" s="5">
        <v>378</v>
      </c>
      <c r="F5" s="7">
        <f>E5*1.6</f>
        <v>604.80000000000007</v>
      </c>
      <c r="G5" s="7">
        <f>H5/F5</f>
        <v>16038.359788359787</v>
      </c>
      <c r="H5" s="8">
        <v>9700000</v>
      </c>
    </row>
    <row r="6" spans="1:9" x14ac:dyDescent="0.25">
      <c r="A6" s="2"/>
      <c r="B6" s="94" t="s">
        <v>405</v>
      </c>
      <c r="C6" s="268"/>
      <c r="D6" s="94" t="s">
        <v>385</v>
      </c>
      <c r="E6" s="5">
        <v>385</v>
      </c>
      <c r="F6" s="7">
        <f t="shared" ref="F6:F11" si="0">E6*1.6</f>
        <v>616</v>
      </c>
      <c r="G6" s="7">
        <f t="shared" ref="G6:G11" si="1">H6/F6</f>
        <v>16071.428571428571</v>
      </c>
      <c r="H6" s="8">
        <v>9900000</v>
      </c>
    </row>
    <row r="7" spans="1:9" ht="15" customHeight="1" x14ac:dyDescent="0.25">
      <c r="A7" s="2"/>
      <c r="B7" s="94" t="s">
        <v>405</v>
      </c>
      <c r="C7" s="269"/>
      <c r="D7" s="94" t="s">
        <v>394</v>
      </c>
      <c r="E7" s="5">
        <v>589</v>
      </c>
      <c r="F7" s="7">
        <f t="shared" si="0"/>
        <v>942.40000000000009</v>
      </c>
      <c r="G7" s="7">
        <f t="shared" si="1"/>
        <v>17932.937181663834</v>
      </c>
      <c r="H7" s="8">
        <v>16900000</v>
      </c>
    </row>
    <row r="8" spans="1:9" x14ac:dyDescent="0.25">
      <c r="A8" s="2"/>
      <c r="B8" s="94" t="s">
        <v>407</v>
      </c>
      <c r="C8" s="9"/>
      <c r="D8" s="94" t="s">
        <v>385</v>
      </c>
      <c r="E8" s="5">
        <v>378</v>
      </c>
      <c r="F8" s="7">
        <f t="shared" si="0"/>
        <v>604.80000000000007</v>
      </c>
      <c r="G8" s="7">
        <f t="shared" si="1"/>
        <v>17526.455026455023</v>
      </c>
      <c r="H8" s="8">
        <v>10600000</v>
      </c>
    </row>
    <row r="9" spans="1:9" ht="15" customHeight="1" x14ac:dyDescent="0.25">
      <c r="A9" s="2"/>
      <c r="B9" s="5" t="s">
        <v>109</v>
      </c>
      <c r="C9" s="9"/>
      <c r="D9" s="94" t="s">
        <v>394</v>
      </c>
      <c r="E9" s="5">
        <v>592</v>
      </c>
      <c r="F9" s="7">
        <f t="shared" si="0"/>
        <v>947.2</v>
      </c>
      <c r="G9" s="7">
        <f t="shared" si="1"/>
        <v>17419.763513513513</v>
      </c>
      <c r="H9" s="8">
        <v>16500000</v>
      </c>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2">
    <mergeCell ref="B3:H3"/>
    <mergeCell ref="C5:C7"/>
  </mergeCells>
  <hyperlinks>
    <hyperlink ref="C5" r:id="rId1"/>
  </hyperlinks>
  <pageMargins left="0.7" right="0.7" top="0.75" bottom="0.75" header="0.3" footer="0.3"/>
  <pageSetup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2"/>
      <c r="C4" s="52" t="s">
        <v>10</v>
      </c>
      <c r="D4" s="53" t="s">
        <v>178</v>
      </c>
      <c r="E4" s="53" t="s">
        <v>188</v>
      </c>
      <c r="F4" s="53" t="s">
        <v>170</v>
      </c>
      <c r="G4" s="53" t="s">
        <v>193</v>
      </c>
      <c r="H4" s="53" t="s">
        <v>211</v>
      </c>
      <c r="J4" t="s">
        <v>193</v>
      </c>
      <c r="K4" t="s">
        <v>209</v>
      </c>
    </row>
    <row r="5" spans="2:11" x14ac:dyDescent="0.25">
      <c r="B5" s="52"/>
      <c r="C5" s="52"/>
      <c r="D5" s="53" t="s">
        <v>179</v>
      </c>
      <c r="E5" s="53" t="s">
        <v>186</v>
      </c>
      <c r="F5" s="53" t="s">
        <v>208</v>
      </c>
      <c r="G5" s="53" t="s">
        <v>194</v>
      </c>
      <c r="H5" s="53" t="s">
        <v>212</v>
      </c>
    </row>
    <row r="6" spans="2:11" x14ac:dyDescent="0.25">
      <c r="B6" s="52"/>
      <c r="C6" s="52"/>
      <c r="D6" s="53" t="s">
        <v>180</v>
      </c>
      <c r="E6" s="53" t="s">
        <v>187</v>
      </c>
      <c r="F6" s="53" t="s">
        <v>209</v>
      </c>
      <c r="G6" s="53" t="s">
        <v>195</v>
      </c>
      <c r="H6" s="53" t="s">
        <v>225</v>
      </c>
    </row>
    <row r="7" spans="2:11" x14ac:dyDescent="0.25">
      <c r="B7" s="52"/>
      <c r="C7" s="52"/>
      <c r="D7" s="53" t="s">
        <v>181</v>
      </c>
      <c r="E7" s="53" t="s">
        <v>189</v>
      </c>
      <c r="F7" s="53" t="s">
        <v>210</v>
      </c>
      <c r="G7" s="53" t="s">
        <v>196</v>
      </c>
      <c r="H7" s="53" t="s">
        <v>213</v>
      </c>
    </row>
    <row r="8" spans="2:11" x14ac:dyDescent="0.25">
      <c r="B8" s="52"/>
      <c r="C8" s="52"/>
      <c r="D8" s="53" t="s">
        <v>182</v>
      </c>
      <c r="E8" s="53" t="s">
        <v>190</v>
      </c>
      <c r="F8" s="53"/>
      <c r="G8" s="53" t="s">
        <v>197</v>
      </c>
      <c r="H8" s="53" t="s">
        <v>214</v>
      </c>
    </row>
    <row r="9" spans="2:11" x14ac:dyDescent="0.25">
      <c r="B9" s="52"/>
      <c r="C9" s="52"/>
      <c r="D9" s="53" t="s">
        <v>183</v>
      </c>
      <c r="E9" s="53" t="s">
        <v>188</v>
      </c>
      <c r="F9" s="53"/>
      <c r="G9" s="53" t="s">
        <v>198</v>
      </c>
      <c r="H9" s="53" t="s">
        <v>215</v>
      </c>
    </row>
    <row r="10" spans="2:11" x14ac:dyDescent="0.25">
      <c r="B10" s="52"/>
      <c r="C10" s="52"/>
      <c r="D10" s="53" t="s">
        <v>184</v>
      </c>
      <c r="E10" s="53" t="s">
        <v>191</v>
      </c>
      <c r="F10" s="53"/>
      <c r="G10" s="53" t="s">
        <v>199</v>
      </c>
      <c r="H10" s="53" t="s">
        <v>216</v>
      </c>
    </row>
    <row r="11" spans="2:11" x14ac:dyDescent="0.25">
      <c r="B11" s="52"/>
      <c r="C11" s="52"/>
      <c r="D11" s="53" t="s">
        <v>185</v>
      </c>
      <c r="E11" s="53" t="s">
        <v>192</v>
      </c>
      <c r="F11" s="53"/>
      <c r="G11" s="53" t="s">
        <v>200</v>
      </c>
      <c r="H11" s="53" t="s">
        <v>217</v>
      </c>
    </row>
    <row r="12" spans="2:11" x14ac:dyDescent="0.25">
      <c r="B12" s="52"/>
      <c r="C12" s="52"/>
      <c r="D12" s="53"/>
      <c r="E12" s="53"/>
      <c r="F12" s="53"/>
      <c r="G12" s="53" t="s">
        <v>201</v>
      </c>
      <c r="H12" s="53" t="s">
        <v>218</v>
      </c>
    </row>
    <row r="13" spans="2:11" x14ac:dyDescent="0.25">
      <c r="B13" s="52"/>
      <c r="C13" s="52"/>
      <c r="D13" s="53"/>
      <c r="E13" s="53"/>
      <c r="F13" s="53"/>
      <c r="G13" s="53" t="s">
        <v>202</v>
      </c>
      <c r="H13" s="53" t="s">
        <v>219</v>
      </c>
    </row>
    <row r="14" spans="2:11" x14ac:dyDescent="0.25">
      <c r="B14" s="52"/>
      <c r="C14" s="52"/>
      <c r="D14" s="53"/>
      <c r="E14" s="53"/>
      <c r="F14" s="53"/>
      <c r="G14" s="53" t="s">
        <v>203</v>
      </c>
      <c r="H14" s="53" t="s">
        <v>220</v>
      </c>
    </row>
    <row r="15" spans="2:11" x14ac:dyDescent="0.25">
      <c r="B15" s="52"/>
      <c r="C15" s="52"/>
      <c r="D15" s="53"/>
      <c r="E15" s="53"/>
      <c r="F15" s="53"/>
      <c r="G15" s="53" t="s">
        <v>204</v>
      </c>
      <c r="H15" s="53" t="s">
        <v>221</v>
      </c>
    </row>
    <row r="16" spans="2:11" x14ac:dyDescent="0.25">
      <c r="B16" s="52"/>
      <c r="C16" s="52"/>
      <c r="D16" s="53"/>
      <c r="E16" s="53"/>
      <c r="F16" s="53"/>
      <c r="G16" s="53" t="s">
        <v>205</v>
      </c>
      <c r="H16" s="53" t="s">
        <v>222</v>
      </c>
    </row>
    <row r="17" spans="2:8" x14ac:dyDescent="0.25">
      <c r="B17" s="52"/>
      <c r="C17" s="52"/>
      <c r="D17" s="53"/>
      <c r="E17" s="53"/>
      <c r="F17" s="53"/>
      <c r="G17" s="53" t="s">
        <v>206</v>
      </c>
      <c r="H17" s="53" t="s">
        <v>223</v>
      </c>
    </row>
    <row r="18" spans="2:8" x14ac:dyDescent="0.25">
      <c r="B18" s="52"/>
      <c r="C18" s="52"/>
      <c r="D18" s="53"/>
      <c r="E18" s="53"/>
      <c r="F18" s="53"/>
      <c r="G18" s="53" t="s">
        <v>207</v>
      </c>
      <c r="H18" s="53" t="s">
        <v>224</v>
      </c>
    </row>
    <row r="24" spans="2:8" x14ac:dyDescent="0.25">
      <c r="C24" t="s">
        <v>167</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167</v>
      </c>
    </row>
    <row r="33" spans="3:11" x14ac:dyDescent="0.25">
      <c r="J33">
        <v>1</v>
      </c>
      <c r="K33">
        <v>2</v>
      </c>
    </row>
    <row r="34" spans="3:11" x14ac:dyDescent="0.25">
      <c r="C34" s="56" t="s">
        <v>237</v>
      </c>
      <c r="D34" s="53" t="s">
        <v>235</v>
      </c>
      <c r="E34" s="53" t="s">
        <v>240</v>
      </c>
      <c r="F34" s="53" t="s">
        <v>238</v>
      </c>
      <c r="G34" s="53" t="s">
        <v>239</v>
      </c>
      <c r="H34" s="53" t="s">
        <v>241</v>
      </c>
      <c r="J34" t="s">
        <v>193</v>
      </c>
      <c r="K34" t="s">
        <v>209</v>
      </c>
    </row>
    <row r="35" spans="3:11" x14ac:dyDescent="0.25">
      <c r="C35" s="52" t="s">
        <v>236</v>
      </c>
      <c r="D35" s="53" t="s">
        <v>168</v>
      </c>
      <c r="E35" s="53" t="s">
        <v>245</v>
      </c>
      <c r="F35" s="53" t="s">
        <v>247</v>
      </c>
      <c r="G35" s="53" t="s">
        <v>249</v>
      </c>
      <c r="H35" s="53"/>
    </row>
    <row r="36" spans="3:11" x14ac:dyDescent="0.25">
      <c r="C36" s="52"/>
      <c r="D36" s="53" t="s">
        <v>242</v>
      </c>
      <c r="E36" s="53" t="s">
        <v>246</v>
      </c>
      <c r="F36" s="53" t="s">
        <v>248</v>
      </c>
      <c r="G36" s="53" t="s">
        <v>250</v>
      </c>
      <c r="H36" s="53"/>
    </row>
    <row r="37" spans="3:11" x14ac:dyDescent="0.25">
      <c r="C37" s="52"/>
      <c r="D37" s="53" t="s">
        <v>243</v>
      </c>
      <c r="E37" s="53"/>
      <c r="F37" s="53"/>
      <c r="G37" s="53" t="s">
        <v>251</v>
      </c>
      <c r="H37" s="53"/>
    </row>
    <row r="38" spans="3:11" x14ac:dyDescent="0.25">
      <c r="C38" s="52"/>
      <c r="D38" s="53" t="s">
        <v>244</v>
      </c>
      <c r="E38" s="53"/>
      <c r="F38" s="53"/>
      <c r="G38" s="53" t="s">
        <v>251</v>
      </c>
      <c r="H38" s="53"/>
    </row>
    <row r="39" spans="3:11" x14ac:dyDescent="0.25">
      <c r="C39" s="52"/>
      <c r="D39" s="53"/>
      <c r="E39" s="53"/>
      <c r="F39" s="53"/>
      <c r="G39" s="53" t="s">
        <v>252</v>
      </c>
      <c r="H39" s="53"/>
    </row>
    <row r="40" spans="3:11" x14ac:dyDescent="0.25">
      <c r="C40" s="52"/>
      <c r="D40" s="53"/>
      <c r="E40" s="53"/>
      <c r="F40" s="53"/>
      <c r="G40" s="53" t="s">
        <v>253</v>
      </c>
      <c r="H40" s="53"/>
    </row>
    <row r="41" spans="3:11" x14ac:dyDescent="0.25">
      <c r="C41" s="52"/>
      <c r="D41" s="53"/>
      <c r="E41" s="53"/>
      <c r="F41" s="53"/>
      <c r="G41" s="53"/>
      <c r="H41" s="53"/>
    </row>
    <row r="43" spans="3:11" x14ac:dyDescent="0.25">
      <c r="C43" t="s">
        <v>254</v>
      </c>
    </row>
    <row r="44" spans="3:11" x14ac:dyDescent="0.25">
      <c r="C44" t="s">
        <v>170</v>
      </c>
      <c r="D44" t="s">
        <v>255</v>
      </c>
    </row>
    <row r="45" spans="3:11" x14ac:dyDescent="0.25">
      <c r="D45" t="s">
        <v>256</v>
      </c>
    </row>
    <row r="46" spans="3:11" x14ac:dyDescent="0.25">
      <c r="D46" t="s">
        <v>257</v>
      </c>
    </row>
    <row r="47" spans="3:11" x14ac:dyDescent="0.25">
      <c r="D47" t="s">
        <v>258</v>
      </c>
    </row>
    <row r="48" spans="3:11" x14ac:dyDescent="0.25">
      <c r="D48" t="s">
        <v>259</v>
      </c>
    </row>
    <row r="49" spans="3:4" x14ac:dyDescent="0.25">
      <c r="C49" t="s">
        <v>178</v>
      </c>
      <c r="D49" t="s">
        <v>260</v>
      </c>
    </row>
    <row r="50" spans="3:4" x14ac:dyDescent="0.25">
      <c r="D50" t="s">
        <v>261</v>
      </c>
    </row>
    <row r="51" spans="3:4" x14ac:dyDescent="0.25">
      <c r="D51" t="s">
        <v>262</v>
      </c>
    </row>
    <row r="52" spans="3:4" x14ac:dyDescent="0.25">
      <c r="D52" t="s">
        <v>265</v>
      </c>
    </row>
    <row r="53" spans="3:4" x14ac:dyDescent="0.25">
      <c r="D53" t="s">
        <v>263</v>
      </c>
    </row>
    <row r="54" spans="3:4" x14ac:dyDescent="0.25">
      <c r="D54" t="s">
        <v>264</v>
      </c>
    </row>
    <row r="55" spans="3:4" x14ac:dyDescent="0.25">
      <c r="D55" t="s">
        <v>266</v>
      </c>
    </row>
    <row r="56" spans="3:4" x14ac:dyDescent="0.25">
      <c r="D56" t="s">
        <v>267</v>
      </c>
    </row>
    <row r="57" spans="3:4" x14ac:dyDescent="0.25">
      <c r="D57" t="s">
        <v>268</v>
      </c>
    </row>
    <row r="58" spans="3:4" x14ac:dyDescent="0.25">
      <c r="D58" t="s">
        <v>270</v>
      </c>
    </row>
    <row r="59" spans="3:4" x14ac:dyDescent="0.25">
      <c r="D59" t="s">
        <v>279</v>
      </c>
    </row>
    <row r="60" spans="3:4" x14ac:dyDescent="0.25">
      <c r="C60" t="s">
        <v>193</v>
      </c>
      <c r="D60" t="s">
        <v>271</v>
      </c>
    </row>
    <row r="61" spans="3:4" x14ac:dyDescent="0.25">
      <c r="D61" t="s">
        <v>269</v>
      </c>
    </row>
    <row r="62" spans="3:4" x14ac:dyDescent="0.25">
      <c r="D62" t="s">
        <v>259</v>
      </c>
    </row>
    <row r="63" spans="3:4" x14ac:dyDescent="0.25">
      <c r="D63" t="s">
        <v>272</v>
      </c>
    </row>
    <row r="64" spans="3:4" x14ac:dyDescent="0.25">
      <c r="D64" t="s">
        <v>273</v>
      </c>
    </row>
    <row r="65" spans="3:4" x14ac:dyDescent="0.25">
      <c r="D65" t="s">
        <v>274</v>
      </c>
    </row>
    <row r="66" spans="3:4" x14ac:dyDescent="0.25">
      <c r="D66" t="s">
        <v>275</v>
      </c>
    </row>
    <row r="67" spans="3:4" x14ac:dyDescent="0.25">
      <c r="C67" t="s">
        <v>188</v>
      </c>
      <c r="D67" t="s">
        <v>276</v>
      </c>
    </row>
    <row r="68" spans="3:4" x14ac:dyDescent="0.25">
      <c r="D68" t="s">
        <v>277</v>
      </c>
    </row>
    <row r="69" spans="3:4" x14ac:dyDescent="0.2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5" x14ac:dyDescent="0.25"/>
  <cols>
    <col min="2" max="2" width="3" bestFit="1" customWidth="1"/>
    <col min="3" max="3" width="155.28515625" customWidth="1"/>
  </cols>
  <sheetData>
    <row r="2" spans="2:3" ht="15" customHeight="1" x14ac:dyDescent="0.25">
      <c r="B2" s="57">
        <v>1</v>
      </c>
      <c r="C2" s="60" t="s">
        <v>285</v>
      </c>
    </row>
    <row r="3" spans="2:3" x14ac:dyDescent="0.25">
      <c r="B3" s="57">
        <v>2</v>
      </c>
      <c r="C3" s="58" t="s">
        <v>286</v>
      </c>
    </row>
    <row r="4" spans="2:3" x14ac:dyDescent="0.25">
      <c r="B4" s="57">
        <v>3</v>
      </c>
      <c r="C4" s="59" t="s">
        <v>287</v>
      </c>
    </row>
    <row r="5" spans="2:3" x14ac:dyDescent="0.25">
      <c r="B5" s="57">
        <v>4</v>
      </c>
      <c r="C5" s="58" t="s">
        <v>288</v>
      </c>
    </row>
    <row r="6" spans="2:3" x14ac:dyDescent="0.25">
      <c r="B6" s="57">
        <v>5</v>
      </c>
      <c r="C6" s="59" t="s">
        <v>289</v>
      </c>
    </row>
    <row r="7" spans="2:3" ht="30" x14ac:dyDescent="0.25">
      <c r="B7" s="57">
        <v>6</v>
      </c>
      <c r="C7" s="58" t="s">
        <v>290</v>
      </c>
    </row>
    <row r="8" spans="2:3" ht="75" x14ac:dyDescent="0.25">
      <c r="B8" s="57">
        <v>7</v>
      </c>
      <c r="C8" s="58" t="s">
        <v>291</v>
      </c>
    </row>
    <row r="9" spans="2:3" x14ac:dyDescent="0.25">
      <c r="B9" s="57">
        <v>8</v>
      </c>
      <c r="C9" s="59" t="s">
        <v>292</v>
      </c>
    </row>
    <row r="10" spans="2:3" x14ac:dyDescent="0.25">
      <c r="B10" s="57">
        <v>9</v>
      </c>
      <c r="C10" s="59" t="s">
        <v>293</v>
      </c>
    </row>
    <row r="11" spans="2:3" x14ac:dyDescent="0.25">
      <c r="B11" s="57">
        <v>10</v>
      </c>
      <c r="C11" s="59" t="s">
        <v>294</v>
      </c>
    </row>
    <row r="12" spans="2:3" x14ac:dyDescent="0.25">
      <c r="B12" s="57">
        <v>11</v>
      </c>
      <c r="C12" s="59" t="s">
        <v>295</v>
      </c>
    </row>
    <row r="13" spans="2:3" x14ac:dyDescent="0.25">
      <c r="B13" s="57">
        <v>12</v>
      </c>
      <c r="C13" s="59" t="s">
        <v>296</v>
      </c>
    </row>
    <row r="14" spans="2:3" x14ac:dyDescent="0.25">
      <c r="B14" s="57">
        <v>13</v>
      </c>
      <c r="C14" s="59" t="s">
        <v>297</v>
      </c>
    </row>
    <row r="15" spans="2:3" x14ac:dyDescent="0.25">
      <c r="B15" s="57">
        <v>14</v>
      </c>
      <c r="C15" s="59" t="s">
        <v>287</v>
      </c>
    </row>
    <row r="16" spans="2:3" x14ac:dyDescent="0.25">
      <c r="B16" s="57">
        <v>15</v>
      </c>
      <c r="C16" s="59" t="s">
        <v>300</v>
      </c>
    </row>
    <row r="17" spans="2:3" x14ac:dyDescent="0.25">
      <c r="B17" s="83">
        <v>16</v>
      </c>
      <c r="C17" s="65" t="s">
        <v>301</v>
      </c>
    </row>
    <row r="18" spans="2:3" x14ac:dyDescent="0.25">
      <c r="B18" s="64">
        <v>17</v>
      </c>
      <c r="C18" s="65" t="s">
        <v>302</v>
      </c>
    </row>
    <row r="19" spans="2:3" x14ac:dyDescent="0.25">
      <c r="B19" s="63">
        <v>18</v>
      </c>
      <c r="C19" s="57" t="s">
        <v>303</v>
      </c>
    </row>
    <row r="20" spans="2:3" x14ac:dyDescent="0.25">
      <c r="B20" s="64">
        <v>19</v>
      </c>
      <c r="C20" s="57" t="s">
        <v>339</v>
      </c>
    </row>
    <row r="21" spans="2:3" x14ac:dyDescent="0.25">
      <c r="B21" s="66">
        <v>20</v>
      </c>
      <c r="C21" s="57" t="s">
        <v>304</v>
      </c>
    </row>
    <row r="22" spans="2:3" x14ac:dyDescent="0.25">
      <c r="B22" s="64">
        <v>21</v>
      </c>
      <c r="C22" s="57" t="s">
        <v>303</v>
      </c>
    </row>
    <row r="23" spans="2:3" s="75" customFormat="1" ht="29.25" customHeight="1" x14ac:dyDescent="0.25">
      <c r="B23" s="74">
        <v>22</v>
      </c>
      <c r="C23" s="60" t="s">
        <v>331</v>
      </c>
    </row>
    <row r="24" spans="2:3" s="75" customFormat="1" ht="30.75" customHeight="1" x14ac:dyDescent="0.25">
      <c r="B24" s="76">
        <v>23</v>
      </c>
      <c r="C24" s="60" t="s">
        <v>332</v>
      </c>
    </row>
    <row r="25" spans="2:3" x14ac:dyDescent="0.25">
      <c r="B25" s="66">
        <v>24</v>
      </c>
      <c r="C25" s="57" t="s">
        <v>335</v>
      </c>
    </row>
    <row r="26" spans="2:3" x14ac:dyDescent="0.25">
      <c r="B26" s="64">
        <v>25</v>
      </c>
      <c r="C26" s="57" t="s">
        <v>333</v>
      </c>
    </row>
    <row r="27" spans="2:3" x14ac:dyDescent="0.25">
      <c r="B27" s="76">
        <v>26</v>
      </c>
      <c r="C27" s="66" t="s">
        <v>334</v>
      </c>
    </row>
    <row r="28" spans="2:3" x14ac:dyDescent="0.25">
      <c r="B28" s="77">
        <v>27</v>
      </c>
      <c r="C28" s="57" t="s">
        <v>336</v>
      </c>
    </row>
    <row r="29" spans="2:3" ht="60" x14ac:dyDescent="0.25">
      <c r="B29" s="82">
        <v>28</v>
      </c>
      <c r="C29" s="58" t="s">
        <v>337</v>
      </c>
    </row>
    <row r="30" spans="2:3" x14ac:dyDescent="0.25">
      <c r="B30" s="76">
        <v>29</v>
      </c>
      <c r="C30" s="57" t="s">
        <v>338</v>
      </c>
    </row>
    <row r="31" spans="2:3" ht="30" x14ac:dyDescent="0.25">
      <c r="B31" s="84">
        <v>30</v>
      </c>
      <c r="C31" s="58" t="s">
        <v>340</v>
      </c>
    </row>
    <row r="32" spans="2:3" x14ac:dyDescent="0.25">
      <c r="B32" s="76">
        <v>31</v>
      </c>
      <c r="C32" s="57" t="s">
        <v>341</v>
      </c>
    </row>
    <row r="33" spans="2:3" x14ac:dyDescent="0.25">
      <c r="B33" s="76">
        <v>32</v>
      </c>
      <c r="C33" s="57" t="s">
        <v>342</v>
      </c>
    </row>
    <row r="34" spans="2:3" ht="36.75" customHeight="1" x14ac:dyDescent="0.25">
      <c r="B34" s="84">
        <v>33</v>
      </c>
      <c r="C34" s="65" t="s">
        <v>343</v>
      </c>
    </row>
    <row r="35" spans="2:3" x14ac:dyDescent="0.25">
      <c r="B35" s="76">
        <v>34</v>
      </c>
      <c r="C35" s="57"/>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2"/>
    <col min="2" max="2" width="12.28515625" style="52" customWidth="1"/>
    <col min="3" max="16384" width="9.140625" style="52"/>
  </cols>
  <sheetData>
    <row r="2" spans="1:12" x14ac:dyDescent="0.25">
      <c r="B2" s="68" t="s">
        <v>305</v>
      </c>
      <c r="C2" s="270"/>
      <c r="D2" s="270"/>
    </row>
    <row r="3" spans="1:12" x14ac:dyDescent="0.25">
      <c r="D3" s="69"/>
      <c r="E3" s="69"/>
      <c r="F3" s="69"/>
      <c r="G3" s="69"/>
      <c r="H3" s="69"/>
      <c r="I3" s="69"/>
    </row>
    <row r="4" spans="1:12" x14ac:dyDescent="0.25">
      <c r="A4" s="68" t="s">
        <v>65</v>
      </c>
      <c r="B4" s="70" t="s">
        <v>306</v>
      </c>
      <c r="C4" s="271" t="s">
        <v>307</v>
      </c>
      <c r="D4" s="271"/>
      <c r="E4" s="271"/>
      <c r="F4" s="70"/>
      <c r="G4" s="272" t="s">
        <v>308</v>
      </c>
      <c r="H4" s="272"/>
      <c r="I4" s="272"/>
      <c r="J4" s="273" t="s">
        <v>309</v>
      </c>
      <c r="K4" s="273"/>
      <c r="L4" s="273"/>
    </row>
    <row r="5" spans="1:12" x14ac:dyDescent="0.25">
      <c r="A5" s="68"/>
      <c r="B5" s="70"/>
      <c r="C5" s="70" t="s">
        <v>310</v>
      </c>
      <c r="D5" s="70" t="s">
        <v>311</v>
      </c>
      <c r="E5" s="70" t="s">
        <v>312</v>
      </c>
      <c r="F5" s="70"/>
      <c r="G5" s="70" t="s">
        <v>310</v>
      </c>
      <c r="H5" s="70" t="s">
        <v>311</v>
      </c>
      <c r="I5" s="70" t="s">
        <v>312</v>
      </c>
      <c r="J5" s="70" t="s">
        <v>310</v>
      </c>
      <c r="K5" s="70" t="s">
        <v>311</v>
      </c>
      <c r="L5" s="70" t="s">
        <v>312</v>
      </c>
    </row>
    <row r="6" spans="1:12" x14ac:dyDescent="0.25">
      <c r="B6" s="53" t="s">
        <v>313</v>
      </c>
      <c r="C6" s="53"/>
      <c r="D6" s="53"/>
      <c r="E6" s="53">
        <f>C6*D6</f>
        <v>0</v>
      </c>
      <c r="F6" s="53" t="s">
        <v>330</v>
      </c>
      <c r="G6" s="53"/>
      <c r="H6" s="53"/>
      <c r="I6" s="53">
        <f>G6*H6</f>
        <v>0</v>
      </c>
      <c r="J6" s="53"/>
      <c r="K6" s="53"/>
      <c r="L6" s="53">
        <f>J6*K6</f>
        <v>0</v>
      </c>
    </row>
    <row r="7" spans="1:12" x14ac:dyDescent="0.25">
      <c r="B7" s="53"/>
      <c r="C7" s="53"/>
      <c r="D7" s="53"/>
      <c r="E7" s="53">
        <f t="shared" ref="E7:E41" si="0">C7*D7</f>
        <v>0</v>
      </c>
      <c r="F7" s="53" t="s">
        <v>330</v>
      </c>
      <c r="G7" s="53"/>
      <c r="H7" s="53"/>
      <c r="I7" s="53">
        <f t="shared" ref="I7:I35" si="1">G7*H7</f>
        <v>0</v>
      </c>
      <c r="J7" s="53"/>
      <c r="K7" s="53"/>
      <c r="L7" s="53">
        <f t="shared" ref="L7:L35" si="2">J7*K7</f>
        <v>0</v>
      </c>
    </row>
    <row r="8" spans="1:12" x14ac:dyDescent="0.25">
      <c r="B8" s="53"/>
      <c r="C8" s="53"/>
      <c r="D8" s="53"/>
      <c r="E8" s="53">
        <f t="shared" si="0"/>
        <v>0</v>
      </c>
      <c r="F8" s="53"/>
      <c r="G8" s="53"/>
      <c r="H8" s="53"/>
      <c r="I8" s="53">
        <f t="shared" si="1"/>
        <v>0</v>
      </c>
      <c r="J8" s="53"/>
      <c r="K8" s="53"/>
      <c r="L8" s="53">
        <f t="shared" si="2"/>
        <v>0</v>
      </c>
    </row>
    <row r="9" spans="1:12" x14ac:dyDescent="0.25">
      <c r="B9" s="53"/>
      <c r="C9" s="53"/>
      <c r="D9" s="53"/>
      <c r="E9" s="53">
        <f t="shared" si="0"/>
        <v>0</v>
      </c>
      <c r="F9" s="53" t="s">
        <v>314</v>
      </c>
      <c r="G9" s="53"/>
      <c r="H9" s="53"/>
      <c r="I9" s="53">
        <f t="shared" si="1"/>
        <v>0</v>
      </c>
      <c r="J9" s="53"/>
      <c r="K9" s="53"/>
      <c r="L9" s="53">
        <f t="shared" si="2"/>
        <v>0</v>
      </c>
    </row>
    <row r="10" spans="1:12" x14ac:dyDescent="0.25">
      <c r="B10" s="53" t="s">
        <v>315</v>
      </c>
      <c r="C10" s="53"/>
      <c r="D10" s="53"/>
      <c r="E10" s="53">
        <f t="shared" si="0"/>
        <v>0</v>
      </c>
      <c r="F10" s="53" t="s">
        <v>314</v>
      </c>
      <c r="G10" s="53"/>
      <c r="H10" s="53"/>
      <c r="I10" s="53">
        <f t="shared" si="1"/>
        <v>0</v>
      </c>
      <c r="J10" s="53"/>
      <c r="K10" s="53"/>
      <c r="L10" s="53">
        <f t="shared" si="2"/>
        <v>0</v>
      </c>
    </row>
    <row r="11" spans="1:12" x14ac:dyDescent="0.25">
      <c r="B11" s="53"/>
      <c r="C11" s="53"/>
      <c r="D11" s="53"/>
      <c r="E11" s="53">
        <f t="shared" si="0"/>
        <v>0</v>
      </c>
      <c r="F11" s="53" t="s">
        <v>316</v>
      </c>
      <c r="G11" s="53"/>
      <c r="H11" s="53"/>
      <c r="I11" s="53">
        <f t="shared" si="1"/>
        <v>0</v>
      </c>
      <c r="J11" s="53"/>
      <c r="K11" s="53"/>
      <c r="L11" s="53">
        <f t="shared" si="2"/>
        <v>0</v>
      </c>
    </row>
    <row r="12" spans="1:12" x14ac:dyDescent="0.25">
      <c r="B12" s="53"/>
      <c r="C12" s="53"/>
      <c r="D12" s="53"/>
      <c r="E12" s="53">
        <f t="shared" si="0"/>
        <v>0</v>
      </c>
      <c r="F12" s="53"/>
      <c r="G12" s="53"/>
      <c r="H12" s="53"/>
      <c r="I12" s="53">
        <f t="shared" si="1"/>
        <v>0</v>
      </c>
      <c r="J12" s="53"/>
      <c r="K12" s="53"/>
      <c r="L12" s="53">
        <f t="shared" si="2"/>
        <v>0</v>
      </c>
    </row>
    <row r="13" spans="1:12" x14ac:dyDescent="0.25">
      <c r="B13" s="53"/>
      <c r="C13" s="53"/>
      <c r="D13" s="53"/>
      <c r="E13" s="53">
        <f t="shared" si="0"/>
        <v>0</v>
      </c>
      <c r="F13" s="53"/>
      <c r="G13" s="53"/>
      <c r="H13" s="53"/>
      <c r="I13" s="53">
        <f t="shared" si="1"/>
        <v>0</v>
      </c>
      <c r="J13" s="53"/>
      <c r="K13" s="53"/>
      <c r="L13" s="53">
        <f t="shared" si="2"/>
        <v>0</v>
      </c>
    </row>
    <row r="14" spans="1:12" x14ac:dyDescent="0.25">
      <c r="B14" s="53" t="s">
        <v>317</v>
      </c>
      <c r="C14" s="53"/>
      <c r="D14" s="53"/>
      <c r="E14" s="53">
        <f t="shared" si="0"/>
        <v>0</v>
      </c>
      <c r="F14" s="53" t="s">
        <v>314</v>
      </c>
      <c r="G14" s="53"/>
      <c r="H14" s="53"/>
      <c r="I14" s="53">
        <f t="shared" si="1"/>
        <v>0</v>
      </c>
      <c r="J14" s="53"/>
      <c r="K14" s="53"/>
      <c r="L14" s="53">
        <f t="shared" si="2"/>
        <v>0</v>
      </c>
    </row>
    <row r="15" spans="1:12" x14ac:dyDescent="0.25">
      <c r="B15" s="53"/>
      <c r="C15" s="53"/>
      <c r="D15" s="53"/>
      <c r="E15" s="53">
        <f t="shared" si="0"/>
        <v>0</v>
      </c>
      <c r="F15" s="53" t="s">
        <v>316</v>
      </c>
      <c r="G15" s="53"/>
      <c r="H15" s="53"/>
      <c r="I15" s="53">
        <f t="shared" si="1"/>
        <v>0</v>
      </c>
      <c r="J15" s="53"/>
      <c r="K15" s="53"/>
      <c r="L15" s="53">
        <f t="shared" si="2"/>
        <v>0</v>
      </c>
    </row>
    <row r="16" spans="1:12" x14ac:dyDescent="0.25">
      <c r="B16" s="53"/>
      <c r="C16" s="53"/>
      <c r="D16" s="53"/>
      <c r="E16" s="53">
        <f t="shared" si="0"/>
        <v>0</v>
      </c>
      <c r="F16" s="53"/>
      <c r="G16" s="53"/>
      <c r="H16" s="53"/>
      <c r="I16" s="53">
        <f t="shared" si="1"/>
        <v>0</v>
      </c>
      <c r="J16" s="53"/>
      <c r="K16" s="53"/>
      <c r="L16" s="53">
        <f t="shared" si="2"/>
        <v>0</v>
      </c>
    </row>
    <row r="17" spans="2:12" x14ac:dyDescent="0.25">
      <c r="B17" s="53"/>
      <c r="C17" s="53"/>
      <c r="D17" s="53"/>
      <c r="E17" s="53">
        <f t="shared" si="0"/>
        <v>0</v>
      </c>
      <c r="F17" s="53"/>
      <c r="G17" s="53"/>
      <c r="H17" s="53"/>
      <c r="I17" s="53">
        <f t="shared" si="1"/>
        <v>0</v>
      </c>
      <c r="J17" s="53"/>
      <c r="K17" s="53"/>
      <c r="L17" s="53">
        <f t="shared" si="2"/>
        <v>0</v>
      </c>
    </row>
    <row r="18" spans="2:12" x14ac:dyDescent="0.25">
      <c r="B18" s="53" t="s">
        <v>318</v>
      </c>
      <c r="C18" s="53"/>
      <c r="D18" s="53"/>
      <c r="E18" s="53">
        <f t="shared" si="0"/>
        <v>0</v>
      </c>
      <c r="F18" s="53" t="s">
        <v>314</v>
      </c>
      <c r="G18" s="53"/>
      <c r="H18" s="53"/>
      <c r="I18" s="53">
        <f t="shared" si="1"/>
        <v>0</v>
      </c>
      <c r="J18" s="53"/>
      <c r="K18" s="53"/>
      <c r="L18" s="53">
        <f t="shared" si="2"/>
        <v>0</v>
      </c>
    </row>
    <row r="19" spans="2:12" x14ac:dyDescent="0.25">
      <c r="B19" s="53"/>
      <c r="C19" s="53"/>
      <c r="D19" s="53"/>
      <c r="E19" s="53">
        <f t="shared" si="0"/>
        <v>0</v>
      </c>
      <c r="F19" s="53" t="s">
        <v>316</v>
      </c>
      <c r="G19" s="53"/>
      <c r="H19" s="53"/>
      <c r="I19" s="53">
        <f t="shared" si="1"/>
        <v>0</v>
      </c>
      <c r="J19" s="53"/>
      <c r="K19" s="53"/>
      <c r="L19" s="53">
        <f t="shared" si="2"/>
        <v>0</v>
      </c>
    </row>
    <row r="20" spans="2:12" x14ac:dyDescent="0.25">
      <c r="B20" s="53"/>
      <c r="C20" s="53"/>
      <c r="D20" s="53"/>
      <c r="E20" s="53">
        <f t="shared" si="0"/>
        <v>0</v>
      </c>
      <c r="F20" s="53"/>
      <c r="G20" s="53"/>
      <c r="H20" s="53"/>
      <c r="I20" s="53">
        <f t="shared" si="1"/>
        <v>0</v>
      </c>
      <c r="J20" s="53"/>
      <c r="K20" s="53"/>
      <c r="L20" s="53">
        <f t="shared" si="2"/>
        <v>0</v>
      </c>
    </row>
    <row r="21" spans="2:12" x14ac:dyDescent="0.25">
      <c r="B21" s="53" t="s">
        <v>319</v>
      </c>
      <c r="C21" s="53"/>
      <c r="D21" s="53"/>
      <c r="E21" s="53">
        <f t="shared" si="0"/>
        <v>0</v>
      </c>
      <c r="F21" s="53" t="s">
        <v>314</v>
      </c>
      <c r="G21" s="53"/>
      <c r="H21" s="53"/>
      <c r="I21" s="53">
        <f t="shared" si="1"/>
        <v>0</v>
      </c>
      <c r="J21" s="53"/>
      <c r="K21" s="53"/>
      <c r="L21" s="53">
        <f t="shared" si="2"/>
        <v>0</v>
      </c>
    </row>
    <row r="22" spans="2:12" x14ac:dyDescent="0.25">
      <c r="B22" s="53"/>
      <c r="C22" s="53"/>
      <c r="D22" s="53"/>
      <c r="E22" s="53">
        <f t="shared" si="0"/>
        <v>0</v>
      </c>
      <c r="F22" s="53" t="s">
        <v>316</v>
      </c>
      <c r="G22" s="53"/>
      <c r="H22" s="53"/>
      <c r="I22" s="53">
        <f t="shared" si="1"/>
        <v>0</v>
      </c>
      <c r="J22" s="53"/>
      <c r="K22" s="53"/>
      <c r="L22" s="53">
        <f t="shared" si="2"/>
        <v>0</v>
      </c>
    </row>
    <row r="23" spans="2:12" x14ac:dyDescent="0.25">
      <c r="B23" s="53"/>
      <c r="C23" s="53"/>
      <c r="D23" s="53"/>
      <c r="E23" s="53">
        <f t="shared" si="0"/>
        <v>0</v>
      </c>
      <c r="F23" s="53"/>
      <c r="G23" s="53"/>
      <c r="H23" s="53"/>
      <c r="I23" s="53">
        <f t="shared" si="1"/>
        <v>0</v>
      </c>
      <c r="J23" s="53"/>
      <c r="K23" s="53"/>
      <c r="L23" s="53">
        <f t="shared" si="2"/>
        <v>0</v>
      </c>
    </row>
    <row r="24" spans="2:12" x14ac:dyDescent="0.25">
      <c r="B24" s="53" t="s">
        <v>320</v>
      </c>
      <c r="C24" s="53"/>
      <c r="D24" s="53"/>
      <c r="E24" s="53">
        <f t="shared" si="0"/>
        <v>0</v>
      </c>
      <c r="F24" s="53" t="s">
        <v>321</v>
      </c>
      <c r="G24" s="53"/>
      <c r="H24" s="53"/>
      <c r="I24" s="53">
        <f t="shared" si="1"/>
        <v>0</v>
      </c>
      <c r="J24" s="53"/>
      <c r="K24" s="53"/>
      <c r="L24" s="53">
        <f t="shared" si="2"/>
        <v>0</v>
      </c>
    </row>
    <row r="25" spans="2:12" x14ac:dyDescent="0.25">
      <c r="B25" s="53"/>
      <c r="C25" s="53"/>
      <c r="D25" s="53"/>
      <c r="E25" s="53">
        <f t="shared" ref="E25:E27" si="3">C25*D25</f>
        <v>0</v>
      </c>
      <c r="F25" s="53" t="s">
        <v>321</v>
      </c>
      <c r="G25" s="53"/>
      <c r="H25" s="53"/>
      <c r="I25" s="53">
        <f t="shared" ref="I25:I27" si="4">G25*H25</f>
        <v>0</v>
      </c>
      <c r="J25" s="53"/>
      <c r="K25" s="53"/>
      <c r="L25" s="53">
        <f t="shared" ref="L25:L27" si="5">J25*K25</f>
        <v>0</v>
      </c>
    </row>
    <row r="26" spans="2:12" x14ac:dyDescent="0.25">
      <c r="B26" s="53"/>
      <c r="C26" s="53"/>
      <c r="D26" s="53"/>
      <c r="E26" s="53">
        <f t="shared" si="3"/>
        <v>0</v>
      </c>
      <c r="F26" s="53" t="s">
        <v>321</v>
      </c>
      <c r="G26" s="53"/>
      <c r="H26" s="53"/>
      <c r="I26" s="53">
        <f t="shared" si="4"/>
        <v>0</v>
      </c>
      <c r="J26" s="53"/>
      <c r="K26" s="53"/>
      <c r="L26" s="53">
        <f t="shared" si="5"/>
        <v>0</v>
      </c>
    </row>
    <row r="27" spans="2:12" x14ac:dyDescent="0.25">
      <c r="B27" s="53"/>
      <c r="C27" s="53"/>
      <c r="D27" s="53"/>
      <c r="E27" s="53">
        <f t="shared" si="3"/>
        <v>0</v>
      </c>
      <c r="F27" s="53" t="s">
        <v>321</v>
      </c>
      <c r="G27" s="53"/>
      <c r="H27" s="53"/>
      <c r="I27" s="53">
        <f t="shared" si="4"/>
        <v>0</v>
      </c>
      <c r="J27" s="53"/>
      <c r="K27" s="53"/>
      <c r="L27" s="53">
        <f t="shared" si="5"/>
        <v>0</v>
      </c>
    </row>
    <row r="28" spans="2:12" x14ac:dyDescent="0.25">
      <c r="B28" s="53" t="s">
        <v>322</v>
      </c>
      <c r="C28" s="53"/>
      <c r="D28" s="53"/>
      <c r="E28" s="53">
        <f t="shared" si="0"/>
        <v>0</v>
      </c>
      <c r="F28" s="53" t="s">
        <v>321</v>
      </c>
      <c r="G28" s="53"/>
      <c r="H28" s="53"/>
      <c r="I28" s="53">
        <f t="shared" si="1"/>
        <v>0</v>
      </c>
      <c r="J28" s="53"/>
      <c r="K28" s="53"/>
      <c r="L28" s="53">
        <f t="shared" si="2"/>
        <v>0</v>
      </c>
    </row>
    <row r="29" spans="2:12" x14ac:dyDescent="0.25">
      <c r="B29" s="53" t="s">
        <v>323</v>
      </c>
      <c r="C29" s="53"/>
      <c r="D29" s="53"/>
      <c r="E29" s="53">
        <f t="shared" si="0"/>
        <v>0</v>
      </c>
      <c r="F29" s="53" t="s">
        <v>321</v>
      </c>
      <c r="G29" s="53"/>
      <c r="H29" s="53"/>
      <c r="I29" s="53">
        <f t="shared" si="1"/>
        <v>0</v>
      </c>
      <c r="J29" s="53"/>
      <c r="K29" s="53"/>
      <c r="L29" s="53">
        <f t="shared" si="2"/>
        <v>0</v>
      </c>
    </row>
    <row r="30" spans="2:12" x14ac:dyDescent="0.25">
      <c r="B30" s="53" t="s">
        <v>327</v>
      </c>
      <c r="C30" s="53"/>
      <c r="D30" s="53"/>
      <c r="E30" s="53">
        <f t="shared" si="0"/>
        <v>0</v>
      </c>
      <c r="F30" s="53"/>
      <c r="G30" s="53"/>
      <c r="H30" s="53"/>
      <c r="I30" s="53">
        <f t="shared" si="1"/>
        <v>0</v>
      </c>
      <c r="J30" s="53"/>
      <c r="K30" s="53"/>
      <c r="L30" s="53">
        <f t="shared" si="2"/>
        <v>0</v>
      </c>
    </row>
    <row r="31" spans="2:12" x14ac:dyDescent="0.25">
      <c r="B31" s="53"/>
      <c r="C31" s="53"/>
      <c r="D31" s="53"/>
      <c r="E31" s="53">
        <f t="shared" ref="E31:E32" si="6">C31*D31</f>
        <v>0</v>
      </c>
      <c r="F31" s="53"/>
      <c r="G31" s="53"/>
      <c r="H31" s="53"/>
      <c r="I31" s="53">
        <f t="shared" ref="I31:I32" si="7">G31*H31</f>
        <v>0</v>
      </c>
      <c r="J31" s="53"/>
      <c r="K31" s="53"/>
      <c r="L31" s="53">
        <f t="shared" ref="L31:L32" si="8">J31*K31</f>
        <v>0</v>
      </c>
    </row>
    <row r="32" spans="2:12" x14ac:dyDescent="0.25">
      <c r="B32" s="53"/>
      <c r="C32" s="53"/>
      <c r="D32" s="53"/>
      <c r="E32" s="53">
        <f t="shared" si="6"/>
        <v>0</v>
      </c>
      <c r="F32" s="53"/>
      <c r="G32" s="53"/>
      <c r="H32" s="53"/>
      <c r="I32" s="53">
        <f t="shared" si="7"/>
        <v>0</v>
      </c>
      <c r="J32" s="53"/>
      <c r="K32" s="53"/>
      <c r="L32" s="53">
        <f t="shared" si="8"/>
        <v>0</v>
      </c>
    </row>
    <row r="33" spans="2:12" x14ac:dyDescent="0.25">
      <c r="B33" s="53" t="s">
        <v>324</v>
      </c>
      <c r="C33" s="53"/>
      <c r="D33" s="53"/>
      <c r="E33" s="53">
        <f t="shared" si="0"/>
        <v>0</v>
      </c>
      <c r="F33" s="53"/>
      <c r="G33" s="53"/>
      <c r="H33" s="53"/>
      <c r="I33" s="53">
        <f t="shared" si="1"/>
        <v>0</v>
      </c>
      <c r="J33" s="53"/>
      <c r="K33" s="53"/>
      <c r="L33" s="53">
        <f t="shared" si="2"/>
        <v>0</v>
      </c>
    </row>
    <row r="34" spans="2:12" x14ac:dyDescent="0.25">
      <c r="B34" s="53" t="s">
        <v>328</v>
      </c>
      <c r="C34" s="53"/>
      <c r="D34" s="53"/>
      <c r="E34" s="53">
        <f t="shared" si="0"/>
        <v>0</v>
      </c>
      <c r="F34" s="53"/>
      <c r="G34" s="53"/>
      <c r="H34" s="53"/>
      <c r="I34" s="53">
        <f t="shared" si="1"/>
        <v>0</v>
      </c>
      <c r="J34" s="53"/>
      <c r="K34" s="53"/>
      <c r="L34" s="53">
        <f t="shared" si="2"/>
        <v>0</v>
      </c>
    </row>
    <row r="35" spans="2:12" x14ac:dyDescent="0.25">
      <c r="B35" s="53" t="s">
        <v>325</v>
      </c>
      <c r="C35" s="53"/>
      <c r="D35" s="53"/>
      <c r="E35" s="53">
        <f t="shared" si="0"/>
        <v>0</v>
      </c>
      <c r="F35" s="53"/>
      <c r="G35" s="53"/>
      <c r="H35" s="53"/>
      <c r="I35" s="53">
        <f t="shared" si="1"/>
        <v>0</v>
      </c>
      <c r="J35" s="53"/>
      <c r="K35" s="53"/>
      <c r="L35" s="53">
        <f t="shared" si="2"/>
        <v>0</v>
      </c>
    </row>
    <row r="36" spans="2:12" x14ac:dyDescent="0.25">
      <c r="B36" s="53" t="s">
        <v>326</v>
      </c>
      <c r="C36" s="53"/>
      <c r="D36" s="53"/>
      <c r="E36" s="53">
        <f t="shared" si="0"/>
        <v>0</v>
      </c>
      <c r="F36" s="53"/>
      <c r="G36" s="53"/>
      <c r="H36" s="53"/>
      <c r="I36" s="53">
        <f>G36*H36</f>
        <v>0</v>
      </c>
      <c r="J36" s="53"/>
      <c r="K36" s="53"/>
      <c r="L36" s="53">
        <f>J36*K36</f>
        <v>0</v>
      </c>
    </row>
    <row r="37" spans="2:12" x14ac:dyDescent="0.25">
      <c r="B37" s="53"/>
      <c r="C37" s="53"/>
      <c r="D37" s="53"/>
      <c r="E37" s="53">
        <f t="shared" ref="E37:E38" si="9">C37*D37</f>
        <v>0</v>
      </c>
      <c r="F37" s="53"/>
      <c r="G37" s="53"/>
      <c r="H37" s="53"/>
      <c r="I37" s="53">
        <f t="shared" ref="I37:I38" si="10">G37*H37</f>
        <v>0</v>
      </c>
      <c r="J37" s="53"/>
      <c r="K37" s="53"/>
      <c r="L37" s="53">
        <f t="shared" ref="L37:L38" si="11">J37*K37</f>
        <v>0</v>
      </c>
    </row>
    <row r="38" spans="2:12" x14ac:dyDescent="0.25">
      <c r="B38" s="53" t="s">
        <v>329</v>
      </c>
      <c r="C38" s="53"/>
      <c r="D38" s="53"/>
      <c r="E38" s="53">
        <f t="shared" si="9"/>
        <v>0</v>
      </c>
      <c r="F38" s="53"/>
      <c r="G38" s="53"/>
      <c r="H38" s="53"/>
      <c r="I38" s="53">
        <f t="shared" si="10"/>
        <v>0</v>
      </c>
      <c r="J38" s="53"/>
      <c r="K38" s="53"/>
      <c r="L38" s="53">
        <f t="shared" si="11"/>
        <v>0</v>
      </c>
    </row>
    <row r="39" spans="2:12" x14ac:dyDescent="0.25">
      <c r="B39" s="53"/>
      <c r="C39" s="53"/>
      <c r="D39" s="53"/>
      <c r="E39" s="53">
        <f t="shared" si="0"/>
        <v>0</v>
      </c>
      <c r="F39" s="53"/>
      <c r="G39" s="53"/>
      <c r="H39" s="53"/>
      <c r="I39" s="53">
        <f>G39*H39</f>
        <v>0</v>
      </c>
      <c r="J39" s="53"/>
      <c r="K39" s="53"/>
      <c r="L39" s="53">
        <f>J39*K39</f>
        <v>0</v>
      </c>
    </row>
    <row r="40" spans="2:12" x14ac:dyDescent="0.25">
      <c r="B40" s="53"/>
      <c r="C40" s="53"/>
      <c r="D40" s="53"/>
      <c r="E40" s="53">
        <f t="shared" si="0"/>
        <v>0</v>
      </c>
      <c r="F40" s="53"/>
      <c r="G40" s="53"/>
      <c r="H40" s="53"/>
      <c r="I40" s="53">
        <f>G40*H40</f>
        <v>0</v>
      </c>
      <c r="J40" s="53"/>
      <c r="K40" s="53"/>
      <c r="L40" s="53">
        <f>J40*K40</f>
        <v>0</v>
      </c>
    </row>
    <row r="41" spans="2:12" x14ac:dyDescent="0.25">
      <c r="B41" s="53"/>
      <c r="C41" s="53"/>
      <c r="D41" s="53"/>
      <c r="E41" s="53">
        <f t="shared" si="0"/>
        <v>0</v>
      </c>
      <c r="F41" s="53"/>
      <c r="G41" s="53"/>
      <c r="H41" s="53"/>
      <c r="I41" s="53">
        <f>G41*H41</f>
        <v>0</v>
      </c>
      <c r="J41" s="53"/>
      <c r="K41" s="53"/>
      <c r="L41" s="53">
        <f>J41*K41</f>
        <v>0</v>
      </c>
    </row>
    <row r="42" spans="2:12" x14ac:dyDescent="0.25">
      <c r="B42" s="53" t="s">
        <v>146</v>
      </c>
      <c r="C42" s="53"/>
      <c r="D42" s="53">
        <f>E42*10.764</f>
        <v>0</v>
      </c>
      <c r="E42" s="73">
        <f>SUM(E6:E41)</f>
        <v>0</v>
      </c>
      <c r="F42" s="53"/>
      <c r="G42" s="53"/>
      <c r="H42" s="53">
        <f>I42*10.764</f>
        <v>0</v>
      </c>
      <c r="I42" s="72">
        <f>SUM(I6:I41)</f>
        <v>0</v>
      </c>
      <c r="J42" s="53"/>
      <c r="K42" s="53">
        <f>L42*10.764</f>
        <v>0</v>
      </c>
      <c r="L42" s="71">
        <f>SUM(L6:L41)</f>
        <v>0</v>
      </c>
    </row>
    <row r="44" spans="2:12" x14ac:dyDescent="0.2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2025-06-06T11:12:55Z</cp:lastPrinted>
  <dcterms:created xsi:type="dcterms:W3CDTF">2019-07-16T09:29:46Z</dcterms:created>
  <dcterms:modified xsi:type="dcterms:W3CDTF">2025-09-08T11:23:13Z</dcterms:modified>
</cp:coreProperties>
</file>