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147" i="1"/>
  <c r="B128" i="1"/>
  <c r="B127" i="1"/>
  <c r="L124" i="1"/>
  <c r="E124" i="1"/>
  <c r="D124" i="1"/>
  <c r="A124" i="1"/>
  <c r="L123" i="1"/>
  <c r="G123" i="1"/>
  <c r="E123" i="1"/>
  <c r="D123" i="1"/>
  <c r="L121" i="1"/>
  <c r="J121" i="1"/>
  <c r="D121" i="1"/>
  <c r="A121" i="1"/>
  <c r="L120" i="1"/>
  <c r="J120" i="1"/>
  <c r="D120" i="1"/>
  <c r="A120" i="1"/>
  <c r="L119" i="1"/>
  <c r="J119" i="1"/>
  <c r="G119" i="1"/>
  <c r="D119" i="1"/>
  <c r="L117" i="1"/>
  <c r="E117" i="1"/>
  <c r="D117" i="1"/>
  <c r="A117" i="1"/>
  <c r="L116" i="1"/>
  <c r="E116" i="1"/>
  <c r="D116" i="1"/>
  <c r="A116" i="1"/>
  <c r="L115" i="1"/>
  <c r="J115" i="1"/>
  <c r="G115" i="1"/>
  <c r="D115" i="1"/>
  <c r="L113" i="1"/>
  <c r="D113" i="1"/>
  <c r="A113" i="1"/>
  <c r="L112" i="1"/>
  <c r="J112" i="1"/>
  <c r="D112" i="1"/>
  <c r="A112" i="1"/>
  <c r="L111" i="1"/>
  <c r="J111" i="1"/>
  <c r="I111" i="1"/>
  <c r="G111" i="1"/>
  <c r="D111" i="1"/>
  <c r="K107" i="1"/>
  <c r="D107" i="1"/>
  <c r="A107" i="1"/>
  <c r="K106" i="1"/>
  <c r="D106" i="1"/>
  <c r="A106" i="1"/>
  <c r="K105" i="1"/>
  <c r="I105" i="1"/>
  <c r="D105" i="1"/>
  <c r="A105" i="1"/>
  <c r="K104" i="1"/>
  <c r="I104" i="1"/>
  <c r="G104" i="1"/>
  <c r="D104" i="1"/>
  <c r="G99" i="1"/>
  <c r="E99" i="1"/>
  <c r="C99" i="1"/>
  <c r="G98" i="1"/>
  <c r="E98" i="1"/>
  <c r="C98" i="1"/>
  <c r="G95" i="1"/>
  <c r="E95" i="1"/>
  <c r="C95" i="1"/>
  <c r="F92" i="1"/>
  <c r="J76" i="1"/>
  <c r="J75" i="1"/>
  <c r="J74" i="1"/>
  <c r="J73" i="1"/>
  <c r="B66" i="1"/>
  <c r="C65" i="1"/>
  <c r="D59" i="1"/>
  <c r="D54" i="1"/>
  <c r="C49" i="1"/>
  <c r="E43" i="1"/>
  <c r="E42" i="1"/>
  <c r="E29" i="1"/>
  <c r="E26" i="1"/>
  <c r="E24" i="1"/>
  <c r="C14" i="1"/>
  <c r="E7" i="1"/>
  <c r="E3" i="1"/>
  <c r="H66" i="1"/>
  <c r="D76" i="1" l="1"/>
  <c r="D72" i="1"/>
  <c r="J71" i="1"/>
  <c r="J72" i="1" s="1"/>
  <c r="J77" i="1" s="1"/>
  <c r="J78" i="1" s="1"/>
  <c r="C70" i="1" s="1"/>
  <c r="D75" i="1"/>
  <c r="D71" i="1"/>
  <c r="J70" i="1"/>
  <c r="C69" i="1" s="1"/>
  <c r="D69" i="1" s="1"/>
  <c r="J68" i="1"/>
  <c r="J65" i="1"/>
  <c r="J67" i="1" s="1"/>
  <c r="D78" i="1"/>
  <c r="D74" i="1"/>
  <c r="D77" i="1"/>
  <c r="D73" i="1"/>
  <c r="J69" i="1"/>
  <c r="E69" i="1" l="1"/>
  <c r="D70" i="1"/>
  <c r="I66" i="1" s="1"/>
  <c r="I67" i="1" s="1"/>
  <c r="G69" i="1"/>
  <c r="D63" i="1" s="1"/>
  <c r="J66" i="1"/>
  <c r="F64" i="1" l="1"/>
  <c r="D64" i="1"/>
  <c r="I65" i="1"/>
  <c r="C67" i="1" s="1"/>
</calcChain>
</file>

<file path=xl/sharedStrings.xml><?xml version="1.0" encoding="utf-8"?>
<sst xmlns="http://schemas.openxmlformats.org/spreadsheetml/2006/main" count="275" uniqueCount="218">
  <si>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</si>
  <si>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</si>
  <si>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</si>
  <si>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</si>
  <si>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Thane</t>
  </si>
  <si>
    <t>Date Of Property Visit</t>
  </si>
  <si>
    <t>Name of the builder group</t>
  </si>
  <si>
    <t>S N Developers</t>
  </si>
  <si>
    <t>Name of the builder company</t>
  </si>
  <si>
    <t>Name of the Project</t>
  </si>
  <si>
    <t>Suzain Plaza</t>
  </si>
  <si>
    <t>Provided Contact Details (Name &amp; Contact No.)</t>
  </si>
  <si>
    <t>Mr.Shakib Palte 9326236919</t>
  </si>
  <si>
    <t>Site Person - Contact Details (Name &amp; Contact No.)</t>
  </si>
  <si>
    <t>NA</t>
  </si>
  <si>
    <t>Name / No of the Building</t>
  </si>
  <si>
    <t>01Building</t>
  </si>
  <si>
    <t>Documents Provided</t>
  </si>
  <si>
    <t>Approved Plans, CC, Sale Plans, Builder Saleable Area, Cost Sheet</t>
  </si>
  <si>
    <t>RERA No.</t>
  </si>
  <si>
    <t>P52000050324</t>
  </si>
  <si>
    <t xml:space="preserve">Project location details       </t>
  </si>
  <si>
    <t>Survey No</t>
  </si>
  <si>
    <t>169, Plot No.52</t>
  </si>
  <si>
    <t>Locality</t>
  </si>
  <si>
    <t>Mamdapur</t>
  </si>
  <si>
    <t>Road</t>
  </si>
  <si>
    <t>Internal Road</t>
  </si>
  <si>
    <t>Locality/Village</t>
  </si>
  <si>
    <t>City</t>
  </si>
  <si>
    <t>Karjat</t>
  </si>
  <si>
    <t>District</t>
  </si>
  <si>
    <t>Raigad</t>
  </si>
  <si>
    <t>Taluka</t>
  </si>
  <si>
    <t>Neral</t>
  </si>
  <si>
    <t>Pin Code</t>
  </si>
  <si>
    <t>Nearby Landmark</t>
  </si>
  <si>
    <t>Royal Residency</t>
  </si>
  <si>
    <t xml:space="preserve">Distance from city centre: </t>
  </si>
  <si>
    <t>1.6 KM from Neral Junction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</si>
  <si>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</si>
  <si>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</si>
  <si>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</si>
  <si>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</si>
  <si>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</si>
  <si>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</si>
  <si>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</si>
  <si>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</si>
  <si>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</si>
  <si>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</si>
  <si>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</si>
  <si>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</si>
  <si>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</si>
  <si>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</si>
  <si>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</si>
  <si>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</si>
  <si>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</si>
  <si>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</si>
  <si>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</si>
  <si>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Orchid Park</t>
  </si>
  <si>
    <t>West</t>
  </si>
  <si>
    <t>North</t>
  </si>
  <si>
    <t>South</t>
  </si>
  <si>
    <t>Building</t>
  </si>
  <si>
    <t>Does the boundaries at site match, as mentioned in the Docoumentation: NA</t>
  </si>
  <si>
    <t>Latitude, Longitude</t>
  </si>
  <si>
    <t>19.032308,73.307441</t>
  </si>
  <si>
    <t>Location Link</t>
  </si>
  <si>
    <t>https://goo.gl/maps/mpsjuDnsVVUqgr2EA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</si>
  <si>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</si>
  <si>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</si>
  <si>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</si>
  <si>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</si>
  <si>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</si>
  <si>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</si>
  <si>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</si>
  <si>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01 Building</t>
  </si>
  <si>
    <t xml:space="preserve">Approval Detail : Plan approval </t>
  </si>
  <si>
    <t>Name of Municipal Corporation/Authority</t>
  </si>
  <si>
    <t>Collector Of Raigad</t>
  </si>
  <si>
    <t xml:space="preserve">Layout Approval No     </t>
  </si>
  <si>
    <t>SSNR-RA/BP/Mauje-Mamdapur/Tal-Karjat/S.No.169/B.No.52/2147</t>
  </si>
  <si>
    <t>Dated</t>
  </si>
  <si>
    <t xml:space="preserve">Approved Floor plan No.  </t>
  </si>
  <si>
    <t xml:space="preserve">Commencement-CC No
Valid Up to: </t>
  </si>
  <si>
    <t>RJP/BP/NSVP/2/2023</t>
  </si>
  <si>
    <t>G + 1st to 6th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</si>
  <si>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</si>
  <si>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</si>
  <si>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</si>
  <si>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</si>
  <si>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</si>
  <si>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- 17, Shops -04</t>
  </si>
  <si>
    <t>Approved no of Floors</t>
  </si>
  <si>
    <t>Proposed no of Floors</t>
  </si>
  <si>
    <t>Expected Completion</t>
  </si>
  <si>
    <t>As per RERA - 31/12/2025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</si>
  <si>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</si>
  <si>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</si>
  <si>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</si>
  <si>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</si>
  <si>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</si>
  <si>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</si>
  <si>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</si>
  <si>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</si>
  <si>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</si>
  <si>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</si>
  <si>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</si>
  <si>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</si>
  <si>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</si>
  <si>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</si>
  <si>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</si>
  <si>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</si>
  <si>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</si>
  <si>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</si>
  <si>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</si>
  <si>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</si>
  <si>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</si>
  <si>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</si>
  <si>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</si>
  <si>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</si>
  <si>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</si>
  <si>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</si>
  <si>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</si>
  <si>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</si>
  <si>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</si>
  <si>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</si>
  <si>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</si>
  <si>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</si>
  <si>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</si>
  <si>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</si>
  <si>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</si>
  <si>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</si>
  <si>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</si>
  <si>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</si>
  <si>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</si>
  <si>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</si>
  <si>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</si>
  <si>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</si>
  <si>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</si>
  <si>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</si>
  <si>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</si>
  <si>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</si>
  <si>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</si>
  <si>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</si>
  <si>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</si>
  <si>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</si>
  <si>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MSEB Charges</t>
  </si>
  <si>
    <t>Society Formation Charges + Infrastructure + Maintainence + Development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</si>
  <si>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</si>
  <si>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</si>
  <si>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</si>
  <si>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</si>
  <si>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</si>
  <si>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</si>
  <si>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</si>
  <si>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</si>
  <si>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Cost sheet</t>
  </si>
  <si>
    <t>Shop</t>
  </si>
  <si>
    <t>Residential Area Details :</t>
  </si>
  <si>
    <t>Flat</t>
  </si>
  <si>
    <t>Bramha Heritage</t>
  </si>
  <si>
    <t xml:space="preserve">0.170KM </t>
  </si>
  <si>
    <t>Grand 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</si>
  <si>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</si>
  <si>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</si>
  <si>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</si>
  <si>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</si>
  <si>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</si>
  <si>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</si>
  <si>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</si>
  <si>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Builder Saleable area</t>
  </si>
  <si>
    <t>Floor</t>
  </si>
  <si>
    <t>Ground Floor For Entrance Lobby, Commercial &amp; Parking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</si>
  <si>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</si>
  <si>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</si>
  <si>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</si>
  <si>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1st Floor For Residential</t>
  </si>
  <si>
    <t>2BHK</t>
  </si>
  <si>
    <t>1BHK</t>
  </si>
  <si>
    <t>2nd Floor</t>
  </si>
  <si>
    <t>3rd to 5th Floor</t>
  </si>
  <si>
    <t>6th Floor</t>
  </si>
  <si>
    <t xml:space="preserve">Remarks:  </t>
  </si>
  <si>
    <t>*</t>
  </si>
  <si>
    <t>Construction work was stopped. Work is same as last visit(15/09/2024).</t>
  </si>
  <si>
    <t>We considered Carpet area as per Approved Plan.</t>
  </si>
  <si>
    <t>We considered Gross carpet area = Net carpet + Enclose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</si>
  <si>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</si>
  <si>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</si>
  <si>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</si>
  <si>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</si>
  <si>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</si>
  <si>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</si>
  <si>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</si>
  <si>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</si>
  <si>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</si>
  <si>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</si>
  <si>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</si>
  <si>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</si>
  <si>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Naynesh Sunil Lovanshi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</si>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</sst>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6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" fillId="0" borderId="0"/>
  </cellStyleXfs>
  <cellXfs count="176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7" fillId="0" borderId="17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8" fillId="2" borderId="30" xfId="0" applyFont="1" applyFill="1" applyBorder="1"/>
    <xf numFmtId="0" fontId="19" fillId="0" borderId="31" xfId="0" applyFont="1" applyBorder="1"/>
    <xf numFmtId="0" fontId="19" fillId="0" borderId="1" xfId="0" applyFont="1" applyBorder="1"/>
    <xf numFmtId="0" fontId="19" fillId="0" borderId="18" xfId="0" applyFont="1" applyBorder="1"/>
    <xf numFmtId="0" fontId="20" fillId="0" borderId="0" xfId="0" applyFont="1" applyProtection="1">
      <protection hidden="1"/>
    </xf>
    <xf numFmtId="0" fontId="10" fillId="0" borderId="22" xfId="8" applyFont="1" applyBorder="1"/>
    <xf numFmtId="0" fontId="20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20" fillId="0" borderId="32" xfId="0" applyFont="1" applyBorder="1" applyProtection="1">
      <protection hidden="1"/>
    </xf>
    <xf numFmtId="1" fontId="0" fillId="0" borderId="27" xfId="0" applyNumberFormat="1" applyBorder="1"/>
    <xf numFmtId="0" fontId="16" fillId="0" borderId="0" xfId="0" applyFont="1" applyAlignment="1">
      <alignment horizontal="center" vertical="center"/>
    </xf>
    <xf numFmtId="0" fontId="21" fillId="0" borderId="0" xfId="0" applyFont="1"/>
    <xf numFmtId="9" fontId="16" fillId="0" borderId="0" xfId="0" applyNumberFormat="1" applyFont="1" applyAlignment="1">
      <alignment horizontal="center" vertical="center"/>
    </xf>
    <xf numFmtId="1" fontId="10" fillId="0" borderId="0" xfId="8" applyNumberFormat="1" applyFont="1" applyAlignment="1">
      <alignment horizontal="center" vertical="center"/>
    </xf>
    <xf numFmtId="1" fontId="9" fillId="0" borderId="0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6" fillId="0" borderId="0" xfId="8" applyFont="1" applyProtection="1"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22" fillId="0" borderId="1" xfId="8" applyFont="1" applyBorder="1" applyAlignment="1" applyProtection="1">
      <alignment horizontal="center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20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28" xfId="0" applyNumberFormat="1" applyFont="1" applyBorder="1" applyAlignment="1" applyProtection="1">
      <alignment horizontal="center" vertical="center" wrapText="1"/>
      <protection locked="0"/>
    </xf>
    <xf numFmtId="1" fontId="12" fillId="0" borderId="29" xfId="0" applyNumberFormat="1" applyFont="1" applyBorder="1" applyAlignment="1" applyProtection="1">
      <alignment horizontal="center" vertical="center" wrapText="1"/>
      <protection locked="0"/>
    </xf>
    <xf numFmtId="1" fontId="16" fillId="0" borderId="29" xfId="0" applyNumberFormat="1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7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19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2" fillId="0" borderId="12" xfId="8" applyFont="1" applyBorder="1" applyAlignment="1" applyProtection="1">
      <alignment horizontal="left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/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4" fillId="0" borderId="1" xfId="3" applyFont="1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441614</xdr:colOff>
      <xdr:row>249</xdr:row>
      <xdr:rowOff>100937</xdr:rowOff>
    </xdr:from>
    <xdr:to>
      <xdr:col>6</xdr:col>
      <xdr:colOff>451231</xdr:colOff>
      <xdr:row>263</xdr:row>
      <xdr:rowOff>192709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03325" y="51468655"/>
          <a:ext cx="4162425" cy="289242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456275</xdr:colOff>
      <xdr:row>234</xdr:row>
      <xdr:rowOff>17318</xdr:rowOff>
    </xdr:from>
    <xdr:to>
      <xdr:col>6</xdr:col>
      <xdr:colOff>436571</xdr:colOff>
      <xdr:row>248</xdr:row>
      <xdr:rowOff>109090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17930" y="48385095"/>
          <a:ext cx="4133215" cy="289179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684068</xdr:colOff>
      <xdr:row>255</xdr:row>
      <xdr:rowOff>129886</xdr:rowOff>
    </xdr:from>
    <xdr:to>
      <xdr:col>4</xdr:col>
      <xdr:colOff>138545</xdr:colOff>
      <xdr:row>258</xdr:row>
      <xdr:rowOff>17318</xdr:rowOff>
    </xdr:to>
    <xdr:sp macro="" textlink="">
      <xdr:nvSpPr>
        <xdr:cNvPr id="6" name="Rectangle 5"/>
        <xdr:cNvSpPr/>
      </xdr:nvSpPr>
      <xdr:spPr>
        <a:xfrm rot="21148439">
          <a:off x="3093720" y="52698015"/>
          <a:ext cx="397510" cy="487680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0</xdr:colOff>
      <xdr:row>191</xdr:row>
      <xdr:rowOff>8660</xdr:rowOff>
    </xdr:from>
    <xdr:to>
      <xdr:col>6</xdr:col>
      <xdr:colOff>659104</xdr:colOff>
      <xdr:row>205</xdr:row>
      <xdr:rowOff>100432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39775130"/>
          <a:ext cx="4811395" cy="289242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149625</xdr:colOff>
      <xdr:row>206</xdr:row>
      <xdr:rowOff>23537</xdr:rowOff>
    </xdr:from>
    <xdr:to>
      <xdr:col>5</xdr:col>
      <xdr:colOff>492161</xdr:colOff>
      <xdr:row>224</xdr:row>
      <xdr:rowOff>38674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1325" y="42790745"/>
          <a:ext cx="2914650" cy="361505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156521</xdr:colOff>
      <xdr:row>198</xdr:row>
      <xdr:rowOff>42627</xdr:rowOff>
    </xdr:from>
    <xdr:to>
      <xdr:col>3</xdr:col>
      <xdr:colOff>452050</xdr:colOff>
      <xdr:row>200</xdr:row>
      <xdr:rowOff>18159</xdr:rowOff>
    </xdr:to>
    <xdr:sp macro="" textlink="">
      <xdr:nvSpPr>
        <xdr:cNvPr id="2" name="Rectangle 1"/>
        <xdr:cNvSpPr/>
      </xdr:nvSpPr>
      <xdr:spPr>
        <a:xfrm rot="240043">
          <a:off x="2566035" y="41209595"/>
          <a:ext cx="295275" cy="37528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539750</xdr:colOff>
      <xdr:row>147</xdr:row>
      <xdr:rowOff>193675</xdr:rowOff>
    </xdr:from>
    <xdr:to>
      <xdr:col>16</xdr:col>
      <xdr:colOff>453670</xdr:colOff>
      <xdr:row>177</xdr:row>
      <xdr:rowOff>9108</xdr:rowOff>
    </xdr:to>
    <xdr:grpSp>
      <xdr:nvGrpSpPr>
        <xdr:cNvPr id="3" name="Group 2"/>
        <xdr:cNvGrpSpPr/>
      </xdr:nvGrpSpPr>
      <xdr:grpSpPr>
        <a:xfrm>
          <a:off x="7064375" y="31140400"/>
          <a:ext cx="6314720" cy="5806658"/>
          <a:chOff x="196850" y="30632400"/>
          <a:chExt cx="6436798" cy="5592609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3785" y="334890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1" y="30632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334890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3785" y="30632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318" y="30632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317" y="334890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381000</xdr:colOff>
      <xdr:row>147</xdr:row>
      <xdr:rowOff>57149</xdr:rowOff>
    </xdr:from>
    <xdr:to>
      <xdr:col>7</xdr:col>
      <xdr:colOff>495300</xdr:colOff>
      <xdr:row>188</xdr:row>
      <xdr:rowOff>102600</xdr:rowOff>
    </xdr:to>
    <xdr:grpSp>
      <xdr:nvGrpSpPr>
        <xdr:cNvPr id="7" name="Group 6"/>
        <xdr:cNvGrpSpPr/>
      </xdr:nvGrpSpPr>
      <xdr:grpSpPr>
        <a:xfrm>
          <a:off x="381000" y="31003874"/>
          <a:ext cx="5810250" cy="8236951"/>
          <a:chOff x="381000" y="31003874"/>
          <a:chExt cx="5810250" cy="8236951"/>
        </a:xfrm>
      </xdr:grpSpPr>
      <xdr:pic>
        <xdr:nvPicPr>
          <xdr:cNvPr id="21" name="Picture 20" descr="https://vsjcllp.vsjadon.com/upload/insp-24663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47925" y="37157025"/>
            <a:ext cx="1561223" cy="2083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663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52675" y="34566224"/>
            <a:ext cx="1866900" cy="2491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6630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000" y="34566224"/>
            <a:ext cx="1866900" cy="2491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630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4225" y="31013399"/>
            <a:ext cx="2590800" cy="3458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630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38175" y="31003874"/>
            <a:ext cx="2590800" cy="3458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630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24350" y="34556699"/>
            <a:ext cx="1866900" cy="24917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psjuDnsVVUqgr2EA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33"/>
  <sheetViews>
    <sheetView tabSelected="1" view="pageBreakPreview" zoomScaleNormal="100" zoomScaleSheetLayoutView="100" workbookViewId="0">
      <selection activeCell="J12" sqref="J12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>
      <c r="A1" s="173" t="s">
        <v>0</v>
      </c>
      <c r="B1" s="173"/>
      <c r="C1" s="173"/>
      <c r="D1" s="173"/>
      <c r="E1" s="173"/>
      <c r="F1" s="173"/>
      <c r="G1" s="173"/>
      <c r="H1" s="173"/>
    </row>
    <row r="2" spans="1:8" ht="16.5" customHeight="1">
      <c r="A2" s="97" t="s">
        <v>1</v>
      </c>
      <c r="B2" s="97"/>
      <c r="C2" s="97"/>
      <c r="D2" s="97"/>
      <c r="E2" s="97"/>
      <c r="F2" s="97"/>
      <c r="G2" s="97"/>
      <c r="H2" s="97"/>
    </row>
    <row r="3" spans="1:8">
      <c r="A3" s="149" t="s">
        <v>2</v>
      </c>
      <c r="B3" s="149"/>
      <c r="C3" s="149"/>
      <c r="D3" s="149"/>
      <c r="E3" s="149" t="str">
        <f ca="1">TEXT(TODAY(),"DD/MM/YYYY")</f>
        <v>17/09/2025</v>
      </c>
      <c r="F3" s="149"/>
      <c r="G3" s="149"/>
      <c r="H3" s="149"/>
    </row>
    <row r="4" spans="1:8">
      <c r="A4" s="149" t="s">
        <v>3</v>
      </c>
      <c r="B4" s="149"/>
      <c r="C4" s="149"/>
      <c r="D4" s="149"/>
      <c r="E4" s="149" t="s">
        <v>4</v>
      </c>
      <c r="F4" s="149"/>
      <c r="G4" s="149"/>
      <c r="H4" s="149"/>
    </row>
    <row r="5" spans="1:8">
      <c r="A5" s="149" t="s">
        <v>5</v>
      </c>
      <c r="B5" s="149"/>
      <c r="C5" s="149"/>
      <c r="D5" s="149"/>
      <c r="E5" s="174">
        <v>45908</v>
      </c>
      <c r="F5" s="149"/>
      <c r="G5" s="149"/>
      <c r="H5" s="149"/>
    </row>
    <row r="6" spans="1:8" ht="16.5" customHeight="1">
      <c r="A6" s="149" t="s">
        <v>6</v>
      </c>
      <c r="B6" s="149"/>
      <c r="C6" s="149"/>
      <c r="D6" s="149"/>
      <c r="E6" s="149" t="s">
        <v>7</v>
      </c>
      <c r="F6" s="149"/>
      <c r="G6" s="149"/>
      <c r="H6" s="149"/>
    </row>
    <row r="7" spans="1:8" ht="15" customHeight="1">
      <c r="A7" s="149" t="s">
        <v>8</v>
      </c>
      <c r="B7" s="149"/>
      <c r="C7" s="149"/>
      <c r="D7" s="149"/>
      <c r="E7" s="149" t="str">
        <f>E6</f>
        <v>S N Developers</v>
      </c>
      <c r="F7" s="149"/>
      <c r="G7" s="149"/>
      <c r="H7" s="149"/>
    </row>
    <row r="8" spans="1:8">
      <c r="A8" s="149" t="s">
        <v>9</v>
      </c>
      <c r="B8" s="149"/>
      <c r="C8" s="149"/>
      <c r="D8" s="149"/>
      <c r="E8" s="162" t="s">
        <v>10</v>
      </c>
      <c r="F8" s="163"/>
      <c r="G8" s="163"/>
      <c r="H8" s="164"/>
    </row>
    <row r="9" spans="1:8">
      <c r="A9" s="149" t="s">
        <v>11</v>
      </c>
      <c r="B9" s="149"/>
      <c r="C9" s="149"/>
      <c r="D9" s="149"/>
      <c r="E9" s="149" t="s">
        <v>12</v>
      </c>
      <c r="F9" s="149"/>
      <c r="G9" s="149"/>
      <c r="H9" s="149"/>
    </row>
    <row r="10" spans="1:8">
      <c r="A10" s="149" t="s">
        <v>13</v>
      </c>
      <c r="B10" s="149"/>
      <c r="C10" s="149"/>
      <c r="D10" s="149"/>
      <c r="E10" s="149" t="s">
        <v>14</v>
      </c>
      <c r="F10" s="149"/>
      <c r="G10" s="149"/>
      <c r="H10" s="149"/>
    </row>
    <row r="11" spans="1:8">
      <c r="A11" s="149" t="s">
        <v>15</v>
      </c>
      <c r="B11" s="149"/>
      <c r="C11" s="149"/>
      <c r="D11" s="149"/>
      <c r="E11" s="149" t="s">
        <v>16</v>
      </c>
      <c r="F11" s="149"/>
      <c r="G11" s="149"/>
      <c r="H11" s="149"/>
    </row>
    <row r="12" spans="1:8" ht="31.5" customHeight="1">
      <c r="A12" s="63" t="s">
        <v>17</v>
      </c>
      <c r="B12" s="63"/>
      <c r="C12" s="63"/>
      <c r="D12" s="63"/>
      <c r="E12" s="143" t="s">
        <v>18</v>
      </c>
      <c r="F12" s="143"/>
      <c r="G12" s="143"/>
      <c r="H12" s="143"/>
    </row>
    <row r="13" spans="1:8">
      <c r="A13" s="63" t="s">
        <v>19</v>
      </c>
      <c r="B13" s="63"/>
      <c r="C13" s="63"/>
      <c r="D13" s="63"/>
      <c r="E13" s="143" t="s">
        <v>20</v>
      </c>
      <c r="F13" s="149"/>
      <c r="G13" s="149"/>
      <c r="H13" s="149"/>
    </row>
    <row r="14" spans="1:8" ht="33" customHeight="1">
      <c r="A14" s="64" t="s">
        <v>21</v>
      </c>
      <c r="B14" s="64"/>
      <c r="C14" s="6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Suzain Plaza, Survey No.169, Plot No.52, near Royal Residency, Internal Road, Mamdapur, Mamdapur, Karjat, Neral, Raigad - 410101.</v>
      </c>
      <c r="D14" s="64"/>
      <c r="E14" s="64"/>
      <c r="F14" s="64"/>
      <c r="G14" s="64"/>
      <c r="H14" s="64"/>
    </row>
    <row r="15" spans="1:8">
      <c r="A15" s="143" t="s">
        <v>22</v>
      </c>
      <c r="B15" s="143"/>
      <c r="C15" s="143" t="s">
        <v>23</v>
      </c>
      <c r="D15" s="143"/>
      <c r="E15" s="143"/>
      <c r="F15" s="143"/>
      <c r="G15" s="143"/>
      <c r="H15" s="143"/>
    </row>
    <row r="16" spans="1:8" ht="15.75" customHeight="1">
      <c r="A16" s="143" t="s">
        <v>24</v>
      </c>
      <c r="B16" s="143"/>
      <c r="C16" s="143" t="s">
        <v>25</v>
      </c>
      <c r="D16" s="143"/>
      <c r="E16" s="143"/>
      <c r="F16" s="143"/>
      <c r="G16" s="143"/>
      <c r="H16" s="143"/>
    </row>
    <row r="17" spans="1:8" ht="15.75" customHeight="1">
      <c r="A17" s="64" t="s">
        <v>26</v>
      </c>
      <c r="B17" s="64"/>
      <c r="C17" s="149" t="s">
        <v>27</v>
      </c>
      <c r="D17" s="149"/>
      <c r="E17" s="64" t="s">
        <v>28</v>
      </c>
      <c r="F17" s="64"/>
      <c r="G17" s="143" t="s">
        <v>25</v>
      </c>
      <c r="H17" s="143"/>
    </row>
    <row r="18" spans="1:8">
      <c r="A18" s="63" t="s">
        <v>29</v>
      </c>
      <c r="B18" s="63"/>
      <c r="C18" s="143" t="s">
        <v>30</v>
      </c>
      <c r="D18" s="143"/>
      <c r="E18" s="64" t="s">
        <v>31</v>
      </c>
      <c r="F18" s="64"/>
      <c r="G18" s="172" t="s">
        <v>32</v>
      </c>
      <c r="H18" s="172"/>
    </row>
    <row r="19" spans="1:8">
      <c r="A19" s="63" t="s">
        <v>33</v>
      </c>
      <c r="B19" s="63"/>
      <c r="C19" s="143" t="s">
        <v>34</v>
      </c>
      <c r="D19" s="143"/>
      <c r="E19" s="64" t="s">
        <v>35</v>
      </c>
      <c r="F19" s="64"/>
      <c r="G19" s="143">
        <v>410101</v>
      </c>
      <c r="H19" s="143"/>
    </row>
    <row r="20" spans="1:8" ht="32.25" customHeight="1">
      <c r="A20" s="63" t="s">
        <v>36</v>
      </c>
      <c r="B20" s="63"/>
      <c r="C20" s="143" t="s">
        <v>37</v>
      </c>
      <c r="D20" s="143"/>
      <c r="E20" s="64" t="s">
        <v>38</v>
      </c>
      <c r="F20" s="64"/>
      <c r="G20" s="143" t="s">
        <v>39</v>
      </c>
      <c r="H20" s="143"/>
    </row>
    <row r="21" spans="1:8" ht="15" customHeight="1">
      <c r="A21" s="64" t="s">
        <v>40</v>
      </c>
      <c r="B21" s="64"/>
      <c r="C21" s="64"/>
      <c r="D21" s="64"/>
      <c r="E21" s="149" t="s">
        <v>41</v>
      </c>
      <c r="F21" s="149"/>
      <c r="G21" s="149"/>
      <c r="H21" s="149"/>
    </row>
    <row r="22" spans="1:8" ht="18.75" customHeight="1">
      <c r="A22" s="64"/>
      <c r="B22" s="64"/>
      <c r="C22" s="64"/>
      <c r="D22" s="64"/>
      <c r="E22" s="149"/>
      <c r="F22" s="149"/>
      <c r="G22" s="149"/>
      <c r="H22" s="149"/>
    </row>
    <row r="23" spans="1:8" ht="15" customHeight="1">
      <c r="A23" s="64" t="s">
        <v>42</v>
      </c>
      <c r="B23" s="64"/>
      <c r="C23" s="64"/>
      <c r="D23" s="64"/>
      <c r="E23" s="143" t="s">
        <v>43</v>
      </c>
      <c r="F23" s="143"/>
      <c r="G23" s="143"/>
      <c r="H23" s="143"/>
    </row>
    <row r="24" spans="1:8" ht="15" customHeight="1">
      <c r="A24" s="63" t="s">
        <v>44</v>
      </c>
      <c r="B24" s="63"/>
      <c r="C24" s="63"/>
      <c r="D24" s="63"/>
      <c r="E24" s="171" t="str">
        <f>IF(AND(G18="Mumbai"),"Upper Class","Middle Class")</f>
        <v>Middle Class</v>
      </c>
      <c r="F24" s="171"/>
      <c r="G24" s="171"/>
      <c r="H24" s="171"/>
    </row>
    <row r="25" spans="1:8">
      <c r="A25" s="63" t="s">
        <v>45</v>
      </c>
      <c r="B25" s="63"/>
      <c r="C25" s="63"/>
      <c r="D25" s="63"/>
      <c r="E25" s="143" t="s">
        <v>46</v>
      </c>
      <c r="F25" s="143"/>
      <c r="G25" s="143"/>
      <c r="H25" s="143"/>
    </row>
    <row r="26" spans="1:8" ht="15.75" customHeight="1">
      <c r="A26" s="63" t="s">
        <v>47</v>
      </c>
      <c r="B26" s="63"/>
      <c r="C26" s="63"/>
      <c r="D26" s="63"/>
      <c r="E26" s="171" t="str">
        <f>IF(AND(G18="Mumbai"),"Developed","Developing")</f>
        <v>Developing</v>
      </c>
      <c r="F26" s="171"/>
      <c r="G26" s="171"/>
      <c r="H26" s="171"/>
    </row>
    <row r="27" spans="1:8">
      <c r="A27" s="63" t="s">
        <v>48</v>
      </c>
      <c r="B27" s="63"/>
      <c r="C27" s="63"/>
      <c r="D27" s="63"/>
      <c r="E27" s="143" t="s">
        <v>49</v>
      </c>
      <c r="F27" s="143"/>
      <c r="G27" s="143"/>
      <c r="H27" s="143"/>
    </row>
    <row r="28" spans="1:8" ht="15.75" customHeight="1">
      <c r="A28" s="63" t="s">
        <v>50</v>
      </c>
      <c r="B28" s="63"/>
      <c r="C28" s="63"/>
      <c r="D28" s="63"/>
      <c r="E28" s="143" t="s">
        <v>51</v>
      </c>
      <c r="F28" s="143"/>
      <c r="G28" s="143"/>
      <c r="H28" s="143"/>
    </row>
    <row r="29" spans="1:8" ht="15" customHeight="1">
      <c r="A29" s="63" t="s">
        <v>52</v>
      </c>
      <c r="B29" s="63"/>
      <c r="C29" s="63"/>
      <c r="D29" s="63"/>
      <c r="E29" s="17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71"/>
      <c r="G29" s="171"/>
      <c r="H29" s="171"/>
    </row>
    <row r="30" spans="1:8" ht="15.75" customHeight="1">
      <c r="A30" s="63" t="s">
        <v>53</v>
      </c>
      <c r="B30" s="63"/>
      <c r="C30" s="63"/>
      <c r="D30" s="63"/>
      <c r="E30" s="143" t="s">
        <v>54</v>
      </c>
      <c r="F30" s="143"/>
      <c r="G30" s="143"/>
      <c r="H30" s="143"/>
    </row>
    <row r="31" spans="1:8" s="13" customFormat="1">
      <c r="A31" s="169" t="s">
        <v>55</v>
      </c>
      <c r="B31" s="169"/>
      <c r="C31" s="170" t="s">
        <v>56</v>
      </c>
      <c r="D31" s="170"/>
      <c r="E31" s="170"/>
      <c r="F31" s="170" t="s">
        <v>57</v>
      </c>
      <c r="G31" s="170"/>
      <c r="H31" s="170"/>
    </row>
    <row r="32" spans="1:8" s="13" customFormat="1">
      <c r="A32" s="167" t="s">
        <v>58</v>
      </c>
      <c r="B32" s="167" t="s">
        <v>14</v>
      </c>
      <c r="C32" s="168" t="s">
        <v>14</v>
      </c>
      <c r="D32" s="168"/>
      <c r="E32" s="168"/>
      <c r="F32" s="168" t="s">
        <v>59</v>
      </c>
      <c r="G32" s="168"/>
      <c r="H32" s="168"/>
    </row>
    <row r="33" spans="1:8">
      <c r="A33" s="167" t="s">
        <v>60</v>
      </c>
      <c r="B33" s="167" t="s">
        <v>14</v>
      </c>
      <c r="C33" s="168" t="s">
        <v>14</v>
      </c>
      <c r="D33" s="168"/>
      <c r="E33" s="168"/>
      <c r="F33" s="168" t="s">
        <v>37</v>
      </c>
      <c r="G33" s="168"/>
      <c r="H33" s="168"/>
    </row>
    <row r="34" spans="1:8" s="13" customFormat="1">
      <c r="A34" s="167" t="s">
        <v>61</v>
      </c>
      <c r="B34" s="167" t="s">
        <v>14</v>
      </c>
      <c r="C34" s="168" t="s">
        <v>14</v>
      </c>
      <c r="D34" s="168"/>
      <c r="E34" s="168"/>
      <c r="F34" s="168" t="s">
        <v>27</v>
      </c>
      <c r="G34" s="168"/>
      <c r="H34" s="168"/>
    </row>
    <row r="35" spans="1:8">
      <c r="A35" s="167" t="s">
        <v>62</v>
      </c>
      <c r="B35" s="167" t="s">
        <v>14</v>
      </c>
      <c r="C35" s="168" t="s">
        <v>14</v>
      </c>
      <c r="D35" s="168"/>
      <c r="E35" s="168"/>
      <c r="F35" s="168" t="s">
        <v>63</v>
      </c>
      <c r="G35" s="168"/>
      <c r="H35" s="168"/>
    </row>
    <row r="36" spans="1:8">
      <c r="A36" s="63" t="s">
        <v>64</v>
      </c>
      <c r="B36" s="63"/>
      <c r="C36" s="63"/>
      <c r="D36" s="63"/>
      <c r="E36" s="63"/>
      <c r="F36" s="63"/>
      <c r="G36" s="63"/>
      <c r="H36" s="63"/>
    </row>
    <row r="37" spans="1:8" ht="15.75" customHeight="1">
      <c r="A37" s="105" t="s">
        <v>65</v>
      </c>
      <c r="B37" s="105"/>
      <c r="C37" s="63" t="s">
        <v>66</v>
      </c>
      <c r="D37" s="63"/>
      <c r="E37" s="63"/>
      <c r="F37" s="63"/>
      <c r="G37" s="63"/>
      <c r="H37" s="63"/>
    </row>
    <row r="38" spans="1:8">
      <c r="A38" s="105" t="s">
        <v>67</v>
      </c>
      <c r="B38" s="105"/>
      <c r="C38" s="165" t="s">
        <v>68</v>
      </c>
      <c r="D38" s="143"/>
      <c r="E38" s="143"/>
      <c r="F38" s="143"/>
      <c r="G38" s="143"/>
      <c r="H38" s="143"/>
    </row>
    <row r="39" spans="1:8">
      <c r="A39" s="105" t="s">
        <v>69</v>
      </c>
      <c r="B39" s="105"/>
      <c r="C39" s="105"/>
      <c r="D39" s="105"/>
      <c r="E39" s="105"/>
      <c r="F39" s="105"/>
      <c r="G39" s="105"/>
      <c r="H39" s="105"/>
    </row>
    <row r="40" spans="1:8">
      <c r="A40" s="63" t="s">
        <v>70</v>
      </c>
      <c r="B40" s="63"/>
      <c r="C40" s="63"/>
      <c r="D40" s="63"/>
      <c r="E40" s="166">
        <v>393</v>
      </c>
      <c r="F40" s="166"/>
      <c r="G40" s="166"/>
      <c r="H40" s="166"/>
    </row>
    <row r="41" spans="1:8">
      <c r="A41" s="63" t="s">
        <v>71</v>
      </c>
      <c r="B41" s="63"/>
      <c r="C41" s="63"/>
      <c r="D41" s="63"/>
      <c r="E41" s="160">
        <v>1.1000000000000001</v>
      </c>
      <c r="F41" s="160"/>
      <c r="G41" s="160"/>
      <c r="H41" s="160"/>
    </row>
    <row r="42" spans="1:8">
      <c r="A42" s="63" t="s">
        <v>72</v>
      </c>
      <c r="B42" s="63"/>
      <c r="C42" s="63"/>
      <c r="D42" s="63"/>
      <c r="E42" s="160">
        <f>E44/E40-E41</f>
        <v>1.13849872773537</v>
      </c>
      <c r="F42" s="160"/>
      <c r="G42" s="160"/>
      <c r="H42" s="160"/>
    </row>
    <row r="43" spans="1:8">
      <c r="A43" s="63" t="s">
        <v>73</v>
      </c>
      <c r="B43" s="63"/>
      <c r="C43" s="63"/>
      <c r="D43" s="63"/>
      <c r="E43" s="160">
        <f>E41+E42</f>
        <v>2.2384987277353701</v>
      </c>
      <c r="F43" s="160"/>
      <c r="G43" s="160"/>
      <c r="H43" s="160"/>
    </row>
    <row r="44" spans="1:8">
      <c r="A44" s="63" t="s">
        <v>74</v>
      </c>
      <c r="B44" s="63"/>
      <c r="C44" s="63"/>
      <c r="D44" s="63"/>
      <c r="E44" s="161">
        <v>879.73</v>
      </c>
      <c r="F44" s="161"/>
      <c r="G44" s="161"/>
      <c r="H44" s="161"/>
    </row>
    <row r="45" spans="1:8">
      <c r="A45" s="149" t="s">
        <v>75</v>
      </c>
      <c r="B45" s="149"/>
      <c r="C45" s="149"/>
      <c r="D45" s="149"/>
      <c r="E45" s="149" t="s">
        <v>76</v>
      </c>
      <c r="F45" s="149"/>
      <c r="G45" s="149"/>
      <c r="H45" s="149"/>
    </row>
    <row r="46" spans="1:8">
      <c r="A46" s="105" t="s">
        <v>77</v>
      </c>
      <c r="B46" s="105"/>
      <c r="C46" s="105"/>
      <c r="D46" s="105"/>
      <c r="E46" s="105"/>
      <c r="F46" s="105"/>
      <c r="G46" s="105"/>
      <c r="H46" s="105"/>
    </row>
    <row r="47" spans="1:8" ht="33.75" customHeight="1">
      <c r="A47" s="152" t="s">
        <v>78</v>
      </c>
      <c r="B47" s="153"/>
      <c r="C47" s="162" t="s">
        <v>79</v>
      </c>
      <c r="D47" s="163"/>
      <c r="E47" s="163"/>
      <c r="F47" s="163"/>
      <c r="G47" s="163"/>
      <c r="H47" s="164"/>
    </row>
    <row r="48" spans="1:8" ht="32.25" customHeight="1">
      <c r="A48" s="152" t="s">
        <v>80</v>
      </c>
      <c r="B48" s="153"/>
      <c r="C48" s="152" t="s">
        <v>81</v>
      </c>
      <c r="D48" s="154"/>
      <c r="E48" s="153"/>
      <c r="F48" s="22" t="s">
        <v>82</v>
      </c>
      <c r="G48" s="155">
        <v>44558</v>
      </c>
      <c r="H48" s="153"/>
    </row>
    <row r="49" spans="1:14" ht="32.25" customHeight="1">
      <c r="A49" s="152" t="s">
        <v>83</v>
      </c>
      <c r="B49" s="153"/>
      <c r="C49" s="152" t="str">
        <f>C48</f>
        <v>SSNR-RA/BP/Mauje-Mamdapur/Tal-Karjat/S.No.169/B.No.52/2147</v>
      </c>
      <c r="D49" s="154"/>
      <c r="E49" s="153"/>
      <c r="F49" s="22" t="s">
        <v>82</v>
      </c>
      <c r="G49" s="155">
        <v>44558</v>
      </c>
      <c r="H49" s="153"/>
    </row>
    <row r="50" spans="1:14" s="14" customFormat="1">
      <c r="A50" s="156" t="s">
        <v>84</v>
      </c>
      <c r="B50" s="157"/>
      <c r="C50" s="152" t="s">
        <v>85</v>
      </c>
      <c r="D50" s="154"/>
      <c r="E50" s="153"/>
      <c r="F50" s="22" t="s">
        <v>82</v>
      </c>
      <c r="G50" s="155">
        <v>44930</v>
      </c>
      <c r="H50" s="153"/>
    </row>
    <row r="51" spans="1:14" s="14" customFormat="1">
      <c r="A51" s="158"/>
      <c r="B51" s="159"/>
      <c r="C51" s="152" t="s">
        <v>86</v>
      </c>
      <c r="D51" s="154"/>
      <c r="E51" s="154"/>
      <c r="F51" s="154"/>
      <c r="G51" s="154"/>
      <c r="H51" s="153"/>
    </row>
    <row r="52" spans="1:14">
      <c r="A52" s="144" t="s">
        <v>87</v>
      </c>
      <c r="B52" s="145"/>
      <c r="C52" s="144" t="s">
        <v>88</v>
      </c>
      <c r="D52" s="146"/>
      <c r="E52" s="145"/>
      <c r="F52" s="23" t="s">
        <v>82</v>
      </c>
      <c r="G52" s="147" t="s">
        <v>14</v>
      </c>
      <c r="H52" s="148"/>
    </row>
    <row r="53" spans="1:14">
      <c r="A53" s="72" t="s">
        <v>89</v>
      </c>
      <c r="B53" s="72"/>
      <c r="C53" s="72"/>
      <c r="D53" s="72"/>
      <c r="E53" s="72"/>
      <c r="F53" s="72"/>
      <c r="G53" s="72"/>
      <c r="H53" s="72"/>
    </row>
    <row r="54" spans="1:14">
      <c r="A54" s="64" t="s">
        <v>90</v>
      </c>
      <c r="B54" s="64"/>
      <c r="C54" s="64"/>
      <c r="D54" s="63">
        <f>E44</f>
        <v>879.73</v>
      </c>
      <c r="E54" s="63"/>
      <c r="F54" s="63"/>
      <c r="G54" s="63"/>
      <c r="H54" s="63"/>
    </row>
    <row r="55" spans="1:14">
      <c r="A55" s="143" t="s">
        <v>91</v>
      </c>
      <c r="B55" s="149"/>
      <c r="C55" s="149"/>
      <c r="D55" s="149" t="s">
        <v>92</v>
      </c>
      <c r="E55" s="149"/>
      <c r="F55" s="149"/>
      <c r="G55" s="149"/>
      <c r="H55" s="149"/>
      <c r="I55" s="24"/>
    </row>
    <row r="56" spans="1:14">
      <c r="A56" s="136" t="s">
        <v>93</v>
      </c>
      <c r="B56" s="137"/>
      <c r="C56" s="150"/>
      <c r="D56" s="125" t="s">
        <v>86</v>
      </c>
      <c r="E56" s="151"/>
      <c r="F56" s="151"/>
      <c r="G56" s="151"/>
      <c r="H56" s="151"/>
    </row>
    <row r="57" spans="1:14" ht="15.75" customHeight="1">
      <c r="A57" s="136" t="s">
        <v>94</v>
      </c>
      <c r="B57" s="137"/>
      <c r="C57" s="137"/>
      <c r="D57" s="138" t="s">
        <v>86</v>
      </c>
      <c r="E57" s="139"/>
      <c r="F57" s="139"/>
      <c r="G57" s="139"/>
      <c r="H57" s="140"/>
    </row>
    <row r="58" spans="1:14" ht="15.75" customHeight="1">
      <c r="A58" s="63" t="s">
        <v>95</v>
      </c>
      <c r="B58" s="63"/>
      <c r="C58" s="63"/>
      <c r="D58" s="141" t="s">
        <v>96</v>
      </c>
      <c r="E58" s="141"/>
      <c r="F58" s="141"/>
      <c r="G58" s="141"/>
      <c r="H58" s="141"/>
      <c r="J58" s="25"/>
      <c r="K58" s="24"/>
      <c r="N58" s="24"/>
    </row>
    <row r="59" spans="1:14" ht="15.75" customHeight="1">
      <c r="A59" s="63" t="s">
        <v>97</v>
      </c>
      <c r="B59" s="63"/>
      <c r="C59" s="63"/>
      <c r="D59" s="142" t="str">
        <f>(IF(G52="NA","60 Years After Completion",IF(G52&lt;&gt;"NA",""&amp;60-ROUNDDOWN((E3-G52)/360,0)&amp;" Years"," ")))</f>
        <v>60 Years After Completion</v>
      </c>
      <c r="E59" s="142"/>
      <c r="F59" s="142"/>
      <c r="G59" s="142"/>
      <c r="H59" s="142"/>
      <c r="N59" s="24"/>
    </row>
    <row r="60" spans="1:14" ht="15.75" customHeight="1">
      <c r="A60" s="63" t="s">
        <v>98</v>
      </c>
      <c r="B60" s="63"/>
      <c r="C60" s="63"/>
      <c r="D60" s="64" t="s">
        <v>49</v>
      </c>
      <c r="E60" s="64"/>
      <c r="F60" s="64"/>
      <c r="G60" s="64"/>
      <c r="H60" s="64"/>
      <c r="J60" s="26"/>
      <c r="K60" s="26"/>
    </row>
    <row r="61" spans="1:14" hidden="1">
      <c r="A61" s="63" t="s">
        <v>99</v>
      </c>
      <c r="B61" s="63"/>
      <c r="C61" s="63"/>
      <c r="D61" s="143"/>
      <c r="E61" s="64"/>
      <c r="F61" s="64"/>
      <c r="G61" s="64"/>
      <c r="H61" s="64"/>
    </row>
    <row r="62" spans="1:14">
      <c r="A62" s="64" t="s">
        <v>100</v>
      </c>
      <c r="B62" s="64"/>
      <c r="C62" s="64"/>
      <c r="D62" s="64" t="s">
        <v>14</v>
      </c>
      <c r="E62" s="64"/>
      <c r="F62" s="64"/>
      <c r="G62" s="64"/>
      <c r="H62" s="64"/>
      <c r="I62" s="27"/>
      <c r="J62" s="27"/>
      <c r="K62" s="27"/>
      <c r="L62" s="27"/>
      <c r="M62" s="27"/>
      <c r="N62" s="27"/>
    </row>
    <row r="63" spans="1:14" ht="15.75" customHeight="1">
      <c r="A63" s="124" t="s">
        <v>101</v>
      </c>
      <c r="B63" s="124"/>
      <c r="C63" s="124"/>
      <c r="D63" s="125" t="str">
        <f ca="1">(IF(G69&gt;95%,"Nothing",IF(G69&gt;0%,"Cement, Aggregate, Steel, etc",IF(G69=0%,"Work not yet Started"))))</f>
        <v>Cement, Aggregate, Steel, etc</v>
      </c>
      <c r="E63" s="125"/>
      <c r="F63" s="125"/>
      <c r="G63" s="125"/>
      <c r="H63" s="125"/>
      <c r="J63" s="26"/>
    </row>
    <row r="64" spans="1:14" ht="33.75" customHeight="1">
      <c r="A64" s="126" t="s">
        <v>102</v>
      </c>
      <c r="B64" s="126"/>
      <c r="C64" s="126"/>
      <c r="D64" s="125" t="str">
        <f ca="1">(IF(D63="Nothing","Yes",IF(D63="Cement, Aggregate, Steel, etc","Under Construction",IF(D63="Work not yet Started","Work not yet Started"))))</f>
        <v>Under Construction</v>
      </c>
      <c r="E64" s="125"/>
      <c r="F64" s="125" t="str">
        <f ca="1">(IF(D63="Nothing","Yes",IF(D63="Cement, Aggregate, Steel, etc","Under Construction",IF(D63="Work not yet Started","Work not yet Started"))))</f>
        <v>Under Construction</v>
      </c>
      <c r="G64" s="125"/>
      <c r="H64" s="125"/>
    </row>
    <row r="65" spans="1:10" ht="15.75" customHeight="1">
      <c r="A65" s="127" t="s">
        <v>103</v>
      </c>
      <c r="B65" s="128"/>
      <c r="C65" s="129" t="str">
        <f>D57</f>
        <v>G + 1st to 6th Floor</v>
      </c>
      <c r="D65" s="130"/>
      <c r="E65" s="130"/>
      <c r="F65" s="130"/>
      <c r="G65" s="130"/>
      <c r="H65" s="131"/>
      <c r="I65" s="41" t="str">
        <f ca="1">IF(D78=100%,"All work Completed. Possession granted to the Building.",IF(D77=100%,"All work Completed, Waiting for OC",I66&amp;""&amp;I67&amp;""&amp;J66&amp;""&amp;J65&amp;" "&amp;J67))</f>
        <v xml:space="preserve">Excavation, Plinth, RCC Slab, Brickwork Completed 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>
      <c r="A66" s="28" t="s">
        <v>104</v>
      </c>
      <c r="B66" s="21">
        <f>IF(AND(ISNUMBER(SEARCH("1B",C65))),1,IF(AND(ISNUMBER(SEARCH("2B",C65))),2,IF(AND(ISNUMBER(SEARCH("3B",C65))),3,IF(AND(ISNUMBER(SEARCH("4B",C65))),4,IF(ISNUMBER(SEARCH("5B",C65)),5,0)))))</f>
        <v>0</v>
      </c>
      <c r="C66" s="21" t="s">
        <v>105</v>
      </c>
      <c r="D66" s="21">
        <v>1</v>
      </c>
      <c r="E66" s="21" t="s">
        <v>106</v>
      </c>
      <c r="F66" s="21">
        <v>0</v>
      </c>
      <c r="G66" s="29" t="s">
        <v>107</v>
      </c>
      <c r="H66" s="30">
        <f ca="1">--TRIM(RIGHT(SUBSTITUTE(LEFT(C65,_xlfn.AGGREGATE(16,6,FIND({0,1,2,3,4,5,6,7,8,9},C65,ROW(INDIRECT("1:"&amp;LEN(C65)))),1))," ",REPT(" ",LEN(C65))),LEN(C65)))</f>
        <v>6</v>
      </c>
      <c r="I66" s="4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>
      <c r="A67" s="132" t="s">
        <v>108</v>
      </c>
      <c r="B67" s="133"/>
      <c r="C67" s="134" t="str">
        <f ca="1">I65</f>
        <v xml:space="preserve">Excavation, Plinth, RCC Slab, Brickwork Completed </v>
      </c>
      <c r="D67" s="134"/>
      <c r="E67" s="134"/>
      <c r="F67" s="134"/>
      <c r="G67" s="134"/>
      <c r="H67" s="135"/>
      <c r="I67" s="43" t="str">
        <f ca="1">IF(I66&lt;&gt;""," Completed","")</f>
        <v xml:space="preserve"> Completed</v>
      </c>
      <c r="J67" s="44" t="str">
        <f ca="1">IF(J65&lt;&gt;"","Completed","")</f>
        <v/>
      </c>
    </row>
    <row r="68" spans="1:10" ht="15.75" customHeight="1">
      <c r="A68" s="109" t="s">
        <v>109</v>
      </c>
      <c r="B68" s="110"/>
      <c r="C68" s="31" t="s">
        <v>110</v>
      </c>
      <c r="D68" s="31" t="s">
        <v>111</v>
      </c>
      <c r="E68" s="110" t="s">
        <v>112</v>
      </c>
      <c r="F68" s="110"/>
      <c r="G68" s="110" t="s">
        <v>113</v>
      </c>
      <c r="H68" s="123"/>
      <c r="I68" s="45" t="s">
        <v>114</v>
      </c>
      <c r="J68" s="46">
        <f ca="1">H66*25%</f>
        <v>1.5</v>
      </c>
    </row>
    <row r="69" spans="1:10">
      <c r="A69" s="109" t="s">
        <v>115</v>
      </c>
      <c r="B69" s="110"/>
      <c r="C69" s="31">
        <f ca="1">J70</f>
        <v>6</v>
      </c>
      <c r="D69" s="32">
        <f ca="1">((100/H66)*C69)/100</f>
        <v>1</v>
      </c>
      <c r="E69" s="114">
        <f ca="1">(((C70/H66*10)+(40/(D66+F66+H66)*C71)+(7.5/(H66)*C72)+(7.5/(H66)*C73)+(10/H66*C74)+(10/H66*C75)+(5/H66*C76)+(5/H66*C77)+(5/H66*C78))/100)</f>
        <v>0.57499999999999996</v>
      </c>
      <c r="F69" s="115"/>
      <c r="G69" s="114">
        <f ca="1">((((C69/H66)*20)+((C70/H66)*25)+(30/(H66+F66+D66)*C71)+(5/H66*C72)+(5/H66*C73)+(5/H66*C74)+(5/H66*C75)+(0/H66*C76)+(0/H66*C77)+(5/H66*C78))/100)</f>
        <v>0.8</v>
      </c>
      <c r="H69" s="120"/>
      <c r="I69" s="45" t="s">
        <v>116</v>
      </c>
      <c r="J69" s="47">
        <f ca="1">H66*50%</f>
        <v>3</v>
      </c>
    </row>
    <row r="70" spans="1:10">
      <c r="A70" s="109" t="s">
        <v>117</v>
      </c>
      <c r="B70" s="110"/>
      <c r="C70" s="31">
        <f ca="1">J78</f>
        <v>6</v>
      </c>
      <c r="D70" s="32">
        <f ca="1">((100/H66)*C70)/100</f>
        <v>1</v>
      </c>
      <c r="E70" s="116"/>
      <c r="F70" s="117"/>
      <c r="G70" s="116"/>
      <c r="H70" s="121"/>
      <c r="I70" s="45" t="s">
        <v>118</v>
      </c>
      <c r="J70" s="47">
        <f ca="1">H66</f>
        <v>6</v>
      </c>
    </row>
    <row r="71" spans="1:10" ht="15.75" customHeight="1">
      <c r="A71" s="109" t="s">
        <v>119</v>
      </c>
      <c r="B71" s="110"/>
      <c r="C71" s="31">
        <v>7</v>
      </c>
      <c r="D71" s="32">
        <f ca="1">((100/(D66+F66+H66))*C71)/100</f>
        <v>1</v>
      </c>
      <c r="E71" s="116"/>
      <c r="F71" s="117"/>
      <c r="G71" s="116"/>
      <c r="H71" s="121"/>
      <c r="I71" s="45" t="s">
        <v>120</v>
      </c>
      <c r="J71" s="48">
        <f ca="1">(IF(B66&gt;1,(H66/(B66+2)),H66/4))</f>
        <v>1.5</v>
      </c>
    </row>
    <row r="72" spans="1:10" ht="15.75" customHeight="1">
      <c r="A72" s="109" t="s">
        <v>121</v>
      </c>
      <c r="B72" s="110" t="s">
        <v>122</v>
      </c>
      <c r="C72" s="31">
        <v>6</v>
      </c>
      <c r="D72" s="32">
        <f ca="1">((100/H66)*C72)/100</f>
        <v>1</v>
      </c>
      <c r="E72" s="116"/>
      <c r="F72" s="117"/>
      <c r="G72" s="116"/>
      <c r="H72" s="121"/>
      <c r="I72" s="45" t="s">
        <v>123</v>
      </c>
      <c r="J72" s="48">
        <f ca="1">(IF(B66&gt;1,(H66/(B66+2)+J71),H66/4+J71))</f>
        <v>3</v>
      </c>
    </row>
    <row r="73" spans="1:10" ht="15.75" customHeight="1">
      <c r="A73" s="109" t="s">
        <v>124</v>
      </c>
      <c r="B73" s="110" t="s">
        <v>122</v>
      </c>
      <c r="C73" s="31">
        <v>0</v>
      </c>
      <c r="D73" s="32">
        <f ca="1">((100/H66)*C73)/100</f>
        <v>0</v>
      </c>
      <c r="E73" s="116"/>
      <c r="F73" s="117"/>
      <c r="G73" s="116"/>
      <c r="H73" s="121"/>
      <c r="I73" s="45" t="s">
        <v>125</v>
      </c>
      <c r="J73" s="48">
        <f>(IF(B66&gt;1,(H66/(B66+2)+J72),0))</f>
        <v>0</v>
      </c>
    </row>
    <row r="74" spans="1:10" ht="15" customHeight="1">
      <c r="A74" s="109" t="s">
        <v>126</v>
      </c>
      <c r="B74" s="110" t="s">
        <v>127</v>
      </c>
      <c r="C74" s="31">
        <v>0</v>
      </c>
      <c r="D74" s="32">
        <f ca="1">((100/(H66))*C74)/100</f>
        <v>0</v>
      </c>
      <c r="E74" s="116"/>
      <c r="F74" s="117"/>
      <c r="G74" s="116"/>
      <c r="H74" s="121"/>
      <c r="I74" s="45" t="s">
        <v>128</v>
      </c>
      <c r="J74" s="48">
        <f>(IF(B66&gt;2,(H66/(B66+2)+J73),0))</f>
        <v>0</v>
      </c>
    </row>
    <row r="75" spans="1:10" ht="15.75" customHeight="1">
      <c r="A75" s="109" t="s">
        <v>129</v>
      </c>
      <c r="B75" s="110" t="s">
        <v>129</v>
      </c>
      <c r="C75" s="31">
        <v>0</v>
      </c>
      <c r="D75" s="32">
        <f ca="1">((100/H66)*C75)/100</f>
        <v>0</v>
      </c>
      <c r="E75" s="116"/>
      <c r="F75" s="117"/>
      <c r="G75" s="116"/>
      <c r="H75" s="121"/>
      <c r="I75" s="45" t="s">
        <v>130</v>
      </c>
      <c r="J75" s="49">
        <f>(IF(B66&gt;3,(H66/(B66+2)+J74),0))</f>
        <v>0</v>
      </c>
    </row>
    <row r="76" spans="1:10" ht="15.75" customHeight="1">
      <c r="A76" s="109" t="s">
        <v>131</v>
      </c>
      <c r="B76" s="110"/>
      <c r="C76" s="31">
        <v>0</v>
      </c>
      <c r="D76" s="32">
        <f ca="1">((100/H66)*C76)/100</f>
        <v>0</v>
      </c>
      <c r="E76" s="116"/>
      <c r="F76" s="117"/>
      <c r="G76" s="116"/>
      <c r="H76" s="121"/>
      <c r="I76" s="45" t="s">
        <v>132</v>
      </c>
      <c r="J76" s="48">
        <f>(IF(B66&gt;4,(H66/(B66+2)+J75),0))</f>
        <v>0</v>
      </c>
    </row>
    <row r="77" spans="1:10" ht="15.75" customHeight="1">
      <c r="A77" s="109" t="s">
        <v>133</v>
      </c>
      <c r="B77" s="110" t="s">
        <v>133</v>
      </c>
      <c r="C77" s="31">
        <v>0</v>
      </c>
      <c r="D77" s="32">
        <f ca="1">((100/(H66))*C77)/100</f>
        <v>0</v>
      </c>
      <c r="E77" s="116"/>
      <c r="F77" s="117"/>
      <c r="G77" s="116"/>
      <c r="H77" s="121"/>
      <c r="I77" s="45" t="s">
        <v>134</v>
      </c>
      <c r="J77" s="48">
        <f ca="1">(IF(B66=1,(H66/(B66+3)+J72),IF(B66=0,(H66/4+J72),IF(B66&gt;1,0))))</f>
        <v>4.5</v>
      </c>
    </row>
    <row r="78" spans="1:10">
      <c r="A78" s="111" t="s">
        <v>135</v>
      </c>
      <c r="B78" s="112"/>
      <c r="C78" s="33">
        <v>0</v>
      </c>
      <c r="D78" s="34">
        <f ca="1">((100/(H66))*C78)/100</f>
        <v>0</v>
      </c>
      <c r="E78" s="118"/>
      <c r="F78" s="119"/>
      <c r="G78" s="118"/>
      <c r="H78" s="122"/>
      <c r="I78" s="50" t="s">
        <v>136</v>
      </c>
      <c r="J78" s="51">
        <f ca="1">(IF(B66&gt;1.5,(H66/(B66+2)+J72+MAX(0,J73-J72)+MAX(0,J74-J73)+MAX(0,J75-J74)+MAX(0,J76-J75)+MAX(0,J77-J76)),IF(B66=1,(H66/(B66+3)+J77),IF(B66=0,H66/4+J77))))</f>
        <v>6</v>
      </c>
    </row>
    <row r="79" spans="1:10">
      <c r="A79" s="113" t="s">
        <v>137</v>
      </c>
      <c r="B79" s="113"/>
      <c r="C79" s="113"/>
      <c r="D79" s="113"/>
      <c r="E79" s="113"/>
      <c r="F79" s="96" t="s">
        <v>138</v>
      </c>
      <c r="G79" s="96"/>
      <c r="H79" s="96"/>
    </row>
    <row r="80" spans="1:10">
      <c r="A80" s="63" t="s">
        <v>139</v>
      </c>
      <c r="B80" s="63"/>
      <c r="C80" s="63"/>
      <c r="D80" s="63"/>
      <c r="E80" s="63"/>
      <c r="F80" s="106">
        <v>3800</v>
      </c>
      <c r="G80" s="106"/>
      <c r="H80" s="106"/>
    </row>
    <row r="81" spans="1:9">
      <c r="A81" s="63" t="s">
        <v>140</v>
      </c>
      <c r="B81" s="63"/>
      <c r="C81" s="63"/>
      <c r="D81" s="63"/>
      <c r="E81" s="63"/>
      <c r="F81" s="106">
        <v>6500</v>
      </c>
      <c r="G81" s="106"/>
      <c r="H81" s="106"/>
    </row>
    <row r="82" spans="1:9" hidden="1">
      <c r="A82" s="63" t="s">
        <v>141</v>
      </c>
      <c r="B82" s="63"/>
      <c r="C82" s="63"/>
      <c r="D82" s="63"/>
      <c r="E82" s="63"/>
      <c r="F82" s="106"/>
      <c r="G82" s="106"/>
      <c r="H82" s="106"/>
    </row>
    <row r="83" spans="1:9" s="15" customFormat="1" hidden="1">
      <c r="A83" s="63" t="s">
        <v>142</v>
      </c>
      <c r="B83" s="63"/>
      <c r="C83" s="63"/>
      <c r="D83" s="63"/>
      <c r="E83" s="63"/>
      <c r="F83" s="106"/>
      <c r="G83" s="106"/>
      <c r="H83" s="106"/>
    </row>
    <row r="84" spans="1:9" s="15" customFormat="1" hidden="1">
      <c r="A84" s="63" t="s">
        <v>143</v>
      </c>
      <c r="B84" s="63"/>
      <c r="C84" s="63"/>
      <c r="D84" s="63"/>
      <c r="E84" s="63"/>
      <c r="F84" s="106"/>
      <c r="G84" s="106"/>
      <c r="H84" s="106"/>
    </row>
    <row r="85" spans="1:9" s="15" customFormat="1" hidden="1">
      <c r="A85" s="63" t="s">
        <v>144</v>
      </c>
      <c r="B85" s="63"/>
      <c r="C85" s="63"/>
      <c r="D85" s="63"/>
      <c r="E85" s="63"/>
      <c r="F85" s="106"/>
      <c r="G85" s="106"/>
      <c r="H85" s="106"/>
    </row>
    <row r="86" spans="1:9" s="15" customFormat="1" hidden="1">
      <c r="A86" s="63" t="s">
        <v>145</v>
      </c>
      <c r="B86" s="63"/>
      <c r="C86" s="63"/>
      <c r="D86" s="63"/>
      <c r="E86" s="63"/>
      <c r="F86" s="106"/>
      <c r="G86" s="106"/>
      <c r="H86" s="106"/>
    </row>
    <row r="87" spans="1:9" s="15" customFormat="1" hidden="1">
      <c r="A87" s="63" t="s">
        <v>146</v>
      </c>
      <c r="B87" s="63"/>
      <c r="C87" s="63"/>
      <c r="D87" s="63"/>
      <c r="E87" s="63"/>
      <c r="F87" s="106"/>
      <c r="G87" s="106"/>
      <c r="H87" s="106"/>
    </row>
    <row r="88" spans="1:9" s="15" customFormat="1">
      <c r="A88" s="63" t="s">
        <v>147</v>
      </c>
      <c r="B88" s="63"/>
      <c r="C88" s="63"/>
      <c r="D88" s="63"/>
      <c r="E88" s="63"/>
      <c r="F88" s="106">
        <v>10000</v>
      </c>
      <c r="G88" s="106"/>
      <c r="H88" s="106"/>
    </row>
    <row r="89" spans="1:9" s="15" customFormat="1" ht="32.25" customHeight="1">
      <c r="A89" s="64" t="s">
        <v>148</v>
      </c>
      <c r="B89" s="64"/>
      <c r="C89" s="64"/>
      <c r="D89" s="64"/>
      <c r="E89" s="64"/>
      <c r="F89" s="106">
        <v>150000</v>
      </c>
      <c r="G89" s="106"/>
      <c r="H89" s="106"/>
    </row>
    <row r="90" spans="1:9" s="15" customFormat="1" ht="21" hidden="1" customHeight="1">
      <c r="A90" s="63" t="s">
        <v>149</v>
      </c>
      <c r="B90" s="63"/>
      <c r="C90" s="63"/>
      <c r="D90" s="63"/>
      <c r="E90" s="63"/>
      <c r="F90" s="106"/>
      <c r="G90" s="106"/>
      <c r="H90" s="106"/>
    </row>
    <row r="91" spans="1:9">
      <c r="A91" s="63" t="s">
        <v>150</v>
      </c>
      <c r="B91" s="63"/>
      <c r="C91" s="63"/>
      <c r="D91" s="63"/>
      <c r="E91" s="63"/>
      <c r="F91" s="106">
        <v>100000</v>
      </c>
      <c r="G91" s="106"/>
      <c r="H91" s="106"/>
    </row>
    <row r="92" spans="1:9" s="16" customFormat="1">
      <c r="A92" s="105" t="s">
        <v>151</v>
      </c>
      <c r="B92" s="105"/>
      <c r="C92" s="105"/>
      <c r="D92" s="105"/>
      <c r="E92" s="105"/>
      <c r="F92" s="106">
        <f>F80*0.8</f>
        <v>3040</v>
      </c>
      <c r="G92" s="106"/>
      <c r="H92" s="106"/>
    </row>
    <row r="93" spans="1:9" s="17" customFormat="1" ht="15.75" customHeight="1">
      <c r="A93" s="98" t="s">
        <v>152</v>
      </c>
      <c r="B93" s="98"/>
      <c r="C93" s="98"/>
      <c r="D93" s="98"/>
      <c r="E93" s="98"/>
      <c r="F93" s="98"/>
      <c r="G93" s="98"/>
      <c r="H93" s="98"/>
    </row>
    <row r="94" spans="1:9" s="17" customFormat="1" ht="15.75" customHeight="1">
      <c r="A94" s="99" t="s">
        <v>153</v>
      </c>
      <c r="B94" s="99"/>
      <c r="C94" s="100" t="s">
        <v>154</v>
      </c>
      <c r="D94" s="100"/>
      <c r="E94" s="101" t="s">
        <v>155</v>
      </c>
      <c r="F94" s="101"/>
      <c r="G94" s="99" t="s">
        <v>156</v>
      </c>
      <c r="H94" s="99"/>
      <c r="I94" s="52" t="s">
        <v>157</v>
      </c>
    </row>
    <row r="95" spans="1:9" s="17" customFormat="1">
      <c r="A95" s="102" t="s">
        <v>158</v>
      </c>
      <c r="B95" s="102"/>
      <c r="C95" s="103">
        <f>COUNT(D104:D107)</f>
        <v>4</v>
      </c>
      <c r="D95" s="107"/>
      <c r="E95" s="104">
        <f t="shared" ref="E95" si="0">SUM(D104:D107)</f>
        <v>409.89312000000001</v>
      </c>
      <c r="F95" s="108"/>
      <c r="G95" s="104">
        <f>SUM(F104:F107)</f>
        <v>924</v>
      </c>
      <c r="H95" s="108"/>
      <c r="I95" s="17">
        <v>4500</v>
      </c>
    </row>
    <row r="96" spans="1:9" s="17" customFormat="1">
      <c r="A96" s="98" t="s">
        <v>159</v>
      </c>
      <c r="B96" s="98"/>
      <c r="C96" s="98"/>
      <c r="D96" s="98"/>
      <c r="E96" s="98"/>
      <c r="F96" s="98"/>
      <c r="G96" s="98"/>
      <c r="H96" s="98"/>
      <c r="I96" s="17">
        <v>10000</v>
      </c>
    </row>
    <row r="97" spans="1:14" s="17" customFormat="1" ht="15.75" customHeight="1">
      <c r="A97" s="99" t="s">
        <v>153</v>
      </c>
      <c r="B97" s="99"/>
      <c r="C97" s="100" t="s">
        <v>154</v>
      </c>
      <c r="D97" s="100"/>
      <c r="E97" s="101" t="s">
        <v>155</v>
      </c>
      <c r="F97" s="101"/>
      <c r="G97" s="99" t="s">
        <v>156</v>
      </c>
      <c r="H97" s="99"/>
    </row>
    <row r="98" spans="1:14" s="17" customFormat="1">
      <c r="A98" s="102" t="s">
        <v>160</v>
      </c>
      <c r="B98" s="102"/>
      <c r="C98" s="103">
        <f>COUNT(D111:D113)+COUNT(D115:D117)+COUNT(D119:D121)*3+COUNT(D123:D124)</f>
        <v>17</v>
      </c>
      <c r="D98" s="103"/>
      <c r="E98" s="104">
        <f>SUM(D111:D113)+SUM(D115:D117)+SUM(D119:D121)*3+SUM(D123:D124)</f>
        <v>7492.2283799999996</v>
      </c>
      <c r="F98" s="104"/>
      <c r="G98" s="104">
        <f>SUM(F111:F113)+SUM(F115:F117)+SUM(F119:F121)*3+SUM(F123:F124)</f>
        <v>11302</v>
      </c>
      <c r="H98" s="104"/>
      <c r="I98" s="53" t="s">
        <v>161</v>
      </c>
      <c r="J98" s="52" t="s">
        <v>162</v>
      </c>
      <c r="K98" s="52">
        <v>3700</v>
      </c>
      <c r="L98" s="54">
        <v>0.45</v>
      </c>
    </row>
    <row r="99" spans="1:14" s="17" customFormat="1">
      <c r="A99" s="92" t="s">
        <v>163</v>
      </c>
      <c r="B99" s="93"/>
      <c r="C99" s="94">
        <f>C95+C98</f>
        <v>21</v>
      </c>
      <c r="D99" s="95"/>
      <c r="E99" s="94">
        <f>E95+E98</f>
        <v>7902.1215000000002</v>
      </c>
      <c r="F99" s="95"/>
      <c r="G99" s="94">
        <f>G95+G98</f>
        <v>12226</v>
      </c>
      <c r="H99" s="95"/>
    </row>
    <row r="100" spans="1:14" s="16" customFormat="1">
      <c r="A100" s="96" t="s">
        <v>164</v>
      </c>
      <c r="B100" s="96"/>
      <c r="C100" s="96"/>
      <c r="D100" s="96"/>
      <c r="E100" s="96"/>
      <c r="F100" s="96"/>
      <c r="G100" s="96"/>
      <c r="H100" s="96"/>
    </row>
    <row r="101" spans="1:14">
      <c r="A101" s="97" t="s">
        <v>165</v>
      </c>
      <c r="B101" s="97"/>
      <c r="C101" s="97"/>
      <c r="D101" s="97"/>
      <c r="E101" s="97"/>
      <c r="F101" s="97"/>
      <c r="G101" s="97"/>
      <c r="H101" s="97"/>
    </row>
    <row r="102" spans="1:14" ht="47.25" customHeight="1">
      <c r="A102" s="36" t="s">
        <v>166</v>
      </c>
      <c r="B102" s="36" t="s">
        <v>167</v>
      </c>
      <c r="C102" s="36" t="s">
        <v>168</v>
      </c>
      <c r="D102" s="36" t="s">
        <v>169</v>
      </c>
      <c r="E102" s="37" t="s">
        <v>170</v>
      </c>
      <c r="F102" s="36" t="s">
        <v>171</v>
      </c>
      <c r="G102" s="90" t="s">
        <v>172</v>
      </c>
      <c r="H102" s="91"/>
    </row>
    <row r="103" spans="1:14" s="18" customFormat="1">
      <c r="A103" s="77" t="s">
        <v>173</v>
      </c>
      <c r="B103" s="78"/>
      <c r="C103" s="78"/>
      <c r="D103" s="78"/>
      <c r="E103" s="78"/>
      <c r="F103" s="78"/>
      <c r="G103" s="78"/>
      <c r="H103" s="79"/>
      <c r="J103" s="55"/>
    </row>
    <row r="104" spans="1:14" s="18" customFormat="1" ht="15.75" customHeight="1">
      <c r="A104" s="80">
        <v>1</v>
      </c>
      <c r="B104" s="81"/>
      <c r="C104" s="39" t="s">
        <v>158</v>
      </c>
      <c r="D104" s="40">
        <f>(9.73)*(10.764)</f>
        <v>104.73372000000001</v>
      </c>
      <c r="E104" s="39">
        <v>0</v>
      </c>
      <c r="F104" s="39">
        <v>237</v>
      </c>
      <c r="G104" s="82" t="str">
        <f>A103</f>
        <v>Ground Floor For Entrance Lobby, Commercial &amp; Parking</v>
      </c>
      <c r="H104" s="83"/>
      <c r="I104" s="55">
        <f>1600000/F104</f>
        <v>6751.0548523206799</v>
      </c>
      <c r="J104" s="18">
        <v>237</v>
      </c>
      <c r="K104" s="18">
        <f>J104/D104</f>
        <v>2.2628815246894698</v>
      </c>
      <c r="L104" s="88"/>
      <c r="M104" s="88"/>
      <c r="N104" s="55"/>
    </row>
    <row r="105" spans="1:14" s="18" customFormat="1" ht="15.75" customHeight="1">
      <c r="A105" s="80">
        <f t="shared" ref="A105:A107" si="1">A104+1</f>
        <v>2</v>
      </c>
      <c r="B105" s="81"/>
      <c r="C105" s="39" t="s">
        <v>158</v>
      </c>
      <c r="D105" s="40">
        <f>(9.31)*(10.764)</f>
        <v>100.21284</v>
      </c>
      <c r="E105" s="39">
        <v>0</v>
      </c>
      <c r="F105" s="39">
        <v>225</v>
      </c>
      <c r="G105" s="84"/>
      <c r="H105" s="85"/>
      <c r="I105" s="55">
        <f>2.25*4.14</f>
        <v>9.3149999999999995</v>
      </c>
      <c r="J105" s="18">
        <v>225</v>
      </c>
      <c r="K105" s="18">
        <f t="shared" ref="K105:K107" si="2">J105/D105</f>
        <v>2.2452212710467001</v>
      </c>
      <c r="L105" s="88"/>
      <c r="M105" s="88"/>
      <c r="N105" s="55"/>
    </row>
    <row r="106" spans="1:14" s="18" customFormat="1" ht="15.75" customHeight="1">
      <c r="A106" s="80">
        <f t="shared" si="1"/>
        <v>3</v>
      </c>
      <c r="B106" s="81"/>
      <c r="C106" s="39" t="s">
        <v>158</v>
      </c>
      <c r="D106" s="40">
        <f>(9.31)*(10.764)</f>
        <v>100.21284</v>
      </c>
      <c r="E106" s="39">
        <v>0</v>
      </c>
      <c r="F106" s="39">
        <v>225</v>
      </c>
      <c r="G106" s="84"/>
      <c r="H106" s="85"/>
      <c r="I106" s="55"/>
      <c r="J106" s="18">
        <v>225</v>
      </c>
      <c r="K106" s="18">
        <f t="shared" si="2"/>
        <v>2.2452212710467001</v>
      </c>
      <c r="L106" s="88"/>
      <c r="M106" s="88"/>
      <c r="N106" s="55"/>
    </row>
    <row r="107" spans="1:14" s="18" customFormat="1" ht="15.75" customHeight="1">
      <c r="A107" s="80">
        <f t="shared" si="1"/>
        <v>4</v>
      </c>
      <c r="B107" s="81"/>
      <c r="C107" s="39" t="s">
        <v>158</v>
      </c>
      <c r="D107" s="40">
        <f>(9.73)*(10.764)</f>
        <v>104.73372000000001</v>
      </c>
      <c r="E107" s="39">
        <v>0</v>
      </c>
      <c r="F107" s="39">
        <v>237</v>
      </c>
      <c r="G107" s="86"/>
      <c r="H107" s="87"/>
      <c r="I107" s="55"/>
      <c r="J107" s="18">
        <v>237</v>
      </c>
      <c r="K107" s="18">
        <f t="shared" si="2"/>
        <v>2.2628815246894698</v>
      </c>
      <c r="L107" s="88"/>
      <c r="M107" s="88"/>
      <c r="N107" s="55"/>
    </row>
    <row r="108" spans="1:14" s="18" customFormat="1">
      <c r="A108" s="80"/>
      <c r="B108" s="89"/>
      <c r="C108" s="89"/>
      <c r="D108" s="89"/>
      <c r="E108" s="89"/>
      <c r="F108" s="89"/>
      <c r="G108" s="89"/>
      <c r="H108" s="81"/>
      <c r="I108" s="55"/>
      <c r="N108" s="55"/>
    </row>
    <row r="109" spans="1:14" ht="47.25" customHeight="1">
      <c r="A109" s="38" t="s">
        <v>174</v>
      </c>
      <c r="B109" s="38" t="s">
        <v>175</v>
      </c>
      <c r="C109" s="36" t="s">
        <v>168</v>
      </c>
      <c r="D109" s="36" t="s">
        <v>169</v>
      </c>
      <c r="E109" s="37" t="s">
        <v>176</v>
      </c>
      <c r="F109" s="36" t="s">
        <v>171</v>
      </c>
      <c r="G109" s="90" t="s">
        <v>172</v>
      </c>
      <c r="H109" s="91"/>
      <c r="I109" s="55"/>
    </row>
    <row r="110" spans="1:14" s="18" customFormat="1">
      <c r="A110" s="77" t="s">
        <v>177</v>
      </c>
      <c r="B110" s="78"/>
      <c r="C110" s="78"/>
      <c r="D110" s="78"/>
      <c r="E110" s="78"/>
      <c r="F110" s="78"/>
      <c r="G110" s="78"/>
      <c r="H110" s="79"/>
      <c r="J110" s="55"/>
    </row>
    <row r="111" spans="1:14" s="18" customFormat="1" ht="15.75" customHeight="1">
      <c r="A111" s="80">
        <v>1</v>
      </c>
      <c r="B111" s="81"/>
      <c r="C111" s="39" t="s">
        <v>178</v>
      </c>
      <c r="D111" s="40">
        <f>(41.4+1*(2.9+2.78+3.68))*(10.764)</f>
        <v>546.38063999999997</v>
      </c>
      <c r="E111" s="39">
        <v>0</v>
      </c>
      <c r="F111" s="39">
        <v>796</v>
      </c>
      <c r="G111" s="82" t="str">
        <f>A110</f>
        <v>1st Floor For Residential</v>
      </c>
      <c r="H111" s="83"/>
      <c r="I111" s="55">
        <f>2.9*4.25+2.52*2.78+2.27*1.2+2.04*2.56+2.01*3.68+2.1*1.2+0.9*2.2</f>
        <v>39.1738</v>
      </c>
      <c r="J111" s="18">
        <f>1*2.9+1*2.78+1*3.68</f>
        <v>9.36</v>
      </c>
      <c r="K111" s="56">
        <v>796</v>
      </c>
      <c r="L111" s="57">
        <f>K111/D111</f>
        <v>1.4568598184591599</v>
      </c>
      <c r="M111" s="57"/>
      <c r="N111" s="55"/>
    </row>
    <row r="112" spans="1:14" s="18" customFormat="1" ht="15.75" customHeight="1">
      <c r="A112" s="80">
        <f t="shared" ref="A112:A113" si="3">A111+1</f>
        <v>2</v>
      </c>
      <c r="B112" s="81"/>
      <c r="C112" s="39" t="s">
        <v>179</v>
      </c>
      <c r="D112" s="40">
        <f>(29.71+1*(2.97+2.97+2.5)+1.27*2.25)*(10.764)</f>
        <v>441.40472999999997</v>
      </c>
      <c r="E112" s="39">
        <v>0</v>
      </c>
      <c r="F112" s="39">
        <v>648</v>
      </c>
      <c r="G112" s="84"/>
      <c r="H112" s="85"/>
      <c r="I112" s="55"/>
      <c r="J112" s="18">
        <f>1*2.97+1*2.97+1*2.5+1.25*2.25</f>
        <v>11.2525</v>
      </c>
      <c r="K112" s="56">
        <v>648</v>
      </c>
      <c r="L112" s="57">
        <f t="shared" ref="L112:L124" si="4">K112/D112</f>
        <v>1.46804045348585</v>
      </c>
      <c r="M112" s="57"/>
      <c r="N112" s="55"/>
    </row>
    <row r="113" spans="1:14" s="18" customFormat="1" ht="15.75" customHeight="1">
      <c r="A113" s="80">
        <f t="shared" si="3"/>
        <v>3</v>
      </c>
      <c r="B113" s="81"/>
      <c r="C113" s="39" t="s">
        <v>179</v>
      </c>
      <c r="D113" s="40">
        <f>(29.71+1*(2.97+2.97+2.5)+1.27*2.25)*(10.764)</f>
        <v>441.40472999999997</v>
      </c>
      <c r="E113" s="39">
        <v>0</v>
      </c>
      <c r="F113" s="39">
        <v>648</v>
      </c>
      <c r="G113" s="84"/>
      <c r="H113" s="85"/>
      <c r="I113" s="55"/>
      <c r="K113" s="56">
        <v>648</v>
      </c>
      <c r="L113" s="57">
        <f t="shared" si="4"/>
        <v>1.46804045348585</v>
      </c>
      <c r="M113" s="57"/>
      <c r="N113" s="55"/>
    </row>
    <row r="114" spans="1:14" s="18" customFormat="1">
      <c r="A114" s="74" t="s">
        <v>180</v>
      </c>
      <c r="B114" s="74"/>
      <c r="C114" s="74"/>
      <c r="D114" s="74"/>
      <c r="E114" s="74"/>
      <c r="F114" s="74"/>
      <c r="G114" s="74"/>
      <c r="H114" s="74"/>
      <c r="I114" s="55"/>
      <c r="L114" s="57"/>
      <c r="M114" s="57"/>
    </row>
    <row r="115" spans="1:14" s="18" customFormat="1">
      <c r="A115" s="73">
        <v>1</v>
      </c>
      <c r="B115" s="73"/>
      <c r="C115" s="39" t="s">
        <v>178</v>
      </c>
      <c r="D115" s="40">
        <f>(41.4+1*(2.9+2.78+3.68))*(10.764)</f>
        <v>546.38063999999997</v>
      </c>
      <c r="E115" s="39">
        <v>0</v>
      </c>
      <c r="F115" s="39">
        <v>796</v>
      </c>
      <c r="G115" s="82" t="str">
        <f>A114</f>
        <v>2nd Floor</v>
      </c>
      <c r="H115" s="83"/>
      <c r="I115" s="55"/>
      <c r="J115" s="18">
        <f>4000*F120</f>
        <v>2228000</v>
      </c>
      <c r="K115" s="56">
        <v>796</v>
      </c>
      <c r="L115" s="57">
        <f t="shared" si="4"/>
        <v>1.4568598184591599</v>
      </c>
      <c r="N115" s="55"/>
    </row>
    <row r="116" spans="1:14" s="18" customFormat="1">
      <c r="A116" s="73">
        <f>A115+1</f>
        <v>2</v>
      </c>
      <c r="B116" s="73"/>
      <c r="C116" s="39" t="s">
        <v>179</v>
      </c>
      <c r="D116" s="40">
        <f>(29.71+1*(2.97+2.97))*(10.764)</f>
        <v>383.73660000000001</v>
      </c>
      <c r="E116" s="40">
        <f>(5.07)*(10.764)</f>
        <v>54.573480000000004</v>
      </c>
      <c r="F116" s="39">
        <v>617</v>
      </c>
      <c r="G116" s="84"/>
      <c r="H116" s="85"/>
      <c r="I116" s="55"/>
      <c r="K116" s="56">
        <v>617</v>
      </c>
      <c r="L116" s="57">
        <f t="shared" si="4"/>
        <v>1.6078737342228999</v>
      </c>
      <c r="N116" s="55"/>
    </row>
    <row r="117" spans="1:14" s="18" customFormat="1">
      <c r="A117" s="73">
        <f>A116+1</f>
        <v>3</v>
      </c>
      <c r="B117" s="73"/>
      <c r="C117" s="39" t="s">
        <v>179</v>
      </c>
      <c r="D117" s="40">
        <f>(29.71+1*(2.97+2.97))*(10.764)</f>
        <v>383.73660000000001</v>
      </c>
      <c r="E117" s="40">
        <f>(5.07)*(10.764)</f>
        <v>54.573480000000004</v>
      </c>
      <c r="F117" s="39">
        <v>617</v>
      </c>
      <c r="G117" s="86"/>
      <c r="H117" s="87"/>
      <c r="I117" s="55"/>
      <c r="K117" s="56">
        <v>617</v>
      </c>
      <c r="L117" s="57">
        <f t="shared" si="4"/>
        <v>1.6078737342228999</v>
      </c>
      <c r="N117" s="55"/>
    </row>
    <row r="118" spans="1:14" s="18" customFormat="1">
      <c r="A118" s="74" t="s">
        <v>181</v>
      </c>
      <c r="B118" s="74"/>
      <c r="C118" s="74"/>
      <c r="D118" s="74"/>
      <c r="E118" s="74"/>
      <c r="F118" s="74"/>
      <c r="G118" s="74"/>
      <c r="H118" s="74"/>
      <c r="I118" s="55"/>
      <c r="L118" s="57"/>
      <c r="M118" s="57"/>
    </row>
    <row r="119" spans="1:14" s="18" customFormat="1">
      <c r="A119" s="73">
        <v>1</v>
      </c>
      <c r="B119" s="73"/>
      <c r="C119" s="39" t="s">
        <v>178</v>
      </c>
      <c r="D119" s="40">
        <f>(41.4+1*(2.9+2.78+3.68))*(10.764)</f>
        <v>546.38063999999997</v>
      </c>
      <c r="E119" s="39">
        <v>0</v>
      </c>
      <c r="F119" s="39">
        <v>796</v>
      </c>
      <c r="G119" s="73" t="str">
        <f>A118</f>
        <v>3rd to 5th Floor</v>
      </c>
      <c r="H119" s="73"/>
      <c r="I119" s="55"/>
      <c r="J119" s="18">
        <f>4500*F119</f>
        <v>3582000</v>
      </c>
      <c r="K119" s="56">
        <v>796</v>
      </c>
      <c r="L119" s="18">
        <f t="shared" si="4"/>
        <v>1.4568598184591599</v>
      </c>
      <c r="N119" s="55"/>
    </row>
    <row r="120" spans="1:14" s="18" customFormat="1">
      <c r="A120" s="73">
        <f>A119+1</f>
        <v>2</v>
      </c>
      <c r="B120" s="73"/>
      <c r="C120" s="39" t="s">
        <v>179</v>
      </c>
      <c r="D120" s="40">
        <f>(29.71+1*(2.97+2.97))*(10.764)</f>
        <v>383.73660000000001</v>
      </c>
      <c r="E120" s="39">
        <v>0</v>
      </c>
      <c r="F120" s="39">
        <v>557</v>
      </c>
      <c r="G120" s="73"/>
      <c r="H120" s="73"/>
      <c r="I120" s="55"/>
      <c r="J120" s="18">
        <f>4500*F120</f>
        <v>2506500</v>
      </c>
      <c r="K120" s="56">
        <v>557</v>
      </c>
      <c r="L120" s="57">
        <f t="shared" si="4"/>
        <v>1.45151648292084</v>
      </c>
      <c r="N120" s="55"/>
    </row>
    <row r="121" spans="1:14" s="18" customFormat="1">
      <c r="A121" s="73">
        <f>A120+1</f>
        <v>3</v>
      </c>
      <c r="B121" s="73"/>
      <c r="C121" s="39" t="s">
        <v>179</v>
      </c>
      <c r="D121" s="40">
        <f>(29.71+1*(2.97+2.97))*(10.764)</f>
        <v>383.73660000000001</v>
      </c>
      <c r="E121" s="39">
        <v>0</v>
      </c>
      <c r="F121" s="39">
        <v>557</v>
      </c>
      <c r="G121" s="73"/>
      <c r="H121" s="73"/>
      <c r="I121" s="55"/>
      <c r="J121" s="55">
        <f>2100000/F120</f>
        <v>3770.1974865350098</v>
      </c>
      <c r="K121" s="56">
        <v>557</v>
      </c>
      <c r="L121" s="57">
        <f t="shared" si="4"/>
        <v>1.45151648292084</v>
      </c>
      <c r="N121" s="55"/>
    </row>
    <row r="122" spans="1:14" s="18" customFormat="1" ht="15.75" customHeight="1">
      <c r="A122" s="74" t="s">
        <v>182</v>
      </c>
      <c r="B122" s="74"/>
      <c r="C122" s="74"/>
      <c r="D122" s="74"/>
      <c r="E122" s="74"/>
      <c r="F122" s="74"/>
      <c r="G122" s="74"/>
      <c r="H122" s="74"/>
      <c r="I122" s="55"/>
      <c r="L122" s="57"/>
    </row>
    <row r="123" spans="1:14" s="18" customFormat="1">
      <c r="A123" s="73">
        <v>1</v>
      </c>
      <c r="B123" s="73"/>
      <c r="C123" s="39" t="s">
        <v>179</v>
      </c>
      <c r="D123" s="40">
        <f>(33.7+1*(2.9+2.78))*(10.764)</f>
        <v>423.88632000000001</v>
      </c>
      <c r="E123" s="40">
        <f>(10.52)*(10.764)</f>
        <v>113.23728</v>
      </c>
      <c r="F123" s="39">
        <v>685</v>
      </c>
      <c r="G123" s="73" t="str">
        <f>A122</f>
        <v>6th Floor</v>
      </c>
      <c r="H123" s="73"/>
      <c r="I123" s="55"/>
      <c r="K123" s="56">
        <v>685</v>
      </c>
      <c r="L123" s="57">
        <f t="shared" si="4"/>
        <v>1.61599930849384</v>
      </c>
    </row>
    <row r="124" spans="1:14" s="18" customFormat="1">
      <c r="A124" s="73">
        <f>A123+1</f>
        <v>2</v>
      </c>
      <c r="B124" s="73"/>
      <c r="C124" s="39" t="s">
        <v>179</v>
      </c>
      <c r="D124" s="40">
        <f>(29.71+1*(2.97+2.97))*(10.764)</f>
        <v>383.73660000000001</v>
      </c>
      <c r="E124" s="40">
        <f>(34.68)*(10.764)</f>
        <v>373.29552000000001</v>
      </c>
      <c r="F124" s="39">
        <v>765</v>
      </c>
      <c r="G124" s="73"/>
      <c r="H124" s="73"/>
      <c r="I124" s="55"/>
      <c r="K124" s="56">
        <v>765</v>
      </c>
      <c r="L124" s="57">
        <f t="shared" si="4"/>
        <v>1.99355495410133</v>
      </c>
    </row>
    <row r="125" spans="1:14" s="17" customFormat="1">
      <c r="A125" s="75" t="s">
        <v>183</v>
      </c>
      <c r="B125" s="75"/>
      <c r="C125" s="75"/>
      <c r="D125" s="75"/>
      <c r="E125" s="75"/>
      <c r="F125" s="75"/>
      <c r="G125" s="75"/>
      <c r="H125" s="75"/>
    </row>
    <row r="126" spans="1:14" s="17" customFormat="1">
      <c r="A126" s="35" t="s">
        <v>184</v>
      </c>
      <c r="B126" s="76" t="s">
        <v>185</v>
      </c>
      <c r="C126" s="76"/>
      <c r="D126" s="76"/>
      <c r="E126" s="76"/>
      <c r="F126" s="76"/>
      <c r="G126" s="76"/>
      <c r="H126" s="76"/>
    </row>
    <row r="127" spans="1:14" s="17" customFormat="1">
      <c r="A127" s="35" t="s">
        <v>184</v>
      </c>
      <c r="B127" s="66" t="str">
        <f>(IF(F109="Saleable area Loading :","We have considered Saleable area of Flats as per our Calculation.","We considered Saleable area of Flat as per Builder area Sheet."))</f>
        <v>We considered Saleable area of Flat as per Builder area Sheet.</v>
      </c>
      <c r="C127" s="67"/>
      <c r="D127" s="67"/>
      <c r="E127" s="67"/>
      <c r="F127" s="67"/>
      <c r="G127" s="67"/>
      <c r="H127" s="68"/>
    </row>
    <row r="128" spans="1:14" s="17" customFormat="1">
      <c r="A128" s="35" t="s">
        <v>184</v>
      </c>
      <c r="B128" s="66" t="str">
        <f>(IF(F102="Saleable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28" s="67"/>
      <c r="D128" s="67"/>
      <c r="E128" s="67"/>
      <c r="F128" s="67"/>
      <c r="G128" s="67"/>
      <c r="H128" s="68"/>
    </row>
    <row r="129" spans="1:8" s="17" customFormat="1">
      <c r="A129" s="35" t="s">
        <v>184</v>
      </c>
      <c r="B129" s="69" t="s">
        <v>186</v>
      </c>
      <c r="C129" s="70"/>
      <c r="D129" s="70"/>
      <c r="E129" s="70"/>
      <c r="F129" s="70"/>
      <c r="G129" s="70"/>
      <c r="H129" s="71"/>
    </row>
    <row r="130" spans="1:8" s="17" customFormat="1">
      <c r="A130" s="35" t="s">
        <v>184</v>
      </c>
      <c r="B130" s="69" t="s">
        <v>187</v>
      </c>
      <c r="C130" s="70"/>
      <c r="D130" s="70"/>
      <c r="E130" s="70"/>
      <c r="F130" s="70"/>
      <c r="G130" s="70"/>
      <c r="H130" s="71"/>
    </row>
    <row r="131" spans="1:8" s="17" customFormat="1">
      <c r="A131" s="35" t="s">
        <v>184</v>
      </c>
      <c r="B131" s="69" t="s">
        <v>188</v>
      </c>
      <c r="C131" s="70"/>
      <c r="D131" s="70"/>
      <c r="E131" s="70"/>
      <c r="F131" s="70"/>
      <c r="G131" s="70"/>
      <c r="H131" s="71"/>
    </row>
    <row r="132" spans="1:8" s="17" customFormat="1">
      <c r="A132" s="35" t="s">
        <v>184</v>
      </c>
      <c r="B132" s="69" t="s">
        <v>189</v>
      </c>
      <c r="C132" s="70"/>
      <c r="D132" s="70"/>
      <c r="E132" s="70"/>
      <c r="F132" s="70"/>
      <c r="G132" s="70"/>
      <c r="H132" s="71"/>
    </row>
    <row r="133" spans="1:8" s="17" customFormat="1" ht="34.5" customHeight="1">
      <c r="A133" s="35" t="s">
        <v>184</v>
      </c>
      <c r="B133" s="69" t="s">
        <v>190</v>
      </c>
      <c r="C133" s="70"/>
      <c r="D133" s="70"/>
      <c r="E133" s="70"/>
      <c r="F133" s="70"/>
      <c r="G133" s="70"/>
      <c r="H133" s="71"/>
    </row>
    <row r="134" spans="1:8" s="17" customFormat="1">
      <c r="A134" s="35" t="s">
        <v>184</v>
      </c>
      <c r="B134" s="69" t="s">
        <v>191</v>
      </c>
      <c r="C134" s="70"/>
      <c r="D134" s="70"/>
      <c r="E134" s="70"/>
      <c r="F134" s="70"/>
      <c r="G134" s="70"/>
      <c r="H134" s="71"/>
    </row>
    <row r="135" spans="1:8">
      <c r="A135" s="72" t="s">
        <v>192</v>
      </c>
      <c r="B135" s="72"/>
      <c r="C135" s="72"/>
      <c r="D135" s="72"/>
      <c r="E135" s="72"/>
      <c r="F135" s="72"/>
      <c r="G135" s="72"/>
      <c r="H135" s="72"/>
    </row>
    <row r="136" spans="1:8">
      <c r="A136" s="63" t="s">
        <v>193</v>
      </c>
      <c r="B136" s="63"/>
      <c r="C136" s="63"/>
      <c r="D136" s="63"/>
      <c r="E136" s="63"/>
      <c r="F136" s="63"/>
      <c r="G136" s="63"/>
      <c r="H136" s="63"/>
    </row>
    <row r="137" spans="1:8" ht="15.75" customHeight="1">
      <c r="A137" s="62" t="s">
        <v>194</v>
      </c>
      <c r="B137" s="62"/>
      <c r="C137" s="62"/>
      <c r="D137" s="62"/>
      <c r="E137" s="62"/>
      <c r="F137" s="62"/>
      <c r="G137" s="62"/>
      <c r="H137" s="62"/>
    </row>
    <row r="138" spans="1:8">
      <c r="A138" s="63" t="s">
        <v>195</v>
      </c>
      <c r="B138" s="63"/>
      <c r="C138" s="63"/>
      <c r="D138" s="63"/>
      <c r="E138" s="63"/>
      <c r="F138" s="63"/>
      <c r="G138" s="63"/>
      <c r="H138" s="63"/>
    </row>
    <row r="139" spans="1:8">
      <c r="A139" s="63" t="s">
        <v>196</v>
      </c>
      <c r="B139" s="63"/>
      <c r="C139" s="63"/>
      <c r="D139" s="63"/>
      <c r="E139" s="63"/>
      <c r="F139" s="63"/>
      <c r="G139" s="63"/>
      <c r="H139" s="63"/>
    </row>
    <row r="140" spans="1:8">
      <c r="A140" s="63" t="s">
        <v>197</v>
      </c>
      <c r="B140" s="63"/>
      <c r="C140" s="63"/>
      <c r="D140" s="63"/>
      <c r="E140" s="63"/>
      <c r="F140" s="63"/>
      <c r="G140" s="63"/>
      <c r="H140" s="63"/>
    </row>
    <row r="141" spans="1:8">
      <c r="A141" s="64" t="s">
        <v>198</v>
      </c>
      <c r="B141" s="64"/>
      <c r="C141" s="64"/>
      <c r="D141" s="64"/>
      <c r="E141" s="64"/>
      <c r="F141" s="64"/>
      <c r="G141" s="64"/>
      <c r="H141" s="64"/>
    </row>
    <row r="142" spans="1:8">
      <c r="A142" s="65" t="s">
        <v>199</v>
      </c>
      <c r="B142" s="65"/>
      <c r="C142" s="65" t="s">
        <v>200</v>
      </c>
      <c r="D142" s="65"/>
      <c r="E142" s="65" t="s">
        <v>201</v>
      </c>
      <c r="F142" s="65"/>
      <c r="G142" s="65" t="s">
        <v>217</v>
      </c>
      <c r="H142" s="65"/>
    </row>
    <row r="143" spans="1:8">
      <c r="A143" s="61" t="s">
        <v>202</v>
      </c>
      <c r="B143" s="61"/>
      <c r="C143" s="61"/>
      <c r="D143" s="61"/>
      <c r="E143" s="61"/>
      <c r="F143" s="61"/>
      <c r="G143" s="61"/>
      <c r="H143" s="61"/>
    </row>
    <row r="144" spans="1:8">
      <c r="A144" s="61"/>
      <c r="B144" s="61"/>
      <c r="C144" s="61"/>
      <c r="D144" s="61"/>
      <c r="E144" s="61"/>
      <c r="F144" s="61"/>
      <c r="G144" s="61"/>
      <c r="H144" s="61"/>
    </row>
    <row r="145" spans="1:8">
      <c r="A145" s="61"/>
      <c r="B145" s="61"/>
      <c r="C145" s="61"/>
      <c r="D145" s="61"/>
      <c r="E145" s="61"/>
      <c r="F145" s="61"/>
      <c r="G145" s="61"/>
      <c r="H145" s="61"/>
    </row>
    <row r="146" spans="1:8">
      <c r="A146" s="61"/>
      <c r="B146" s="61"/>
      <c r="C146" s="61"/>
      <c r="D146" s="61"/>
      <c r="E146" s="61"/>
      <c r="F146" s="61"/>
      <c r="G146" s="61"/>
      <c r="H146" s="61"/>
    </row>
    <row r="147" spans="1:8">
      <c r="A147" s="58" t="s">
        <v>203</v>
      </c>
      <c r="B147" s="59"/>
      <c r="C147" s="59"/>
      <c r="D147" s="58" t="str">
        <f>E8</f>
        <v>Suzain Plaza</v>
      </c>
      <c r="F147" s="59"/>
      <c r="G147" s="59"/>
      <c r="H147" s="59"/>
    </row>
    <row r="148" spans="1:8">
      <c r="A148" s="59"/>
      <c r="B148" s="59"/>
      <c r="C148" s="59"/>
      <c r="D148" s="59"/>
      <c r="E148" s="59"/>
      <c r="F148" s="59"/>
      <c r="G148" s="59"/>
      <c r="H148" s="59"/>
    </row>
    <row r="149" spans="1:8">
      <c r="A149" s="59"/>
      <c r="B149" s="59"/>
      <c r="C149" s="59"/>
      <c r="D149" s="59"/>
      <c r="E149" s="59"/>
      <c r="F149" s="59"/>
      <c r="G149" s="59"/>
      <c r="H149" s="59"/>
    </row>
    <row r="150" spans="1:8" ht="15" customHeight="1"/>
    <row r="190" spans="1:1">
      <c r="A190" s="60" t="s">
        <v>204</v>
      </c>
    </row>
    <row r="233" spans="1:1">
      <c r="A233" s="60" t="s">
        <v>205</v>
      </c>
    </row>
  </sheetData>
  <mergeCells count="261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E79"/>
    <mergeCell ref="F79:H79"/>
    <mergeCell ref="A80:E80"/>
    <mergeCell ref="F80:H80"/>
    <mergeCell ref="A81:E81"/>
    <mergeCell ref="F81:H81"/>
    <mergeCell ref="E69:F78"/>
    <mergeCell ref="G69:H78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92:E92"/>
    <mergeCell ref="F92:H92"/>
    <mergeCell ref="A93:H93"/>
    <mergeCell ref="A94:B94"/>
    <mergeCell ref="C94:D94"/>
    <mergeCell ref="E94:F94"/>
    <mergeCell ref="G94:H94"/>
    <mergeCell ref="A95:B95"/>
    <mergeCell ref="C95:D95"/>
    <mergeCell ref="E95:F95"/>
    <mergeCell ref="G95:H95"/>
    <mergeCell ref="A96:H96"/>
    <mergeCell ref="A97:B97"/>
    <mergeCell ref="C97:D97"/>
    <mergeCell ref="E97:F97"/>
    <mergeCell ref="G97:H97"/>
    <mergeCell ref="A98:B98"/>
    <mergeCell ref="C98:D98"/>
    <mergeCell ref="E98:F98"/>
    <mergeCell ref="G98:H98"/>
    <mergeCell ref="A99:B99"/>
    <mergeCell ref="C99:D99"/>
    <mergeCell ref="E99:F99"/>
    <mergeCell ref="G99:H99"/>
    <mergeCell ref="A100:H100"/>
    <mergeCell ref="A101:H101"/>
    <mergeCell ref="G102:H102"/>
    <mergeCell ref="A103:H103"/>
    <mergeCell ref="A104:B104"/>
    <mergeCell ref="L104:M104"/>
    <mergeCell ref="A105:B105"/>
    <mergeCell ref="L105:M105"/>
    <mergeCell ref="A106:B106"/>
    <mergeCell ref="L106:M106"/>
    <mergeCell ref="A107:B107"/>
    <mergeCell ref="L107:M107"/>
    <mergeCell ref="A108:H108"/>
    <mergeCell ref="G109:H109"/>
    <mergeCell ref="G104:H107"/>
    <mergeCell ref="A110:H110"/>
    <mergeCell ref="A111:B111"/>
    <mergeCell ref="A112:B112"/>
    <mergeCell ref="A113:B113"/>
    <mergeCell ref="A114:H114"/>
    <mergeCell ref="A115:B115"/>
    <mergeCell ref="A116:B116"/>
    <mergeCell ref="A117:B117"/>
    <mergeCell ref="A118:H118"/>
    <mergeCell ref="G111:H113"/>
    <mergeCell ref="G115:H117"/>
    <mergeCell ref="A119:B119"/>
    <mergeCell ref="A120:B120"/>
    <mergeCell ref="A121:B121"/>
    <mergeCell ref="A122:H122"/>
    <mergeCell ref="A123:B123"/>
    <mergeCell ref="A124:B124"/>
    <mergeCell ref="A125:H125"/>
    <mergeCell ref="B126:H126"/>
    <mergeCell ref="B127:H127"/>
    <mergeCell ref="G123:H124"/>
    <mergeCell ref="G119:H121"/>
    <mergeCell ref="B128:H128"/>
    <mergeCell ref="B129:H129"/>
    <mergeCell ref="B130:H130"/>
    <mergeCell ref="B131:H131"/>
    <mergeCell ref="B132:H132"/>
    <mergeCell ref="B133:H133"/>
    <mergeCell ref="B134:H134"/>
    <mergeCell ref="A135:H135"/>
    <mergeCell ref="A136:H136"/>
    <mergeCell ref="A143:H146"/>
    <mergeCell ref="A137:H137"/>
    <mergeCell ref="A138:H138"/>
    <mergeCell ref="A139:H139"/>
    <mergeCell ref="A140:H140"/>
    <mergeCell ref="A141:H141"/>
    <mergeCell ref="A142:B142"/>
    <mergeCell ref="C142:D142"/>
    <mergeCell ref="E142:F142"/>
    <mergeCell ref="G142:H142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7" man="1"/>
    <brk id="146" max="16383" man="1"/>
    <brk id="189" max="16383" man="1"/>
    <brk id="23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75" t="s">
        <v>206</v>
      </c>
      <c r="C3" s="175"/>
      <c r="D3" s="175"/>
      <c r="E3" s="175"/>
      <c r="F3" s="175"/>
      <c r="G3" s="175"/>
      <c r="H3" s="175"/>
    </row>
    <row r="4" spans="1:9">
      <c r="A4" s="2"/>
      <c r="B4" s="3" t="s">
        <v>207</v>
      </c>
      <c r="C4" s="3" t="s">
        <v>208</v>
      </c>
      <c r="D4" s="3" t="s">
        <v>160</v>
      </c>
      <c r="E4" s="3" t="s">
        <v>209</v>
      </c>
      <c r="F4" s="3" t="s">
        <v>210</v>
      </c>
      <c r="G4" s="3" t="s">
        <v>211</v>
      </c>
      <c r="H4" s="3" t="s">
        <v>212</v>
      </c>
    </row>
    <row r="5" spans="1:9" ht="15" customHeight="1">
      <c r="A5" s="2"/>
      <c r="B5" s="4" t="s">
        <v>213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213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213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213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213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214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214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215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216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2025-06-10T10:44:20Z</cp:lastPrinted>
  <dcterms:created xsi:type="dcterms:W3CDTF">2019-07-16T09:29:00Z</dcterms:created>
  <dcterms:modified xsi:type="dcterms:W3CDTF">2025-09-17T17:15:20Z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3D6B0E2361854BE2B87A65227B86EBB1_12</vt:lpwstr>
  </property>
  <property fmtid="{D5CDD505-2E9C-101B-9397-08002B2CF9AE}" pid="3" name="KSOProductBuildVer">
    <vt:lpwstr>1033-12.2.0.20326</vt:lpwstr>
  </property>
</Properties>
</file>