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19200" windowHeight="6645" tabRatio="725"/>
  </bookViews>
  <sheets>
    <sheet name="Report" sheetId="1" r:id="rId1"/>
    <sheet name="valuation" sheetId="5" r:id="rId2"/>
    <sheet name="Research" sheetId="4" r:id="rId3"/>
    <sheet name="Remarks" sheetId="6" r:id="rId4"/>
  </sheets>
  <definedNames>
    <definedName name="_xlnm.Print_Area" localSheetId="0">Report!$A$1:$H$368</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3" i="1" l="1"/>
  <c r="C84" i="1" s="1"/>
  <c r="C51" i="1" l="1"/>
  <c r="K194" i="1" l="1"/>
  <c r="K195" i="1"/>
  <c r="K200" i="1"/>
  <c r="K201" i="1"/>
  <c r="K206" i="1"/>
  <c r="K212" i="1"/>
  <c r="D182" i="1" l="1"/>
  <c r="D177" i="1"/>
  <c r="D181" i="1"/>
  <c r="D216" i="1"/>
  <c r="D210" i="1"/>
  <c r="D217" i="1" l="1"/>
  <c r="F217" i="1" s="1"/>
  <c r="H217" i="1" s="1"/>
  <c r="K217" i="1" s="1"/>
  <c r="F216" i="1"/>
  <c r="H216" i="1" s="1"/>
  <c r="K216" i="1" s="1"/>
  <c r="D215" i="1"/>
  <c r="F215" i="1" s="1"/>
  <c r="H215" i="1" s="1"/>
  <c r="K215" i="1" s="1"/>
  <c r="D214" i="1"/>
  <c r="F214" i="1" s="1"/>
  <c r="H214" i="1" s="1"/>
  <c r="K214" i="1" s="1"/>
  <c r="A214" i="1"/>
  <c r="A215" i="1" s="1"/>
  <c r="A216" i="1" s="1"/>
  <c r="A217" i="1" s="1"/>
  <c r="D213" i="1"/>
  <c r="F213" i="1" s="1"/>
  <c r="H213" i="1" s="1"/>
  <c r="K213" i="1" s="1"/>
  <c r="D183" i="1"/>
  <c r="F183" i="1" s="1"/>
  <c r="H183" i="1" s="1"/>
  <c r="F182" i="1"/>
  <c r="H182" i="1" s="1"/>
  <c r="F181" i="1"/>
  <c r="H181" i="1" s="1"/>
  <c r="A181" i="1"/>
  <c r="A182" i="1" s="1"/>
  <c r="A183" i="1" s="1"/>
  <c r="I180" i="1"/>
  <c r="D180" i="1"/>
  <c r="F180" i="1" s="1"/>
  <c r="H180" i="1" s="1"/>
  <c r="D211" i="1"/>
  <c r="F211" i="1" s="1"/>
  <c r="H211" i="1" s="1"/>
  <c r="K211" i="1" s="1"/>
  <c r="F210" i="1"/>
  <c r="H210" i="1" s="1"/>
  <c r="K210" i="1" s="1"/>
  <c r="D209" i="1"/>
  <c r="F209" i="1" s="1"/>
  <c r="H209" i="1" s="1"/>
  <c r="K209" i="1" s="1"/>
  <c r="D208" i="1"/>
  <c r="F208" i="1" s="1"/>
  <c r="H208" i="1" s="1"/>
  <c r="K208" i="1" s="1"/>
  <c r="A208" i="1"/>
  <c r="A209" i="1" s="1"/>
  <c r="A210" i="1" s="1"/>
  <c r="A211" i="1" s="1"/>
  <c r="D207" i="1"/>
  <c r="F207" i="1" s="1"/>
  <c r="H207" i="1" s="1"/>
  <c r="D178" i="1"/>
  <c r="F178" i="1" s="1"/>
  <c r="H178" i="1" s="1"/>
  <c r="F177" i="1"/>
  <c r="H177" i="1" s="1"/>
  <c r="D176" i="1"/>
  <c r="F176" i="1" s="1"/>
  <c r="H176" i="1" s="1"/>
  <c r="A176" i="1"/>
  <c r="A177" i="1" s="1"/>
  <c r="A178" i="1" s="1"/>
  <c r="I175" i="1"/>
  <c r="D175" i="1"/>
  <c r="F175" i="1" s="1"/>
  <c r="H175" i="1" s="1"/>
  <c r="D173" i="1"/>
  <c r="F173" i="1" s="1"/>
  <c r="H173" i="1" s="1"/>
  <c r="D172" i="1"/>
  <c r="F172" i="1" s="1"/>
  <c r="H172" i="1" s="1"/>
  <c r="D171" i="1"/>
  <c r="F171" i="1" s="1"/>
  <c r="H171" i="1" s="1"/>
  <c r="A171" i="1"/>
  <c r="A172" i="1" s="1"/>
  <c r="A173" i="1" s="1"/>
  <c r="I170" i="1"/>
  <c r="D205" i="1"/>
  <c r="F205" i="1" s="1"/>
  <c r="H205" i="1" s="1"/>
  <c r="K205" i="1" s="1"/>
  <c r="D204" i="1"/>
  <c r="F204" i="1" s="1"/>
  <c r="H204" i="1" s="1"/>
  <c r="K204" i="1" s="1"/>
  <c r="D203" i="1"/>
  <c r="F203" i="1" s="1"/>
  <c r="H203" i="1" s="1"/>
  <c r="K203" i="1" s="1"/>
  <c r="D202" i="1"/>
  <c r="F202" i="1" s="1"/>
  <c r="H202" i="1" s="1"/>
  <c r="K202" i="1" s="1"/>
  <c r="A202" i="1"/>
  <c r="A203" i="1" s="1"/>
  <c r="A204" i="1" s="1"/>
  <c r="A205" i="1" s="1"/>
  <c r="D199" i="1"/>
  <c r="F199" i="1" s="1"/>
  <c r="H199" i="1" s="1"/>
  <c r="K199" i="1" s="1"/>
  <c r="D198" i="1"/>
  <c r="F198" i="1" s="1"/>
  <c r="H198" i="1" s="1"/>
  <c r="K198" i="1" s="1"/>
  <c r="D197" i="1"/>
  <c r="F197" i="1" s="1"/>
  <c r="H197" i="1" s="1"/>
  <c r="K197" i="1" s="1"/>
  <c r="D196" i="1"/>
  <c r="F196" i="1" s="1"/>
  <c r="H196" i="1" s="1"/>
  <c r="K196" i="1" s="1"/>
  <c r="A196" i="1"/>
  <c r="A197" i="1" s="1"/>
  <c r="A198" i="1" s="1"/>
  <c r="A199" i="1" s="1"/>
  <c r="D168" i="1"/>
  <c r="F168" i="1" s="1"/>
  <c r="H168" i="1" s="1"/>
  <c r="D167" i="1"/>
  <c r="F167" i="1" s="1"/>
  <c r="H167" i="1" s="1"/>
  <c r="D166" i="1"/>
  <c r="F166" i="1" s="1"/>
  <c r="H166" i="1" s="1"/>
  <c r="A166" i="1"/>
  <c r="A167" i="1" s="1"/>
  <c r="A168" i="1" s="1"/>
  <c r="I165" i="1"/>
  <c r="D193" i="1"/>
  <c r="F193" i="1" s="1"/>
  <c r="H193" i="1" s="1"/>
  <c r="K193" i="1" s="1"/>
  <c r="D192" i="1"/>
  <c r="F192" i="1" s="1"/>
  <c r="H192" i="1" s="1"/>
  <c r="K192" i="1" s="1"/>
  <c r="D191" i="1"/>
  <c r="F191" i="1" s="1"/>
  <c r="H191" i="1" s="1"/>
  <c r="K191" i="1" s="1"/>
  <c r="D190" i="1"/>
  <c r="F190" i="1" s="1"/>
  <c r="H190" i="1" s="1"/>
  <c r="D189" i="1"/>
  <c r="F189" i="1" s="1"/>
  <c r="D163" i="1"/>
  <c r="D162" i="1"/>
  <c r="D161" i="1"/>
  <c r="D160" i="1"/>
  <c r="A190" i="1"/>
  <c r="A191" i="1" s="1"/>
  <c r="A192" i="1" s="1"/>
  <c r="A193" i="1" s="1"/>
  <c r="I160" i="1"/>
  <c r="K190" i="1" l="1"/>
  <c r="J190" i="1"/>
  <c r="L207" i="1"/>
  <c r="K207" i="1"/>
  <c r="H189" i="1"/>
  <c r="C140" i="1"/>
  <c r="E140" i="1"/>
  <c r="B220" i="1"/>
  <c r="G140" i="1" l="1"/>
  <c r="K189" i="1"/>
  <c r="F149" i="1"/>
  <c r="H149" i="1" s="1"/>
  <c r="F150" i="1"/>
  <c r="H150" i="1" s="1"/>
  <c r="F151" i="1"/>
  <c r="H151" i="1" s="1"/>
  <c r="F148" i="1"/>
  <c r="H148" i="1" s="1"/>
  <c r="G60" i="1" l="1"/>
  <c r="C60" i="1"/>
  <c r="G58" i="1"/>
  <c r="C58" i="1"/>
  <c r="C56" i="1"/>
  <c r="S33" i="1" l="1"/>
  <c r="F11" i="5" l="1"/>
  <c r="G11" i="5" s="1"/>
  <c r="F10" i="5"/>
  <c r="G10" i="5" s="1"/>
  <c r="F9" i="5"/>
  <c r="G9" i="5" s="1"/>
  <c r="F8" i="5"/>
  <c r="G8" i="5" s="1"/>
  <c r="F7" i="5"/>
  <c r="G7" i="5" s="1"/>
  <c r="F6" i="5"/>
  <c r="G6" i="5" s="1"/>
  <c r="F5" i="5"/>
  <c r="G5" i="5" s="1"/>
  <c r="G12" i="5" s="1"/>
  <c r="D243" i="1"/>
  <c r="B221" i="1"/>
  <c r="F163" i="1"/>
  <c r="H163" i="1" s="1"/>
  <c r="F162" i="1"/>
  <c r="H162" i="1" s="1"/>
  <c r="F161" i="1"/>
  <c r="H161" i="1" s="1"/>
  <c r="A161" i="1"/>
  <c r="A162" i="1" s="1"/>
  <c r="A163" i="1" s="1"/>
  <c r="F160" i="1"/>
  <c r="A149" i="1"/>
  <c r="A150" i="1" s="1"/>
  <c r="A151" i="1" s="1"/>
  <c r="F131" i="1"/>
  <c r="C105" i="1"/>
  <c r="C91" i="1"/>
  <c r="C77" i="1"/>
  <c r="D71" i="1"/>
  <c r="D64" i="1"/>
  <c r="G51" i="1"/>
  <c r="E44" i="1"/>
  <c r="E45" i="1" s="1"/>
  <c r="E31" i="1"/>
  <c r="E28" i="1"/>
  <c r="E26" i="1"/>
  <c r="C16" i="1"/>
  <c r="I15" i="1"/>
  <c r="Z13" i="1"/>
  <c r="E8" i="1"/>
  <c r="E3" i="1"/>
  <c r="H78" i="1"/>
  <c r="H92" i="1"/>
  <c r="H106" i="1"/>
  <c r="H160" i="1" l="1"/>
  <c r="E139" i="1"/>
  <c r="E141" i="1" s="1"/>
  <c r="E142" i="1" s="1"/>
  <c r="C139" i="1"/>
  <c r="C141" i="1" s="1"/>
  <c r="C142" i="1" s="1"/>
  <c r="J77" i="1"/>
  <c r="J79" i="1" s="1"/>
  <c r="J80" i="1"/>
  <c r="J81" i="1"/>
  <c r="J82" i="1"/>
  <c r="C81" i="1" s="1"/>
  <c r="J96" i="1"/>
  <c r="E95" i="1"/>
  <c r="D100" i="1"/>
  <c r="D102" i="1"/>
  <c r="D96" i="1"/>
  <c r="J95" i="1"/>
  <c r="D101" i="1"/>
  <c r="J91" i="1"/>
  <c r="J93" i="1" s="1"/>
  <c r="D99" i="1"/>
  <c r="J94" i="1"/>
  <c r="D98" i="1"/>
  <c r="D104" i="1"/>
  <c r="D103" i="1"/>
  <c r="D97" i="1"/>
  <c r="D85" i="1"/>
  <c r="D87" i="1"/>
  <c r="D86" i="1"/>
  <c r="D90" i="1"/>
  <c r="D84" i="1"/>
  <c r="D89" i="1"/>
  <c r="D83" i="1"/>
  <c r="D88" i="1"/>
  <c r="C111" i="1"/>
  <c r="J105" i="1" s="1"/>
  <c r="J107" i="1" s="1"/>
  <c r="D114" i="1"/>
  <c r="D116" i="1"/>
  <c r="J110" i="1"/>
  <c r="C109" i="1" s="1"/>
  <c r="D109" i="1" s="1"/>
  <c r="D115" i="1"/>
  <c r="J109" i="1"/>
  <c r="D113" i="1"/>
  <c r="J108" i="1"/>
  <c r="D112" i="1"/>
  <c r="D118" i="1"/>
  <c r="D117" i="1"/>
  <c r="B106" i="1"/>
  <c r="B92" i="1"/>
  <c r="B78" i="1"/>
  <c r="J83" i="1" s="1"/>
  <c r="G139" i="1" l="1"/>
  <c r="G141" i="1" s="1"/>
  <c r="G142" i="1" s="1"/>
  <c r="L160" i="1"/>
  <c r="K160" i="1"/>
  <c r="C95" i="1"/>
  <c r="D95" i="1" s="1"/>
  <c r="I92" i="1" s="1"/>
  <c r="I93" i="1" s="1"/>
  <c r="D81" i="1"/>
  <c r="D111" i="1"/>
  <c r="J116" i="1"/>
  <c r="J113" i="1"/>
  <c r="J115" i="1"/>
  <c r="J114" i="1"/>
  <c r="J111" i="1"/>
  <c r="J112" i="1" s="1"/>
  <c r="J117" i="1" s="1"/>
  <c r="J118" i="1" s="1"/>
  <c r="C110" i="1" s="1"/>
  <c r="E109" i="1" s="1"/>
  <c r="J102" i="1"/>
  <c r="J99" i="1"/>
  <c r="J101" i="1"/>
  <c r="J100" i="1"/>
  <c r="J97" i="1"/>
  <c r="J98" i="1" s="1"/>
  <c r="J87" i="1"/>
  <c r="J85" i="1"/>
  <c r="J86" i="1"/>
  <c r="J84" i="1"/>
  <c r="J89" i="1" s="1"/>
  <c r="J90" i="1" s="1"/>
  <c r="C82" i="1" s="1"/>
  <c r="J88" i="1"/>
  <c r="N160" i="1" l="1"/>
  <c r="O160" i="1" s="1"/>
  <c r="G95" i="1"/>
  <c r="J78" i="1"/>
  <c r="J103" i="1"/>
  <c r="J104" i="1" s="1"/>
  <c r="J92" i="1" s="1"/>
  <c r="I91" i="1" s="1"/>
  <c r="C93" i="1" s="1"/>
  <c r="D110" i="1"/>
  <c r="I106" i="1" s="1"/>
  <c r="J106" i="1"/>
  <c r="G109" i="1"/>
  <c r="E81" i="1"/>
  <c r="D82" i="1"/>
  <c r="I78" i="1" s="1"/>
  <c r="G81" i="1"/>
  <c r="D75" i="1" s="1"/>
  <c r="F76" i="1" l="1"/>
  <c r="D76" i="1"/>
  <c r="I107" i="1"/>
  <c r="I105" i="1" s="1"/>
  <c r="C107" i="1" s="1"/>
  <c r="I79" i="1"/>
  <c r="I77" i="1" s="1"/>
  <c r="C79" i="1" s="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7" authorId="1">
      <text>
        <r>
          <rPr>
            <b/>
            <sz val="9"/>
            <color indexed="81"/>
            <rFont val="Tahoma"/>
            <family val="2"/>
          </rPr>
          <t>SACHIN:</t>
        </r>
        <r>
          <rPr>
            <sz val="9"/>
            <color indexed="81"/>
            <rFont val="Tahoma"/>
            <family val="2"/>
          </rPr>
          <t xml:space="preserve">
Floor with height</t>
        </r>
      </text>
    </comment>
    <comment ref="C59" authorId="1">
      <text>
        <r>
          <rPr>
            <b/>
            <sz val="9"/>
            <color indexed="81"/>
            <rFont val="Tahoma"/>
            <family val="2"/>
          </rPr>
          <t>SACHIN:</t>
        </r>
        <r>
          <rPr>
            <sz val="9"/>
            <color indexed="81"/>
            <rFont val="Tahoma"/>
            <family val="2"/>
          </rPr>
          <t xml:space="preserve">
Survey Nos.</t>
        </r>
      </text>
    </comment>
    <comment ref="C61" authorId="1">
      <text>
        <r>
          <rPr>
            <b/>
            <sz val="9"/>
            <color indexed="81"/>
            <rFont val="Tahoma"/>
            <family val="2"/>
          </rPr>
          <t>SACHIN:</t>
        </r>
        <r>
          <rPr>
            <sz val="9"/>
            <color indexed="81"/>
            <rFont val="Tahoma"/>
            <family val="2"/>
          </rPr>
          <t xml:space="preserve">
Height from AMSL</t>
        </r>
      </text>
    </comment>
    <comment ref="D64"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4"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4"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<sst xmlns="http://schemas.openxmlformats.org/spreadsheetml/2006/main" count="673" uniqueCount="361">
  <si>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</si>
  <si>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</si>
  <si>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</si>
  <si>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</si>
  <si>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</si>
  <si>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</si>
  <si>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</si>
  <si>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</si>
  <si>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</si>
  <si>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</si>
  <si>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</si>
  <si>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</si>
  <si>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</si>
  <si>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</si>
  <si>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</si>
  <si>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</si>
  <si>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</si>
  <si>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</si>
  <si>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</si>
  <si>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</si>
  <si>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</si>
  <si>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</si>
  <si>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</si>
  <si>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</si>
  <si>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</si>
  <si>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</si>
  <si>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</si>
  <si>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</si>
  <si>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</si>
  <si>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</si>
  <si>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</si>
  <si>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</si>
  <si>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</si>
  <si>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</si>
  <si>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</si>
  <si>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</si>
  <si>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</si>
  <si>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</si>
  <si>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</si>
  <si>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</si>
  <si>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</si>
  <si>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</si>
  <si>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</si>
  <si>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</si>
  <si>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</si>
  <si>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</si>
  <si>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</si>
  <si>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</si>
  <si>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</si>
  <si>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</si>
  <si>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</si>
  <si>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</si>
  <si>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</si>
  <si>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</si>
  <si>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</si>
  <si>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</si>
  <si>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</si>
  <si>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</si>
  <si>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</si>
  <si>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</si>
  <si>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</si>
  <si>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</si>
  <si>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</si>
  <si>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</si>
  <si>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</si>
  <si>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</si>
  <si>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</si>
  <si>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</si>
  <si>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</si>
  <si>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</si>
  <si>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</si>
  <si>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</si>
  <si>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</si>
  <si>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</si>
  <si>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</si>
  <si>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</si>
  <si>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</si>
  <si>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</si>
  <si>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</si>
  <si>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</si>
  <si>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</si>
  <si>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</si>
  <si>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</si>
  <si>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</si>
  <si>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</si>
  <si>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</si>
  <si>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</si>
  <si>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</si>
  <si>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</si>
  <si>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</si>
  <si>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</si>
  <si>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</si>
  <si>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</si>
  <si>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</si>
  <si>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</si>
  <si>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</si>
  <si>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</si>
  <si>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</si>
  <si>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</si>
  <si>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</si>
  <si>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</si>
  <si>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</si>
  <si>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</si>
  <si>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</si>
  <si>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</si>
  <si>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</si>
  <si>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</si>
  <si>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</si>
  <si>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</si>
  <si>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</si>
  <si>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</si>
  <si>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</si>
  <si>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</si>
  <si>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</si>
  <si>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</si>
  <si>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</si>
  <si>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</si>
  <si>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</si>
  <si>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</si>
  <si>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</si>
  <si>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</si>
  <si>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</si>
  <si>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</si>
  <si>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</si>
  <si>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</si>
  <si>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</si>
  <si>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</si>
  <si>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</si>
  <si>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</si>
  <si>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</si>
  <si>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</si>
  <si>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</si>
  <si>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</si>
  <si>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</si>
  <si>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</si>
  <si>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</si>
  <si>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</si>
  <si>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</si>
  <si>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</si>
  <si>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</si>
  <si>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</si>
  <si>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</si>
  <si>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</si>
  <si>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</si>
  <si>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</si>
  <si>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</si>
  <si>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</si>
  <si>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</si>
  <si>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</si>
  <si>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</si>
  <si>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</si>
  <si>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</si>
  <si>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</si>
  <si>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</si>
  <si>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</si>
  <si>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</si>
  <si>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</si>
  <si>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</si>
  <si>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</si>
  <si>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</si>
  <si>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</si>
  <si>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</si>
  <si>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</si>
  <si>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</si>
  <si>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</si>
  <si>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</si>
  <si>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</si>
  <si>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</si>
  <si>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</si>
  <si>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</si>
  <si>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</si>
  <si>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</si>
  <si>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</si>
  <si>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</si>
  <si>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</si>
  <si>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</si>
  <si>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</si>
  <si>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</si>
  <si>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</si>
  <si>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</si>
  <si>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</si>
  <si>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</si>
  <si>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</si>
  <si>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</si>
  <si>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</si>
  <si>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</si>
  <si>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</si>
  <si>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</si>
  <si>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</si>
  <si>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</si>
  <si>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</si>
  <si>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</si>
  <si>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</si>
  <si>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</si>
  <si>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</si>
  <si>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</si>
  <si>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</si>
  <si>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</si>
  <si>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</si>
  <si>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</si>
  <si>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</si>
  <si>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</si>
  <si>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</si>
  <si>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</si>
  <si>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</si>
  <si>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</si>
  <si>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</si>
  <si>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</si>
  <si>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</si>
  <si>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</si>
  <si>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</si>
  <si>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</si>
  <si>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</si>
  <si>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</si>
  <si>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</si>
  <si>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</si>
  <si>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</si>
  <si>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</si>
  <si>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</si>
  <si>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</si>
  <si>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</si>
  <si>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</si>
  <si>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</si>
  <si>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</si>
  <si>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</si>
  <si>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</si>
  <si>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</si>
  <si>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</si>
  <si>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</si>
  <si>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</si>
  <si>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</si>
  <si>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</si>
  <si>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</si>
  <si>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</si>
  <si>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</si>
  <si>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</si>
  <si>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</si>
  <si>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</si>
  <si>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</si>
  <si>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</si>
  <si>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</si>
  <si>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</si>
  <si>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</si>
  <si>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</si>
  <si>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</si>
  <si>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</si>
  <si>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</si>
  <si>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</si>
  <si>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</si>
  <si>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</si>
  <si>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</si>
  <si>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</si>
  <si>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</si>
  <si>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</si>
  <si>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</si>
  <si>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</si>
  <si>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</si>
  <si>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</si>
  <si>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</si>
  <si>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</si>
  <si>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</si>
  <si>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</si>
  <si>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</si>
  <si>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</si>
  <si>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</si>
  <si>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</si>
  <si>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</si>
  <si>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</si>
  <si>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</si>
  <si>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</si>
  <si>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</si>
  <si>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</si>
  <si>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</si>
  <si>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</si>
  <si>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</si>
  <si>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</si>
  <si>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</si>
  <si>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</si>
  <si>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</si>
  <si>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</si>
  <si>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</si>
  <si>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</si>
  <si>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</si>
  <si>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</si>
  <si>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</si>
  <si>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</si>
  <si>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</si>
  <si>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</si>
  <si>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</si>
  <si>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</si>
  <si>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</si>
  <si>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</si>
  <si>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</si>
  <si>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</si>
  <si>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</si>
  <si>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</si>
  <si>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</si>
  <si>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</si>
  <si>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</si>
  <si>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</si>
  <si>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</si>
  <si>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</si>
  <si>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Thane Municipal Corporation (TMC)</t>
  </si>
  <si>
    <t>Kulgaon Badlapur Municipal Council</t>
  </si>
  <si>
    <t>Nainesh Tambe</t>
  </si>
  <si>
    <t>Swastik Realtors</t>
  </si>
  <si>
    <t>Swastik Divine</t>
  </si>
  <si>
    <t>P51800046801</t>
  </si>
  <si>
    <t>Building No. 1 &amp; 2 Divine Express CHS Ltd</t>
  </si>
  <si>
    <t>Navghar</t>
  </si>
  <si>
    <t>Mulund East</t>
  </si>
  <si>
    <t>Tata Colony</t>
  </si>
  <si>
    <t>Manisha Tower</t>
  </si>
  <si>
    <t>1.2KM from Mulund Railway Station</t>
  </si>
  <si>
    <t>Eastern Express HWY</t>
  </si>
  <si>
    <t>Veer Savarkar Rd/Tata Colony Rd</t>
  </si>
  <si>
    <t>Building</t>
  </si>
  <si>
    <t>18.30M Wide Existing Rd</t>
  </si>
  <si>
    <t>Other Plot</t>
  </si>
  <si>
    <t>https://maps.app.goo.gl/DsPkYDRQw7uZ8GG8A</t>
  </si>
  <si>
    <t>MH/EE/(BP)/GM/MHADA-12/1056/2024/FCC/1/Amend</t>
  </si>
  <si>
    <t>Now, this C.C. is granted for vertical extension from 19th floor to 20th upper Residential Floor with total building
ht.69.95mt. from AGL+LMR+OHT for both the Wings as per last approved Amended plans issued by MHADA on
dtd - 21.02.2022 vide u/no. MH/EE/B. P. Cell/GM/MHADA-12/1056/2022.</t>
  </si>
  <si>
    <t>Mhada-12/1056/2022</t>
  </si>
  <si>
    <t>As per RERA - 31/12/2026</t>
  </si>
  <si>
    <t xml:space="preserve">Fitness Center, Children Play Area, Senior's Zone, Indoor Games Area, Cctv Security, Gazebo, Intercom Facility, Parking, Garden &amp; Infinity Pool Area
</t>
  </si>
  <si>
    <r>
      <t xml:space="preserve">Proposed Amenities :                                                                                                                                                                                                                         </t>
    </r>
    <r>
      <rPr>
        <b/>
        <sz val="12"/>
        <color theme="1"/>
        <rFont val="Times New Roman"/>
        <family val="1"/>
      </rPr>
      <t xml:space="preserve">                                               </t>
    </r>
  </si>
  <si>
    <t>01 Building (Wing A &amp; B)</t>
  </si>
  <si>
    <t>02 Wings</t>
  </si>
  <si>
    <t>Ground Floor For Panel Room, Meter Room &amp; Parking</t>
  </si>
  <si>
    <t>1st Podium Floor For Parking</t>
  </si>
  <si>
    <t>2nd Podium Floor For Parking &amp; Fitness Center</t>
  </si>
  <si>
    <t>1st to 5th &amp; 7th to 12th Floor For Residential</t>
  </si>
  <si>
    <t>Wing A</t>
  </si>
  <si>
    <t>1BHK</t>
  </si>
  <si>
    <t>3BHK</t>
  </si>
  <si>
    <t>2BHK</t>
  </si>
  <si>
    <t>Wing B</t>
  </si>
  <si>
    <t>6th Floor (Part Refuge Area)</t>
  </si>
  <si>
    <t>Refuge Area</t>
  </si>
  <si>
    <t>-</t>
  </si>
  <si>
    <t>13th Floor (Part Refuge Area)</t>
  </si>
  <si>
    <t>14th Floor</t>
  </si>
  <si>
    <t>15th to 20th Floor</t>
  </si>
  <si>
    <r>
      <t xml:space="preserve">Shop No.
</t>
    </r>
    <r>
      <rPr>
        <b/>
        <sz val="11"/>
        <color theme="1"/>
        <rFont val="Times New Roman"/>
        <family val="1"/>
      </rPr>
      <t>(Approved Plan)</t>
    </r>
  </si>
  <si>
    <r>
      <t xml:space="preserve">Flat No.
</t>
    </r>
    <r>
      <rPr>
        <b/>
        <sz val="11"/>
        <color theme="1"/>
        <rFont val="Times New Roman"/>
        <family val="1"/>
      </rPr>
      <t>(Approved Plan)</t>
    </r>
  </si>
  <si>
    <t>Carpet area+ Dry Balcony + Balcony</t>
  </si>
  <si>
    <t>We considered Gross carpet area = Net carpet + Dry balcony + Balcony.</t>
  </si>
  <si>
    <t>Flats -176</t>
  </si>
  <si>
    <t xml:space="preserve">Please check for Highway Noc.
</t>
  </si>
  <si>
    <t>6 to 7L</t>
  </si>
  <si>
    <t>14 to 16K</t>
  </si>
  <si>
    <t xml:space="preserve">Wing A &amp; B = Gr + 2P + 1st to 20th Floor
</t>
  </si>
  <si>
    <t>MH/EE/(BP)/GM/MHADA-12/1056/2023/FCC/1/New</t>
  </si>
  <si>
    <t>This C.C. is granted for Further extension from Ground Floor for meter room and stilt for parking +2 level podium Floor for parking and amenity use + 1st to 18th upper residential floor for Two wings{i.e. for building comprising of Two wings designated as Wing'A' consist of Stilt floor(pt),Ground floor (pt)+ 2 level Podium floors +1st to 18th floor(for residential use) &amp; Wing'B' consist of Stilt floor(pt),ground floor (pt)+ 2 level Podium floors +1st to 18th floor(for residential use) having total height 64.05 mt.AGL for each wing as per last approved Amended plans issued by MHADA on dtd.21 Feb.2022 vide u/no. MH/EE/B.P.Cell/GM/MHADA12/1056/2022 }.</t>
  </si>
  <si>
    <t>Approved Plans, CC, Sale Plans.</t>
  </si>
  <si>
    <t>1265 (Pt), S.No. 82/2(Pt), Redevelopement of "Building No. 1 &amp; 2 Divine Express CHS Ltd"</t>
  </si>
  <si>
    <t>19.164841,72.963358</t>
  </si>
  <si>
    <t xml:space="preserve">Validity of CC is expired on 14/06/2024. Please provide revised CC.
</t>
  </si>
  <si>
    <t xml:space="preserve">Mr. Abhishek sabale sales 7715940069 </t>
  </si>
  <si>
    <t>Shruti Tathare</t>
  </si>
  <si>
    <t>Finishing work is in process.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</si>
</sst>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10">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4" fillId="0" borderId="1" xfId="1" applyFont="1" applyBorder="1" applyAlignment="1" applyProtection="1">
      <alignment horizontal="center" vertical="top"/>
      <protection locked="0"/>
    </xf>
    <xf numFmtId="0" fontId="16" fillId="0" borderId="10" xfId="0" applyFont="1" applyBorder="1" applyProtection="1">
      <protection hidden="1"/>
    </xf>
    <xf numFmtId="0" fontId="11" fillId="0" borderId="3"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6"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9" xfId="1" applyFont="1" applyBorder="1"/>
    <xf numFmtId="0" fontId="16"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2" fillId="2" borderId="28" xfId="0" applyFont="1" applyFill="1" applyBorder="1"/>
    <xf numFmtId="0" fontId="23" fillId="0" borderId="29" xfId="0" applyFont="1" applyBorder="1"/>
    <xf numFmtId="0" fontId="23" fillId="0" borderId="1" xfId="0" applyFont="1" applyBorder="1"/>
    <xf numFmtId="0" fontId="23" fillId="0" borderId="4" xfId="0" applyFont="1" applyBorder="1"/>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0" fontId="0" fillId="0" borderId="23" xfId="0" applyFill="1" applyBorder="1"/>
    <xf numFmtId="0" fontId="0" fillId="0" borderId="7" xfId="0" applyBorder="1"/>
    <xf numFmtId="0" fontId="0" fillId="0" borderId="1" xfId="0" applyBorder="1" applyAlignment="1">
      <alignment vertical="top" wrapText="1"/>
    </xf>
    <xf numFmtId="0" fontId="0" fillId="0" borderId="1" xfId="0" applyFill="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0" fontId="6" fillId="0" borderId="0" xfId="1" applyFont="1" applyAlignment="1">
      <alignment horizontal="center" vertical="center"/>
    </xf>
    <xf numFmtId="0" fontId="6"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6" fillId="0" borderId="4"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top" wrapText="1"/>
      <protection locked="0"/>
    </xf>
    <xf numFmtId="9" fontId="9" fillId="0" borderId="1" xfId="8" applyFont="1" applyFill="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3"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12" fillId="0" borderId="4"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1" fontId="6" fillId="0" borderId="1" xfId="0" applyNumberFormat="1" applyFont="1" applyBorder="1" applyAlignment="1" applyProtection="1">
      <alignment horizontal="center" vertical="top" wrapText="1"/>
      <protection locked="0"/>
    </xf>
    <xf numFmtId="167" fontId="6"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9" fillId="0" borderId="7" xfId="1" applyFont="1" applyBorder="1" applyAlignment="1" applyProtection="1">
      <alignment horizontal="left" vertical="top"/>
      <protection locked="0"/>
    </xf>
    <xf numFmtId="0" fontId="9" fillId="0" borderId="20"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9" fontId="6" fillId="0" borderId="16"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3" xfId="8" applyFont="1" applyFill="1" applyBorder="1" applyAlignment="1" applyProtection="1">
      <alignment horizontal="center" vertical="center" wrapText="1"/>
      <protection locked="0"/>
    </xf>
    <xf numFmtId="9" fontId="6" fillId="0" borderId="9"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11" xfId="8" applyFont="1" applyFill="1" applyBorder="1" applyAlignment="1" applyProtection="1">
      <alignment horizontal="center" vertical="center" wrapText="1"/>
      <protection locked="0"/>
    </xf>
    <xf numFmtId="167" fontId="11" fillId="0" borderId="1" xfId="9" applyNumberFormat="1" applyFont="1" applyFill="1" applyBorder="1" applyAlignment="1" applyProtection="1">
      <alignment horizontal="left" vertical="top"/>
      <protection locked="0"/>
    </xf>
    <xf numFmtId="1" fontId="9" fillId="0" borderId="1" xfId="1" applyNumberFormat="1" applyFont="1" applyBorder="1" applyAlignment="1" applyProtection="1">
      <alignment horizontal="center" vertical="top" wrapText="1"/>
      <protection locked="0"/>
    </xf>
    <xf numFmtId="0" fontId="7" fillId="0" borderId="15" xfId="1" applyFont="1" applyBorder="1" applyAlignment="1" applyProtection="1">
      <alignment horizontal="left" vertical="top"/>
      <protection locked="0"/>
    </xf>
    <xf numFmtId="0" fontId="6" fillId="0" borderId="4" xfId="1" applyFont="1" applyBorder="1" applyAlignment="1" applyProtection="1">
      <alignment horizontal="center" vertical="top" wrapText="1"/>
      <protection locked="0"/>
    </xf>
    <xf numFmtId="0" fontId="12" fillId="0" borderId="3"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 fontId="28" fillId="0" borderId="1" xfId="1" applyNumberFormat="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0" fontId="24"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7" fillId="0" borderId="15" xfId="1" applyFont="1" applyBorder="1" applyAlignment="1" applyProtection="1">
      <alignment horizontal="center" vertical="top"/>
      <protection locked="0"/>
    </xf>
    <xf numFmtId="0" fontId="6" fillId="0" borderId="0" xfId="1" applyFont="1" applyAlignment="1">
      <alignment horizontal="center" vertical="center"/>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7" fillId="0" borderId="31" xfId="0"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top" wrapText="1"/>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0" fontId="7" fillId="0" borderId="21"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22"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9" fillId="0" borderId="4"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1" fontId="9"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5" fillId="0" borderId="20"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6"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9" fillId="0" borderId="7" xfId="0" applyNumberFormat="1" applyFont="1" applyBorder="1" applyAlignment="1" applyProtection="1">
      <alignment vertical="top" wrapText="1"/>
      <protection locked="0"/>
    </xf>
    <xf numFmtId="1" fontId="9" fillId="0" borderId="20" xfId="0" applyNumberFormat="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1" fontId="7" fillId="0" borderId="30" xfId="0" applyNumberFormat="1" applyFont="1" applyBorder="1" applyAlignment="1" applyProtection="1">
      <alignment horizontal="center" vertical="center" wrapText="1"/>
      <protection locked="0"/>
    </xf>
    <xf numFmtId="1" fontId="7" fillId="0" borderId="31" xfId="0" applyNumberFormat="1" applyFont="1" applyBorder="1" applyAlignment="1" applyProtection="1">
      <alignment horizontal="center" vertical="center" wrapText="1"/>
      <protection locked="0"/>
    </xf>
    <xf numFmtId="0" fontId="9" fillId="0" borderId="31" xfId="0" applyFont="1" applyBorder="1" applyAlignment="1" applyProtection="1">
      <alignment horizontal="center" vertical="center"/>
      <protection locked="0"/>
    </xf>
    <xf numFmtId="0" fontId="9" fillId="0" borderId="31" xfId="0"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12" fillId="0" borderId="7" xfId="0" applyNumberFormat="1" applyFont="1" applyBorder="1" applyAlignment="1" applyProtection="1">
      <alignment vertical="top" wrapText="1"/>
      <protection locked="0"/>
    </xf>
    <xf numFmtId="1" fontId="12" fillId="0" borderId="20"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1" fontId="9" fillId="0" borderId="1" xfId="0" applyNumberFormat="1" applyFont="1" applyBorder="1" applyAlignment="1" applyProtection="1">
      <alignment horizontal="center" vertical="center"/>
      <protection locked="0"/>
    </xf>
    <xf numFmtId="1" fontId="7" fillId="0" borderId="1" xfId="1" applyNumberFormat="1" applyFont="1" applyBorder="1" applyAlignment="1" applyProtection="1">
      <alignment horizontal="center" vertical="center" wrapText="1"/>
      <protection locked="0"/>
    </xf>
    <xf numFmtId="14" fontId="5" fillId="0" borderId="7"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6" fillId="0" borderId="23" xfId="1" applyFont="1" applyBorder="1" applyAlignment="1">
      <alignment horizontal="center"/>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5" fillId="0" borderId="2" xfId="1" applyFont="1" applyBorder="1" applyAlignment="1" applyProtection="1">
      <alignment horizontal="left" vertical="top"/>
      <protection locked="0"/>
    </xf>
    <xf numFmtId="1" fontId="5" fillId="0" borderId="20" xfId="1" applyNumberFormat="1" applyFont="1" applyBorder="1" applyAlignment="1" applyProtection="1">
      <alignment horizontal="center" vertical="center" wrapText="1"/>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8</xdr:col>
      <xdr:colOff>314325</xdr:colOff>
      <xdr:row>8</xdr:row>
      <xdr:rowOff>161925</xdr:rowOff>
    </xdr:from>
    <xdr:to>
      <xdr:col>14</xdr:col>
      <xdr:colOff>667828</xdr:colOff>
      <xdr:row>15</xdr:row>
      <xdr:rowOff>141976</xdr:rowOff>
    </xdr:to>
    <xdr:pic>
      <xdr:nvPicPr>
        <xdr:cNvPr id="2" name="Picture 1"/>
        <xdr:cNvPicPr>
          <a:picLocks noChangeAspect="1"/>
        </xdr:cNvPicPr>
      </xdr:nvPicPr>
      <xdr:blipFill rotWithShape="1">
        <a:blip xmlns:r="http://schemas.openxmlformats.org/officeDocument/2006/relationships" r:embed="rId1"/>
        <a:srcRect l="27757" t="44575" r="29702" b="36557"/>
        <a:stretch/>
      </xdr:blipFill>
      <xdr:spPr>
        <a:xfrm>
          <a:off x="6629400" y="2143125"/>
          <a:ext cx="5535103" cy="1380226"/>
        </a:xfrm>
        <a:prstGeom prst="rect">
          <a:avLst/>
        </a:prstGeom>
        <a:ln>
          <a:solidFill>
            <a:schemeClr val="tx1"/>
          </a:solidFill>
        </a:ln>
      </xdr:spPr>
    </xdr:pic>
    <xdr:clientData/>
  </xdr:twoCellAnchor>
  <xdr:twoCellAnchor editAs="oneCell">
    <xdr:from>
      <xdr:col>1</xdr:col>
      <xdr:colOff>69773</xdr:colOff>
      <xdr:row>329</xdr:row>
      <xdr:rowOff>19050</xdr:rowOff>
    </xdr:from>
    <xdr:to>
      <xdr:col>6</xdr:col>
      <xdr:colOff>659797</xdr:colOff>
      <xdr:row>343</xdr:row>
      <xdr:rowOff>98700</xdr:rowOff>
    </xdr:to>
    <xdr:pic>
      <xdr:nvPicPr>
        <xdr:cNvPr id="3" name="Picture 2"/>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831773" y="65455800"/>
          <a:ext cx="4676249" cy="2880000"/>
        </a:xfrm>
        <a:prstGeom prst="rect">
          <a:avLst/>
        </a:prstGeom>
        <a:ln>
          <a:solidFill>
            <a:schemeClr val="tx1"/>
          </a:solidFill>
        </a:ln>
      </xdr:spPr>
    </xdr:pic>
    <xdr:clientData/>
  </xdr:twoCellAnchor>
  <xdr:twoCellAnchor editAs="oneCell">
    <xdr:from>
      <xdr:col>0</xdr:col>
      <xdr:colOff>438150</xdr:colOff>
      <xdr:row>287</xdr:row>
      <xdr:rowOff>9526</xdr:rowOff>
    </xdr:from>
    <xdr:to>
      <xdr:col>7</xdr:col>
      <xdr:colOff>256500</xdr:colOff>
      <xdr:row>314</xdr:row>
      <xdr:rowOff>193240</xdr:rowOff>
    </xdr:to>
    <xdr:pic>
      <xdr:nvPicPr>
        <xdr:cNvPr id="11" name="Picture 10"/>
        <xdr:cNvPicPr>
          <a:picLocks noChangeAspect="1"/>
        </xdr:cNvPicPr>
      </xdr:nvPicPr>
      <xdr:blipFill rotWithShape="1">
        <a:blip xmlns:r="http://schemas.openxmlformats.org/officeDocument/2006/relationships" r:embed="rId3"/>
        <a:srcRect l="17016" t="25708" r="54873" b="25943"/>
        <a:stretch/>
      </xdr:blipFill>
      <xdr:spPr>
        <a:xfrm rot="5400000">
          <a:off x="345955" y="52127271"/>
          <a:ext cx="5584389" cy="5400000"/>
        </a:xfrm>
        <a:prstGeom prst="rect">
          <a:avLst/>
        </a:prstGeom>
        <a:ln>
          <a:solidFill>
            <a:schemeClr val="tx1"/>
          </a:solidFill>
        </a:ln>
      </xdr:spPr>
    </xdr:pic>
    <xdr:clientData/>
  </xdr:twoCellAnchor>
  <xdr:twoCellAnchor editAs="oneCell">
    <xdr:from>
      <xdr:col>0</xdr:col>
      <xdr:colOff>476250</xdr:colOff>
      <xdr:row>343</xdr:row>
      <xdr:rowOff>190500</xdr:rowOff>
    </xdr:from>
    <xdr:to>
      <xdr:col>7</xdr:col>
      <xdr:colOff>479215</xdr:colOff>
      <xdr:row>363</xdr:row>
      <xdr:rowOff>150000</xdr:rowOff>
    </xdr:to>
    <xdr:pic>
      <xdr:nvPicPr>
        <xdr:cNvPr id="12" name="Picture 11"/>
        <xdr:cNvPicPr>
          <a:picLocks noChangeAspect="1"/>
        </xdr:cNvPicPr>
      </xdr:nvPicPr>
      <xdr:blipFill rotWithShape="1">
        <a:blip xmlns:r="http://schemas.openxmlformats.org/officeDocument/2006/relationships" r:embed="rId4"/>
        <a:srcRect l="40619" t="44339" r="30210" b="18868"/>
        <a:stretch/>
      </xdr:blipFill>
      <xdr:spPr>
        <a:xfrm>
          <a:off x="476250" y="64646175"/>
          <a:ext cx="5584615" cy="3960000"/>
        </a:xfrm>
        <a:prstGeom prst="rect">
          <a:avLst/>
        </a:prstGeom>
        <a:ln>
          <a:solidFill>
            <a:schemeClr val="tx1"/>
          </a:solidFill>
        </a:ln>
      </xdr:spPr>
    </xdr:pic>
    <xdr:clientData/>
  </xdr:twoCellAnchor>
  <xdr:twoCellAnchor>
    <xdr:from>
      <xdr:col>3</xdr:col>
      <xdr:colOff>339416</xdr:colOff>
      <xdr:row>351</xdr:row>
      <xdr:rowOff>63402</xdr:rowOff>
    </xdr:from>
    <xdr:to>
      <xdr:col>4</xdr:col>
      <xdr:colOff>291791</xdr:colOff>
      <xdr:row>357</xdr:row>
      <xdr:rowOff>130114</xdr:rowOff>
    </xdr:to>
    <xdr:sp macro="" textlink="">
      <xdr:nvSpPr>
        <xdr:cNvPr id="13" name="Rectangle 12"/>
        <xdr:cNvSpPr/>
      </xdr:nvSpPr>
      <xdr:spPr>
        <a:xfrm rot="2017024">
          <a:off x="2748681" y="66603931"/>
          <a:ext cx="871257" cy="1276948"/>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9</xdr:col>
      <xdr:colOff>33617</xdr:colOff>
      <xdr:row>353</xdr:row>
      <xdr:rowOff>44824</xdr:rowOff>
    </xdr:from>
    <xdr:to>
      <xdr:col>10</xdr:col>
      <xdr:colOff>186017</xdr:colOff>
      <xdr:row>357</xdr:row>
      <xdr:rowOff>152400</xdr:rowOff>
    </xdr:to>
    <xdr:cxnSp macro="">
      <xdr:nvCxnSpPr>
        <xdr:cNvPr id="15" name="Straight Connector 14"/>
        <xdr:cNvCxnSpPr/>
      </xdr:nvCxnSpPr>
      <xdr:spPr>
        <a:xfrm>
          <a:off x="7507941" y="66988765"/>
          <a:ext cx="914400" cy="914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704850</xdr:colOff>
      <xdr:row>272</xdr:row>
      <xdr:rowOff>171450</xdr:rowOff>
    </xdr:from>
    <xdr:to>
      <xdr:col>7</xdr:col>
      <xdr:colOff>62419</xdr:colOff>
      <xdr:row>283</xdr:row>
      <xdr:rowOff>131175</xdr:rowOff>
    </xdr:to>
    <xdr:pic>
      <xdr:nvPicPr>
        <xdr:cNvPr id="21" name="Picture 20" descr="https://vsjcllp.vsjadon.com/upload/insp-246632-152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048125" y="4985385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323850</xdr:colOff>
      <xdr:row>243</xdr:row>
      <xdr:rowOff>38100</xdr:rowOff>
    </xdr:from>
    <xdr:to>
      <xdr:col>3</xdr:col>
      <xdr:colOff>598043</xdr:colOff>
      <xdr:row>261</xdr:row>
      <xdr:rowOff>28575</xdr:rowOff>
    </xdr:to>
    <xdr:pic>
      <xdr:nvPicPr>
        <xdr:cNvPr id="22" name="Picture 21" descr="https://vsjcllp.vsjadon.com/upload/insp-246632-843.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23850" y="43929300"/>
          <a:ext cx="2693543" cy="35814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704850</xdr:colOff>
      <xdr:row>243</xdr:row>
      <xdr:rowOff>38100</xdr:rowOff>
    </xdr:from>
    <xdr:to>
      <xdr:col>7</xdr:col>
      <xdr:colOff>207518</xdr:colOff>
      <xdr:row>261</xdr:row>
      <xdr:rowOff>28575</xdr:rowOff>
    </xdr:to>
    <xdr:pic>
      <xdr:nvPicPr>
        <xdr:cNvPr id="24" name="Picture 23" descr="https://vsjcllp.vsjadon.com/upload/insp-246632-844.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124200" y="43929300"/>
          <a:ext cx="2693543" cy="35814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590550</xdr:colOff>
      <xdr:row>261</xdr:row>
      <xdr:rowOff>123825</xdr:rowOff>
    </xdr:from>
    <xdr:to>
      <xdr:col>2</xdr:col>
      <xdr:colOff>652969</xdr:colOff>
      <xdr:row>272</xdr:row>
      <xdr:rowOff>83550</xdr:rowOff>
    </xdr:to>
    <xdr:pic>
      <xdr:nvPicPr>
        <xdr:cNvPr id="25" name="Picture 24" descr="https://vsjcllp.vsjadon.com/upload/insp-246632-849.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590550" y="4760595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752475</xdr:colOff>
      <xdr:row>261</xdr:row>
      <xdr:rowOff>114300</xdr:rowOff>
    </xdr:from>
    <xdr:to>
      <xdr:col>4</xdr:col>
      <xdr:colOff>595819</xdr:colOff>
      <xdr:row>272</xdr:row>
      <xdr:rowOff>74025</xdr:rowOff>
    </xdr:to>
    <xdr:pic>
      <xdr:nvPicPr>
        <xdr:cNvPr id="26" name="Picture 25" descr="https://vsjcllp.vsjadon.com/upload/insp-246632-86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314575" y="4759642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714375</xdr:colOff>
      <xdr:row>261</xdr:row>
      <xdr:rowOff>114300</xdr:rowOff>
    </xdr:from>
    <xdr:to>
      <xdr:col>7</xdr:col>
      <xdr:colOff>71944</xdr:colOff>
      <xdr:row>272</xdr:row>
      <xdr:rowOff>74025</xdr:rowOff>
    </xdr:to>
    <xdr:pic>
      <xdr:nvPicPr>
        <xdr:cNvPr id="34" name="Picture 33" descr="https://vsjcllp.vsjadon.com/upload/insp-246632-862.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057650" y="4759642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609600</xdr:colOff>
      <xdr:row>272</xdr:row>
      <xdr:rowOff>161925</xdr:rowOff>
    </xdr:from>
    <xdr:to>
      <xdr:col>2</xdr:col>
      <xdr:colOff>672019</xdr:colOff>
      <xdr:row>283</xdr:row>
      <xdr:rowOff>121650</xdr:rowOff>
    </xdr:to>
    <xdr:pic>
      <xdr:nvPicPr>
        <xdr:cNvPr id="35" name="Picture 34" descr="https://vsjcllp.vsjadon.com/upload/insp-246632-88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609600" y="4984432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771525</xdr:colOff>
      <xdr:row>272</xdr:row>
      <xdr:rowOff>171450</xdr:rowOff>
    </xdr:from>
    <xdr:to>
      <xdr:col>4</xdr:col>
      <xdr:colOff>614869</xdr:colOff>
      <xdr:row>283</xdr:row>
      <xdr:rowOff>131175</xdr:rowOff>
    </xdr:to>
    <xdr:pic>
      <xdr:nvPicPr>
        <xdr:cNvPr id="36" name="Picture 35" descr="https://vsjcllp.vsjadon.com/upload/insp-246632-93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333625" y="4985385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DsPkYDRQw7uZ8GG8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27"/>
  <sheetViews>
    <sheetView tabSelected="1" view="pageBreakPreview" zoomScaleNormal="100" zoomScaleSheetLayoutView="100" zoomScalePageLayoutView="85" workbookViewId="0">
      <selection activeCell="L19" sqref="L19"/>
    </sheetView>
  </sheetViews>
  <sheetFormatPr defaultColWidth="9.140625" defaultRowHeight="15.75" x14ac:dyDescent="0.25"/>
  <cols>
    <col min="1" max="1" width="11.42578125" style="40" customWidth="1"/>
    <col min="2" max="2" width="12" style="40" customWidth="1"/>
    <col min="3" max="3" width="12.85546875" style="40" customWidth="1"/>
    <col min="4" max="4" width="13.85546875" style="40" customWidth="1"/>
    <col min="5" max="5" width="11.855468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85546875" style="21" customWidth="1"/>
    <col min="17" max="18" width="9.140625" style="21"/>
    <col min="19" max="19" width="10.85546875" style="21" bestFit="1" customWidth="1"/>
    <col min="20" max="20" width="10.85546875" style="21" customWidth="1"/>
    <col min="21" max="247" width="9.140625" style="21"/>
    <col min="248" max="248" width="8.85546875" style="21" customWidth="1"/>
    <col min="249" max="249" width="9.85546875" style="21" customWidth="1"/>
    <col min="250" max="250" width="14.42578125" style="21" customWidth="1"/>
    <col min="251" max="251" width="7.140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85546875" style="21" customWidth="1"/>
    <col min="505" max="505" width="9.85546875" style="21" customWidth="1"/>
    <col min="506" max="506" width="14.42578125" style="21" customWidth="1"/>
    <col min="507" max="507" width="7.140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85546875" style="21" customWidth="1"/>
    <col min="761" max="761" width="9.85546875" style="21" customWidth="1"/>
    <col min="762" max="762" width="14.42578125" style="21" customWidth="1"/>
    <col min="763" max="763" width="7.140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85546875" style="21" customWidth="1"/>
    <col min="1017" max="1017" width="9.85546875" style="21" customWidth="1"/>
    <col min="1018" max="1018" width="14.42578125" style="21" customWidth="1"/>
    <col min="1019" max="1019" width="7.140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85546875" style="21" customWidth="1"/>
    <col min="1273" max="1273" width="9.85546875" style="21" customWidth="1"/>
    <col min="1274" max="1274" width="14.42578125" style="21" customWidth="1"/>
    <col min="1275" max="1275" width="7.140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85546875" style="21" customWidth="1"/>
    <col min="1529" max="1529" width="9.85546875" style="21" customWidth="1"/>
    <col min="1530" max="1530" width="14.42578125" style="21" customWidth="1"/>
    <col min="1531" max="1531" width="7.140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85546875" style="21" customWidth="1"/>
    <col min="1785" max="1785" width="9.85546875" style="21" customWidth="1"/>
    <col min="1786" max="1786" width="14.42578125" style="21" customWidth="1"/>
    <col min="1787" max="1787" width="7.140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85546875" style="21" customWidth="1"/>
    <col min="2041" max="2041" width="9.85546875" style="21" customWidth="1"/>
    <col min="2042" max="2042" width="14.42578125" style="21" customWidth="1"/>
    <col min="2043" max="2043" width="7.140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85546875" style="21" customWidth="1"/>
    <col min="2297" max="2297" width="9.85546875" style="21" customWidth="1"/>
    <col min="2298" max="2298" width="14.42578125" style="21" customWidth="1"/>
    <col min="2299" max="2299" width="7.140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85546875" style="21" customWidth="1"/>
    <col min="2553" max="2553" width="9.85546875" style="21" customWidth="1"/>
    <col min="2554" max="2554" width="14.42578125" style="21" customWidth="1"/>
    <col min="2555" max="2555" width="7.140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85546875" style="21" customWidth="1"/>
    <col min="2809" max="2809" width="9.85546875" style="21" customWidth="1"/>
    <col min="2810" max="2810" width="14.42578125" style="21" customWidth="1"/>
    <col min="2811" max="2811" width="7.140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85546875" style="21" customWidth="1"/>
    <col min="3065" max="3065" width="9.85546875" style="21" customWidth="1"/>
    <col min="3066" max="3066" width="14.42578125" style="21" customWidth="1"/>
    <col min="3067" max="3067" width="7.140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85546875" style="21" customWidth="1"/>
    <col min="3321" max="3321" width="9.85546875" style="21" customWidth="1"/>
    <col min="3322" max="3322" width="14.42578125" style="21" customWidth="1"/>
    <col min="3323" max="3323" width="7.140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85546875" style="21" customWidth="1"/>
    <col min="3577" max="3577" width="9.85546875" style="21" customWidth="1"/>
    <col min="3578" max="3578" width="14.42578125" style="21" customWidth="1"/>
    <col min="3579" max="3579" width="7.140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85546875" style="21" customWidth="1"/>
    <col min="3833" max="3833" width="9.85546875" style="21" customWidth="1"/>
    <col min="3834" max="3834" width="14.42578125" style="21" customWidth="1"/>
    <col min="3835" max="3835" width="7.140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85546875" style="21" customWidth="1"/>
    <col min="4089" max="4089" width="9.85546875" style="21" customWidth="1"/>
    <col min="4090" max="4090" width="14.42578125" style="21" customWidth="1"/>
    <col min="4091" max="4091" width="7.140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85546875" style="21" customWidth="1"/>
    <col min="4345" max="4345" width="9.85546875" style="21" customWidth="1"/>
    <col min="4346" max="4346" width="14.42578125" style="21" customWidth="1"/>
    <col min="4347" max="4347" width="7.140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85546875" style="21" customWidth="1"/>
    <col min="4601" max="4601" width="9.85546875" style="21" customWidth="1"/>
    <col min="4602" max="4602" width="14.42578125" style="21" customWidth="1"/>
    <col min="4603" max="4603" width="7.140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85546875" style="21" customWidth="1"/>
    <col min="4857" max="4857" width="9.85546875" style="21" customWidth="1"/>
    <col min="4858" max="4858" width="14.42578125" style="21" customWidth="1"/>
    <col min="4859" max="4859" width="7.140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85546875" style="21" customWidth="1"/>
    <col min="5113" max="5113" width="9.85546875" style="21" customWidth="1"/>
    <col min="5114" max="5114" width="14.42578125" style="21" customWidth="1"/>
    <col min="5115" max="5115" width="7.140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85546875" style="21" customWidth="1"/>
    <col min="5369" max="5369" width="9.85546875" style="21" customWidth="1"/>
    <col min="5370" max="5370" width="14.42578125" style="21" customWidth="1"/>
    <col min="5371" max="5371" width="7.140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85546875" style="21" customWidth="1"/>
    <col min="5625" max="5625" width="9.85546875" style="21" customWidth="1"/>
    <col min="5626" max="5626" width="14.42578125" style="21" customWidth="1"/>
    <col min="5627" max="5627" width="7.140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85546875" style="21" customWidth="1"/>
    <col min="5881" max="5881" width="9.85546875" style="21" customWidth="1"/>
    <col min="5882" max="5882" width="14.42578125" style="21" customWidth="1"/>
    <col min="5883" max="5883" width="7.140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85546875" style="21" customWidth="1"/>
    <col min="6137" max="6137" width="9.85546875" style="21" customWidth="1"/>
    <col min="6138" max="6138" width="14.42578125" style="21" customWidth="1"/>
    <col min="6139" max="6139" width="7.140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85546875" style="21" customWidth="1"/>
    <col min="6393" max="6393" width="9.85546875" style="21" customWidth="1"/>
    <col min="6394" max="6394" width="14.42578125" style="21" customWidth="1"/>
    <col min="6395" max="6395" width="7.140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85546875" style="21" customWidth="1"/>
    <col min="6649" max="6649" width="9.85546875" style="21" customWidth="1"/>
    <col min="6650" max="6650" width="14.42578125" style="21" customWidth="1"/>
    <col min="6651" max="6651" width="7.140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85546875" style="21" customWidth="1"/>
    <col min="6905" max="6905" width="9.85546875" style="21" customWidth="1"/>
    <col min="6906" max="6906" width="14.42578125" style="21" customWidth="1"/>
    <col min="6907" max="6907" width="7.140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85546875" style="21" customWidth="1"/>
    <col min="7161" max="7161" width="9.85546875" style="21" customWidth="1"/>
    <col min="7162" max="7162" width="14.42578125" style="21" customWidth="1"/>
    <col min="7163" max="7163" width="7.140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85546875" style="21" customWidth="1"/>
    <col min="7417" max="7417" width="9.85546875" style="21" customWidth="1"/>
    <col min="7418" max="7418" width="14.42578125" style="21" customWidth="1"/>
    <col min="7419" max="7419" width="7.140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85546875" style="21" customWidth="1"/>
    <col min="7673" max="7673" width="9.85546875" style="21" customWidth="1"/>
    <col min="7674" max="7674" width="14.42578125" style="21" customWidth="1"/>
    <col min="7675" max="7675" width="7.140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85546875" style="21" customWidth="1"/>
    <col min="7929" max="7929" width="9.85546875" style="21" customWidth="1"/>
    <col min="7930" max="7930" width="14.42578125" style="21" customWidth="1"/>
    <col min="7931" max="7931" width="7.140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85546875" style="21" customWidth="1"/>
    <col min="8185" max="8185" width="9.85546875" style="21" customWidth="1"/>
    <col min="8186" max="8186" width="14.42578125" style="21" customWidth="1"/>
    <col min="8187" max="8187" width="7.140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85546875" style="21" customWidth="1"/>
    <col min="8441" max="8441" width="9.85546875" style="21" customWidth="1"/>
    <col min="8442" max="8442" width="14.42578125" style="21" customWidth="1"/>
    <col min="8443" max="8443" width="7.140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85546875" style="21" customWidth="1"/>
    <col min="8697" max="8697" width="9.85546875" style="21" customWidth="1"/>
    <col min="8698" max="8698" width="14.42578125" style="21" customWidth="1"/>
    <col min="8699" max="8699" width="7.140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85546875" style="21" customWidth="1"/>
    <col min="8953" max="8953" width="9.85546875" style="21" customWidth="1"/>
    <col min="8954" max="8954" width="14.42578125" style="21" customWidth="1"/>
    <col min="8955" max="8955" width="7.140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85546875" style="21" customWidth="1"/>
    <col min="9209" max="9209" width="9.85546875" style="21" customWidth="1"/>
    <col min="9210" max="9210" width="14.42578125" style="21" customWidth="1"/>
    <col min="9211" max="9211" width="7.140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85546875" style="21" customWidth="1"/>
    <col min="9465" max="9465" width="9.85546875" style="21" customWidth="1"/>
    <col min="9466" max="9466" width="14.42578125" style="21" customWidth="1"/>
    <col min="9467" max="9467" width="7.140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85546875" style="21" customWidth="1"/>
    <col min="9721" max="9721" width="9.85546875" style="21" customWidth="1"/>
    <col min="9722" max="9722" width="14.42578125" style="21" customWidth="1"/>
    <col min="9723" max="9723" width="7.140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85546875" style="21" customWidth="1"/>
    <col min="9977" max="9977" width="9.85546875" style="21" customWidth="1"/>
    <col min="9978" max="9978" width="14.42578125" style="21" customWidth="1"/>
    <col min="9979" max="9979" width="7.140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85546875" style="21" customWidth="1"/>
    <col min="10233" max="10233" width="9.85546875" style="21" customWidth="1"/>
    <col min="10234" max="10234" width="14.42578125" style="21" customWidth="1"/>
    <col min="10235" max="10235" width="7.140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85546875" style="21" customWidth="1"/>
    <col min="10489" max="10489" width="9.85546875" style="21" customWidth="1"/>
    <col min="10490" max="10490" width="14.42578125" style="21" customWidth="1"/>
    <col min="10491" max="10491" width="7.140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85546875" style="21" customWidth="1"/>
    <col min="10745" max="10745" width="9.85546875" style="21" customWidth="1"/>
    <col min="10746" max="10746" width="14.42578125" style="21" customWidth="1"/>
    <col min="10747" max="10747" width="7.140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85546875" style="21" customWidth="1"/>
    <col min="11001" max="11001" width="9.85546875" style="21" customWidth="1"/>
    <col min="11002" max="11002" width="14.42578125" style="21" customWidth="1"/>
    <col min="11003" max="11003" width="7.140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85546875" style="21" customWidth="1"/>
    <col min="11257" max="11257" width="9.85546875" style="21" customWidth="1"/>
    <col min="11258" max="11258" width="14.42578125" style="21" customWidth="1"/>
    <col min="11259" max="11259" width="7.140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85546875" style="21" customWidth="1"/>
    <col min="11513" max="11513" width="9.85546875" style="21" customWidth="1"/>
    <col min="11514" max="11514" width="14.42578125" style="21" customWidth="1"/>
    <col min="11515" max="11515" width="7.140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85546875" style="21" customWidth="1"/>
    <col min="11769" max="11769" width="9.85546875" style="21" customWidth="1"/>
    <col min="11770" max="11770" width="14.42578125" style="21" customWidth="1"/>
    <col min="11771" max="11771" width="7.140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85546875" style="21" customWidth="1"/>
    <col min="12025" max="12025" width="9.85546875" style="21" customWidth="1"/>
    <col min="12026" max="12026" width="14.42578125" style="21" customWidth="1"/>
    <col min="12027" max="12027" width="7.140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85546875" style="21" customWidth="1"/>
    <col min="12281" max="12281" width="9.85546875" style="21" customWidth="1"/>
    <col min="12282" max="12282" width="14.42578125" style="21" customWidth="1"/>
    <col min="12283" max="12283" width="7.140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85546875" style="21" customWidth="1"/>
    <col min="12537" max="12537" width="9.85546875" style="21" customWidth="1"/>
    <col min="12538" max="12538" width="14.42578125" style="21" customWidth="1"/>
    <col min="12539" max="12539" width="7.140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85546875" style="21" customWidth="1"/>
    <col min="12793" max="12793" width="9.85546875" style="21" customWidth="1"/>
    <col min="12794" max="12794" width="14.42578125" style="21" customWidth="1"/>
    <col min="12795" max="12795" width="7.140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85546875" style="21" customWidth="1"/>
    <col min="13049" max="13049" width="9.85546875" style="21" customWidth="1"/>
    <col min="13050" max="13050" width="14.42578125" style="21" customWidth="1"/>
    <col min="13051" max="13051" width="7.140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85546875" style="21" customWidth="1"/>
    <col min="13305" max="13305" width="9.85546875" style="21" customWidth="1"/>
    <col min="13306" max="13306" width="14.42578125" style="21" customWidth="1"/>
    <col min="13307" max="13307" width="7.140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85546875" style="21" customWidth="1"/>
    <col min="13561" max="13561" width="9.85546875" style="21" customWidth="1"/>
    <col min="13562" max="13562" width="14.42578125" style="21" customWidth="1"/>
    <col min="13563" max="13563" width="7.140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85546875" style="21" customWidth="1"/>
    <col min="13817" max="13817" width="9.85546875" style="21" customWidth="1"/>
    <col min="13818" max="13818" width="14.42578125" style="21" customWidth="1"/>
    <col min="13819" max="13819" width="7.140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85546875" style="21" customWidth="1"/>
    <col min="14073" max="14073" width="9.85546875" style="21" customWidth="1"/>
    <col min="14074" max="14074" width="14.42578125" style="21" customWidth="1"/>
    <col min="14075" max="14075" width="7.140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85546875" style="21" customWidth="1"/>
    <col min="14329" max="14329" width="9.85546875" style="21" customWidth="1"/>
    <col min="14330" max="14330" width="14.42578125" style="21" customWidth="1"/>
    <col min="14331" max="14331" width="7.140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85546875" style="21" customWidth="1"/>
    <col min="14585" max="14585" width="9.85546875" style="21" customWidth="1"/>
    <col min="14586" max="14586" width="14.42578125" style="21" customWidth="1"/>
    <col min="14587" max="14587" width="7.140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85546875" style="21" customWidth="1"/>
    <col min="14841" max="14841" width="9.85546875" style="21" customWidth="1"/>
    <col min="14842" max="14842" width="14.42578125" style="21" customWidth="1"/>
    <col min="14843" max="14843" width="7.140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85546875" style="21" customWidth="1"/>
    <col min="15097" max="15097" width="9.85546875" style="21" customWidth="1"/>
    <col min="15098" max="15098" width="14.42578125" style="21" customWidth="1"/>
    <col min="15099" max="15099" width="7.140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85546875" style="21" customWidth="1"/>
    <col min="15353" max="15353" width="9.85546875" style="21" customWidth="1"/>
    <col min="15354" max="15354" width="14.42578125" style="21" customWidth="1"/>
    <col min="15355" max="15355" width="7.140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85546875" style="21" customWidth="1"/>
    <col min="15609" max="15609" width="9.85546875" style="21" customWidth="1"/>
    <col min="15610" max="15610" width="14.42578125" style="21" customWidth="1"/>
    <col min="15611" max="15611" width="7.140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85546875" style="21" customWidth="1"/>
    <col min="15865" max="15865" width="9.85546875" style="21" customWidth="1"/>
    <col min="15866" max="15866" width="14.42578125" style="21" customWidth="1"/>
    <col min="15867" max="15867" width="7.140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85546875" style="21" customWidth="1"/>
    <col min="16121" max="16121" width="9.85546875" style="21" customWidth="1"/>
    <col min="16122" max="16122" width="14.42578125" style="21" customWidth="1"/>
    <col min="16123" max="16123" width="7.140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64" t="s">
        <v>162</v>
      </c>
      <c r="B1" s="164"/>
      <c r="C1" s="164"/>
      <c r="D1" s="164"/>
      <c r="E1" s="164"/>
      <c r="F1" s="164"/>
      <c r="G1" s="164"/>
      <c r="H1" s="164"/>
    </row>
    <row r="2" spans="1:26" ht="16.5" customHeight="1" x14ac:dyDescent="0.25">
      <c r="A2" s="165" t="s">
        <v>0</v>
      </c>
      <c r="B2" s="165"/>
      <c r="C2" s="165"/>
      <c r="D2" s="165"/>
      <c r="E2" s="165"/>
      <c r="F2" s="165"/>
      <c r="G2" s="165"/>
      <c r="H2" s="165"/>
    </row>
    <row r="3" spans="1:26" x14ac:dyDescent="0.25">
      <c r="A3" s="153" t="s">
        <v>1</v>
      </c>
      <c r="B3" s="153"/>
      <c r="C3" s="153"/>
      <c r="D3" s="153"/>
      <c r="E3" s="153" t="str">
        <f ca="1">TEXT(TODAY(),"DD/MM/YYYY")</f>
        <v>17/09/2025</v>
      </c>
      <c r="F3" s="153"/>
      <c r="G3" s="153"/>
      <c r="H3" s="153"/>
      <c r="K3" s="60" t="s">
        <v>236</v>
      </c>
      <c r="L3" s="57" t="s">
        <v>234</v>
      </c>
      <c r="M3" s="57" t="s">
        <v>239</v>
      </c>
      <c r="N3" s="57" t="s">
        <v>237</v>
      </c>
      <c r="O3" s="57" t="s">
        <v>238</v>
      </c>
      <c r="P3" s="57" t="s">
        <v>240</v>
      </c>
    </row>
    <row r="4" spans="1:26" ht="15" customHeight="1" x14ac:dyDescent="0.25">
      <c r="A4" s="153" t="s">
        <v>233</v>
      </c>
      <c r="B4" s="153"/>
      <c r="C4" s="153"/>
      <c r="D4" s="153"/>
      <c r="E4" s="149" t="s">
        <v>234</v>
      </c>
      <c r="F4" s="149"/>
      <c r="G4" s="149"/>
      <c r="H4" s="149"/>
      <c r="K4" s="56" t="s">
        <v>235</v>
      </c>
      <c r="L4" s="57" t="s">
        <v>168</v>
      </c>
      <c r="M4" s="57" t="s">
        <v>244</v>
      </c>
      <c r="N4" s="57" t="s">
        <v>246</v>
      </c>
      <c r="O4" s="57" t="s">
        <v>248</v>
      </c>
      <c r="P4" s="57"/>
    </row>
    <row r="5" spans="1:26" ht="15" customHeight="1" x14ac:dyDescent="0.25">
      <c r="A5" s="153" t="s">
        <v>2</v>
      </c>
      <c r="B5" s="153"/>
      <c r="C5" s="153"/>
      <c r="D5" s="153"/>
      <c r="E5" s="149" t="s">
        <v>241</v>
      </c>
      <c r="F5" s="149"/>
      <c r="G5" s="149"/>
      <c r="H5" s="149"/>
      <c r="K5" s="56"/>
      <c r="L5" s="57" t="s">
        <v>241</v>
      </c>
      <c r="M5" s="57" t="s">
        <v>245</v>
      </c>
      <c r="N5" s="57" t="s">
        <v>247</v>
      </c>
      <c r="O5" s="57" t="s">
        <v>249</v>
      </c>
      <c r="P5" s="57"/>
    </row>
    <row r="6" spans="1:26" x14ac:dyDescent="0.25">
      <c r="A6" s="153" t="s">
        <v>3</v>
      </c>
      <c r="B6" s="153"/>
      <c r="C6" s="153"/>
      <c r="D6" s="153"/>
      <c r="E6" s="166">
        <v>45912</v>
      </c>
      <c r="F6" s="149"/>
      <c r="G6" s="149"/>
      <c r="H6" s="149"/>
      <c r="K6" s="56"/>
      <c r="L6" s="57" t="s">
        <v>242</v>
      </c>
      <c r="M6" s="57"/>
      <c r="N6" s="57"/>
      <c r="O6" s="57" t="s">
        <v>250</v>
      </c>
      <c r="P6" s="57"/>
    </row>
    <row r="7" spans="1:26" ht="16.5" customHeight="1" x14ac:dyDescent="0.25">
      <c r="A7" s="153" t="s">
        <v>4</v>
      </c>
      <c r="B7" s="153"/>
      <c r="C7" s="153"/>
      <c r="D7" s="153"/>
      <c r="E7" s="149" t="s">
        <v>305</v>
      </c>
      <c r="F7" s="149"/>
      <c r="G7" s="149"/>
      <c r="H7" s="149"/>
      <c r="K7" s="56"/>
      <c r="L7" s="57" t="s">
        <v>243</v>
      </c>
      <c r="M7" s="57"/>
      <c r="N7" s="57"/>
      <c r="O7" s="57" t="s">
        <v>250</v>
      </c>
      <c r="P7" s="57"/>
    </row>
    <row r="8" spans="1:26" ht="15" customHeight="1" x14ac:dyDescent="0.25">
      <c r="A8" s="153" t="s">
        <v>5</v>
      </c>
      <c r="B8" s="153"/>
      <c r="C8" s="153"/>
      <c r="D8" s="153"/>
      <c r="E8" s="153" t="str">
        <f>E7</f>
        <v>Swastik Realtors</v>
      </c>
      <c r="F8" s="153"/>
      <c r="G8" s="153"/>
      <c r="H8" s="153"/>
      <c r="K8" s="56"/>
      <c r="L8" s="57"/>
      <c r="M8" s="57"/>
      <c r="N8" s="57"/>
      <c r="O8" s="57" t="s">
        <v>251</v>
      </c>
      <c r="P8" s="57"/>
    </row>
    <row r="9" spans="1:26" x14ac:dyDescent="0.25">
      <c r="A9" s="153" t="s">
        <v>6</v>
      </c>
      <c r="B9" s="153"/>
      <c r="C9" s="153"/>
      <c r="D9" s="153"/>
      <c r="E9" s="124" t="s">
        <v>306</v>
      </c>
      <c r="F9" s="124"/>
      <c r="G9" s="124"/>
      <c r="H9" s="124"/>
      <c r="K9" s="56"/>
      <c r="L9" s="57"/>
      <c r="M9" s="57"/>
      <c r="N9" s="57"/>
      <c r="O9" s="57" t="s">
        <v>252</v>
      </c>
      <c r="P9" s="57"/>
    </row>
    <row r="10" spans="1:26" x14ac:dyDescent="0.25">
      <c r="A10" s="153" t="s">
        <v>165</v>
      </c>
      <c r="B10" s="153"/>
      <c r="C10" s="153"/>
      <c r="D10" s="153"/>
      <c r="E10" s="153">
        <v>8097067917</v>
      </c>
      <c r="F10" s="153"/>
      <c r="G10" s="153"/>
      <c r="H10" s="153"/>
      <c r="K10" s="56"/>
      <c r="L10" s="57"/>
      <c r="M10" s="57"/>
      <c r="N10" s="57"/>
      <c r="O10" s="57"/>
      <c r="P10" s="57"/>
    </row>
    <row r="11" spans="1:26" x14ac:dyDescent="0.25">
      <c r="A11" s="153" t="s">
        <v>166</v>
      </c>
      <c r="B11" s="153"/>
      <c r="C11" s="153"/>
      <c r="D11" s="153"/>
      <c r="E11" s="153" t="s">
        <v>358</v>
      </c>
      <c r="F11" s="153"/>
      <c r="G11" s="153"/>
      <c r="H11" s="153"/>
    </row>
    <row r="12" spans="1:26" x14ac:dyDescent="0.25">
      <c r="A12" s="153" t="s">
        <v>7</v>
      </c>
      <c r="B12" s="153"/>
      <c r="C12" s="153"/>
      <c r="D12" s="153"/>
      <c r="E12" s="153" t="s">
        <v>326</v>
      </c>
      <c r="F12" s="153"/>
      <c r="G12" s="153"/>
      <c r="H12" s="153"/>
    </row>
    <row r="13" spans="1:26" x14ac:dyDescent="0.25">
      <c r="A13" s="153" t="s">
        <v>169</v>
      </c>
      <c r="B13" s="153"/>
      <c r="C13" s="153"/>
      <c r="D13" s="153"/>
      <c r="E13" s="153" t="s">
        <v>308</v>
      </c>
      <c r="F13" s="153"/>
      <c r="G13" s="153"/>
      <c r="H13" s="153"/>
      <c r="S13" s="57" t="s">
        <v>178</v>
      </c>
      <c r="T13" s="57" t="s">
        <v>188</v>
      </c>
      <c r="U13" s="57" t="s">
        <v>170</v>
      </c>
      <c r="V13" s="57" t="s">
        <v>193</v>
      </c>
      <c r="W13" s="57" t="s">
        <v>211</v>
      </c>
      <c r="X13"/>
      <c r="Y13" t="s">
        <v>193</v>
      </c>
      <c r="Z13" t="e">
        <f ca="1">OFFSET($S$13,1,MATCH($G20,$S$13:$W$13,0)-1,15,1)</f>
        <v>#VALUE!</v>
      </c>
    </row>
    <row r="14" spans="1:26" x14ac:dyDescent="0.25">
      <c r="A14" s="85" t="s">
        <v>279</v>
      </c>
      <c r="B14" s="85"/>
      <c r="C14" s="85"/>
      <c r="D14" s="85"/>
      <c r="E14" s="150" t="s">
        <v>354</v>
      </c>
      <c r="F14" s="150"/>
      <c r="G14" s="150"/>
      <c r="H14" s="150"/>
      <c r="S14" s="57" t="s">
        <v>179</v>
      </c>
      <c r="T14" s="57" t="s">
        <v>186</v>
      </c>
      <c r="U14" s="57" t="s">
        <v>208</v>
      </c>
      <c r="V14" s="57" t="s">
        <v>194</v>
      </c>
      <c r="W14" s="57" t="s">
        <v>212</v>
      </c>
      <c r="X14"/>
      <c r="Y14"/>
      <c r="Z14"/>
    </row>
    <row r="15" spans="1:26" x14ac:dyDescent="0.25">
      <c r="A15" s="85" t="s">
        <v>8</v>
      </c>
      <c r="B15" s="85"/>
      <c r="C15" s="85"/>
      <c r="D15" s="85"/>
      <c r="E15" s="150" t="s">
        <v>307</v>
      </c>
      <c r="F15" s="149"/>
      <c r="G15" s="149"/>
      <c r="H15" s="149"/>
      <c r="I15" s="201" t="e">
        <f ca="1">OFFSET($D$5,1,MATCH($J13,$D$5:$H$5,0)-1,15,1)</f>
        <v>#N/A</v>
      </c>
      <c r="J15" s="202"/>
      <c r="K15" s="202"/>
      <c r="L15" s="202"/>
      <c r="M15" s="202"/>
      <c r="N15" s="202"/>
      <c r="O15" s="202"/>
      <c r="P15" s="202"/>
      <c r="S15" s="57" t="s">
        <v>180</v>
      </c>
      <c r="T15" s="57" t="s">
        <v>187</v>
      </c>
      <c r="U15" s="57" t="s">
        <v>209</v>
      </c>
      <c r="V15" s="57" t="s">
        <v>195</v>
      </c>
      <c r="W15" s="57" t="s">
        <v>225</v>
      </c>
      <c r="X15"/>
      <c r="Y15"/>
      <c r="Z15"/>
    </row>
    <row r="16" spans="1:26" ht="48.75" customHeight="1" x14ac:dyDescent="0.25">
      <c r="A16" s="131" t="s">
        <v>9</v>
      </c>
      <c r="B16" s="131"/>
      <c r="C16" s="131" t="str">
        <f>CONCATENATE((IF(OR(E9="",E9="NA"),"",E9)),", ",(IF(OR(A17="",A17="NA"),"",A17)),".",(IF(OR(C17="",C17="NA"),"",C17)),", near ",(IF(OR(C22="",C22="NA"),"",C22)),", ",(IF(OR(C19="",C19="NA"),"",C19)),", ",(IF(OR(C18="",C18="NA"),"",C18)),", ",(IF(OR(G19="",G19="NA"),"",G19)),", ",(IF(OR(C20="",C20="NA"),"",C20)),", ",(IF(OR(C21="",C21="NA"),"",C21)),", ",(IF(OR(G20="",G20="NA"),"",G20))," - ",(IF(OR(G21="",G21="NA"),"",G21)),".")</f>
        <v>Swastik Divine, CTS No.1265 (Pt), S.No. 82/2(Pt), Redevelopement of "Building No. 1 &amp; 2 Divine Express CHS Ltd", near Manisha Tower, Veer Savarkar Rd/Tata Colony Rd, Tata Colony, Navghar, Mulund East, Kurla, Mumbai - 400081.</v>
      </c>
      <c r="D16" s="131"/>
      <c r="E16" s="131"/>
      <c r="F16" s="131"/>
      <c r="G16" s="131"/>
      <c r="H16" s="131"/>
      <c r="S16" s="57" t="s">
        <v>181</v>
      </c>
      <c r="T16" s="57" t="s">
        <v>189</v>
      </c>
      <c r="U16" s="57" t="s">
        <v>210</v>
      </c>
      <c r="V16" s="57" t="s">
        <v>196</v>
      </c>
      <c r="W16" s="57" t="s">
        <v>213</v>
      </c>
      <c r="X16"/>
      <c r="Y16"/>
      <c r="Z16"/>
    </row>
    <row r="17" spans="1:26" ht="33.75" customHeight="1" x14ac:dyDescent="0.25">
      <c r="A17" s="150" t="s">
        <v>174</v>
      </c>
      <c r="B17" s="150"/>
      <c r="C17" s="150" t="s">
        <v>355</v>
      </c>
      <c r="D17" s="150"/>
      <c r="E17" s="150"/>
      <c r="F17" s="150"/>
      <c r="G17" s="150"/>
      <c r="H17" s="150"/>
      <c r="S17" s="57" t="s">
        <v>182</v>
      </c>
      <c r="T17" s="57" t="s">
        <v>190</v>
      </c>
      <c r="U17" s="57" t="s">
        <v>170</v>
      </c>
      <c r="V17" s="57" t="s">
        <v>197</v>
      </c>
      <c r="W17" s="57" t="s">
        <v>214</v>
      </c>
      <c r="X17"/>
      <c r="Y17"/>
      <c r="Z17"/>
    </row>
    <row r="18" spans="1:26" ht="15.75" customHeight="1" x14ac:dyDescent="0.25">
      <c r="A18" s="150" t="s">
        <v>160</v>
      </c>
      <c r="B18" s="150"/>
      <c r="C18" s="150" t="s">
        <v>311</v>
      </c>
      <c r="D18" s="150"/>
      <c r="E18" s="150"/>
      <c r="F18" s="150"/>
      <c r="G18" s="150"/>
      <c r="H18" s="150"/>
      <c r="S18" s="57" t="s">
        <v>183</v>
      </c>
      <c r="T18" s="57" t="s">
        <v>188</v>
      </c>
      <c r="U18" s="57"/>
      <c r="V18" s="57" t="s">
        <v>198</v>
      </c>
      <c r="W18" s="57" t="s">
        <v>215</v>
      </c>
      <c r="X18"/>
      <c r="Y18"/>
      <c r="Z18"/>
    </row>
    <row r="19" spans="1:26" ht="31.5" customHeight="1" x14ac:dyDescent="0.25">
      <c r="A19" s="150" t="s">
        <v>10</v>
      </c>
      <c r="B19" s="150"/>
      <c r="C19" s="150" t="s">
        <v>315</v>
      </c>
      <c r="D19" s="150"/>
      <c r="E19" s="150" t="s">
        <v>70</v>
      </c>
      <c r="F19" s="150"/>
      <c r="G19" s="150" t="s">
        <v>309</v>
      </c>
      <c r="H19" s="150"/>
      <c r="S19" s="57" t="s">
        <v>184</v>
      </c>
      <c r="T19" s="57" t="s">
        <v>191</v>
      </c>
      <c r="U19" s="57"/>
      <c r="V19" s="57" t="s">
        <v>199</v>
      </c>
      <c r="W19" s="57" t="s">
        <v>216</v>
      </c>
      <c r="X19"/>
      <c r="Y19"/>
      <c r="Z19"/>
    </row>
    <row r="20" spans="1:26" x14ac:dyDescent="0.25">
      <c r="A20" s="149" t="s">
        <v>12</v>
      </c>
      <c r="B20" s="149"/>
      <c r="C20" s="150" t="s">
        <v>310</v>
      </c>
      <c r="D20" s="150"/>
      <c r="E20" s="150" t="s">
        <v>11</v>
      </c>
      <c r="F20" s="150"/>
      <c r="G20" s="163" t="s">
        <v>170</v>
      </c>
      <c r="H20" s="163"/>
      <c r="S20" s="57" t="s">
        <v>185</v>
      </c>
      <c r="T20" s="57" t="s">
        <v>192</v>
      </c>
      <c r="U20" s="57"/>
      <c r="V20" s="57" t="s">
        <v>200</v>
      </c>
      <c r="W20" s="57" t="s">
        <v>217</v>
      </c>
      <c r="X20"/>
      <c r="Y20"/>
      <c r="Z20"/>
    </row>
    <row r="21" spans="1:26" x14ac:dyDescent="0.25">
      <c r="A21" s="149" t="s">
        <v>71</v>
      </c>
      <c r="B21" s="149"/>
      <c r="C21" s="150" t="s">
        <v>210</v>
      </c>
      <c r="D21" s="150"/>
      <c r="E21" s="150" t="s">
        <v>13</v>
      </c>
      <c r="F21" s="150"/>
      <c r="G21" s="150">
        <v>400081</v>
      </c>
      <c r="H21" s="150"/>
      <c r="S21" s="57"/>
      <c r="T21" s="57"/>
      <c r="U21" s="57"/>
      <c r="V21" s="57" t="s">
        <v>201</v>
      </c>
      <c r="W21" s="57" t="s">
        <v>218</v>
      </c>
      <c r="X21"/>
      <c r="Y21"/>
      <c r="Z21"/>
    </row>
    <row r="22" spans="1:26" ht="32.25" customHeight="1" x14ac:dyDescent="0.25">
      <c r="A22" s="149" t="s">
        <v>119</v>
      </c>
      <c r="B22" s="149"/>
      <c r="C22" s="150" t="s">
        <v>312</v>
      </c>
      <c r="D22" s="150"/>
      <c r="E22" s="150" t="s">
        <v>14</v>
      </c>
      <c r="F22" s="150"/>
      <c r="G22" s="150" t="s">
        <v>313</v>
      </c>
      <c r="H22" s="150"/>
      <c r="S22" s="57"/>
      <c r="T22" s="57"/>
      <c r="U22" s="57"/>
      <c r="V22" s="57" t="s">
        <v>202</v>
      </c>
      <c r="W22" s="57" t="s">
        <v>219</v>
      </c>
      <c r="X22"/>
      <c r="Y22"/>
      <c r="Z22"/>
    </row>
    <row r="23" spans="1:26" ht="15" customHeight="1" x14ac:dyDescent="0.25">
      <c r="A23" s="131" t="s">
        <v>73</v>
      </c>
      <c r="B23" s="131"/>
      <c r="C23" s="131"/>
      <c r="D23" s="131"/>
      <c r="E23" s="153" t="s">
        <v>15</v>
      </c>
      <c r="F23" s="153"/>
      <c r="G23" s="153"/>
      <c r="H23" s="153"/>
      <c r="S23" s="57"/>
      <c r="T23" s="57"/>
      <c r="U23" s="57"/>
      <c r="V23" s="57" t="s">
        <v>203</v>
      </c>
      <c r="W23" s="57" t="s">
        <v>220</v>
      </c>
      <c r="X23"/>
      <c r="Y23"/>
      <c r="Z23"/>
    </row>
    <row r="24" spans="1:26" ht="18.75" customHeight="1" x14ac:dyDescent="0.25">
      <c r="A24" s="131"/>
      <c r="B24" s="131"/>
      <c r="C24" s="131"/>
      <c r="D24" s="131"/>
      <c r="E24" s="153"/>
      <c r="F24" s="153"/>
      <c r="G24" s="153"/>
      <c r="H24" s="153"/>
      <c r="S24" s="57"/>
      <c r="T24" s="57"/>
      <c r="U24" s="57"/>
      <c r="V24" s="57" t="s">
        <v>204</v>
      </c>
      <c r="W24" s="57" t="s">
        <v>221</v>
      </c>
      <c r="X24"/>
      <c r="Y24"/>
      <c r="Z24"/>
    </row>
    <row r="25" spans="1:26" ht="15" customHeight="1" x14ac:dyDescent="0.25">
      <c r="A25" s="131" t="s">
        <v>16</v>
      </c>
      <c r="B25" s="131"/>
      <c r="C25" s="131"/>
      <c r="D25" s="131"/>
      <c r="E25" s="130" t="s">
        <v>17</v>
      </c>
      <c r="F25" s="130"/>
      <c r="G25" s="130"/>
      <c r="H25" s="130"/>
      <c r="S25" s="57"/>
      <c r="T25" s="57"/>
      <c r="U25" s="57"/>
      <c r="V25" s="57" t="s">
        <v>205</v>
      </c>
      <c r="W25" s="57" t="s">
        <v>222</v>
      </c>
      <c r="X25"/>
      <c r="Y25"/>
      <c r="Z25"/>
    </row>
    <row r="26" spans="1:26" ht="15" customHeight="1" x14ac:dyDescent="0.25">
      <c r="A26" s="85" t="s">
        <v>18</v>
      </c>
      <c r="B26" s="85"/>
      <c r="C26" s="85"/>
      <c r="D26" s="85"/>
      <c r="E26" s="130" t="str">
        <f>IF(AND(G20="Mumbai"),"Upper Class","Middle Class")</f>
        <v>Upper Class</v>
      </c>
      <c r="F26" s="130"/>
      <c r="G26" s="130"/>
      <c r="H26" s="130"/>
      <c r="S26" s="57"/>
      <c r="T26" s="57"/>
      <c r="U26" s="57"/>
      <c r="V26" s="57" t="s">
        <v>206</v>
      </c>
      <c r="W26" s="57" t="s">
        <v>223</v>
      </c>
      <c r="X26"/>
      <c r="Y26"/>
      <c r="Z26"/>
    </row>
    <row r="27" spans="1:26" x14ac:dyDescent="0.25">
      <c r="A27" s="85" t="s">
        <v>19</v>
      </c>
      <c r="B27" s="85"/>
      <c r="C27" s="85"/>
      <c r="D27" s="85"/>
      <c r="E27" s="130" t="s">
        <v>20</v>
      </c>
      <c r="F27" s="130"/>
      <c r="G27" s="130"/>
      <c r="H27" s="130"/>
      <c r="S27" s="57"/>
      <c r="T27" s="57"/>
      <c r="U27" s="57"/>
      <c r="V27" s="57" t="s">
        <v>207</v>
      </c>
      <c r="W27" s="57" t="s">
        <v>224</v>
      </c>
      <c r="X27"/>
      <c r="Y27"/>
      <c r="Z27"/>
    </row>
    <row r="28" spans="1:26" ht="15.75" customHeight="1" x14ac:dyDescent="0.25">
      <c r="A28" s="85" t="s">
        <v>21</v>
      </c>
      <c r="B28" s="85"/>
      <c r="C28" s="85"/>
      <c r="D28" s="85"/>
      <c r="E28" s="130" t="str">
        <f>IF(AND(G20="Mumbai"),"Developed","Developing")</f>
        <v>Developed</v>
      </c>
      <c r="F28" s="130"/>
      <c r="G28" s="130"/>
      <c r="H28" s="130"/>
    </row>
    <row r="29" spans="1:26" x14ac:dyDescent="0.25">
      <c r="A29" s="85" t="s">
        <v>22</v>
      </c>
      <c r="B29" s="85"/>
      <c r="C29" s="85"/>
      <c r="D29" s="85"/>
      <c r="E29" s="130" t="s">
        <v>23</v>
      </c>
      <c r="F29" s="130"/>
      <c r="G29" s="130"/>
      <c r="H29" s="130"/>
    </row>
    <row r="30" spans="1:26" ht="15.75" customHeight="1" x14ac:dyDescent="0.25">
      <c r="A30" s="85" t="s">
        <v>78</v>
      </c>
      <c r="B30" s="85"/>
      <c r="C30" s="85"/>
      <c r="D30" s="85"/>
      <c r="E30" s="130" t="s">
        <v>79</v>
      </c>
      <c r="F30" s="130"/>
      <c r="G30" s="130"/>
      <c r="H30" s="130"/>
    </row>
    <row r="31" spans="1:26" ht="15" customHeight="1" x14ac:dyDescent="0.25">
      <c r="A31" s="85" t="s">
        <v>30</v>
      </c>
      <c r="B31" s="85"/>
      <c r="C31" s="85"/>
      <c r="D31" s="85"/>
      <c r="E31" s="130"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v>
      </c>
      <c r="F31" s="130"/>
      <c r="G31" s="130"/>
      <c r="H31" s="130"/>
    </row>
    <row r="32" spans="1:26" ht="15.75" customHeight="1" x14ac:dyDescent="0.25">
      <c r="A32" s="85" t="s">
        <v>90</v>
      </c>
      <c r="B32" s="85"/>
      <c r="C32" s="85"/>
      <c r="D32" s="85"/>
      <c r="E32" s="130" t="s">
        <v>31</v>
      </c>
      <c r="F32" s="130"/>
      <c r="G32" s="130"/>
      <c r="H32" s="130"/>
    </row>
    <row r="33" spans="1:19" s="22" customFormat="1" x14ac:dyDescent="0.25">
      <c r="A33" s="162" t="s">
        <v>91</v>
      </c>
      <c r="B33" s="162"/>
      <c r="C33" s="161" t="s">
        <v>171</v>
      </c>
      <c r="D33" s="161"/>
      <c r="E33" s="161"/>
      <c r="F33" s="161" t="s">
        <v>29</v>
      </c>
      <c r="G33" s="161"/>
      <c r="H33" s="161"/>
      <c r="S33" s="22" t="e">
        <f ca="1">OFFSET($S$13,1,MATCH($G20,$S$13:$W$13,0)-1,15,1)</f>
        <v>#VALUE!</v>
      </c>
    </row>
    <row r="34" spans="1:19" s="22" customFormat="1" x14ac:dyDescent="0.25">
      <c r="A34" s="154" t="s">
        <v>24</v>
      </c>
      <c r="B34" s="154" t="s">
        <v>28</v>
      </c>
      <c r="C34" s="155" t="s">
        <v>314</v>
      </c>
      <c r="D34" s="155"/>
      <c r="E34" s="155"/>
      <c r="F34" s="155" t="s">
        <v>314</v>
      </c>
      <c r="G34" s="155"/>
      <c r="H34" s="155"/>
    </row>
    <row r="35" spans="1:19" x14ac:dyDescent="0.25">
      <c r="A35" s="154" t="s">
        <v>25</v>
      </c>
      <c r="B35" s="154" t="s">
        <v>28</v>
      </c>
      <c r="C35" s="155" t="s">
        <v>317</v>
      </c>
      <c r="D35" s="155"/>
      <c r="E35" s="155"/>
      <c r="F35" s="155" t="s">
        <v>315</v>
      </c>
      <c r="G35" s="155"/>
      <c r="H35" s="155"/>
    </row>
    <row r="36" spans="1:19" s="22" customFormat="1" x14ac:dyDescent="0.25">
      <c r="A36" s="154" t="s">
        <v>27</v>
      </c>
      <c r="B36" s="154" t="s">
        <v>28</v>
      </c>
      <c r="C36" s="155" t="s">
        <v>318</v>
      </c>
      <c r="D36" s="155"/>
      <c r="E36" s="155"/>
      <c r="F36" s="155" t="s">
        <v>312</v>
      </c>
      <c r="G36" s="155"/>
      <c r="H36" s="155"/>
    </row>
    <row r="37" spans="1:19" x14ac:dyDescent="0.25">
      <c r="A37" s="154" t="s">
        <v>26</v>
      </c>
      <c r="B37" s="154" t="s">
        <v>28</v>
      </c>
      <c r="C37" s="155" t="s">
        <v>318</v>
      </c>
      <c r="D37" s="155"/>
      <c r="E37" s="155"/>
      <c r="F37" s="155" t="s">
        <v>316</v>
      </c>
      <c r="G37" s="155"/>
      <c r="H37" s="155"/>
    </row>
    <row r="38" spans="1:19" x14ac:dyDescent="0.25">
      <c r="A38" s="85" t="s">
        <v>280</v>
      </c>
      <c r="B38" s="85"/>
      <c r="C38" s="85"/>
      <c r="D38" s="85"/>
      <c r="E38" s="85"/>
      <c r="F38" s="85"/>
      <c r="G38" s="85"/>
      <c r="H38" s="85"/>
    </row>
    <row r="39" spans="1:19" ht="15.75" customHeight="1" x14ac:dyDescent="0.25">
      <c r="A39" s="85" t="s">
        <v>163</v>
      </c>
      <c r="B39" s="85"/>
      <c r="C39" s="104" t="s">
        <v>356</v>
      </c>
      <c r="D39" s="104"/>
      <c r="E39" s="104"/>
      <c r="F39" s="104"/>
      <c r="G39" s="104"/>
      <c r="H39" s="104"/>
    </row>
    <row r="40" spans="1:19" x14ac:dyDescent="0.25">
      <c r="A40" s="85" t="s">
        <v>159</v>
      </c>
      <c r="B40" s="85"/>
      <c r="C40" s="129" t="s">
        <v>319</v>
      </c>
      <c r="D40" s="130"/>
      <c r="E40" s="130"/>
      <c r="F40" s="130"/>
      <c r="G40" s="130"/>
      <c r="H40" s="130"/>
    </row>
    <row r="41" spans="1:19" x14ac:dyDescent="0.25">
      <c r="A41" s="104" t="s">
        <v>32</v>
      </c>
      <c r="B41" s="104"/>
      <c r="C41" s="104"/>
      <c r="D41" s="104"/>
      <c r="E41" s="104"/>
      <c r="F41" s="104"/>
      <c r="G41" s="104"/>
      <c r="H41" s="104"/>
    </row>
    <row r="42" spans="1:19" x14ac:dyDescent="0.25">
      <c r="A42" s="85" t="s">
        <v>33</v>
      </c>
      <c r="B42" s="85"/>
      <c r="C42" s="85"/>
      <c r="D42" s="85"/>
      <c r="E42" s="156">
        <v>2386.38</v>
      </c>
      <c r="F42" s="156"/>
      <c r="G42" s="156"/>
      <c r="H42" s="156"/>
    </row>
    <row r="43" spans="1:19" x14ac:dyDescent="0.25">
      <c r="A43" s="85" t="s">
        <v>34</v>
      </c>
      <c r="B43" s="85"/>
      <c r="C43" s="85"/>
      <c r="D43" s="85"/>
      <c r="E43" s="158">
        <v>3</v>
      </c>
      <c r="F43" s="158"/>
      <c r="G43" s="158"/>
      <c r="H43" s="158"/>
    </row>
    <row r="44" spans="1:19" x14ac:dyDescent="0.25">
      <c r="A44" s="85" t="s">
        <v>35</v>
      </c>
      <c r="B44" s="85"/>
      <c r="C44" s="85"/>
      <c r="D44" s="85"/>
      <c r="E44" s="158">
        <f>E46/E42-E43</f>
        <v>0.88990018354159872</v>
      </c>
      <c r="F44" s="158"/>
      <c r="G44" s="158"/>
      <c r="H44" s="158"/>
    </row>
    <row r="45" spans="1:19" x14ac:dyDescent="0.25">
      <c r="A45" s="85" t="s">
        <v>36</v>
      </c>
      <c r="B45" s="85"/>
      <c r="C45" s="85"/>
      <c r="D45" s="85"/>
      <c r="E45" s="158">
        <f>E43+E44</f>
        <v>3.8899001835415987</v>
      </c>
      <c r="F45" s="158"/>
      <c r="G45" s="158"/>
      <c r="H45" s="158"/>
    </row>
    <row r="46" spans="1:19" x14ac:dyDescent="0.25">
      <c r="A46" s="85" t="s">
        <v>89</v>
      </c>
      <c r="B46" s="85"/>
      <c r="C46" s="85"/>
      <c r="D46" s="85"/>
      <c r="E46" s="159">
        <v>9282.7800000000007</v>
      </c>
      <c r="F46" s="159"/>
      <c r="G46" s="159"/>
      <c r="H46" s="159"/>
    </row>
    <row r="47" spans="1:19" x14ac:dyDescent="0.25">
      <c r="A47" s="153" t="s">
        <v>37</v>
      </c>
      <c r="B47" s="153"/>
      <c r="C47" s="153"/>
      <c r="D47" s="153"/>
      <c r="E47" s="149" t="s">
        <v>327</v>
      </c>
      <c r="F47" s="149"/>
      <c r="G47" s="149"/>
      <c r="H47" s="149"/>
    </row>
    <row r="48" spans="1:19" x14ac:dyDescent="0.25">
      <c r="A48" s="104" t="s">
        <v>38</v>
      </c>
      <c r="B48" s="104"/>
      <c r="C48" s="104"/>
      <c r="D48" s="104"/>
      <c r="E48" s="104"/>
      <c r="F48" s="104"/>
      <c r="G48" s="104"/>
      <c r="H48" s="104"/>
    </row>
    <row r="49" spans="1:24" ht="33.75" customHeight="1" x14ac:dyDescent="0.25">
      <c r="A49" s="105" t="s">
        <v>148</v>
      </c>
      <c r="B49" s="106"/>
      <c r="C49" s="107" t="s">
        <v>256</v>
      </c>
      <c r="D49" s="108"/>
      <c r="E49" s="108"/>
      <c r="F49" s="108"/>
      <c r="G49" s="108"/>
      <c r="H49" s="109"/>
      <c r="R49" t="s">
        <v>253</v>
      </c>
      <c r="S49" t="s">
        <v>170</v>
      </c>
      <c r="T49" t="s">
        <v>178</v>
      </c>
      <c r="U49" t="s">
        <v>193</v>
      </c>
      <c r="V49" t="s">
        <v>188</v>
      </c>
    </row>
    <row r="50" spans="1:24" ht="15.75" customHeight="1" x14ac:dyDescent="0.25">
      <c r="A50" s="105" t="s">
        <v>39</v>
      </c>
      <c r="B50" s="106"/>
      <c r="C50" s="105" t="s">
        <v>322</v>
      </c>
      <c r="D50" s="160"/>
      <c r="E50" s="106"/>
      <c r="F50" s="18" t="s">
        <v>40</v>
      </c>
      <c r="G50" s="189">
        <v>44613</v>
      </c>
      <c r="H50" s="106"/>
      <c r="R50"/>
      <c r="S50" t="s">
        <v>254</v>
      </c>
      <c r="T50" t="s">
        <v>259</v>
      </c>
      <c r="U50" t="s">
        <v>270</v>
      </c>
      <c r="V50" t="s">
        <v>275</v>
      </c>
    </row>
    <row r="51" spans="1:24" x14ac:dyDescent="0.25">
      <c r="A51" s="105" t="s">
        <v>41</v>
      </c>
      <c r="B51" s="106"/>
      <c r="C51" s="105" t="str">
        <f>C50</f>
        <v>Mhada-12/1056/2022</v>
      </c>
      <c r="D51" s="160"/>
      <c r="E51" s="106"/>
      <c r="F51" s="18" t="s">
        <v>40</v>
      </c>
      <c r="G51" s="189">
        <f>G50</f>
        <v>44613</v>
      </c>
      <c r="H51" s="190"/>
      <c r="R51"/>
      <c r="S51" t="s">
        <v>255</v>
      </c>
      <c r="T51" t="s">
        <v>302</v>
      </c>
      <c r="U51" t="s">
        <v>268</v>
      </c>
      <c r="V51" t="s">
        <v>276</v>
      </c>
    </row>
    <row r="52" spans="1:24" s="23" customFormat="1" ht="32.25" customHeight="1" x14ac:dyDescent="0.25">
      <c r="A52" s="197" t="s">
        <v>152</v>
      </c>
      <c r="B52" s="198"/>
      <c r="C52" s="105" t="s">
        <v>352</v>
      </c>
      <c r="D52" s="160"/>
      <c r="E52" s="106"/>
      <c r="F52" s="18" t="s">
        <v>40</v>
      </c>
      <c r="G52" s="189">
        <v>44944</v>
      </c>
      <c r="H52" s="190"/>
      <c r="R52"/>
      <c r="S52" t="s">
        <v>256</v>
      </c>
      <c r="T52" t="s">
        <v>261</v>
      </c>
      <c r="U52" t="s">
        <v>258</v>
      </c>
      <c r="V52" t="s">
        <v>277</v>
      </c>
    </row>
    <row r="53" spans="1:24" s="23" customFormat="1" ht="142.5" customHeight="1" x14ac:dyDescent="0.25">
      <c r="A53" s="199"/>
      <c r="B53" s="200"/>
      <c r="C53" s="105" t="s">
        <v>353</v>
      </c>
      <c r="D53" s="160"/>
      <c r="E53" s="160"/>
      <c r="F53" s="160"/>
      <c r="G53" s="160"/>
      <c r="H53" s="106"/>
      <c r="R53"/>
      <c r="S53" t="s">
        <v>257</v>
      </c>
      <c r="T53" t="s">
        <v>264</v>
      </c>
      <c r="U53" t="s">
        <v>271</v>
      </c>
    </row>
    <row r="54" spans="1:24" s="23" customFormat="1" ht="32.25" customHeight="1" x14ac:dyDescent="0.25">
      <c r="A54" s="197" t="s">
        <v>152</v>
      </c>
      <c r="B54" s="198"/>
      <c r="C54" s="105" t="s">
        <v>320</v>
      </c>
      <c r="D54" s="160"/>
      <c r="E54" s="106"/>
      <c r="F54" s="18" t="s">
        <v>40</v>
      </c>
      <c r="G54" s="189">
        <v>45344</v>
      </c>
      <c r="H54" s="190"/>
      <c r="R54"/>
      <c r="S54" t="s">
        <v>256</v>
      </c>
      <c r="T54" t="s">
        <v>261</v>
      </c>
      <c r="U54" t="s">
        <v>258</v>
      </c>
      <c r="V54" t="s">
        <v>277</v>
      </c>
    </row>
    <row r="55" spans="1:24" s="23" customFormat="1" ht="127.5" customHeight="1" x14ac:dyDescent="0.25">
      <c r="A55" s="199"/>
      <c r="B55" s="200"/>
      <c r="C55" s="105" t="s">
        <v>321</v>
      </c>
      <c r="D55" s="160"/>
      <c r="E55" s="106"/>
      <c r="F55" s="18" t="s">
        <v>118</v>
      </c>
      <c r="G55" s="189">
        <v>45457</v>
      </c>
      <c r="H55" s="106"/>
      <c r="R55"/>
      <c r="S55" t="s">
        <v>257</v>
      </c>
      <c r="T55" t="s">
        <v>264</v>
      </c>
      <c r="U55" t="s">
        <v>271</v>
      </c>
    </row>
    <row r="56" spans="1:24" s="23" customFormat="1" hidden="1" x14ac:dyDescent="0.25">
      <c r="A56" s="193" t="s">
        <v>281</v>
      </c>
      <c r="B56" s="194"/>
      <c r="C56" s="105" t="str">
        <f>C55</f>
        <v>Now, this C.C. is granted for vertical extension from 19th floor to 20th upper Residential Floor with total building
ht.69.95mt. from AGL+LMR+OHT for both the Wings as per last approved Amended plans issued by MHADA on
dtd - 21.02.2022 vide u/no. MH/EE/B. P. Cell/GM/MHADA-12/1056/2022.</v>
      </c>
      <c r="D56" s="160"/>
      <c r="E56" s="106"/>
      <c r="F56" s="18" t="s">
        <v>40</v>
      </c>
      <c r="G56" s="105"/>
      <c r="H56" s="106"/>
      <c r="R56"/>
      <c r="S56" t="s">
        <v>256</v>
      </c>
      <c r="T56" t="s">
        <v>261</v>
      </c>
      <c r="U56" t="s">
        <v>258</v>
      </c>
      <c r="V56" t="s">
        <v>277</v>
      </c>
    </row>
    <row r="57" spans="1:24" s="23" customFormat="1" ht="32.25" hidden="1" customHeight="1" x14ac:dyDescent="0.25">
      <c r="A57" s="195"/>
      <c r="B57" s="196"/>
      <c r="C57" s="139"/>
      <c r="D57" s="140"/>
      <c r="E57" s="140"/>
      <c r="F57" s="140"/>
      <c r="G57" s="140"/>
      <c r="H57" s="141"/>
      <c r="R57"/>
      <c r="S57" t="s">
        <v>258</v>
      </c>
      <c r="T57" t="s">
        <v>303</v>
      </c>
      <c r="U57" t="s">
        <v>272</v>
      </c>
      <c r="V57" s="21"/>
      <c r="W57" s="21"/>
      <c r="X57" s="21"/>
    </row>
    <row r="58" spans="1:24" s="23" customFormat="1" ht="34.5" hidden="1" customHeight="1" x14ac:dyDescent="0.25">
      <c r="A58" s="193" t="s">
        <v>282</v>
      </c>
      <c r="B58" s="194"/>
      <c r="C58" s="105">
        <f>C57</f>
        <v>0</v>
      </c>
      <c r="D58" s="160"/>
      <c r="E58" s="106"/>
      <c r="F58" s="18" t="s">
        <v>40</v>
      </c>
      <c r="G58" s="105">
        <f>G57</f>
        <v>0</v>
      </c>
      <c r="H58" s="106"/>
      <c r="R58"/>
      <c r="S58" s="21"/>
      <c r="T58" t="s">
        <v>263</v>
      </c>
      <c r="U58" t="s">
        <v>273</v>
      </c>
      <c r="V58" s="21"/>
      <c r="W58" s="21"/>
      <c r="X58" s="21"/>
    </row>
    <row r="59" spans="1:24" s="23" customFormat="1" ht="41.25" hidden="1" customHeight="1" x14ac:dyDescent="0.25">
      <c r="A59" s="195"/>
      <c r="B59" s="196"/>
      <c r="C59" s="105"/>
      <c r="D59" s="160"/>
      <c r="E59" s="160"/>
      <c r="F59" s="160"/>
      <c r="G59" s="160"/>
      <c r="H59" s="106"/>
      <c r="R59"/>
      <c r="S59" s="21"/>
      <c r="T59" t="s">
        <v>265</v>
      </c>
      <c r="U59" t="s">
        <v>274</v>
      </c>
      <c r="V59" s="21"/>
      <c r="W59" s="21"/>
      <c r="X59" s="21"/>
    </row>
    <row r="60" spans="1:24" s="23" customFormat="1" ht="15.75" hidden="1" customHeight="1" x14ac:dyDescent="0.25">
      <c r="A60" s="193" t="s">
        <v>283</v>
      </c>
      <c r="B60" s="194"/>
      <c r="C60" s="105">
        <f>C59</f>
        <v>0</v>
      </c>
      <c r="D60" s="160"/>
      <c r="E60" s="106"/>
      <c r="F60" s="18" t="s">
        <v>40</v>
      </c>
      <c r="G60" s="105">
        <f>G59</f>
        <v>0</v>
      </c>
      <c r="H60" s="106"/>
      <c r="R60"/>
      <c r="S60" s="21"/>
      <c r="T60" t="s">
        <v>266</v>
      </c>
      <c r="U60" s="21" t="s">
        <v>297</v>
      </c>
      <c r="V60" s="21"/>
      <c r="W60" s="21"/>
      <c r="X60" s="21"/>
    </row>
    <row r="61" spans="1:24" s="23" customFormat="1" ht="33.75" hidden="1" customHeight="1" x14ac:dyDescent="0.25">
      <c r="A61" s="195"/>
      <c r="B61" s="196"/>
      <c r="C61" s="105"/>
      <c r="D61" s="160"/>
      <c r="E61" s="160"/>
      <c r="F61" s="160"/>
      <c r="G61" s="160"/>
      <c r="H61" s="106"/>
      <c r="R61"/>
      <c r="S61" s="21"/>
      <c r="T61" t="s">
        <v>267</v>
      </c>
      <c r="U61" s="21"/>
      <c r="V61" s="21"/>
      <c r="W61" s="21"/>
      <c r="X61" s="21"/>
    </row>
    <row r="62" spans="1:24" x14ac:dyDescent="0.25">
      <c r="A62" s="204" t="s">
        <v>42</v>
      </c>
      <c r="B62" s="205"/>
      <c r="C62" s="204" t="s">
        <v>103</v>
      </c>
      <c r="D62" s="206"/>
      <c r="E62" s="205"/>
      <c r="F62" s="45" t="s">
        <v>40</v>
      </c>
      <c r="G62" s="191" t="s">
        <v>28</v>
      </c>
      <c r="H62" s="192"/>
      <c r="R62"/>
      <c r="T62" t="s">
        <v>269</v>
      </c>
    </row>
    <row r="63" spans="1:24" x14ac:dyDescent="0.25">
      <c r="A63" s="167" t="s">
        <v>44</v>
      </c>
      <c r="B63" s="167"/>
      <c r="C63" s="167"/>
      <c r="D63" s="167"/>
      <c r="E63" s="167"/>
      <c r="F63" s="167"/>
      <c r="G63" s="167"/>
      <c r="H63" s="167"/>
      <c r="T63" t="s">
        <v>278</v>
      </c>
    </row>
    <row r="64" spans="1:24" x14ac:dyDescent="0.25">
      <c r="A64" s="131" t="s">
        <v>88</v>
      </c>
      <c r="B64" s="131"/>
      <c r="C64" s="131"/>
      <c r="D64" s="85">
        <f>E46</f>
        <v>9282.7800000000007</v>
      </c>
      <c r="E64" s="85"/>
      <c r="F64" s="85"/>
      <c r="G64" s="85"/>
      <c r="H64" s="85"/>
      <c r="R64"/>
    </row>
    <row r="65" spans="1:19" x14ac:dyDescent="0.25">
      <c r="A65" s="130" t="s">
        <v>45</v>
      </c>
      <c r="B65" s="153"/>
      <c r="C65" s="153"/>
      <c r="D65" s="149" t="s">
        <v>347</v>
      </c>
      <c r="E65" s="149"/>
      <c r="F65" s="149"/>
      <c r="G65" s="149"/>
      <c r="H65" s="149"/>
      <c r="I65" s="24"/>
      <c r="R65"/>
    </row>
    <row r="66" spans="1:19" ht="18" customHeight="1" x14ac:dyDescent="0.25">
      <c r="A66" s="130" t="s">
        <v>46</v>
      </c>
      <c r="B66" s="130"/>
      <c r="C66" s="130"/>
      <c r="D66" s="150" t="s">
        <v>351</v>
      </c>
      <c r="E66" s="149"/>
      <c r="F66" s="149"/>
      <c r="G66" s="149"/>
      <c r="H66" s="149"/>
      <c r="R66"/>
    </row>
    <row r="67" spans="1:19" ht="15.75" customHeight="1" x14ac:dyDescent="0.25">
      <c r="A67" s="130" t="s">
        <v>86</v>
      </c>
      <c r="B67" s="130"/>
      <c r="C67" s="130"/>
      <c r="D67" s="150" t="s">
        <v>351</v>
      </c>
      <c r="E67" s="149"/>
      <c r="F67" s="149"/>
      <c r="G67" s="149"/>
      <c r="H67" s="149"/>
      <c r="R67"/>
    </row>
    <row r="68" spans="1:19" ht="15.75" hidden="1" customHeight="1" x14ac:dyDescent="0.25">
      <c r="A68" s="130"/>
      <c r="B68" s="130"/>
      <c r="C68" s="130"/>
      <c r="D68" s="149"/>
      <c r="E68" s="149"/>
      <c r="F68" s="149"/>
      <c r="G68" s="149"/>
      <c r="H68" s="149"/>
      <c r="R68"/>
    </row>
    <row r="69" spans="1:19" ht="15.75" hidden="1" customHeight="1" x14ac:dyDescent="0.25">
      <c r="A69" s="130"/>
      <c r="B69" s="130"/>
      <c r="C69" s="130"/>
      <c r="D69" s="149"/>
      <c r="E69" s="149"/>
      <c r="F69" s="149"/>
      <c r="G69" s="149"/>
      <c r="H69" s="149"/>
      <c r="S69"/>
    </row>
    <row r="70" spans="1:19" ht="15.75" customHeight="1" x14ac:dyDescent="0.25">
      <c r="A70" s="85" t="s">
        <v>43</v>
      </c>
      <c r="B70" s="85"/>
      <c r="C70" s="85"/>
      <c r="D70" s="150" t="s">
        <v>323</v>
      </c>
      <c r="E70" s="150"/>
      <c r="F70" s="150"/>
      <c r="G70" s="150"/>
      <c r="H70" s="150"/>
      <c r="J70" s="25"/>
      <c r="K70" s="24"/>
      <c r="N70" s="24"/>
      <c r="S70"/>
    </row>
    <row r="71" spans="1:19" ht="15.75" customHeight="1" x14ac:dyDescent="0.25">
      <c r="A71" s="85" t="s">
        <v>84</v>
      </c>
      <c r="B71" s="85"/>
      <c r="C71" s="85"/>
      <c r="D71" s="157" t="str">
        <f>(IF(G62="NA","60 Years After Completion",IF(G62&lt;&gt;"NA",""&amp;60-ROUNDDOWN((E3-G62)/360,0)&amp;" Years"," ")))</f>
        <v>60 Years After Completion</v>
      </c>
      <c r="E71" s="157"/>
      <c r="F71" s="157"/>
      <c r="G71" s="157"/>
      <c r="H71" s="157"/>
      <c r="N71" s="24"/>
      <c r="S71"/>
    </row>
    <row r="72" spans="1:19" ht="15.75" customHeight="1" x14ac:dyDescent="0.25">
      <c r="A72" s="85" t="s">
        <v>85</v>
      </c>
      <c r="B72" s="85"/>
      <c r="C72" s="85"/>
      <c r="D72" s="131" t="s">
        <v>23</v>
      </c>
      <c r="E72" s="131"/>
      <c r="F72" s="131"/>
      <c r="G72" s="131"/>
      <c r="H72" s="131"/>
      <c r="J72" s="26"/>
      <c r="K72" s="26"/>
      <c r="S72"/>
    </row>
    <row r="73" spans="1:19" ht="48.75" customHeight="1" x14ac:dyDescent="0.25">
      <c r="A73" s="149" t="s">
        <v>325</v>
      </c>
      <c r="B73" s="149"/>
      <c r="C73" s="149"/>
      <c r="D73" s="150" t="s">
        <v>324</v>
      </c>
      <c r="E73" s="150"/>
      <c r="F73" s="150"/>
      <c r="G73" s="150"/>
      <c r="H73" s="150"/>
      <c r="S73"/>
    </row>
    <row r="74" spans="1:19" x14ac:dyDescent="0.25">
      <c r="A74" s="131" t="s">
        <v>145</v>
      </c>
      <c r="B74" s="131"/>
      <c r="C74" s="131"/>
      <c r="D74" s="131" t="s">
        <v>28</v>
      </c>
      <c r="E74" s="131"/>
      <c r="F74" s="131"/>
      <c r="G74" s="131"/>
      <c r="H74" s="131"/>
      <c r="I74" s="27"/>
      <c r="J74" s="27"/>
      <c r="K74" s="27"/>
      <c r="L74" s="27"/>
      <c r="M74" s="27"/>
      <c r="N74" s="27"/>
    </row>
    <row r="75" spans="1:19" ht="15.75" customHeight="1" x14ac:dyDescent="0.25">
      <c r="A75" s="207" t="s">
        <v>83</v>
      </c>
      <c r="B75" s="207"/>
      <c r="C75" s="207"/>
      <c r="D75" s="132" t="str">
        <f ca="1">(IF(G81&gt;95%,"Nothing",IF(G81&gt;0%,"Cement, Aggregate, Steel, etc",IF(G81=0%,"Work not yet Started"))))</f>
        <v>Cement, Aggregate, Steel, etc</v>
      </c>
      <c r="E75" s="132"/>
      <c r="F75" s="132"/>
      <c r="G75" s="132"/>
      <c r="H75" s="132"/>
      <c r="J75" s="26"/>
      <c r="S75"/>
    </row>
    <row r="76" spans="1:19" ht="33.75" customHeight="1" thickBot="1" x14ac:dyDescent="0.3">
      <c r="A76" s="151" t="s">
        <v>116</v>
      </c>
      <c r="B76" s="151"/>
      <c r="C76" s="151"/>
      <c r="D76" s="132" t="str">
        <f ca="1">(IF(D75="Nothing","Yes",IF(D75="Cement, Aggregate, Steel, etc","Under Construction",IF(D75="Work not yet Started","Work not yet Started"))))</f>
        <v>Under Construction</v>
      </c>
      <c r="E76" s="132"/>
      <c r="F76" s="132" t="str">
        <f ca="1">(IF(D75="Nothing","Yes",IF(D75="Cement, Aggregate, Steel, etc","Under Construction",IF(D75="Work not yet Started","Work not yet Started"))))</f>
        <v>Under Construction</v>
      </c>
      <c r="G76" s="132"/>
      <c r="H76" s="132"/>
      <c r="S76"/>
    </row>
    <row r="77" spans="1:19" ht="15.75" customHeight="1" x14ac:dyDescent="0.25">
      <c r="A77" s="142" t="s">
        <v>137</v>
      </c>
      <c r="B77" s="143"/>
      <c r="C77" s="144" t="str">
        <f>D67</f>
        <v xml:space="preserve">Wing A &amp; B = Gr + 2P + 1st to 20th Floor
</v>
      </c>
      <c r="D77" s="145"/>
      <c r="E77" s="145"/>
      <c r="F77" s="145"/>
      <c r="G77" s="145"/>
      <c r="H77" s="146"/>
      <c r="I77" s="49" t="str">
        <f ca="1">IF(D90=100%,"All work Completed. Possession granted to the Building.",IF(D89=100%,"All work Completed, Waiting for OC",I78&amp;""&amp;I79&amp;""&amp;J78&amp;""&amp;J77&amp;" "&amp;J79))</f>
        <v>Excavation, Plinth, RCC Slab, Brickwork, Internal Plaster, External Plaster, Flooring Completed, Painting upto 19 Floor, Finishing upto 10 Floor Completed</v>
      </c>
      <c r="J77" s="50"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Painting upto 19 Floor, Finishing upto 10 Floor</v>
      </c>
      <c r="S77"/>
    </row>
    <row r="78" spans="1:19" x14ac:dyDescent="0.25">
      <c r="A78" s="16" t="s">
        <v>139</v>
      </c>
      <c r="B78" s="53">
        <f>IF(AND(ISNUMBER(SEARCH("1B",C77))),1,IF(AND(ISNUMBER(SEARCH("2B",C77))),2,IF(AND(ISNUMBER(SEARCH("3B",C77))),3,IF(AND(ISNUMBER(SEARCH("4B",C77))),4,IF(ISNUMBER(SEARCH("5B",C77)),5,0)))))</f>
        <v>0</v>
      </c>
      <c r="C78" s="80" t="s">
        <v>69</v>
      </c>
      <c r="D78" s="80">
        <v>1</v>
      </c>
      <c r="E78" s="80" t="s">
        <v>68</v>
      </c>
      <c r="F78" s="80">
        <v>2</v>
      </c>
      <c r="G78" s="80" t="s">
        <v>77</v>
      </c>
      <c r="H78" s="81">
        <f ca="1">--TRIM(RIGHT(SUBSTITUTE(LEFT(C77,_xlfn.AGGREGATE(16,6,FIND({0,1,2,3,4,5,6,7,8,9},C77,ROW(INDIRECT("1:"&amp;LEN(C77)))),1))," ",REPT(" ",LEN(C77))),LEN(C77)))</f>
        <v>20</v>
      </c>
      <c r="I78" s="51" t="str">
        <f ca="1">IF(D81=100%,"Excavation","")&amp;IF(D82=100%,", Plinth","")&amp;IF(D83=100%,", RCC Slab","")&amp;IF(D84=100%,", Brickwork","")&amp;IF(D85=100%,", Internal Plaster","")&amp;IF(D86=100%,", External Plaster","")&amp;IF(D87=100%,", Flooring","")&amp;IF(D88=100%,", Painting","")&amp;IF(D89=100%,", Building common Amenities","")</f>
        <v>Excavation, Plinth, RCC Slab, Brickwork, Internal Plaster, External Plaster, Flooring</v>
      </c>
      <c r="J78" s="52"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ht="49.35" customHeight="1" x14ac:dyDescent="0.25">
      <c r="A79" s="123" t="s">
        <v>87</v>
      </c>
      <c r="B79" s="124"/>
      <c r="C79" s="147" t="str">
        <f ca="1">I77</f>
        <v>Excavation, Plinth, RCC Slab, Brickwork, Internal Plaster, External Plaster, Flooring Completed, Painting upto 19 Floor, Finishing upto 10 Floor Completed</v>
      </c>
      <c r="D79" s="147"/>
      <c r="E79" s="147"/>
      <c r="F79" s="147"/>
      <c r="G79" s="147"/>
      <c r="H79" s="148"/>
      <c r="I79" s="51" t="str">
        <f ca="1">IF(I78&lt;&gt;""," Completed","")</f>
        <v xml:space="preserve"> Completed</v>
      </c>
      <c r="J79" s="52" t="str">
        <f ca="1">IF(J77&lt;&gt;"","Completed","")</f>
        <v>Completed</v>
      </c>
      <c r="S79"/>
    </row>
    <row r="80" spans="1:19" ht="15.75" customHeight="1" x14ac:dyDescent="0.25">
      <c r="A80" s="88" t="s">
        <v>47</v>
      </c>
      <c r="B80" s="89"/>
      <c r="C80" s="43" t="s">
        <v>136</v>
      </c>
      <c r="D80" s="43" t="s">
        <v>80</v>
      </c>
      <c r="E80" s="89" t="s">
        <v>82</v>
      </c>
      <c r="F80" s="89"/>
      <c r="G80" s="89" t="s">
        <v>81</v>
      </c>
      <c r="H80" s="122"/>
      <c r="I80" s="13" t="s">
        <v>138</v>
      </c>
      <c r="J80" s="28">
        <f ca="1">H78*25%</f>
        <v>5</v>
      </c>
      <c r="S80"/>
    </row>
    <row r="81" spans="1:19" x14ac:dyDescent="0.25">
      <c r="A81" s="88" t="s">
        <v>125</v>
      </c>
      <c r="B81" s="89"/>
      <c r="C81" s="77">
        <f ca="1">J82</f>
        <v>20</v>
      </c>
      <c r="D81" s="19">
        <f ca="1">((100/H78)*C81)/100</f>
        <v>1</v>
      </c>
      <c r="E81" s="113">
        <f ca="1">(((C82/H78*10)+(40/(D78+F78+H78)*C83)+(7.5/(H78)*C84)+(7.5/(H78)*C85)+(10/H78*C86)+(10/H78*C87)+(5/H78*C88)+(5/H78*C89)+(5/H78*C90))/100)</f>
        <v>0.92249999999999999</v>
      </c>
      <c r="F81" s="126"/>
      <c r="G81" s="113">
        <f ca="1">((((C81/H78)*20)+((C82/H78)*25)+(30/(H78+F78+D78)*C83)+(5/H78*C84)+(5/H78*C85)+(5/H78*C86)+(5/H78*C87)+(0/H78*C88)+(0/H78*C89)+(5/H78*C90))/100)</f>
        <v>0.95</v>
      </c>
      <c r="H81" s="114"/>
      <c r="I81" s="13" t="s">
        <v>98</v>
      </c>
      <c r="J81" s="29">
        <f ca="1">H78*50%</f>
        <v>10</v>
      </c>
    </row>
    <row r="82" spans="1:19" x14ac:dyDescent="0.25">
      <c r="A82" s="88" t="s">
        <v>48</v>
      </c>
      <c r="B82" s="89"/>
      <c r="C82" s="77">
        <f ca="1">J90</f>
        <v>20</v>
      </c>
      <c r="D82" s="19">
        <f ca="1">((100/H78)*C82)/100</f>
        <v>1</v>
      </c>
      <c r="E82" s="115"/>
      <c r="F82" s="127"/>
      <c r="G82" s="115"/>
      <c r="H82" s="116"/>
      <c r="I82" s="13" t="s">
        <v>99</v>
      </c>
      <c r="J82" s="29">
        <f ca="1">H78</f>
        <v>20</v>
      </c>
      <c r="S82"/>
    </row>
    <row r="83" spans="1:19" ht="15.75" customHeight="1" x14ac:dyDescent="0.25">
      <c r="A83" s="88" t="s">
        <v>126</v>
      </c>
      <c r="B83" s="89"/>
      <c r="C83" s="77">
        <f>D78+F78+20</f>
        <v>23</v>
      </c>
      <c r="D83" s="19">
        <f ca="1">((100/(D78+F78+H78))*C83)/100</f>
        <v>1</v>
      </c>
      <c r="E83" s="115"/>
      <c r="F83" s="127"/>
      <c r="G83" s="115"/>
      <c r="H83" s="116"/>
      <c r="I83" s="13" t="s">
        <v>100</v>
      </c>
      <c r="J83" s="30">
        <f ca="1">(IF(B78&gt;1,(H78/(B78+2)),H78/4))</f>
        <v>5</v>
      </c>
      <c r="S83"/>
    </row>
    <row r="84" spans="1:19" ht="15.75" customHeight="1" x14ac:dyDescent="0.25">
      <c r="A84" s="88" t="s">
        <v>133</v>
      </c>
      <c r="B84" s="89" t="s">
        <v>127</v>
      </c>
      <c r="C84" s="77">
        <f>C83-F78-D78</f>
        <v>20</v>
      </c>
      <c r="D84" s="19">
        <f ca="1">((100/H78)*C84)/100</f>
        <v>1</v>
      </c>
      <c r="E84" s="115"/>
      <c r="F84" s="127"/>
      <c r="G84" s="115"/>
      <c r="H84" s="116"/>
      <c r="I84" s="13" t="s">
        <v>101</v>
      </c>
      <c r="J84" s="30">
        <f ca="1">(IF(B78&gt;1,(H78/(B78+2)+J83),H78/4+J83))</f>
        <v>10</v>
      </c>
    </row>
    <row r="85" spans="1:19" ht="15.75" customHeight="1" x14ac:dyDescent="0.25">
      <c r="A85" s="88" t="s">
        <v>134</v>
      </c>
      <c r="B85" s="89" t="s">
        <v>127</v>
      </c>
      <c r="C85" s="43">
        <v>20</v>
      </c>
      <c r="D85" s="19">
        <f ca="1">((100/H78)*C85)/100</f>
        <v>1</v>
      </c>
      <c r="E85" s="115"/>
      <c r="F85" s="127"/>
      <c r="G85" s="115"/>
      <c r="H85" s="116"/>
      <c r="I85" s="13" t="s">
        <v>143</v>
      </c>
      <c r="J85" s="30">
        <f>(IF(B78&gt;1,(H78/(B78+2)+J84),0))</f>
        <v>0</v>
      </c>
    </row>
    <row r="86" spans="1:19" ht="15" customHeight="1" x14ac:dyDescent="0.25">
      <c r="A86" s="88" t="s">
        <v>132</v>
      </c>
      <c r="B86" s="89" t="s">
        <v>129</v>
      </c>
      <c r="C86" s="66">
        <v>20</v>
      </c>
      <c r="D86" s="19">
        <f ca="1">((100/(H78))*C86)/100</f>
        <v>1</v>
      </c>
      <c r="E86" s="115"/>
      <c r="F86" s="127"/>
      <c r="G86" s="115"/>
      <c r="H86" s="116"/>
      <c r="I86" s="13" t="s">
        <v>140</v>
      </c>
      <c r="J86" s="30">
        <f>(IF(B78&gt;2,(H78/(B78+2)+J85),0))</f>
        <v>0</v>
      </c>
    </row>
    <row r="87" spans="1:19" ht="15.75" customHeight="1" x14ac:dyDescent="0.25">
      <c r="A87" s="88" t="s">
        <v>128</v>
      </c>
      <c r="B87" s="89" t="s">
        <v>128</v>
      </c>
      <c r="C87" s="43">
        <v>20</v>
      </c>
      <c r="D87" s="19">
        <f ca="1">((100/H78)*C87)/100</f>
        <v>1</v>
      </c>
      <c r="E87" s="115"/>
      <c r="F87" s="127"/>
      <c r="G87" s="115"/>
      <c r="H87" s="116"/>
      <c r="I87" s="13" t="s">
        <v>141</v>
      </c>
      <c r="J87" s="31">
        <f>(IF(B78&gt;3,(H78/(B78+2)+J86),0))</f>
        <v>0</v>
      </c>
    </row>
    <row r="88" spans="1:19" ht="15.75" customHeight="1" x14ac:dyDescent="0.25">
      <c r="A88" s="88" t="s">
        <v>135</v>
      </c>
      <c r="B88" s="89"/>
      <c r="C88" s="43">
        <v>19</v>
      </c>
      <c r="D88" s="19">
        <f ca="1">((100/H78)*C88)/100</f>
        <v>0.95</v>
      </c>
      <c r="E88" s="115"/>
      <c r="F88" s="127"/>
      <c r="G88" s="115"/>
      <c r="H88" s="116"/>
      <c r="I88" s="13" t="s">
        <v>142</v>
      </c>
      <c r="J88" s="30">
        <f>(IF(B78&gt;4,(H78/(B78+2)+J87),0))</f>
        <v>0</v>
      </c>
    </row>
    <row r="89" spans="1:19" ht="15.75" customHeight="1" x14ac:dyDescent="0.25">
      <c r="A89" s="88" t="s">
        <v>130</v>
      </c>
      <c r="B89" s="89" t="s">
        <v>130</v>
      </c>
      <c r="C89" s="43">
        <v>10</v>
      </c>
      <c r="D89" s="19">
        <f ca="1">((100/(H78))*C89)/100</f>
        <v>0.5</v>
      </c>
      <c r="E89" s="115"/>
      <c r="F89" s="127"/>
      <c r="G89" s="115"/>
      <c r="H89" s="116"/>
      <c r="I89" s="13" t="s">
        <v>144</v>
      </c>
      <c r="J89" s="30">
        <f ca="1">(IF(B78=1,(H78/(B78+3)+J84),IF(B78=0,(H78/4+J84),IF(B78&gt;1,0))))</f>
        <v>15</v>
      </c>
    </row>
    <row r="90" spans="1:19" ht="16.5" thickBot="1" x14ac:dyDescent="0.3">
      <c r="A90" s="86" t="s">
        <v>131</v>
      </c>
      <c r="B90" s="87"/>
      <c r="C90" s="44">
        <v>0</v>
      </c>
      <c r="D90" s="20">
        <f ca="1">((100/(H78))*C90)/100</f>
        <v>0</v>
      </c>
      <c r="E90" s="117"/>
      <c r="F90" s="128"/>
      <c r="G90" s="117"/>
      <c r="H90" s="118"/>
      <c r="I90" s="15" t="s">
        <v>102</v>
      </c>
      <c r="J90" s="32">
        <f ca="1">(IF(B78&gt;1.5,(H78/(B78+2)+J84+MAX(0,J85-J84)+MAX(0,J86-J85)+MAX(0,J87-J86)+MAX(0,J88-J87)+MAX(0,J89-J88)),IF(B78=1,(H78/(B78+3)+J89),IF(B78=0,H78/4+J89))))</f>
        <v>20</v>
      </c>
    </row>
    <row r="91" spans="1:19" ht="15.75" hidden="1" customHeight="1" x14ac:dyDescent="0.25">
      <c r="A91" s="142" t="s">
        <v>137</v>
      </c>
      <c r="B91" s="143"/>
      <c r="C91" s="144">
        <f>D68</f>
        <v>0</v>
      </c>
      <c r="D91" s="145"/>
      <c r="E91" s="145"/>
      <c r="F91" s="145"/>
      <c r="G91" s="145"/>
      <c r="H91" s="146"/>
      <c r="I91" s="49" t="e">
        <f ca="1">IF(D104=100%,"All work Completed. Possession granted to the Building.",IF(D103=100%,"All work Completed, Waiting for OC",I92&amp;""&amp;I93&amp;""&amp;J92&amp;""&amp;J91&amp;" "&amp;J93))</f>
        <v>#DIV/0!</v>
      </c>
      <c r="J91" s="50"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c>
    </row>
    <row r="92" spans="1:19" hidden="1" x14ac:dyDescent="0.25">
      <c r="A92" s="16" t="s">
        <v>139</v>
      </c>
      <c r="B92" s="54">
        <f>IF(AND(ISNUMBER(SEARCH("1B",C91))),1,IF(AND(ISNUMBER(SEARCH("2B",C91))),2,IF(AND(ISNUMBER(SEARCH("3B",C91))),3,IF(AND(ISNUMBER(SEARCH("4B",C91))),4,IF(ISNUMBER(SEARCH("5B",C91)),5,0)))))</f>
        <v>0</v>
      </c>
      <c r="C92" s="47" t="s">
        <v>69</v>
      </c>
      <c r="D92" s="47">
        <v>1</v>
      </c>
      <c r="E92" s="47" t="s">
        <v>68</v>
      </c>
      <c r="F92" s="14">
        <v>0</v>
      </c>
      <c r="G92" s="48" t="s">
        <v>77</v>
      </c>
      <c r="H92" s="17">
        <f ca="1">--TRIM(RIGHT(SUBSTITUTE(LEFT(C91,_xlfn.AGGREGATE(16,6,FIND({0,1,2,3,4,5,6,7,8,9},C91,ROW(INDIRECT("1:"&amp;LEN(C91)))),1))," ",REPT(" ",LEN(C91))),LEN(C91)))</f>
        <v>0</v>
      </c>
      <c r="I92" s="51" t="e">
        <f ca="1">IF(D95=100%,"Excavation","")&amp;IF(D96=100%,", Plinth","")&amp;IF(D97=100%,", RCC Slab","")&amp;IF(D98=100%,", Brickwork","")&amp;IF(D99=100%,", Internal Plaster","")&amp;IF(D100=100%,", External Plaster","")&amp;IF(D101=100%,", Flooring","")&amp;IF(D102=100%,", Painting","")&amp;IF(D103=100%,", Building common Amenities","")</f>
        <v>#DIV/0!</v>
      </c>
      <c r="J92" s="52"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Work not yet Started.0</v>
      </c>
    </row>
    <row r="93" spans="1:19" hidden="1" x14ac:dyDescent="0.25">
      <c r="A93" s="123" t="s">
        <v>87</v>
      </c>
      <c r="B93" s="124"/>
      <c r="C93" s="93" t="e">
        <f ca="1">(IF($G$62="NA",I91,"All work Completed. OC Received."))</f>
        <v>#DIV/0!</v>
      </c>
      <c r="D93" s="93"/>
      <c r="E93" s="93"/>
      <c r="F93" s="93"/>
      <c r="G93" s="93"/>
      <c r="H93" s="94"/>
      <c r="I93" s="51" t="e">
        <f ca="1">IF(I92&lt;&gt;""," Completed","")</f>
        <v>#DIV/0!</v>
      </c>
      <c r="J93" s="52" t="str">
        <f ca="1">IF(J91&lt;&gt;"","Completed","")</f>
        <v/>
      </c>
    </row>
    <row r="94" spans="1:19" ht="15.75" hidden="1" customHeight="1" x14ac:dyDescent="0.25">
      <c r="A94" s="88" t="s">
        <v>47</v>
      </c>
      <c r="B94" s="89"/>
      <c r="C94" s="43" t="s">
        <v>136</v>
      </c>
      <c r="D94" s="43" t="s">
        <v>80</v>
      </c>
      <c r="E94" s="89" t="s">
        <v>82</v>
      </c>
      <c r="F94" s="89"/>
      <c r="G94" s="89" t="s">
        <v>81</v>
      </c>
      <c r="H94" s="122"/>
      <c r="I94" s="13" t="s">
        <v>138</v>
      </c>
      <c r="J94" s="28">
        <f ca="1">H92*25%</f>
        <v>0</v>
      </c>
    </row>
    <row r="95" spans="1:19" hidden="1" x14ac:dyDescent="0.25">
      <c r="A95" s="88" t="s">
        <v>125</v>
      </c>
      <c r="B95" s="89"/>
      <c r="C95" s="67">
        <f ca="1">J96</f>
        <v>0</v>
      </c>
      <c r="D95" s="19" t="e">
        <f ca="1">((100/H92)*C95)/100</f>
        <v>#DIV/0!</v>
      </c>
      <c r="E95" s="113" t="e">
        <f ca="1">(((C96/H92*10)+(40/(D92+F92+H92)*C97)+(7.5/(H92)*C98)+(7.5/(H92)*C99)+(10/H92*C100)+(10/H92*C101)+(5/H92*C102)+(5/H92*C103)+(5/H92*C104))/100)</f>
        <v>#DIV/0!</v>
      </c>
      <c r="F95" s="126"/>
      <c r="G95" s="113" t="e">
        <f ca="1">((((C95/H92)*20)+((C96/H92)*25)+(30/(H92+F92+D92)*C97)+(5/H92*C98)+(5/H92*C99)+(5/H92*C100)+(5/H92*C101)+(0/H92*C102)+(0/H92*C103)+(5/H92*C104))/100)</f>
        <v>#DIV/0!</v>
      </c>
      <c r="H95" s="114"/>
      <c r="I95" s="13" t="s">
        <v>98</v>
      </c>
      <c r="J95" s="29">
        <f ca="1">H92*50%</f>
        <v>0</v>
      </c>
    </row>
    <row r="96" spans="1:19" hidden="1" x14ac:dyDescent="0.25">
      <c r="A96" s="88" t="s">
        <v>48</v>
      </c>
      <c r="B96" s="89"/>
      <c r="C96" s="68">
        <v>19</v>
      </c>
      <c r="D96" s="19" t="e">
        <f ca="1">((100/H92)*C96)/100</f>
        <v>#DIV/0!</v>
      </c>
      <c r="E96" s="115"/>
      <c r="F96" s="127"/>
      <c r="G96" s="115"/>
      <c r="H96" s="116"/>
      <c r="I96" s="13" t="s">
        <v>99</v>
      </c>
      <c r="J96" s="29">
        <f ca="1">H92</f>
        <v>0</v>
      </c>
    </row>
    <row r="97" spans="1:10" ht="15.75" hidden="1" customHeight="1" x14ac:dyDescent="0.25">
      <c r="A97" s="88" t="s">
        <v>126</v>
      </c>
      <c r="B97" s="89"/>
      <c r="C97" s="43">
        <v>0</v>
      </c>
      <c r="D97" s="19">
        <f ca="1">((100/(D92+F92+H92))*C97)/100</f>
        <v>0</v>
      </c>
      <c r="E97" s="115"/>
      <c r="F97" s="127"/>
      <c r="G97" s="115"/>
      <c r="H97" s="116"/>
      <c r="I97" s="13" t="s">
        <v>100</v>
      </c>
      <c r="J97" s="30">
        <f ca="1">(IF(B92&gt;1,(H92/(B92+2)),H92/4))</f>
        <v>0</v>
      </c>
    </row>
    <row r="98" spans="1:10" ht="15.75" hidden="1" customHeight="1" x14ac:dyDescent="0.25">
      <c r="A98" s="88" t="s">
        <v>133</v>
      </c>
      <c r="B98" s="89" t="s">
        <v>127</v>
      </c>
      <c r="C98" s="65">
        <v>0</v>
      </c>
      <c r="D98" s="19" t="e">
        <f ca="1">((100/H92)*C98)/100</f>
        <v>#DIV/0!</v>
      </c>
      <c r="E98" s="115"/>
      <c r="F98" s="127"/>
      <c r="G98" s="115"/>
      <c r="H98" s="116"/>
      <c r="I98" s="13" t="s">
        <v>101</v>
      </c>
      <c r="J98" s="30">
        <f ca="1">(IF(B92&gt;1,(H92/(B92+2)+J97),H92/4+J97))</f>
        <v>0</v>
      </c>
    </row>
    <row r="99" spans="1:10" ht="15.75" hidden="1" customHeight="1" x14ac:dyDescent="0.25">
      <c r="A99" s="88" t="s">
        <v>134</v>
      </c>
      <c r="B99" s="89" t="s">
        <v>127</v>
      </c>
      <c r="C99" s="65">
        <v>0</v>
      </c>
      <c r="D99" s="19" t="e">
        <f ca="1">((100/H92)*C99)/100</f>
        <v>#DIV/0!</v>
      </c>
      <c r="E99" s="115"/>
      <c r="F99" s="127"/>
      <c r="G99" s="115"/>
      <c r="H99" s="116"/>
      <c r="I99" s="13" t="s">
        <v>143</v>
      </c>
      <c r="J99" s="30">
        <f>(IF(B92&gt;1,(H92/(B92+2)+J98),0))</f>
        <v>0</v>
      </c>
    </row>
    <row r="100" spans="1:10" ht="15" hidden="1" customHeight="1" x14ac:dyDescent="0.25">
      <c r="A100" s="88" t="s">
        <v>132</v>
      </c>
      <c r="B100" s="89" t="s">
        <v>129</v>
      </c>
      <c r="C100" s="65">
        <v>0</v>
      </c>
      <c r="D100" s="19" t="e">
        <f ca="1">((100/(H92))*C100)/100</f>
        <v>#DIV/0!</v>
      </c>
      <c r="E100" s="115"/>
      <c r="F100" s="127"/>
      <c r="G100" s="115"/>
      <c r="H100" s="116"/>
      <c r="I100" s="13" t="s">
        <v>140</v>
      </c>
      <c r="J100" s="30">
        <f>(IF(B92&gt;2,(H92/(B92+2)+J99),0))</f>
        <v>0</v>
      </c>
    </row>
    <row r="101" spans="1:10" ht="15.75" hidden="1" customHeight="1" x14ac:dyDescent="0.25">
      <c r="A101" s="88" t="s">
        <v>128</v>
      </c>
      <c r="B101" s="89" t="s">
        <v>128</v>
      </c>
      <c r="C101" s="65">
        <v>0</v>
      </c>
      <c r="D101" s="19" t="e">
        <f ca="1">((100/H92)*C101)/100</f>
        <v>#DIV/0!</v>
      </c>
      <c r="E101" s="115"/>
      <c r="F101" s="127"/>
      <c r="G101" s="115"/>
      <c r="H101" s="116"/>
      <c r="I101" s="13" t="s">
        <v>141</v>
      </c>
      <c r="J101" s="31">
        <f>(IF(B92&gt;3,(H92/(B92+2)+J100),0))</f>
        <v>0</v>
      </c>
    </row>
    <row r="102" spans="1:10" ht="15.75" hidden="1" customHeight="1" x14ac:dyDescent="0.25">
      <c r="A102" s="88" t="s">
        <v>135</v>
      </c>
      <c r="B102" s="89"/>
      <c r="C102" s="43">
        <v>0</v>
      </c>
      <c r="D102" s="19" t="e">
        <f ca="1">((100/H92)*C102)/100</f>
        <v>#DIV/0!</v>
      </c>
      <c r="E102" s="115"/>
      <c r="F102" s="127"/>
      <c r="G102" s="115"/>
      <c r="H102" s="116"/>
      <c r="I102" s="13" t="s">
        <v>142</v>
      </c>
      <c r="J102" s="30">
        <f>(IF(B92&gt;4,(H92/(B92+2)+J101),0))</f>
        <v>0</v>
      </c>
    </row>
    <row r="103" spans="1:10" ht="15.75" hidden="1" customHeight="1" x14ac:dyDescent="0.25">
      <c r="A103" s="88" t="s">
        <v>130</v>
      </c>
      <c r="B103" s="89" t="s">
        <v>130</v>
      </c>
      <c r="C103" s="43">
        <v>0</v>
      </c>
      <c r="D103" s="19" t="e">
        <f ca="1">((100/(H92))*C103)/100</f>
        <v>#DIV/0!</v>
      </c>
      <c r="E103" s="115"/>
      <c r="F103" s="127"/>
      <c r="G103" s="115"/>
      <c r="H103" s="116"/>
      <c r="I103" s="13" t="s">
        <v>144</v>
      </c>
      <c r="J103" s="30">
        <f ca="1">(IF(B92=1,(H92/(B92+3)+J98),IF(B92=0,(H92/4+J98),IF(B92&gt;1,0))))</f>
        <v>0</v>
      </c>
    </row>
    <row r="104" spans="1:10" ht="16.5" hidden="1" thickBot="1" x14ac:dyDescent="0.3">
      <c r="A104" s="86" t="s">
        <v>131</v>
      </c>
      <c r="B104" s="87"/>
      <c r="C104" s="44">
        <v>0</v>
      </c>
      <c r="D104" s="20" t="e">
        <f ca="1">((100/(H92))*C104)/100</f>
        <v>#DIV/0!</v>
      </c>
      <c r="E104" s="117"/>
      <c r="F104" s="128"/>
      <c r="G104" s="117"/>
      <c r="H104" s="118"/>
      <c r="I104" s="15" t="s">
        <v>102</v>
      </c>
      <c r="J104" s="32">
        <f ca="1">(IF(B92&gt;1.5,(H92/(B92+2)+J98+MAX(0,J99-J98)+MAX(0,J100-J99)+MAX(0,J101-J100)+MAX(0,J102-J101)+MAX(0,J103-J102)),IF(B92=1,(H92/(B92+3)+J103),IF(B92=0,H92/4+J103))))</f>
        <v>0</v>
      </c>
    </row>
    <row r="105" spans="1:10" ht="15.75" hidden="1" customHeight="1" x14ac:dyDescent="0.25">
      <c r="A105" s="142" t="s">
        <v>137</v>
      </c>
      <c r="B105" s="143"/>
      <c r="C105" s="144">
        <f>D69</f>
        <v>0</v>
      </c>
      <c r="D105" s="145"/>
      <c r="E105" s="145"/>
      <c r="F105" s="145"/>
      <c r="G105" s="145"/>
      <c r="H105" s="146"/>
      <c r="I105" s="49" t="e">
        <f ca="1">IF(D118=100%,"All work Completed. Possession granted to the Building.",IF(D117=100%,"All work Completed, Waiting for OC",I106&amp;""&amp;I107&amp;""&amp;J106&amp;""&amp;J105&amp;" "&amp;J107))</f>
        <v>#DIV/0!</v>
      </c>
      <c r="J105" s="50"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c>
    </row>
    <row r="106" spans="1:10" hidden="1" x14ac:dyDescent="0.25">
      <c r="A106" s="16" t="s">
        <v>139</v>
      </c>
      <c r="B106" s="54">
        <f>IF(AND(ISNUMBER(SEARCH("1B",C105))),1,IF(AND(ISNUMBER(SEARCH("2B",C105))),2,IF(AND(ISNUMBER(SEARCH("3B",C105))),3,IF(AND(ISNUMBER(SEARCH("4B",C105))),4,IF(ISNUMBER(SEARCH("5B",C105)),5,0)))))</f>
        <v>0</v>
      </c>
      <c r="C106" s="47" t="s">
        <v>69</v>
      </c>
      <c r="D106" s="47">
        <v>1</v>
      </c>
      <c r="E106" s="47" t="s">
        <v>68</v>
      </c>
      <c r="F106" s="14">
        <v>0</v>
      </c>
      <c r="G106" s="48" t="s">
        <v>77</v>
      </c>
      <c r="H106" s="17">
        <f ca="1">--TRIM(RIGHT(SUBSTITUTE(LEFT(C105,_xlfn.AGGREGATE(16,6,FIND({0,1,2,3,4,5,6,7,8,9},C105,ROW(INDIRECT("1:"&amp;LEN(C105)))),1))," ",REPT(" ",LEN(C105))),LEN(C105)))</f>
        <v>0</v>
      </c>
      <c r="I106" s="51" t="e">
        <f ca="1">IF(D109=100%,"Excavation","")&amp;IF(D110=100%,", Plinth","")&amp;IF(D111=100%,", RCC Slab","")&amp;IF(D112=100%,", Brickwork","")&amp;IF(D113=100%,", Internal Plaster","")&amp;IF(D114=100%,", External Plaster","")&amp;IF(D115=100%,", Flooring","")&amp;IF(D116=100%,", Painting","")&amp;IF(D117=100%,", Building common Amenities","")</f>
        <v>#DIV/0!</v>
      </c>
      <c r="J106" s="52"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Work not yet Started.</v>
      </c>
    </row>
    <row r="107" spans="1:10" hidden="1" x14ac:dyDescent="0.25">
      <c r="A107" s="123" t="s">
        <v>87</v>
      </c>
      <c r="B107" s="124"/>
      <c r="C107" s="93" t="e">
        <f ca="1">(IF($G$62="NA",I105,"All work Completed. OC Received."))</f>
        <v>#DIV/0!</v>
      </c>
      <c r="D107" s="93"/>
      <c r="E107" s="93"/>
      <c r="F107" s="93"/>
      <c r="G107" s="93"/>
      <c r="H107" s="94"/>
      <c r="I107" s="51" t="e">
        <f ca="1">IF(I106&lt;&gt;""," Completed","")</f>
        <v>#DIV/0!</v>
      </c>
      <c r="J107" s="52" t="str">
        <f ca="1">IF(J105&lt;&gt;"","Completed","")</f>
        <v/>
      </c>
    </row>
    <row r="108" spans="1:10" ht="15.75" hidden="1" customHeight="1" x14ac:dyDescent="0.25">
      <c r="A108" s="88" t="s">
        <v>47</v>
      </c>
      <c r="B108" s="89"/>
      <c r="C108" s="43" t="s">
        <v>136</v>
      </c>
      <c r="D108" s="43" t="s">
        <v>80</v>
      </c>
      <c r="E108" s="89" t="s">
        <v>82</v>
      </c>
      <c r="F108" s="89"/>
      <c r="G108" s="89" t="s">
        <v>81</v>
      </c>
      <c r="H108" s="122"/>
      <c r="I108" s="13" t="s">
        <v>138</v>
      </c>
      <c r="J108" s="28">
        <f ca="1">H106*25%</f>
        <v>0</v>
      </c>
    </row>
    <row r="109" spans="1:10" hidden="1" x14ac:dyDescent="0.25">
      <c r="A109" s="88" t="s">
        <v>125</v>
      </c>
      <c r="B109" s="89"/>
      <c r="C109" s="43">
        <f ca="1">J110</f>
        <v>0</v>
      </c>
      <c r="D109" s="19" t="e">
        <f ca="1">((100/H106)*C109)/100</f>
        <v>#DIV/0!</v>
      </c>
      <c r="E109" s="113" t="e">
        <f ca="1">(((C110/H106*10)+(40/(D106+F106+H106)*C111)+(7.5/(H106)*C112)+(7.5/(H106)*C113)+(10/H106*C114)+(10/H106*C115)+(5/H106*C116)+(5/H106*C117)+(5/H106*C118))/100)</f>
        <v>#DIV/0!</v>
      </c>
      <c r="F109" s="126"/>
      <c r="G109" s="113" t="e">
        <f ca="1">((((C109/H106)*20)+((C110/H106)*25)+(30/(H106+F106+D106)*C111)+(5/H106*C112)+(5/H106*C113)+(5/H106*C114)+(5/H106*C115)+(0/H106*C116)+(0/H106*C117)+(5/H106*C118))/100)</f>
        <v>#DIV/0!</v>
      </c>
      <c r="H109" s="114"/>
      <c r="I109" s="13" t="s">
        <v>98</v>
      </c>
      <c r="J109" s="29">
        <f ca="1">H106*50%</f>
        <v>0</v>
      </c>
    </row>
    <row r="110" spans="1:10" hidden="1" x14ac:dyDescent="0.25">
      <c r="A110" s="88" t="s">
        <v>48</v>
      </c>
      <c r="B110" s="89"/>
      <c r="C110" s="43">
        <f ca="1">J118</f>
        <v>0</v>
      </c>
      <c r="D110" s="19" t="e">
        <f ca="1">((100/H106)*C110)/100</f>
        <v>#DIV/0!</v>
      </c>
      <c r="E110" s="115"/>
      <c r="F110" s="127"/>
      <c r="G110" s="115"/>
      <c r="H110" s="116"/>
      <c r="I110" s="13" t="s">
        <v>99</v>
      </c>
      <c r="J110" s="29">
        <f ca="1">H106</f>
        <v>0</v>
      </c>
    </row>
    <row r="111" spans="1:10" ht="15.75" hidden="1" customHeight="1" x14ac:dyDescent="0.25">
      <c r="A111" s="88" t="s">
        <v>126</v>
      </c>
      <c r="B111" s="89"/>
      <c r="C111" s="43">
        <f ca="1">D106+H106</f>
        <v>1</v>
      </c>
      <c r="D111" s="19">
        <f ca="1">((100/(D106+F106+H106))*C111)/100</f>
        <v>1</v>
      </c>
      <c r="E111" s="115"/>
      <c r="F111" s="127"/>
      <c r="G111" s="115"/>
      <c r="H111" s="116"/>
      <c r="I111" s="13" t="s">
        <v>100</v>
      </c>
      <c r="J111" s="30">
        <f ca="1">(IF(B106&gt;1,(H106/(B106+2)),H106/4))</f>
        <v>0</v>
      </c>
    </row>
    <row r="112" spans="1:10" ht="15.75" hidden="1" customHeight="1" x14ac:dyDescent="0.25">
      <c r="A112" s="88" t="s">
        <v>133</v>
      </c>
      <c r="B112" s="89" t="s">
        <v>127</v>
      </c>
      <c r="C112" s="43">
        <v>0</v>
      </c>
      <c r="D112" s="19" t="e">
        <f ca="1">((100/H106)*C112)/100</f>
        <v>#DIV/0!</v>
      </c>
      <c r="E112" s="115"/>
      <c r="F112" s="127"/>
      <c r="G112" s="115"/>
      <c r="H112" s="116"/>
      <c r="I112" s="13" t="s">
        <v>101</v>
      </c>
      <c r="J112" s="30">
        <f ca="1">(IF(B106&gt;1,(H106/(B106+2)+J111),H106/4+J111))</f>
        <v>0</v>
      </c>
    </row>
    <row r="113" spans="1:22" ht="15.75" hidden="1" customHeight="1" x14ac:dyDescent="0.25">
      <c r="A113" s="88" t="s">
        <v>134</v>
      </c>
      <c r="B113" s="89" t="s">
        <v>127</v>
      </c>
      <c r="C113" s="43">
        <v>0</v>
      </c>
      <c r="D113" s="19" t="e">
        <f ca="1">((100/H106)*C113)/100</f>
        <v>#DIV/0!</v>
      </c>
      <c r="E113" s="115"/>
      <c r="F113" s="127"/>
      <c r="G113" s="115"/>
      <c r="H113" s="116"/>
      <c r="I113" s="13" t="s">
        <v>143</v>
      </c>
      <c r="J113" s="30">
        <f>(IF(B106&gt;1,(H106/(B106+2)+J112),0))</f>
        <v>0</v>
      </c>
    </row>
    <row r="114" spans="1:22" ht="15" hidden="1" customHeight="1" x14ac:dyDescent="0.25">
      <c r="A114" s="88" t="s">
        <v>132</v>
      </c>
      <c r="B114" s="89" t="s">
        <v>129</v>
      </c>
      <c r="C114" s="43">
        <v>0</v>
      </c>
      <c r="D114" s="19" t="e">
        <f ca="1">((100/(H106))*C114)/100</f>
        <v>#DIV/0!</v>
      </c>
      <c r="E114" s="115"/>
      <c r="F114" s="127"/>
      <c r="G114" s="115"/>
      <c r="H114" s="116"/>
      <c r="I114" s="13" t="s">
        <v>140</v>
      </c>
      <c r="J114" s="30">
        <f>(IF(B106&gt;2,(H106/(B106+2)+J113),0))</f>
        <v>0</v>
      </c>
    </row>
    <row r="115" spans="1:22" ht="15.75" hidden="1" customHeight="1" x14ac:dyDescent="0.25">
      <c r="A115" s="88" t="s">
        <v>128</v>
      </c>
      <c r="B115" s="89" t="s">
        <v>128</v>
      </c>
      <c r="C115" s="43">
        <v>0</v>
      </c>
      <c r="D115" s="19" t="e">
        <f ca="1">((100/H106)*C115)/100</f>
        <v>#DIV/0!</v>
      </c>
      <c r="E115" s="115"/>
      <c r="F115" s="127"/>
      <c r="G115" s="115"/>
      <c r="H115" s="116"/>
      <c r="I115" s="13" t="s">
        <v>141</v>
      </c>
      <c r="J115" s="31">
        <f>(IF(B106&gt;3,(H106/(B106+2)+J114),0))</f>
        <v>0</v>
      </c>
    </row>
    <row r="116" spans="1:22" ht="15.75" hidden="1" customHeight="1" x14ac:dyDescent="0.25">
      <c r="A116" s="88" t="s">
        <v>135</v>
      </c>
      <c r="B116" s="89"/>
      <c r="C116" s="43">
        <v>0</v>
      </c>
      <c r="D116" s="19" t="e">
        <f ca="1">((100/H106)*C116)/100</f>
        <v>#DIV/0!</v>
      </c>
      <c r="E116" s="115"/>
      <c r="F116" s="127"/>
      <c r="G116" s="115"/>
      <c r="H116" s="116"/>
      <c r="I116" s="13" t="s">
        <v>142</v>
      </c>
      <c r="J116" s="30">
        <f>(IF(B106&gt;4,(H106/(B106+2)+J115),0))</f>
        <v>0</v>
      </c>
    </row>
    <row r="117" spans="1:22" ht="15.75" hidden="1" customHeight="1" x14ac:dyDescent="0.25">
      <c r="A117" s="88" t="s">
        <v>130</v>
      </c>
      <c r="B117" s="89" t="s">
        <v>130</v>
      </c>
      <c r="C117" s="43">
        <v>0</v>
      </c>
      <c r="D117" s="19" t="e">
        <f ca="1">((100/(H106))*C117)/100</f>
        <v>#DIV/0!</v>
      </c>
      <c r="E117" s="115"/>
      <c r="F117" s="127"/>
      <c r="G117" s="115"/>
      <c r="H117" s="116"/>
      <c r="I117" s="13" t="s">
        <v>144</v>
      </c>
      <c r="J117" s="30">
        <f ca="1">(IF(B106=1,(H106/(B106+3)+J112),IF(B106=0,(H106/4+J112),IF(B106&gt;1,0))))</f>
        <v>0</v>
      </c>
    </row>
    <row r="118" spans="1:22" ht="16.5" hidden="1" thickBot="1" x14ac:dyDescent="0.3">
      <c r="A118" s="86" t="s">
        <v>131</v>
      </c>
      <c r="B118" s="87"/>
      <c r="C118" s="44">
        <v>0</v>
      </c>
      <c r="D118" s="20" t="e">
        <f ca="1">((100/(H106))*C118)/100</f>
        <v>#DIV/0!</v>
      </c>
      <c r="E118" s="117"/>
      <c r="F118" s="128"/>
      <c r="G118" s="117"/>
      <c r="H118" s="118"/>
      <c r="I118" s="15" t="s">
        <v>102</v>
      </c>
      <c r="J118" s="32">
        <f ca="1">(IF(B106&gt;1.5,(H106/(B106+2)+J112+MAX(0,J113-J112)+MAX(0,J114-J113)+MAX(0,J115-J114)+MAX(0,J116-J115)+MAX(0,J117-J116)),IF(B106=1,(H106/(B106+3)+J117),IF(B106=0,H106/4+J117))))</f>
        <v>0</v>
      </c>
    </row>
    <row r="119" spans="1:22" x14ac:dyDescent="0.25">
      <c r="A119" s="121" t="s">
        <v>154</v>
      </c>
      <c r="B119" s="121"/>
      <c r="C119" s="121"/>
      <c r="D119" s="121"/>
      <c r="E119" s="121"/>
      <c r="F119" s="133" t="s">
        <v>158</v>
      </c>
      <c r="G119" s="133"/>
      <c r="H119" s="133"/>
      <c r="R119" t="s">
        <v>253</v>
      </c>
      <c r="S119" t="s">
        <v>170</v>
      </c>
      <c r="T119" t="s">
        <v>178</v>
      </c>
      <c r="U119" t="s">
        <v>193</v>
      </c>
      <c r="V119" t="s">
        <v>188</v>
      </c>
    </row>
    <row r="120" spans="1:22" x14ac:dyDescent="0.25">
      <c r="A120" s="85" t="s">
        <v>156</v>
      </c>
      <c r="B120" s="85"/>
      <c r="C120" s="85"/>
      <c r="D120" s="85"/>
      <c r="E120" s="85"/>
      <c r="F120" s="119">
        <v>16000</v>
      </c>
      <c r="G120" s="119"/>
      <c r="H120" s="119"/>
      <c r="I120" s="21" t="s">
        <v>350</v>
      </c>
      <c r="R120"/>
      <c r="S120">
        <v>800000</v>
      </c>
      <c r="T120">
        <v>150000</v>
      </c>
      <c r="U120">
        <v>100000</v>
      </c>
      <c r="V120">
        <v>100000</v>
      </c>
    </row>
    <row r="121" spans="1:22" hidden="1" x14ac:dyDescent="0.25">
      <c r="A121" s="85" t="s">
        <v>155</v>
      </c>
      <c r="B121" s="85"/>
      <c r="C121" s="85"/>
      <c r="D121" s="85"/>
      <c r="E121" s="85"/>
      <c r="F121" s="119"/>
      <c r="G121" s="119"/>
      <c r="H121" s="119"/>
      <c r="R121"/>
      <c r="S121">
        <v>900000</v>
      </c>
      <c r="T121">
        <v>200000</v>
      </c>
      <c r="U121">
        <v>150000</v>
      </c>
      <c r="V121">
        <v>150000</v>
      </c>
    </row>
    <row r="122" spans="1:22" hidden="1" x14ac:dyDescent="0.25">
      <c r="A122" s="85" t="s">
        <v>157</v>
      </c>
      <c r="B122" s="85"/>
      <c r="C122" s="85"/>
      <c r="D122" s="85"/>
      <c r="E122" s="85"/>
      <c r="F122" s="119"/>
      <c r="G122" s="119"/>
      <c r="H122" s="119"/>
      <c r="R122"/>
      <c r="S122">
        <v>1000000</v>
      </c>
      <c r="T122">
        <v>250000</v>
      </c>
      <c r="U122">
        <v>200000</v>
      </c>
      <c r="V122">
        <v>200000</v>
      </c>
    </row>
    <row r="123" spans="1:22" s="33" customFormat="1" hidden="1" x14ac:dyDescent="0.25">
      <c r="A123" s="85" t="s">
        <v>173</v>
      </c>
      <c r="B123" s="85"/>
      <c r="C123" s="85"/>
      <c r="D123" s="85"/>
      <c r="E123" s="85"/>
      <c r="F123" s="119"/>
      <c r="G123" s="119"/>
      <c r="H123" s="119"/>
      <c r="R123"/>
      <c r="S123">
        <v>1100000</v>
      </c>
      <c r="T123">
        <v>300000</v>
      </c>
      <c r="U123">
        <v>250000</v>
      </c>
      <c r="V123" s="23">
        <v>250000</v>
      </c>
    </row>
    <row r="124" spans="1:22" s="33" customFormat="1" hidden="1" x14ac:dyDescent="0.25">
      <c r="A124" s="85" t="s">
        <v>92</v>
      </c>
      <c r="B124" s="85"/>
      <c r="C124" s="85"/>
      <c r="D124" s="85"/>
      <c r="E124" s="85"/>
      <c r="F124" s="119"/>
      <c r="G124" s="119"/>
      <c r="H124" s="119"/>
      <c r="R124"/>
      <c r="S124">
        <v>1200000</v>
      </c>
      <c r="T124">
        <v>350000</v>
      </c>
      <c r="U124">
        <v>300000</v>
      </c>
      <c r="V124">
        <v>300000</v>
      </c>
    </row>
    <row r="125" spans="1:22" s="33" customFormat="1" hidden="1" x14ac:dyDescent="0.25">
      <c r="A125" s="85" t="s">
        <v>93</v>
      </c>
      <c r="B125" s="85"/>
      <c r="C125" s="85"/>
      <c r="D125" s="85"/>
      <c r="E125" s="85"/>
      <c r="F125" s="119"/>
      <c r="G125" s="119"/>
      <c r="H125" s="119"/>
      <c r="R125"/>
      <c r="S125">
        <v>1300000</v>
      </c>
      <c r="T125">
        <v>400000</v>
      </c>
      <c r="U125">
        <v>350000</v>
      </c>
      <c r="V125" s="23">
        <v>400000</v>
      </c>
    </row>
    <row r="126" spans="1:22" s="33" customFormat="1" hidden="1" x14ac:dyDescent="0.25">
      <c r="A126" s="85" t="s">
        <v>94</v>
      </c>
      <c r="B126" s="85"/>
      <c r="C126" s="85"/>
      <c r="D126" s="85"/>
      <c r="E126" s="85"/>
      <c r="F126" s="119"/>
      <c r="G126" s="119"/>
      <c r="H126" s="119"/>
      <c r="R126"/>
      <c r="S126">
        <v>1400000</v>
      </c>
      <c r="T126">
        <v>500000</v>
      </c>
      <c r="U126">
        <v>400000</v>
      </c>
      <c r="V126"/>
    </row>
    <row r="127" spans="1:22" s="33" customFormat="1" hidden="1" x14ac:dyDescent="0.25">
      <c r="A127" s="85" t="s">
        <v>95</v>
      </c>
      <c r="B127" s="85"/>
      <c r="C127" s="85"/>
      <c r="D127" s="85"/>
      <c r="E127" s="85"/>
      <c r="F127" s="119"/>
      <c r="G127" s="119"/>
      <c r="H127" s="119"/>
      <c r="R127"/>
      <c r="S127">
        <v>1500000</v>
      </c>
      <c r="T127">
        <v>600000</v>
      </c>
      <c r="U127">
        <v>500000</v>
      </c>
      <c r="V127" s="23"/>
    </row>
    <row r="128" spans="1:22" s="33" customFormat="1" hidden="1" x14ac:dyDescent="0.25">
      <c r="A128" s="85" t="s">
        <v>96</v>
      </c>
      <c r="B128" s="85"/>
      <c r="C128" s="85"/>
      <c r="D128" s="85"/>
      <c r="E128" s="85"/>
      <c r="F128" s="119"/>
      <c r="G128" s="119"/>
      <c r="H128" s="119"/>
      <c r="R128"/>
      <c r="S128">
        <v>1600000</v>
      </c>
      <c r="T128">
        <v>700000</v>
      </c>
      <c r="U128">
        <v>600000</v>
      </c>
      <c r="V128"/>
    </row>
    <row r="129" spans="1:22" s="33" customFormat="1" hidden="1" x14ac:dyDescent="0.25">
      <c r="A129" s="85" t="s">
        <v>97</v>
      </c>
      <c r="B129" s="85"/>
      <c r="C129" s="85"/>
      <c r="D129" s="85"/>
      <c r="E129" s="85"/>
      <c r="F129" s="119"/>
      <c r="G129" s="119"/>
      <c r="H129" s="119"/>
      <c r="R129"/>
      <c r="S129">
        <v>1700000</v>
      </c>
      <c r="T129">
        <v>800000</v>
      </c>
      <c r="U129"/>
      <c r="V129" s="23"/>
    </row>
    <row r="130" spans="1:22" x14ac:dyDescent="0.25">
      <c r="A130" s="85" t="s">
        <v>49</v>
      </c>
      <c r="B130" s="85"/>
      <c r="C130" s="85"/>
      <c r="D130" s="85"/>
      <c r="E130" s="85"/>
      <c r="F130" s="103">
        <v>1000000</v>
      </c>
      <c r="G130" s="103"/>
      <c r="H130" s="103"/>
      <c r="I130" s="21" t="s">
        <v>349</v>
      </c>
      <c r="R130"/>
      <c r="S130">
        <v>1800000</v>
      </c>
      <c r="T130">
        <v>900000</v>
      </c>
      <c r="U130"/>
    </row>
    <row r="131" spans="1:22" s="34" customFormat="1" x14ac:dyDescent="0.25">
      <c r="A131" s="104" t="s">
        <v>50</v>
      </c>
      <c r="B131" s="104"/>
      <c r="C131" s="104"/>
      <c r="D131" s="104"/>
      <c r="E131" s="104"/>
      <c r="F131" s="119">
        <f>F120*0.8</f>
        <v>12800</v>
      </c>
      <c r="G131" s="119"/>
      <c r="H131" s="119"/>
      <c r="R131" s="21"/>
      <c r="S131" s="21"/>
      <c r="T131">
        <v>1000000</v>
      </c>
      <c r="U131"/>
      <c r="V131" s="21"/>
    </row>
    <row r="132" spans="1:22" s="35" customFormat="1" ht="15.75" hidden="1" customHeight="1" x14ac:dyDescent="0.25">
      <c r="A132" s="90" t="s">
        <v>72</v>
      </c>
      <c r="B132" s="90"/>
      <c r="C132" s="90"/>
      <c r="D132" s="90"/>
      <c r="E132" s="90"/>
      <c r="F132" s="90"/>
      <c r="G132" s="90"/>
      <c r="H132" s="90"/>
      <c r="R132"/>
      <c r="S132" s="21"/>
      <c r="T132"/>
      <c r="U132"/>
      <c r="V132" s="21"/>
    </row>
    <row r="133" spans="1:22" s="35" customFormat="1" ht="15.75" hidden="1" customHeight="1" x14ac:dyDescent="0.25">
      <c r="A133" s="95" t="s">
        <v>51</v>
      </c>
      <c r="B133" s="95"/>
      <c r="C133" s="99" t="s">
        <v>75</v>
      </c>
      <c r="D133" s="99"/>
      <c r="E133" s="92" t="s">
        <v>52</v>
      </c>
      <c r="F133" s="92"/>
      <c r="G133" s="95" t="s">
        <v>53</v>
      </c>
      <c r="H133" s="95"/>
      <c r="R133"/>
      <c r="S133" s="21"/>
      <c r="T133"/>
      <c r="U133" s="21"/>
      <c r="V133" s="21"/>
    </row>
    <row r="134" spans="1:22" s="35" customFormat="1" hidden="1" x14ac:dyDescent="0.25">
      <c r="A134" s="100"/>
      <c r="B134" s="100"/>
      <c r="C134" s="96"/>
      <c r="D134" s="96"/>
      <c r="E134" s="97"/>
      <c r="F134" s="97"/>
      <c r="G134" s="98"/>
      <c r="H134" s="98"/>
      <c r="R134"/>
      <c r="S134" s="21"/>
      <c r="T134"/>
      <c r="U134" s="21"/>
      <c r="V134" s="21"/>
    </row>
    <row r="135" spans="1:22" s="35" customFormat="1" hidden="1" x14ac:dyDescent="0.25">
      <c r="A135" s="100"/>
      <c r="B135" s="100"/>
      <c r="C135" s="96"/>
      <c r="D135" s="96"/>
      <c r="E135" s="97"/>
      <c r="F135" s="97"/>
      <c r="G135" s="98"/>
      <c r="H135" s="98"/>
      <c r="R135"/>
      <c r="S135" s="21"/>
      <c r="T135"/>
      <c r="U135" s="21"/>
      <c r="V135" s="21"/>
    </row>
    <row r="136" spans="1:22" s="35" customFormat="1" hidden="1" x14ac:dyDescent="0.25">
      <c r="A136" s="90" t="s">
        <v>147</v>
      </c>
      <c r="B136" s="90"/>
      <c r="C136" s="99"/>
      <c r="D136" s="99"/>
      <c r="E136" s="92"/>
      <c r="F136" s="92"/>
      <c r="G136" s="95"/>
      <c r="H136" s="95"/>
      <c r="R136"/>
      <c r="S136" s="21"/>
      <c r="T136"/>
      <c r="U136" s="21"/>
      <c r="V136" s="21"/>
    </row>
    <row r="137" spans="1:22" s="35" customFormat="1" x14ac:dyDescent="0.25">
      <c r="A137" s="90" t="s">
        <v>67</v>
      </c>
      <c r="B137" s="90"/>
      <c r="C137" s="90"/>
      <c r="D137" s="90"/>
      <c r="E137" s="90"/>
      <c r="F137" s="90"/>
      <c r="G137" s="90"/>
      <c r="H137" s="90"/>
      <c r="T137"/>
    </row>
    <row r="138" spans="1:22" s="35" customFormat="1" ht="15.75" customHeight="1" x14ac:dyDescent="0.25">
      <c r="A138" s="95" t="s">
        <v>51</v>
      </c>
      <c r="B138" s="95"/>
      <c r="C138" s="99" t="s">
        <v>75</v>
      </c>
      <c r="D138" s="99"/>
      <c r="E138" s="92" t="s">
        <v>52</v>
      </c>
      <c r="F138" s="92"/>
      <c r="G138" s="95" t="s">
        <v>53</v>
      </c>
      <c r="H138" s="95"/>
      <c r="T138"/>
    </row>
    <row r="139" spans="1:22" s="35" customFormat="1" x14ac:dyDescent="0.25">
      <c r="A139" s="100" t="s">
        <v>332</v>
      </c>
      <c r="B139" s="100"/>
      <c r="C139" s="101">
        <f>COUNT(F160:F163)*11+COUNT(F166:F168)+COUNT(F171:F173)+COUNT(F175:F178)+COUNT(F180:F183)*6</f>
        <v>78</v>
      </c>
      <c r="D139" s="101"/>
      <c r="E139" s="102">
        <f>SUM(F160:F163)*11+SUM(F166:F168)+SUM(F171:F173)+SUM(F175:F178)+SUM(F180:F183)*6</f>
        <v>61443.602999999996</v>
      </c>
      <c r="F139" s="102"/>
      <c r="G139" s="102">
        <f>SUM(H160:H163)*11+SUM(H166:H168)+SUM(H171:H173)+SUM(H175:H178)+SUM(H180:H183)*6</f>
        <v>92165.40449999999</v>
      </c>
      <c r="H139" s="102"/>
      <c r="T139"/>
    </row>
    <row r="140" spans="1:22" s="35" customFormat="1" x14ac:dyDescent="0.25">
      <c r="A140" s="100" t="s">
        <v>336</v>
      </c>
      <c r="B140" s="100"/>
      <c r="C140" s="101">
        <f>COUNT(F189:F193)*11+COUNT(F196:F199)+COUNT(F202:F205)+COUNT(F207:F211)+COUNT(F213:F217)*6</f>
        <v>98</v>
      </c>
      <c r="D140" s="101"/>
      <c r="E140" s="102">
        <f>SUM(F189:F193)*11+SUM(F196:F199)+SUM(F202:F205)+SUM(F207:F211)+SUM(F213:F217)*6</f>
        <v>63005.889959999993</v>
      </c>
      <c r="F140" s="102"/>
      <c r="G140" s="102">
        <f>SUM(H189:H193)*11+SUM(H196:H199)+SUM(H202:H205)+SUM(H207:H211)+SUM(H213:H217)*6</f>
        <v>94508.834940000001</v>
      </c>
      <c r="H140" s="102"/>
      <c r="T140"/>
    </row>
    <row r="141" spans="1:22" s="35" customFormat="1" x14ac:dyDescent="0.25">
      <c r="A141" s="90" t="s">
        <v>147</v>
      </c>
      <c r="B141" s="90"/>
      <c r="C141" s="187">
        <f>SUM(C139:C140)</f>
        <v>176</v>
      </c>
      <c r="D141" s="99"/>
      <c r="E141" s="91">
        <f>SUM(E139:E140)</f>
        <v>124449.49295999999</v>
      </c>
      <c r="F141" s="92"/>
      <c r="G141" s="95">
        <f>SUM(G139:G140)</f>
        <v>186674.23943999998</v>
      </c>
      <c r="H141" s="95"/>
      <c r="T141"/>
    </row>
    <row r="142" spans="1:22" s="35" customFormat="1" hidden="1" x14ac:dyDescent="0.25">
      <c r="A142" s="172" t="s">
        <v>164</v>
      </c>
      <c r="B142" s="173"/>
      <c r="C142" s="174">
        <f>C136+C141</f>
        <v>176</v>
      </c>
      <c r="D142" s="174"/>
      <c r="E142" s="175">
        <f>E136+E141</f>
        <v>124449.49295999999</v>
      </c>
      <c r="F142" s="175"/>
      <c r="G142" s="137">
        <f>G136+G141</f>
        <v>186674.23943999998</v>
      </c>
      <c r="H142" s="138"/>
      <c r="T142"/>
    </row>
    <row r="143" spans="1:22" s="34" customFormat="1" x14ac:dyDescent="0.25">
      <c r="A143" s="165" t="s">
        <v>54</v>
      </c>
      <c r="B143" s="165"/>
      <c r="C143" s="165"/>
      <c r="D143" s="165"/>
      <c r="E143" s="165"/>
      <c r="F143" s="165"/>
      <c r="G143" s="165"/>
      <c r="H143" s="165"/>
      <c r="T143" s="35"/>
    </row>
    <row r="144" spans="1:22" x14ac:dyDescent="0.25">
      <c r="A144" s="203" t="s">
        <v>172</v>
      </c>
      <c r="B144" s="203"/>
      <c r="C144" s="203"/>
      <c r="D144" s="203"/>
      <c r="E144" s="203"/>
      <c r="F144" s="203"/>
      <c r="G144" s="203"/>
      <c r="H144" s="203"/>
      <c r="T144" s="35"/>
    </row>
    <row r="145" spans="1:20" ht="47.25" hidden="1" customHeight="1" x14ac:dyDescent="0.25">
      <c r="A145" s="120" t="s">
        <v>343</v>
      </c>
      <c r="B145" s="120" t="s">
        <v>175</v>
      </c>
      <c r="C145" s="120" t="s">
        <v>55</v>
      </c>
      <c r="D145" s="120" t="s">
        <v>232</v>
      </c>
      <c r="E145" s="125" t="s">
        <v>153</v>
      </c>
      <c r="F145" s="120" t="s">
        <v>56</v>
      </c>
      <c r="G145" s="125" t="s">
        <v>57</v>
      </c>
      <c r="H145" s="83" t="s">
        <v>146</v>
      </c>
      <c r="T145" s="35"/>
    </row>
    <row r="146" spans="1:20" s="37" customFormat="1" hidden="1" x14ac:dyDescent="0.25">
      <c r="A146" s="120"/>
      <c r="B146" s="120"/>
      <c r="C146" s="120"/>
      <c r="D146" s="120"/>
      <c r="E146" s="125"/>
      <c r="F146" s="120"/>
      <c r="G146" s="125"/>
      <c r="H146" s="84">
        <v>0.45</v>
      </c>
      <c r="T146" s="35"/>
    </row>
    <row r="147" spans="1:20" s="37" customFormat="1" hidden="1" x14ac:dyDescent="0.25">
      <c r="A147" s="152" t="s">
        <v>117</v>
      </c>
      <c r="B147" s="152"/>
      <c r="C147" s="152"/>
      <c r="D147" s="152"/>
      <c r="E147" s="152"/>
      <c r="F147" s="152"/>
      <c r="G147" s="152"/>
      <c r="H147" s="152"/>
      <c r="J147" s="36"/>
      <c r="T147" s="35"/>
    </row>
    <row r="148" spans="1:20" s="37" customFormat="1" ht="15.75" hidden="1" customHeight="1" x14ac:dyDescent="0.25">
      <c r="A148" s="168">
        <v>1</v>
      </c>
      <c r="B148" s="168"/>
      <c r="C148" s="78"/>
      <c r="D148" s="78">
        <v>0</v>
      </c>
      <c r="E148" s="78">
        <v>0</v>
      </c>
      <c r="F148" s="78">
        <f>D148+(IF(E148&lt;201,E148,IF(E148&lt;301,E148/2,E148/3)))</f>
        <v>0</v>
      </c>
      <c r="G148" s="79">
        <v>0</v>
      </c>
      <c r="H148" s="78">
        <f>(F148+(IF(G148&lt;101,G148,IF(G148&lt;201,G148/2,IF(G148&lt;=301,G148/3,G148/4)))))*(($H$146)+1)</f>
        <v>0</v>
      </c>
      <c r="I148" s="36"/>
      <c r="L148" s="134"/>
      <c r="M148" s="134"/>
      <c r="N148" s="36"/>
      <c r="T148" s="35"/>
    </row>
    <row r="149" spans="1:20" s="37" customFormat="1" ht="15.75" hidden="1" customHeight="1" x14ac:dyDescent="0.25">
      <c r="A149" s="168">
        <f>A148+1</f>
        <v>2</v>
      </c>
      <c r="B149" s="168"/>
      <c r="C149" s="78"/>
      <c r="D149" s="78"/>
      <c r="E149" s="78">
        <v>0</v>
      </c>
      <c r="F149" s="78">
        <f t="shared" ref="F149:F151" si="0">D149+(IF(E149&lt;201,E149,IF(E149&lt;301,E149/2,E149/3)))</f>
        <v>0</v>
      </c>
      <c r="G149" s="78">
        <v>0</v>
      </c>
      <c r="H149" s="78">
        <f t="shared" ref="H149:H151" si="1">(F149+(IF(G149&lt;101,G149,IF(G149&lt;201,G149/2,IF(G149&lt;=301,G149/3,G149/4)))))*(($H$146)+1)</f>
        <v>0</v>
      </c>
      <c r="I149" s="36"/>
      <c r="L149" s="134"/>
      <c r="M149" s="134"/>
      <c r="N149" s="36"/>
      <c r="T149" s="34"/>
    </row>
    <row r="150" spans="1:20" s="37" customFormat="1" ht="15.75" hidden="1" customHeight="1" x14ac:dyDescent="0.25">
      <c r="A150" s="168">
        <f>A149+1</f>
        <v>3</v>
      </c>
      <c r="B150" s="168"/>
      <c r="C150" s="78"/>
      <c r="D150" s="78"/>
      <c r="E150" s="78">
        <v>0</v>
      </c>
      <c r="F150" s="78">
        <f t="shared" si="0"/>
        <v>0</v>
      </c>
      <c r="G150" s="78">
        <v>0</v>
      </c>
      <c r="H150" s="78">
        <f t="shared" si="1"/>
        <v>0</v>
      </c>
      <c r="I150" s="36"/>
      <c r="L150" s="134"/>
      <c r="M150" s="134"/>
      <c r="N150" s="36"/>
      <c r="T150" s="21"/>
    </row>
    <row r="151" spans="1:20" s="37" customFormat="1" ht="15.75" hidden="1" customHeight="1" x14ac:dyDescent="0.25">
      <c r="A151" s="168">
        <f>A150+1</f>
        <v>4</v>
      </c>
      <c r="B151" s="168"/>
      <c r="C151" s="78"/>
      <c r="D151" s="78"/>
      <c r="E151" s="78">
        <v>0</v>
      </c>
      <c r="F151" s="78">
        <f t="shared" si="0"/>
        <v>0</v>
      </c>
      <c r="G151" s="78">
        <v>0</v>
      </c>
      <c r="H151" s="78">
        <f t="shared" si="1"/>
        <v>0</v>
      </c>
      <c r="I151" s="36"/>
      <c r="L151" s="134"/>
      <c r="M151" s="134"/>
      <c r="N151" s="36"/>
      <c r="T151" s="21"/>
    </row>
    <row r="152" spans="1:20" s="37" customFormat="1" hidden="1" x14ac:dyDescent="0.25">
      <c r="A152" s="168"/>
      <c r="B152" s="168"/>
      <c r="C152" s="168"/>
      <c r="D152" s="168"/>
      <c r="E152" s="168"/>
      <c r="F152" s="168"/>
      <c r="G152" s="168"/>
      <c r="H152" s="168"/>
      <c r="I152" s="36"/>
      <c r="N152" s="36"/>
    </row>
    <row r="153" spans="1:20" ht="47.25" customHeight="1" x14ac:dyDescent="0.25">
      <c r="A153" s="120" t="s">
        <v>344</v>
      </c>
      <c r="B153" s="120" t="s">
        <v>176</v>
      </c>
      <c r="C153" s="120" t="s">
        <v>55</v>
      </c>
      <c r="D153" s="120" t="s">
        <v>345</v>
      </c>
      <c r="E153" s="120" t="s">
        <v>231</v>
      </c>
      <c r="F153" s="120" t="s">
        <v>56</v>
      </c>
      <c r="G153" s="125" t="s">
        <v>57</v>
      </c>
      <c r="H153" s="83" t="s">
        <v>146</v>
      </c>
      <c r="I153" s="36"/>
      <c r="T153" s="37"/>
    </row>
    <row r="154" spans="1:20" s="37" customFormat="1" x14ac:dyDescent="0.25">
      <c r="A154" s="120"/>
      <c r="B154" s="120"/>
      <c r="C154" s="120"/>
      <c r="D154" s="120"/>
      <c r="E154" s="120"/>
      <c r="F154" s="120"/>
      <c r="G154" s="125"/>
      <c r="H154" s="84">
        <v>0.5</v>
      </c>
      <c r="I154" s="36"/>
    </row>
    <row r="155" spans="1:20" s="74" customFormat="1" ht="15.75" customHeight="1" x14ac:dyDescent="0.25">
      <c r="A155" s="188" t="s">
        <v>332</v>
      </c>
      <c r="B155" s="188"/>
      <c r="C155" s="188"/>
      <c r="D155" s="188"/>
      <c r="E155" s="188"/>
      <c r="F155" s="188"/>
      <c r="G155" s="188"/>
      <c r="H155" s="188"/>
      <c r="J155" s="36"/>
    </row>
    <row r="156" spans="1:20" s="74" customFormat="1" ht="15.75" customHeight="1" x14ac:dyDescent="0.25">
      <c r="A156" s="188" t="s">
        <v>328</v>
      </c>
      <c r="B156" s="188"/>
      <c r="C156" s="188"/>
      <c r="D156" s="188"/>
      <c r="E156" s="188"/>
      <c r="F156" s="188"/>
      <c r="G156" s="188"/>
      <c r="H156" s="188"/>
      <c r="J156" s="36"/>
    </row>
    <row r="157" spans="1:20" s="74" customFormat="1" x14ac:dyDescent="0.25">
      <c r="A157" s="188" t="s">
        <v>329</v>
      </c>
      <c r="B157" s="188"/>
      <c r="C157" s="188"/>
      <c r="D157" s="188"/>
      <c r="E157" s="188"/>
      <c r="F157" s="188"/>
      <c r="G157" s="188"/>
      <c r="H157" s="188"/>
      <c r="J157" s="36"/>
    </row>
    <row r="158" spans="1:20" s="74" customFormat="1" x14ac:dyDescent="0.25">
      <c r="A158" s="188" t="s">
        <v>330</v>
      </c>
      <c r="B158" s="188"/>
      <c r="C158" s="188"/>
      <c r="D158" s="188"/>
      <c r="E158" s="188"/>
      <c r="F158" s="188"/>
      <c r="G158" s="188"/>
      <c r="H158" s="188"/>
      <c r="J158" s="36"/>
    </row>
    <row r="159" spans="1:20" s="37" customFormat="1" x14ac:dyDescent="0.25">
      <c r="A159" s="188" t="s">
        <v>331</v>
      </c>
      <c r="B159" s="188"/>
      <c r="C159" s="188"/>
      <c r="D159" s="188"/>
      <c r="E159" s="188"/>
      <c r="F159" s="188"/>
      <c r="G159" s="188"/>
      <c r="H159" s="188"/>
      <c r="J159" s="75">
        <v>10.763999999999999</v>
      </c>
    </row>
    <row r="160" spans="1:20" s="37" customFormat="1" ht="15.75" customHeight="1" x14ac:dyDescent="0.25">
      <c r="A160" s="135">
        <v>1</v>
      </c>
      <c r="B160" s="136"/>
      <c r="C160" s="42" t="s">
        <v>333</v>
      </c>
      <c r="D160" s="75">
        <f>(43.6)*10.764</f>
        <v>469.31039999999996</v>
      </c>
      <c r="E160" s="42">
        <v>0</v>
      </c>
      <c r="F160" s="42">
        <f>D160+E160</f>
        <v>469.31039999999996</v>
      </c>
      <c r="G160" s="58">
        <v>0</v>
      </c>
      <c r="H160" s="58">
        <f>F160*(($H$154)+1)+(IF(G160&lt;101,G160,IF(G160&lt;201,G160/2,IF(G160&lt;=301,G160/3,G160/4))))</f>
        <v>703.96559999999999</v>
      </c>
      <c r="I160" s="36">
        <f>2.9*5.35+0.9*2.25+2.15*2.75+2.9*3.65+1.25*2.1+2.15*1.25</f>
        <v>39.35</v>
      </c>
      <c r="K160" s="37">
        <f>13000000/H160</f>
        <v>18466.811446468408</v>
      </c>
      <c r="L160" s="134">
        <f>11700000/H160</f>
        <v>16620.130301821566</v>
      </c>
      <c r="M160" s="134"/>
      <c r="N160" s="36">
        <f>K160*0.12</f>
        <v>2216.0173735762087</v>
      </c>
      <c r="O160" s="36">
        <f>K160-N160</f>
        <v>16250.794072892199</v>
      </c>
    </row>
    <row r="161" spans="1:20" s="37" customFormat="1" ht="15.75" customHeight="1" x14ac:dyDescent="0.25">
      <c r="A161" s="135">
        <f>A160+1</f>
        <v>2</v>
      </c>
      <c r="B161" s="136"/>
      <c r="C161" s="42" t="s">
        <v>334</v>
      </c>
      <c r="D161" s="75">
        <f>(93.15)*10.764</f>
        <v>1002.6666</v>
      </c>
      <c r="E161" s="42">
        <v>0</v>
      </c>
      <c r="F161" s="58">
        <f>D161+E161</f>
        <v>1002.6666</v>
      </c>
      <c r="G161" s="58">
        <v>0</v>
      </c>
      <c r="H161" s="58">
        <f>F161*(($H$154)+1)+(IF(G161&lt;101,G161,IF(G161&lt;201,G161/2,IF(G161&lt;=301,G161/3,G161/4))))</f>
        <v>1503.9999</v>
      </c>
      <c r="I161" s="36"/>
      <c r="L161" s="134"/>
      <c r="M161" s="134"/>
      <c r="N161" s="36"/>
    </row>
    <row r="162" spans="1:20" s="37" customFormat="1" ht="15.75" customHeight="1" x14ac:dyDescent="0.25">
      <c r="A162" s="135">
        <f>A161+1</f>
        <v>3</v>
      </c>
      <c r="B162" s="136"/>
      <c r="C162" s="42" t="s">
        <v>334</v>
      </c>
      <c r="D162" s="75">
        <f>(93.22)*10.764</f>
        <v>1003.4200799999999</v>
      </c>
      <c r="E162" s="42">
        <v>0</v>
      </c>
      <c r="F162" s="58">
        <f>D162+E162</f>
        <v>1003.4200799999999</v>
      </c>
      <c r="G162" s="58">
        <v>0</v>
      </c>
      <c r="H162" s="58">
        <f>F162*(($H$154)+1)+(IF(G162&lt;101,G162,IF(G162&lt;201,G162/2,IF(G162&lt;=301,G162/3,G162/4))))</f>
        <v>1505.1301199999998</v>
      </c>
      <c r="I162" s="36"/>
      <c r="L162" s="134"/>
      <c r="M162" s="134"/>
      <c r="N162" s="36"/>
    </row>
    <row r="163" spans="1:20" s="37" customFormat="1" ht="15.75" customHeight="1" x14ac:dyDescent="0.25">
      <c r="A163" s="135">
        <f>A162+1</f>
        <v>4</v>
      </c>
      <c r="B163" s="136"/>
      <c r="C163" s="42" t="s">
        <v>335</v>
      </c>
      <c r="D163" s="75">
        <f>(61.58)*10.764</f>
        <v>662.8471199999999</v>
      </c>
      <c r="E163" s="42">
        <v>0</v>
      </c>
      <c r="F163" s="58">
        <f>D163+E163</f>
        <v>662.8471199999999</v>
      </c>
      <c r="G163" s="58">
        <v>0</v>
      </c>
      <c r="H163" s="58">
        <f>F163*(($H$154)+1)+(IF(G163&lt;101,G163,IF(G163&lt;201,G163/2,IF(G163&lt;=301,G163/3,G163/4))))</f>
        <v>994.27067999999986</v>
      </c>
      <c r="I163" s="36"/>
      <c r="L163" s="134"/>
      <c r="M163" s="134"/>
      <c r="N163" s="36"/>
      <c r="T163" s="21"/>
    </row>
    <row r="164" spans="1:20" s="74" customFormat="1" x14ac:dyDescent="0.25">
      <c r="A164" s="183" t="s">
        <v>337</v>
      </c>
      <c r="B164" s="184"/>
      <c r="C164" s="184"/>
      <c r="D164" s="184"/>
      <c r="E164" s="184"/>
      <c r="F164" s="184"/>
      <c r="G164" s="184"/>
      <c r="H164" s="185"/>
      <c r="J164" s="75">
        <v>10.763999999999999</v>
      </c>
    </row>
    <row r="165" spans="1:20" s="74" customFormat="1" ht="15.75" customHeight="1" x14ac:dyDescent="0.25">
      <c r="A165" s="135">
        <v>1</v>
      </c>
      <c r="B165" s="136"/>
      <c r="C165" s="135" t="s">
        <v>338</v>
      </c>
      <c r="D165" s="208"/>
      <c r="E165" s="208"/>
      <c r="F165" s="208"/>
      <c r="G165" s="136"/>
      <c r="H165" s="73" t="s">
        <v>339</v>
      </c>
      <c r="I165" s="36">
        <f>2.9*5.35+0.9*2.25+2.15*2.75+2.9*3.65+1.25*2.1+2.15*1.25</f>
        <v>39.35</v>
      </c>
      <c r="L165" s="134"/>
      <c r="M165" s="134"/>
      <c r="N165" s="36"/>
    </row>
    <row r="166" spans="1:20" s="74" customFormat="1" ht="15.75" customHeight="1" x14ac:dyDescent="0.25">
      <c r="A166" s="135">
        <f>A165+1</f>
        <v>2</v>
      </c>
      <c r="B166" s="136"/>
      <c r="C166" s="73" t="s">
        <v>334</v>
      </c>
      <c r="D166" s="75">
        <f>(93.15)*10.764</f>
        <v>1002.6666</v>
      </c>
      <c r="E166" s="73">
        <v>0</v>
      </c>
      <c r="F166" s="73">
        <f>D166+E166</f>
        <v>1002.6666</v>
      </c>
      <c r="G166" s="73">
        <v>0</v>
      </c>
      <c r="H166" s="73">
        <f>F166*(($H$154)+1)+(IF(G166&lt;101,G166,IF(G166&lt;201,G166/2,IF(G166&lt;=301,G166/3,G166/4))))</f>
        <v>1503.9999</v>
      </c>
      <c r="I166" s="36"/>
      <c r="L166" s="134"/>
      <c r="M166" s="134"/>
      <c r="N166" s="36"/>
    </row>
    <row r="167" spans="1:20" s="74" customFormat="1" ht="15.75" customHeight="1" x14ac:dyDescent="0.25">
      <c r="A167" s="135">
        <f>A166+1</f>
        <v>3</v>
      </c>
      <c r="B167" s="136"/>
      <c r="C167" s="73" t="s">
        <v>334</v>
      </c>
      <c r="D167" s="75">
        <f>(93.22)*10.764</f>
        <v>1003.4200799999999</v>
      </c>
      <c r="E167" s="73">
        <v>0</v>
      </c>
      <c r="F167" s="73">
        <f>D167+E167</f>
        <v>1003.4200799999999</v>
      </c>
      <c r="G167" s="73">
        <v>0</v>
      </c>
      <c r="H167" s="73">
        <f>F167*(($H$154)+1)+(IF(G167&lt;101,G167,IF(G167&lt;201,G167/2,IF(G167&lt;=301,G167/3,G167/4))))</f>
        <v>1505.1301199999998</v>
      </c>
      <c r="I167" s="36"/>
      <c r="L167" s="134"/>
      <c r="M167" s="134"/>
      <c r="N167" s="36"/>
    </row>
    <row r="168" spans="1:20" s="74" customFormat="1" ht="15.75" customHeight="1" x14ac:dyDescent="0.25">
      <c r="A168" s="135">
        <f>A167+1</f>
        <v>4</v>
      </c>
      <c r="B168" s="136"/>
      <c r="C168" s="73" t="s">
        <v>335</v>
      </c>
      <c r="D168" s="75">
        <f>(61.58)*10.764</f>
        <v>662.8471199999999</v>
      </c>
      <c r="E168" s="73">
        <v>0</v>
      </c>
      <c r="F168" s="73">
        <f>D168+E168</f>
        <v>662.8471199999999</v>
      </c>
      <c r="G168" s="73">
        <v>0</v>
      </c>
      <c r="H168" s="73">
        <f>F168*(($H$154)+1)+(IF(G168&lt;101,G168,IF(G168&lt;201,G168/2,IF(G168&lt;=301,G168/3,G168/4))))</f>
        <v>994.27067999999986</v>
      </c>
      <c r="I168" s="36"/>
      <c r="L168" s="134"/>
      <c r="M168" s="134"/>
      <c r="N168" s="36"/>
      <c r="T168" s="21"/>
    </row>
    <row r="169" spans="1:20" s="74" customFormat="1" x14ac:dyDescent="0.25">
      <c r="A169" s="183" t="s">
        <v>340</v>
      </c>
      <c r="B169" s="184"/>
      <c r="C169" s="184"/>
      <c r="D169" s="184"/>
      <c r="E169" s="184"/>
      <c r="F169" s="184"/>
      <c r="G169" s="184"/>
      <c r="H169" s="185"/>
      <c r="J169" s="75">
        <v>10.763999999999999</v>
      </c>
    </row>
    <row r="170" spans="1:20" s="74" customFormat="1" ht="15.75" customHeight="1" x14ac:dyDescent="0.25">
      <c r="A170" s="135">
        <v>1</v>
      </c>
      <c r="B170" s="136"/>
      <c r="C170" s="135" t="s">
        <v>338</v>
      </c>
      <c r="D170" s="208"/>
      <c r="E170" s="208"/>
      <c r="F170" s="208"/>
      <c r="G170" s="136"/>
      <c r="H170" s="73" t="s">
        <v>339</v>
      </c>
      <c r="I170" s="36">
        <f>2.9*5.35+0.9*2.25+2.15*2.75+2.9*3.65+1.25*2.1+2.15*1.25</f>
        <v>39.35</v>
      </c>
      <c r="L170" s="134"/>
      <c r="M170" s="134"/>
      <c r="N170" s="36"/>
    </row>
    <row r="171" spans="1:20" s="74" customFormat="1" ht="15.75" customHeight="1" x14ac:dyDescent="0.25">
      <c r="A171" s="135">
        <f>A170+1</f>
        <v>2</v>
      </c>
      <c r="B171" s="136"/>
      <c r="C171" s="73" t="s">
        <v>334</v>
      </c>
      <c r="D171" s="75">
        <f>(93.15)*10.764</f>
        <v>1002.6666</v>
      </c>
      <c r="E171" s="73">
        <v>0</v>
      </c>
      <c r="F171" s="73">
        <f>D171+E171</f>
        <v>1002.6666</v>
      </c>
      <c r="G171" s="73">
        <v>0</v>
      </c>
      <c r="H171" s="73">
        <f>F171*(($H$154)+1)+(IF(G171&lt;101,G171,IF(G171&lt;201,G171/2,IF(G171&lt;=301,G171/3,G171/4))))</f>
        <v>1503.9999</v>
      </c>
      <c r="I171" s="36"/>
      <c r="L171" s="134"/>
      <c r="M171" s="134"/>
      <c r="N171" s="36"/>
    </row>
    <row r="172" spans="1:20" s="74" customFormat="1" ht="15.75" customHeight="1" x14ac:dyDescent="0.25">
      <c r="A172" s="135">
        <f>A171+1</f>
        <v>3</v>
      </c>
      <c r="B172" s="136"/>
      <c r="C172" s="73" t="s">
        <v>334</v>
      </c>
      <c r="D172" s="75">
        <f>(93.22)*10.764</f>
        <v>1003.4200799999999</v>
      </c>
      <c r="E172" s="73">
        <v>0</v>
      </c>
      <c r="F172" s="73">
        <f>D172+E172</f>
        <v>1003.4200799999999</v>
      </c>
      <c r="G172" s="73">
        <v>0</v>
      </c>
      <c r="H172" s="73">
        <f>F172*(($H$154)+1)+(IF(G172&lt;101,G172,IF(G172&lt;201,G172/2,IF(G172&lt;=301,G172/3,G172/4))))</f>
        <v>1505.1301199999998</v>
      </c>
      <c r="I172" s="36"/>
      <c r="L172" s="134"/>
      <c r="M172" s="134"/>
      <c r="N172" s="36"/>
    </row>
    <row r="173" spans="1:20" s="74" customFormat="1" ht="15.75" customHeight="1" x14ac:dyDescent="0.25">
      <c r="A173" s="135">
        <f>A172+1</f>
        <v>4</v>
      </c>
      <c r="B173" s="136"/>
      <c r="C173" s="73" t="s">
        <v>335</v>
      </c>
      <c r="D173" s="75">
        <f>(61.58)*10.764</f>
        <v>662.8471199999999</v>
      </c>
      <c r="E173" s="73">
        <v>0</v>
      </c>
      <c r="F173" s="73">
        <f>D173+E173</f>
        <v>662.8471199999999</v>
      </c>
      <c r="G173" s="73">
        <v>0</v>
      </c>
      <c r="H173" s="73">
        <f>F173*(($H$154)+1)+(IF(G173&lt;101,G173,IF(G173&lt;201,G173/2,IF(G173&lt;=301,G173/3,G173/4))))</f>
        <v>994.27067999999986</v>
      </c>
      <c r="I173" s="36"/>
      <c r="L173" s="134"/>
      <c r="M173" s="134"/>
      <c r="N173" s="36"/>
      <c r="T173" s="21"/>
    </row>
    <row r="174" spans="1:20" s="74" customFormat="1" x14ac:dyDescent="0.25">
      <c r="A174" s="183" t="s">
        <v>341</v>
      </c>
      <c r="B174" s="184"/>
      <c r="C174" s="184"/>
      <c r="D174" s="184"/>
      <c r="E174" s="184"/>
      <c r="F174" s="184"/>
      <c r="G174" s="184"/>
      <c r="H174" s="185"/>
      <c r="J174" s="75">
        <v>10.763999999999999</v>
      </c>
    </row>
    <row r="175" spans="1:20" s="74" customFormat="1" ht="15.75" customHeight="1" x14ac:dyDescent="0.25">
      <c r="A175" s="135">
        <v>1</v>
      </c>
      <c r="B175" s="136"/>
      <c r="C175" s="73" t="s">
        <v>333</v>
      </c>
      <c r="D175" s="75">
        <f>(43.6)*10.764</f>
        <v>469.31039999999996</v>
      </c>
      <c r="E175" s="73">
        <v>0</v>
      </c>
      <c r="F175" s="73">
        <f>D175+E175</f>
        <v>469.31039999999996</v>
      </c>
      <c r="G175" s="73">
        <v>0</v>
      </c>
      <c r="H175" s="73">
        <f>F175*(($H$154)+1)+(IF(G175&lt;101,G175,IF(G175&lt;201,G175/2,IF(G175&lt;=301,G175/3,G175/4))))</f>
        <v>703.96559999999999</v>
      </c>
      <c r="I175" s="36">
        <f>2.9*5.35+0.9*2.25+2.15*2.75+2.9*3.65+1.25*2.1+2.15*1.25</f>
        <v>39.35</v>
      </c>
      <c r="L175" s="134"/>
      <c r="M175" s="134"/>
      <c r="N175" s="36"/>
    </row>
    <row r="176" spans="1:20" s="74" customFormat="1" ht="15.75" customHeight="1" x14ac:dyDescent="0.25">
      <c r="A176" s="135">
        <f>A175+1</f>
        <v>2</v>
      </c>
      <c r="B176" s="136"/>
      <c r="C176" s="73" t="s">
        <v>334</v>
      </c>
      <c r="D176" s="75">
        <f>(93.15)*10.764</f>
        <v>1002.6666</v>
      </c>
      <c r="E176" s="73">
        <v>0</v>
      </c>
      <c r="F176" s="73">
        <f>D176+E176</f>
        <v>1002.6666</v>
      </c>
      <c r="G176" s="73">
        <v>0</v>
      </c>
      <c r="H176" s="73">
        <f>F176*(($H$154)+1)+(IF(G176&lt;101,G176,IF(G176&lt;201,G176/2,IF(G176&lt;=301,G176/3,G176/4))))</f>
        <v>1503.9999</v>
      </c>
      <c r="I176" s="36"/>
      <c r="L176" s="134"/>
      <c r="M176" s="134"/>
      <c r="N176" s="36"/>
    </row>
    <row r="177" spans="1:20" s="74" customFormat="1" ht="15.75" customHeight="1" x14ac:dyDescent="0.25">
      <c r="A177" s="135">
        <f>A176+1</f>
        <v>3</v>
      </c>
      <c r="B177" s="136"/>
      <c r="C177" s="73" t="s">
        <v>334</v>
      </c>
      <c r="D177" s="75">
        <f>(90.49)*10.764</f>
        <v>974.03435999999988</v>
      </c>
      <c r="E177" s="73">
        <v>0</v>
      </c>
      <c r="F177" s="73">
        <f>D177+E177</f>
        <v>974.03435999999988</v>
      </c>
      <c r="G177" s="73">
        <v>0</v>
      </c>
      <c r="H177" s="73">
        <f>F177*(($H$154)+1)+(IF(G177&lt;101,G177,IF(G177&lt;201,G177/2,IF(G177&lt;=301,G177/3,G177/4))))</f>
        <v>1461.0515399999999</v>
      </c>
      <c r="I177" s="36"/>
      <c r="L177" s="134"/>
      <c r="M177" s="134"/>
      <c r="N177" s="36"/>
    </row>
    <row r="178" spans="1:20" s="74" customFormat="1" ht="15.75" customHeight="1" x14ac:dyDescent="0.25">
      <c r="A178" s="135">
        <f>A177+1</f>
        <v>4</v>
      </c>
      <c r="B178" s="136"/>
      <c r="C178" s="73" t="s">
        <v>335</v>
      </c>
      <c r="D178" s="75">
        <f>(61.58)*10.764</f>
        <v>662.8471199999999</v>
      </c>
      <c r="E178" s="73">
        <v>0</v>
      </c>
      <c r="F178" s="73">
        <f>D178+E178</f>
        <v>662.8471199999999</v>
      </c>
      <c r="G178" s="73">
        <v>0</v>
      </c>
      <c r="H178" s="73">
        <f>F178*(($H$154)+1)+(IF(G178&lt;101,G178,IF(G178&lt;201,G178/2,IF(G178&lt;=301,G178/3,G178/4))))</f>
        <v>994.27067999999986</v>
      </c>
      <c r="I178" s="36"/>
      <c r="L178" s="134"/>
      <c r="M178" s="134"/>
      <c r="N178" s="36"/>
      <c r="T178" s="21"/>
    </row>
    <row r="179" spans="1:20" s="74" customFormat="1" x14ac:dyDescent="0.25">
      <c r="A179" s="183" t="s">
        <v>342</v>
      </c>
      <c r="B179" s="184"/>
      <c r="C179" s="184"/>
      <c r="D179" s="184"/>
      <c r="E179" s="184"/>
      <c r="F179" s="184"/>
      <c r="G179" s="184"/>
      <c r="H179" s="185"/>
      <c r="J179" s="75">
        <v>10.763999999999999</v>
      </c>
    </row>
    <row r="180" spans="1:20" s="74" customFormat="1" ht="15.75" customHeight="1" x14ac:dyDescent="0.25">
      <c r="A180" s="135">
        <v>1</v>
      </c>
      <c r="B180" s="136"/>
      <c r="C180" s="73" t="s">
        <v>333</v>
      </c>
      <c r="D180" s="75">
        <f>(43.6)*10.764</f>
        <v>469.31039999999996</v>
      </c>
      <c r="E180" s="73">
        <v>0</v>
      </c>
      <c r="F180" s="73">
        <f>D180+E180</f>
        <v>469.31039999999996</v>
      </c>
      <c r="G180" s="73">
        <v>0</v>
      </c>
      <c r="H180" s="73">
        <f>F180*(($H$154)+1)+(IF(G180&lt;101,G180,IF(G180&lt;201,G180/2,IF(G180&lt;=301,G180/3,G180/4))))</f>
        <v>703.96559999999999</v>
      </c>
      <c r="I180" s="36">
        <f>2.9*5.35+0.9*2.25+2.15*2.75+2.9*3.65+1.25*2.1+2.15*1.25</f>
        <v>39.35</v>
      </c>
      <c r="L180" s="134"/>
      <c r="M180" s="134"/>
      <c r="N180" s="36"/>
    </row>
    <row r="181" spans="1:20" s="74" customFormat="1" ht="15.75" customHeight="1" x14ac:dyDescent="0.25">
      <c r="A181" s="135">
        <f>A180+1</f>
        <v>2</v>
      </c>
      <c r="B181" s="136"/>
      <c r="C181" s="73" t="s">
        <v>334</v>
      </c>
      <c r="D181" s="75">
        <f>(90.41)*10.764</f>
        <v>973.17323999999985</v>
      </c>
      <c r="E181" s="73">
        <v>0</v>
      </c>
      <c r="F181" s="73">
        <f>D181+E181</f>
        <v>973.17323999999985</v>
      </c>
      <c r="G181" s="73">
        <v>0</v>
      </c>
      <c r="H181" s="73">
        <f>F181*(($H$154)+1)+(IF(G181&lt;101,G181,IF(G181&lt;201,G181/2,IF(G181&lt;=301,G181/3,G181/4))))</f>
        <v>1459.7598599999997</v>
      </c>
      <c r="I181" s="36"/>
      <c r="L181" s="134"/>
      <c r="M181" s="134"/>
      <c r="N181" s="36"/>
    </row>
    <row r="182" spans="1:20" s="74" customFormat="1" ht="15.75" customHeight="1" x14ac:dyDescent="0.25">
      <c r="A182" s="135">
        <f>A181+1</f>
        <v>3</v>
      </c>
      <c r="B182" s="136"/>
      <c r="C182" s="73" t="s">
        <v>334</v>
      </c>
      <c r="D182" s="75">
        <f>(90.49)*10.764</f>
        <v>974.03435999999988</v>
      </c>
      <c r="E182" s="73">
        <v>0</v>
      </c>
      <c r="F182" s="73">
        <f>D182+E182</f>
        <v>974.03435999999988</v>
      </c>
      <c r="G182" s="73">
        <v>0</v>
      </c>
      <c r="H182" s="73">
        <f>F182*(($H$154)+1)+(IF(G182&lt;101,G182,IF(G182&lt;201,G182/2,IF(G182&lt;=301,G182/3,G182/4))))</f>
        <v>1461.0515399999999</v>
      </c>
      <c r="I182" s="36"/>
      <c r="L182" s="134"/>
      <c r="M182" s="134"/>
      <c r="N182" s="36"/>
    </row>
    <row r="183" spans="1:20" s="74" customFormat="1" ht="15.75" customHeight="1" x14ac:dyDescent="0.25">
      <c r="A183" s="135">
        <f>A182+1</f>
        <v>4</v>
      </c>
      <c r="B183" s="136"/>
      <c r="C183" s="73" t="s">
        <v>335</v>
      </c>
      <c r="D183" s="75">
        <f>(61.58)*10.764</f>
        <v>662.8471199999999</v>
      </c>
      <c r="E183" s="73">
        <v>0</v>
      </c>
      <c r="F183" s="73">
        <f>D183+E183</f>
        <v>662.8471199999999</v>
      </c>
      <c r="G183" s="73">
        <v>0</v>
      </c>
      <c r="H183" s="73">
        <f>F183*(($H$154)+1)+(IF(G183&lt;101,G183,IF(G183&lt;201,G183/2,IF(G183&lt;=301,G183/3,G183/4))))</f>
        <v>994.27067999999986</v>
      </c>
      <c r="I183" s="36"/>
      <c r="L183" s="134"/>
      <c r="M183" s="134"/>
      <c r="N183" s="36"/>
      <c r="T183" s="21"/>
    </row>
    <row r="184" spans="1:20" s="74" customFormat="1" x14ac:dyDescent="0.25">
      <c r="A184" s="183" t="s">
        <v>336</v>
      </c>
      <c r="B184" s="184"/>
      <c r="C184" s="184"/>
      <c r="D184" s="184"/>
      <c r="E184" s="184"/>
      <c r="F184" s="184"/>
      <c r="G184" s="184"/>
      <c r="H184" s="185"/>
      <c r="J184" s="36"/>
    </row>
    <row r="185" spans="1:20" s="74" customFormat="1" ht="15.75" customHeight="1" x14ac:dyDescent="0.25">
      <c r="A185" s="183" t="s">
        <v>328</v>
      </c>
      <c r="B185" s="184"/>
      <c r="C185" s="184"/>
      <c r="D185" s="184"/>
      <c r="E185" s="184"/>
      <c r="F185" s="184"/>
      <c r="G185" s="184"/>
      <c r="H185" s="185"/>
      <c r="J185" s="36"/>
    </row>
    <row r="186" spans="1:20" s="74" customFormat="1" x14ac:dyDescent="0.25">
      <c r="A186" s="183" t="s">
        <v>329</v>
      </c>
      <c r="B186" s="184"/>
      <c r="C186" s="184"/>
      <c r="D186" s="184"/>
      <c r="E186" s="184"/>
      <c r="F186" s="184"/>
      <c r="G186" s="184"/>
      <c r="H186" s="185"/>
      <c r="J186" s="36"/>
    </row>
    <row r="187" spans="1:20" s="74" customFormat="1" x14ac:dyDescent="0.25">
      <c r="A187" s="183" t="s">
        <v>330</v>
      </c>
      <c r="B187" s="184"/>
      <c r="C187" s="184"/>
      <c r="D187" s="184"/>
      <c r="E187" s="184"/>
      <c r="F187" s="184"/>
      <c r="G187" s="184"/>
      <c r="H187" s="185"/>
      <c r="J187" s="36"/>
    </row>
    <row r="188" spans="1:20" s="74" customFormat="1" x14ac:dyDescent="0.25">
      <c r="A188" s="183" t="s">
        <v>331</v>
      </c>
      <c r="B188" s="184"/>
      <c r="C188" s="184"/>
      <c r="D188" s="184"/>
      <c r="E188" s="184"/>
      <c r="F188" s="184"/>
      <c r="G188" s="184"/>
      <c r="H188" s="185"/>
      <c r="J188" s="36"/>
      <c r="K188" s="74">
        <v>16000</v>
      </c>
    </row>
    <row r="189" spans="1:20" s="74" customFormat="1" ht="15.75" customHeight="1" x14ac:dyDescent="0.25">
      <c r="A189" s="135">
        <v>1</v>
      </c>
      <c r="B189" s="136"/>
      <c r="C189" s="73" t="s">
        <v>333</v>
      </c>
      <c r="D189" s="75">
        <f>(42.15)*10.764</f>
        <v>453.70259999999996</v>
      </c>
      <c r="E189" s="73">
        <v>0</v>
      </c>
      <c r="F189" s="73">
        <f>D189+E189</f>
        <v>453.70259999999996</v>
      </c>
      <c r="G189" s="73">
        <v>0</v>
      </c>
      <c r="H189" s="73">
        <f>F189*(($H$154)+1)+(IF(G189&lt;101,G189,IF(G189&lt;201,G189/2,IF(G189&lt;=301,G189/3,G189/4))))</f>
        <v>680.55389999999989</v>
      </c>
      <c r="I189" s="36"/>
      <c r="K189" s="74">
        <f>K$188*H189</f>
        <v>10888862.399999999</v>
      </c>
      <c r="L189" s="134"/>
      <c r="M189" s="134"/>
      <c r="N189" s="36"/>
    </row>
    <row r="190" spans="1:20" s="74" customFormat="1" ht="15.75" customHeight="1" x14ac:dyDescent="0.25">
      <c r="A190" s="135">
        <f>A189+1</f>
        <v>2</v>
      </c>
      <c r="B190" s="136"/>
      <c r="C190" s="73" t="s">
        <v>335</v>
      </c>
      <c r="D190" s="75">
        <f>(60.3)*10.764</f>
        <v>649.06919999999991</v>
      </c>
      <c r="E190" s="73">
        <v>0</v>
      </c>
      <c r="F190" s="73">
        <f>D190+E190</f>
        <v>649.06919999999991</v>
      </c>
      <c r="G190" s="73">
        <v>0</v>
      </c>
      <c r="H190" s="73">
        <f>F190*(($H$154)+1)+(IF(G190&lt;101,G190,IF(G190&lt;201,G190/2,IF(G190&lt;=301,G190/3,G190/4))))</f>
        <v>973.60379999999986</v>
      </c>
      <c r="I190" s="36"/>
      <c r="J190" s="74">
        <f>18500000/H190</f>
        <v>19001.569221484144</v>
      </c>
      <c r="K190" s="76">
        <f t="shared" ref="K190:K217" si="2">K$188*H190</f>
        <v>15577660.799999997</v>
      </c>
      <c r="L190" s="134"/>
      <c r="M190" s="134"/>
      <c r="N190" s="36"/>
    </row>
    <row r="191" spans="1:20" s="74" customFormat="1" ht="15.75" customHeight="1" x14ac:dyDescent="0.25">
      <c r="A191" s="135">
        <f>A190+1</f>
        <v>3</v>
      </c>
      <c r="B191" s="136"/>
      <c r="C191" s="73" t="s">
        <v>333</v>
      </c>
      <c r="D191" s="75">
        <f>(40.59)*10.764</f>
        <v>436.91075999999998</v>
      </c>
      <c r="E191" s="73">
        <v>0</v>
      </c>
      <c r="F191" s="73">
        <f>D191+E191</f>
        <v>436.91075999999998</v>
      </c>
      <c r="G191" s="73">
        <v>0</v>
      </c>
      <c r="H191" s="73">
        <f>F191*(($H$154)+1)+(IF(G191&lt;101,G191,IF(G191&lt;201,G191/2,IF(G191&lt;=301,G191/3,G191/4))))</f>
        <v>655.36613999999997</v>
      </c>
      <c r="I191" s="36"/>
      <c r="K191" s="76">
        <f t="shared" si="2"/>
        <v>10485858.24</v>
      </c>
      <c r="L191" s="134"/>
      <c r="M191" s="134"/>
      <c r="N191" s="36"/>
    </row>
    <row r="192" spans="1:20" s="74" customFormat="1" ht="15.75" customHeight="1" x14ac:dyDescent="0.25">
      <c r="A192" s="135">
        <f>A191+1</f>
        <v>4</v>
      </c>
      <c r="B192" s="136"/>
      <c r="C192" s="73" t="s">
        <v>334</v>
      </c>
      <c r="D192" s="75">
        <f>(93.22)*10.764</f>
        <v>1003.4200799999999</v>
      </c>
      <c r="E192" s="73">
        <v>0</v>
      </c>
      <c r="F192" s="73">
        <f>D192+E192</f>
        <v>1003.4200799999999</v>
      </c>
      <c r="G192" s="73">
        <v>0</v>
      </c>
      <c r="H192" s="73">
        <f>F192*(($H$154)+1)+(IF(G192&lt;101,G192,IF(G192&lt;201,G192/2,IF(G192&lt;=301,G192/3,G192/4))))</f>
        <v>1505.1301199999998</v>
      </c>
      <c r="I192" s="36"/>
      <c r="K192" s="76">
        <f t="shared" si="2"/>
        <v>24082081.919999998</v>
      </c>
      <c r="L192" s="134"/>
      <c r="M192" s="134"/>
      <c r="N192" s="36"/>
      <c r="T192" s="21"/>
    </row>
    <row r="193" spans="1:20" s="74" customFormat="1" ht="15.75" customHeight="1" x14ac:dyDescent="0.25">
      <c r="A193" s="135">
        <f>A192+1</f>
        <v>5</v>
      </c>
      <c r="B193" s="136"/>
      <c r="C193" s="73" t="s">
        <v>335</v>
      </c>
      <c r="D193" s="75">
        <f>(61.58)*10.764</f>
        <v>662.8471199999999</v>
      </c>
      <c r="E193" s="73">
        <v>0</v>
      </c>
      <c r="F193" s="73">
        <f>D193+E193</f>
        <v>662.8471199999999</v>
      </c>
      <c r="G193" s="73">
        <v>0</v>
      </c>
      <c r="H193" s="73">
        <f>F193*(($H$154)+1)+(IF(G193&lt;101,G193,IF(G193&lt;201,G193/2,IF(G193&lt;=301,G193/3,G193/4))))</f>
        <v>994.27067999999986</v>
      </c>
      <c r="I193" s="36"/>
      <c r="K193" s="76">
        <f t="shared" si="2"/>
        <v>15908330.879999997</v>
      </c>
      <c r="L193" s="134"/>
      <c r="M193" s="134"/>
      <c r="N193" s="36"/>
      <c r="T193" s="21"/>
    </row>
    <row r="194" spans="1:20" s="74" customFormat="1" x14ac:dyDescent="0.25">
      <c r="A194" s="188" t="s">
        <v>337</v>
      </c>
      <c r="B194" s="188"/>
      <c r="C194" s="188"/>
      <c r="D194" s="188"/>
      <c r="E194" s="188"/>
      <c r="F194" s="188"/>
      <c r="G194" s="188"/>
      <c r="H194" s="188"/>
      <c r="J194" s="36"/>
      <c r="K194" s="76">
        <f t="shared" si="2"/>
        <v>0</v>
      </c>
    </row>
    <row r="195" spans="1:20" s="74" customFormat="1" ht="15.75" customHeight="1" x14ac:dyDescent="0.25">
      <c r="A195" s="182">
        <v>1</v>
      </c>
      <c r="B195" s="182"/>
      <c r="C195" s="182" t="s">
        <v>338</v>
      </c>
      <c r="D195" s="182"/>
      <c r="E195" s="182"/>
      <c r="F195" s="182"/>
      <c r="G195" s="182"/>
      <c r="H195" s="73" t="s">
        <v>339</v>
      </c>
      <c r="I195" s="36"/>
      <c r="K195" s="76" t="e">
        <f t="shared" si="2"/>
        <v>#VALUE!</v>
      </c>
      <c r="L195" s="134"/>
      <c r="M195" s="134"/>
      <c r="N195" s="36"/>
    </row>
    <row r="196" spans="1:20" s="74" customFormat="1" ht="15.75" customHeight="1" x14ac:dyDescent="0.25">
      <c r="A196" s="182">
        <f>A195+1</f>
        <v>2</v>
      </c>
      <c r="B196" s="182"/>
      <c r="C196" s="73" t="s">
        <v>335</v>
      </c>
      <c r="D196" s="75">
        <f>(60.3)*10.764</f>
        <v>649.06919999999991</v>
      </c>
      <c r="E196" s="73">
        <v>0</v>
      </c>
      <c r="F196" s="73">
        <f>D196+E196</f>
        <v>649.06919999999991</v>
      </c>
      <c r="G196" s="73">
        <v>0</v>
      </c>
      <c r="H196" s="73">
        <f>F196*(($H$154)+1)+(IF(G196&lt;101,G196,IF(G196&lt;201,G196/2,IF(G196&lt;=301,G196/3,G196/4))))</f>
        <v>973.60379999999986</v>
      </c>
      <c r="I196" s="36"/>
      <c r="K196" s="76">
        <f t="shared" si="2"/>
        <v>15577660.799999997</v>
      </c>
      <c r="L196" s="134"/>
      <c r="M196" s="134"/>
      <c r="N196" s="36"/>
    </row>
    <row r="197" spans="1:20" s="74" customFormat="1" ht="15.75" customHeight="1" x14ac:dyDescent="0.25">
      <c r="A197" s="182">
        <f>A196+1</f>
        <v>3</v>
      </c>
      <c r="B197" s="182"/>
      <c r="C197" s="73" t="s">
        <v>333</v>
      </c>
      <c r="D197" s="75">
        <f>(40.59)*10.764</f>
        <v>436.91075999999998</v>
      </c>
      <c r="E197" s="73">
        <v>0</v>
      </c>
      <c r="F197" s="73">
        <f>D197+E197</f>
        <v>436.91075999999998</v>
      </c>
      <c r="G197" s="73">
        <v>0</v>
      </c>
      <c r="H197" s="73">
        <f>F197*(($H$154)+1)+(IF(G197&lt;101,G197,IF(G197&lt;201,G197/2,IF(G197&lt;=301,G197/3,G197/4))))</f>
        <v>655.36613999999997</v>
      </c>
      <c r="I197" s="36"/>
      <c r="K197" s="76">
        <f t="shared" si="2"/>
        <v>10485858.24</v>
      </c>
      <c r="L197" s="134"/>
      <c r="M197" s="134"/>
      <c r="N197" s="36"/>
    </row>
    <row r="198" spans="1:20" s="74" customFormat="1" ht="15.75" customHeight="1" x14ac:dyDescent="0.25">
      <c r="A198" s="182">
        <f>A197+1</f>
        <v>4</v>
      </c>
      <c r="B198" s="182"/>
      <c r="C198" s="73" t="s">
        <v>334</v>
      </c>
      <c r="D198" s="75">
        <f>(93.22)*10.764</f>
        <v>1003.4200799999999</v>
      </c>
      <c r="E198" s="73">
        <v>0</v>
      </c>
      <c r="F198" s="73">
        <f>D198+E198</f>
        <v>1003.4200799999999</v>
      </c>
      <c r="G198" s="73">
        <v>0</v>
      </c>
      <c r="H198" s="73">
        <f>F198*(($H$154)+1)+(IF(G198&lt;101,G198,IF(G198&lt;201,G198/2,IF(G198&lt;=301,G198/3,G198/4))))</f>
        <v>1505.1301199999998</v>
      </c>
      <c r="I198" s="36"/>
      <c r="K198" s="76">
        <f t="shared" si="2"/>
        <v>24082081.919999998</v>
      </c>
      <c r="L198" s="134"/>
      <c r="M198" s="134"/>
      <c r="N198" s="36"/>
      <c r="T198" s="21"/>
    </row>
    <row r="199" spans="1:20" s="74" customFormat="1" ht="15.75" customHeight="1" x14ac:dyDescent="0.25">
      <c r="A199" s="182">
        <f>A198+1</f>
        <v>5</v>
      </c>
      <c r="B199" s="182"/>
      <c r="C199" s="73" t="s">
        <v>335</v>
      </c>
      <c r="D199" s="75">
        <f>(61.58)*10.764</f>
        <v>662.8471199999999</v>
      </c>
      <c r="E199" s="73">
        <v>0</v>
      </c>
      <c r="F199" s="73">
        <f>D199+E199</f>
        <v>662.8471199999999</v>
      </c>
      <c r="G199" s="73">
        <v>0</v>
      </c>
      <c r="H199" s="73">
        <f>F199*(($H$154)+1)+(IF(G199&lt;101,G199,IF(G199&lt;201,G199/2,IF(G199&lt;=301,G199/3,G199/4))))</f>
        <v>994.27067999999986</v>
      </c>
      <c r="I199" s="36"/>
      <c r="K199" s="76">
        <f t="shared" si="2"/>
        <v>15908330.879999997</v>
      </c>
      <c r="L199" s="134"/>
      <c r="M199" s="134"/>
      <c r="N199" s="36"/>
      <c r="T199" s="21"/>
    </row>
    <row r="200" spans="1:20" s="74" customFormat="1" x14ac:dyDescent="0.25">
      <c r="A200" s="188" t="s">
        <v>340</v>
      </c>
      <c r="B200" s="188"/>
      <c r="C200" s="188"/>
      <c r="D200" s="188"/>
      <c r="E200" s="188"/>
      <c r="F200" s="188"/>
      <c r="G200" s="188"/>
      <c r="H200" s="188"/>
      <c r="J200" s="36"/>
      <c r="K200" s="76">
        <f t="shared" si="2"/>
        <v>0</v>
      </c>
    </row>
    <row r="201" spans="1:20" s="74" customFormat="1" ht="15.75" customHeight="1" x14ac:dyDescent="0.25">
      <c r="A201" s="182">
        <v>1</v>
      </c>
      <c r="B201" s="182"/>
      <c r="C201" s="182" t="s">
        <v>338</v>
      </c>
      <c r="D201" s="182"/>
      <c r="E201" s="182"/>
      <c r="F201" s="182"/>
      <c r="G201" s="182"/>
      <c r="H201" s="73" t="s">
        <v>339</v>
      </c>
      <c r="I201" s="36"/>
      <c r="K201" s="76" t="e">
        <f t="shared" si="2"/>
        <v>#VALUE!</v>
      </c>
      <c r="L201" s="134"/>
      <c r="M201" s="134"/>
      <c r="N201" s="36"/>
    </row>
    <row r="202" spans="1:20" s="74" customFormat="1" ht="15.75" customHeight="1" x14ac:dyDescent="0.25">
      <c r="A202" s="182">
        <f>A201+1</f>
        <v>2</v>
      </c>
      <c r="B202" s="182"/>
      <c r="C202" s="73" t="s">
        <v>335</v>
      </c>
      <c r="D202" s="75">
        <f>(60.3)*10.764</f>
        <v>649.06919999999991</v>
      </c>
      <c r="E202" s="73">
        <v>0</v>
      </c>
      <c r="F202" s="73">
        <f>D202+E202</f>
        <v>649.06919999999991</v>
      </c>
      <c r="G202" s="73">
        <v>0</v>
      </c>
      <c r="H202" s="73">
        <f>F202*(($H$154)+1)+(IF(G202&lt;101,G202,IF(G202&lt;201,G202/2,IF(G202&lt;=301,G202/3,G202/4))))</f>
        <v>973.60379999999986</v>
      </c>
      <c r="I202" s="36"/>
      <c r="K202" s="76">
        <f t="shared" si="2"/>
        <v>15577660.799999997</v>
      </c>
      <c r="L202" s="134"/>
      <c r="M202" s="134"/>
      <c r="N202" s="36"/>
    </row>
    <row r="203" spans="1:20" s="74" customFormat="1" ht="15.75" customHeight="1" x14ac:dyDescent="0.25">
      <c r="A203" s="182">
        <f>A202+1</f>
        <v>3</v>
      </c>
      <c r="B203" s="182"/>
      <c r="C203" s="73" t="s">
        <v>333</v>
      </c>
      <c r="D203" s="75">
        <f>(40.59)*10.764</f>
        <v>436.91075999999998</v>
      </c>
      <c r="E203" s="73">
        <v>0</v>
      </c>
      <c r="F203" s="73">
        <f>D203+E203</f>
        <v>436.91075999999998</v>
      </c>
      <c r="G203" s="73">
        <v>0</v>
      </c>
      <c r="H203" s="73">
        <f>F203*(($H$154)+1)+(IF(G203&lt;101,G203,IF(G203&lt;201,G203/2,IF(G203&lt;=301,G203/3,G203/4))))</f>
        <v>655.36613999999997</v>
      </c>
      <c r="I203" s="36"/>
      <c r="K203" s="76">
        <f t="shared" si="2"/>
        <v>10485858.24</v>
      </c>
      <c r="L203" s="134"/>
      <c r="M203" s="134"/>
      <c r="N203" s="36"/>
    </row>
    <row r="204" spans="1:20" s="74" customFormat="1" ht="15.75" customHeight="1" x14ac:dyDescent="0.25">
      <c r="A204" s="182">
        <f>A203+1</f>
        <v>4</v>
      </c>
      <c r="B204" s="182"/>
      <c r="C204" s="73" t="s">
        <v>334</v>
      </c>
      <c r="D204" s="75">
        <f>(93.22)*10.764</f>
        <v>1003.4200799999999</v>
      </c>
      <c r="E204" s="73">
        <v>0</v>
      </c>
      <c r="F204" s="73">
        <f>D204+E204</f>
        <v>1003.4200799999999</v>
      </c>
      <c r="G204" s="73">
        <v>0</v>
      </c>
      <c r="H204" s="73">
        <f>F204*(($H$154)+1)+(IF(G204&lt;101,G204,IF(G204&lt;201,G204/2,IF(G204&lt;=301,G204/3,G204/4))))</f>
        <v>1505.1301199999998</v>
      </c>
      <c r="I204" s="36"/>
      <c r="K204" s="76">
        <f t="shared" si="2"/>
        <v>24082081.919999998</v>
      </c>
      <c r="L204" s="134"/>
      <c r="M204" s="134"/>
      <c r="N204" s="36"/>
      <c r="T204" s="21"/>
    </row>
    <row r="205" spans="1:20" s="74" customFormat="1" ht="15.75" customHeight="1" x14ac:dyDescent="0.25">
      <c r="A205" s="135">
        <f>A204+1</f>
        <v>5</v>
      </c>
      <c r="B205" s="136"/>
      <c r="C205" s="73" t="s">
        <v>335</v>
      </c>
      <c r="D205" s="75">
        <f>(61.58)*10.764</f>
        <v>662.8471199999999</v>
      </c>
      <c r="E205" s="73">
        <v>0</v>
      </c>
      <c r="F205" s="73">
        <f>D205+E205</f>
        <v>662.8471199999999</v>
      </c>
      <c r="G205" s="73">
        <v>0</v>
      </c>
      <c r="H205" s="73">
        <f>F205*(($H$154)+1)+(IF(G205&lt;101,G205,IF(G205&lt;201,G205/2,IF(G205&lt;=301,G205/3,G205/4))))</f>
        <v>994.27067999999986</v>
      </c>
      <c r="I205" s="36"/>
      <c r="K205" s="76">
        <f t="shared" si="2"/>
        <v>15908330.879999997</v>
      </c>
      <c r="L205" s="134"/>
      <c r="M205" s="134"/>
      <c r="N205" s="36"/>
      <c r="T205" s="21"/>
    </row>
    <row r="206" spans="1:20" s="74" customFormat="1" x14ac:dyDescent="0.25">
      <c r="A206" s="183" t="s">
        <v>341</v>
      </c>
      <c r="B206" s="184"/>
      <c r="C206" s="184"/>
      <c r="D206" s="184"/>
      <c r="E206" s="184"/>
      <c r="F206" s="184"/>
      <c r="G206" s="184"/>
      <c r="H206" s="185"/>
      <c r="J206" s="36"/>
      <c r="K206" s="76">
        <f t="shared" si="2"/>
        <v>0</v>
      </c>
    </row>
    <row r="207" spans="1:20" s="74" customFormat="1" ht="15.75" customHeight="1" x14ac:dyDescent="0.25">
      <c r="A207" s="135">
        <v>1</v>
      </c>
      <c r="B207" s="136"/>
      <c r="C207" s="73" t="s">
        <v>333</v>
      </c>
      <c r="D207" s="75">
        <f>(42.15)*10.764</f>
        <v>453.70259999999996</v>
      </c>
      <c r="E207" s="73">
        <v>0</v>
      </c>
      <c r="F207" s="73">
        <f>D207+E207</f>
        <v>453.70259999999996</v>
      </c>
      <c r="G207" s="73">
        <v>0</v>
      </c>
      <c r="H207" s="73">
        <f>F207*(($H$154)+1)+(IF(G207&lt;101,G207,IF(G207&lt;201,G207/2,IF(G207&lt;=301,G207/3,G207/4))))</f>
        <v>680.55389999999989</v>
      </c>
      <c r="I207" s="36"/>
      <c r="K207" s="76">
        <f t="shared" si="2"/>
        <v>10888862.399999999</v>
      </c>
      <c r="L207" s="134">
        <f>11700000/H207</f>
        <v>17191.878556569878</v>
      </c>
      <c r="M207" s="134"/>
      <c r="N207" s="36"/>
    </row>
    <row r="208" spans="1:20" s="74" customFormat="1" ht="15.75" customHeight="1" x14ac:dyDescent="0.25">
      <c r="A208" s="135">
        <f>A207+1</f>
        <v>2</v>
      </c>
      <c r="B208" s="136"/>
      <c r="C208" s="73" t="s">
        <v>335</v>
      </c>
      <c r="D208" s="75">
        <f>(60.3)*10.764</f>
        <v>649.06919999999991</v>
      </c>
      <c r="E208" s="73">
        <v>0</v>
      </c>
      <c r="F208" s="73">
        <f>D208+E208</f>
        <v>649.06919999999991</v>
      </c>
      <c r="G208" s="73">
        <v>0</v>
      </c>
      <c r="H208" s="73">
        <f>F208*(($H$154)+1)+(IF(G208&lt;101,G208,IF(G208&lt;201,G208/2,IF(G208&lt;=301,G208/3,G208/4))))</f>
        <v>973.60379999999986</v>
      </c>
      <c r="I208" s="36"/>
      <c r="K208" s="76">
        <f t="shared" si="2"/>
        <v>15577660.799999997</v>
      </c>
      <c r="L208" s="134"/>
      <c r="M208" s="134"/>
      <c r="N208" s="36"/>
    </row>
    <row r="209" spans="1:20" s="74" customFormat="1" ht="15.75" customHeight="1" x14ac:dyDescent="0.25">
      <c r="A209" s="135">
        <f>A208+1</f>
        <v>3</v>
      </c>
      <c r="B209" s="136"/>
      <c r="C209" s="73" t="s">
        <v>333</v>
      </c>
      <c r="D209" s="75">
        <f>(40.59)*10.764</f>
        <v>436.91075999999998</v>
      </c>
      <c r="E209" s="73">
        <v>0</v>
      </c>
      <c r="F209" s="73">
        <f>D209+E209</f>
        <v>436.91075999999998</v>
      </c>
      <c r="G209" s="73">
        <v>0</v>
      </c>
      <c r="H209" s="73">
        <f>F209*(($H$154)+1)+(IF(G209&lt;101,G209,IF(G209&lt;201,G209/2,IF(G209&lt;=301,G209/3,G209/4))))</f>
        <v>655.36613999999997</v>
      </c>
      <c r="I209" s="36"/>
      <c r="K209" s="76">
        <f t="shared" si="2"/>
        <v>10485858.24</v>
      </c>
      <c r="L209" s="134"/>
      <c r="M209" s="134"/>
      <c r="N209" s="36"/>
    </row>
    <row r="210" spans="1:20" s="74" customFormat="1" ht="15.75" customHeight="1" x14ac:dyDescent="0.25">
      <c r="A210" s="135">
        <f>A209+1</f>
        <v>4</v>
      </c>
      <c r="B210" s="136"/>
      <c r="C210" s="73" t="s">
        <v>334</v>
      </c>
      <c r="D210" s="75">
        <f>(90.49)*10.764</f>
        <v>974.03435999999988</v>
      </c>
      <c r="E210" s="73">
        <v>0</v>
      </c>
      <c r="F210" s="73">
        <f>D210+E210</f>
        <v>974.03435999999988</v>
      </c>
      <c r="G210" s="73">
        <v>0</v>
      </c>
      <c r="H210" s="73">
        <f>F210*(($H$154)+1)+(IF(G210&lt;101,G210,IF(G210&lt;201,G210/2,IF(G210&lt;=301,G210/3,G210/4))))</f>
        <v>1461.0515399999999</v>
      </c>
      <c r="I210" s="36"/>
      <c r="K210" s="76">
        <f t="shared" si="2"/>
        <v>23376824.640000001</v>
      </c>
      <c r="L210" s="134"/>
      <c r="M210" s="134"/>
      <c r="N210" s="36"/>
      <c r="T210" s="21"/>
    </row>
    <row r="211" spans="1:20" s="74" customFormat="1" ht="15.75" customHeight="1" x14ac:dyDescent="0.25">
      <c r="A211" s="135">
        <f>A210+1</f>
        <v>5</v>
      </c>
      <c r="B211" s="136"/>
      <c r="C211" s="73" t="s">
        <v>335</v>
      </c>
      <c r="D211" s="75">
        <f>(61.58)*10.764</f>
        <v>662.8471199999999</v>
      </c>
      <c r="E211" s="73">
        <v>0</v>
      </c>
      <c r="F211" s="73">
        <f>D211+E211</f>
        <v>662.8471199999999</v>
      </c>
      <c r="G211" s="73">
        <v>0</v>
      </c>
      <c r="H211" s="73">
        <f>F211*(($H$154)+1)+(IF(G211&lt;101,G211,IF(G211&lt;201,G211/2,IF(G211&lt;=301,G211/3,G211/4))))</f>
        <v>994.27067999999986</v>
      </c>
      <c r="I211" s="36"/>
      <c r="K211" s="76">
        <f t="shared" si="2"/>
        <v>15908330.879999997</v>
      </c>
      <c r="L211" s="134"/>
      <c r="M211" s="134"/>
      <c r="N211" s="36"/>
      <c r="T211" s="21"/>
    </row>
    <row r="212" spans="1:20" s="74" customFormat="1" x14ac:dyDescent="0.25">
      <c r="A212" s="183" t="s">
        <v>342</v>
      </c>
      <c r="B212" s="184"/>
      <c r="C212" s="184"/>
      <c r="D212" s="184"/>
      <c r="E212" s="184"/>
      <c r="F212" s="184"/>
      <c r="G212" s="184"/>
      <c r="H212" s="185"/>
      <c r="J212" s="36"/>
      <c r="K212" s="76">
        <f t="shared" si="2"/>
        <v>0</v>
      </c>
    </row>
    <row r="213" spans="1:20" s="74" customFormat="1" ht="15.75" customHeight="1" x14ac:dyDescent="0.25">
      <c r="A213" s="135">
        <v>1</v>
      </c>
      <c r="B213" s="136"/>
      <c r="C213" s="73" t="s">
        <v>333</v>
      </c>
      <c r="D213" s="75">
        <f>(42.15)*10.764</f>
        <v>453.70259999999996</v>
      </c>
      <c r="E213" s="73">
        <v>0</v>
      </c>
      <c r="F213" s="73">
        <f>D213+E213</f>
        <v>453.70259999999996</v>
      </c>
      <c r="G213" s="73">
        <v>0</v>
      </c>
      <c r="H213" s="73">
        <f>F213*(($H$154)+1)+(IF(G213&lt;101,G213,IF(G213&lt;201,G213/2,IF(G213&lt;=301,G213/3,G213/4))))</f>
        <v>680.55389999999989</v>
      </c>
      <c r="I213" s="36"/>
      <c r="K213" s="76">
        <f t="shared" si="2"/>
        <v>10888862.399999999</v>
      </c>
      <c r="L213" s="134"/>
      <c r="M213" s="134"/>
      <c r="N213" s="36"/>
    </row>
    <row r="214" spans="1:20" s="74" customFormat="1" ht="15.75" customHeight="1" x14ac:dyDescent="0.25">
      <c r="A214" s="135">
        <f>A213+1</f>
        <v>2</v>
      </c>
      <c r="B214" s="136"/>
      <c r="C214" s="73" t="s">
        <v>335</v>
      </c>
      <c r="D214" s="75">
        <f>(60.3)*10.764</f>
        <v>649.06919999999991</v>
      </c>
      <c r="E214" s="73">
        <v>0</v>
      </c>
      <c r="F214" s="73">
        <f>D214+E214</f>
        <v>649.06919999999991</v>
      </c>
      <c r="G214" s="73">
        <v>0</v>
      </c>
      <c r="H214" s="73">
        <f>F214*(($H$154)+1)+(IF(G214&lt;101,G214,IF(G214&lt;201,G214/2,IF(G214&lt;=301,G214/3,G214/4))))</f>
        <v>973.60379999999986</v>
      </c>
      <c r="I214" s="36"/>
      <c r="K214" s="76">
        <f t="shared" si="2"/>
        <v>15577660.799999997</v>
      </c>
      <c r="L214" s="134"/>
      <c r="M214" s="134"/>
      <c r="N214" s="36"/>
    </row>
    <row r="215" spans="1:20" s="74" customFormat="1" ht="15.75" customHeight="1" x14ac:dyDescent="0.25">
      <c r="A215" s="135">
        <f>A214+1</f>
        <v>3</v>
      </c>
      <c r="B215" s="136"/>
      <c r="C215" s="73" t="s">
        <v>333</v>
      </c>
      <c r="D215" s="75">
        <f>(40.59)*10.764</f>
        <v>436.91075999999998</v>
      </c>
      <c r="E215" s="73">
        <v>0</v>
      </c>
      <c r="F215" s="73">
        <f>D215+E215</f>
        <v>436.91075999999998</v>
      </c>
      <c r="G215" s="73">
        <v>0</v>
      </c>
      <c r="H215" s="73">
        <f>F215*(($H$154)+1)+(IF(G215&lt;101,G215,IF(G215&lt;201,G215/2,IF(G215&lt;=301,G215/3,G215/4))))</f>
        <v>655.36613999999997</v>
      </c>
      <c r="I215" s="36"/>
      <c r="K215" s="76">
        <f t="shared" si="2"/>
        <v>10485858.24</v>
      </c>
      <c r="L215" s="134"/>
      <c r="M215" s="134"/>
      <c r="N215" s="36"/>
    </row>
    <row r="216" spans="1:20" s="74" customFormat="1" ht="15.75" customHeight="1" x14ac:dyDescent="0.25">
      <c r="A216" s="135">
        <f>A215+1</f>
        <v>4</v>
      </c>
      <c r="B216" s="136"/>
      <c r="C216" s="73" t="s">
        <v>334</v>
      </c>
      <c r="D216" s="75">
        <f>(90.49)*10.764</f>
        <v>974.03435999999988</v>
      </c>
      <c r="E216" s="73">
        <v>0</v>
      </c>
      <c r="F216" s="73">
        <f>D216+E216</f>
        <v>974.03435999999988</v>
      </c>
      <c r="G216" s="73">
        <v>0</v>
      </c>
      <c r="H216" s="73">
        <f>F216*(($H$154)+1)+(IF(G216&lt;101,G216,IF(G216&lt;201,G216/2,IF(G216&lt;=301,G216/3,G216/4))))</f>
        <v>1461.0515399999999</v>
      </c>
      <c r="I216" s="36"/>
      <c r="K216" s="76">
        <f t="shared" si="2"/>
        <v>23376824.640000001</v>
      </c>
      <c r="L216" s="134"/>
      <c r="M216" s="134"/>
      <c r="N216" s="36"/>
      <c r="T216" s="21"/>
    </row>
    <row r="217" spans="1:20" s="74" customFormat="1" ht="15.75" customHeight="1" x14ac:dyDescent="0.25">
      <c r="A217" s="135">
        <f>A216+1</f>
        <v>5</v>
      </c>
      <c r="B217" s="136"/>
      <c r="C217" s="73" t="s">
        <v>335</v>
      </c>
      <c r="D217" s="75">
        <f>(61.58)*10.764</f>
        <v>662.8471199999999</v>
      </c>
      <c r="E217" s="73">
        <v>0</v>
      </c>
      <c r="F217" s="73">
        <f>D217+E217</f>
        <v>662.8471199999999</v>
      </c>
      <c r="G217" s="73">
        <v>0</v>
      </c>
      <c r="H217" s="73">
        <f>F217*(($H$154)+1)+(IF(G217&lt;101,G217,IF(G217&lt;201,G217/2,IF(G217&lt;=301,G217/3,G217/4))))</f>
        <v>994.27067999999986</v>
      </c>
      <c r="I217" s="36"/>
      <c r="K217" s="76">
        <f t="shared" si="2"/>
        <v>15908330.879999997</v>
      </c>
      <c r="L217" s="134"/>
      <c r="M217" s="134"/>
      <c r="N217" s="36"/>
      <c r="T217" s="21"/>
    </row>
    <row r="218" spans="1:20" s="35" customFormat="1" x14ac:dyDescent="0.25">
      <c r="A218" s="181" t="s">
        <v>65</v>
      </c>
      <c r="B218" s="181"/>
      <c r="C218" s="181"/>
      <c r="D218" s="181"/>
      <c r="E218" s="181"/>
      <c r="F218" s="181"/>
      <c r="G218" s="181"/>
      <c r="H218" s="181"/>
      <c r="T218" s="37"/>
    </row>
    <row r="219" spans="1:20" s="35" customFormat="1" x14ac:dyDescent="0.25">
      <c r="A219" s="46" t="s">
        <v>150</v>
      </c>
      <c r="B219" s="169" t="s">
        <v>360</v>
      </c>
      <c r="C219" s="170"/>
      <c r="D219" s="170"/>
      <c r="E219" s="170"/>
      <c r="F219" s="170"/>
      <c r="G219" s="170"/>
      <c r="H219" s="171"/>
      <c r="T219" s="37"/>
    </row>
    <row r="220" spans="1:20" s="35" customFormat="1" x14ac:dyDescent="0.25">
      <c r="A220" s="46" t="s">
        <v>150</v>
      </c>
      <c r="B220" s="178" t="str">
        <f>(IF(H153="Saleable area Loading :","We have considered Saleable area of Flats as per our Calculation.","We considered Saleable area of Flat as per Builder area Sheet."))</f>
        <v>We have considered Saleable area of Flats as per our Calculation.</v>
      </c>
      <c r="C220" s="179"/>
      <c r="D220" s="179"/>
      <c r="E220" s="179"/>
      <c r="F220" s="179"/>
      <c r="G220" s="179"/>
      <c r="H220" s="180"/>
      <c r="T220" s="37"/>
    </row>
    <row r="221" spans="1:20" s="35" customFormat="1" x14ac:dyDescent="0.25">
      <c r="A221" s="46" t="s">
        <v>150</v>
      </c>
      <c r="B221" s="178" t="str">
        <f>(IF(H145="Saleable area Loading :","We have considered Saleable area of Commercial as per our Calculation.","We considered Saleable area of Commercial as per Builder area Sheet."))</f>
        <v>We have considered Saleable area of Commercial as per our Calculation.</v>
      </c>
      <c r="C221" s="179"/>
      <c r="D221" s="179"/>
      <c r="E221" s="179"/>
      <c r="F221" s="179"/>
      <c r="G221" s="179"/>
      <c r="H221" s="180"/>
      <c r="T221" s="37"/>
    </row>
    <row r="222" spans="1:20" s="35" customFormat="1" x14ac:dyDescent="0.25">
      <c r="A222" s="46" t="s">
        <v>150</v>
      </c>
      <c r="B222" s="110" t="s">
        <v>120</v>
      </c>
      <c r="C222" s="111"/>
      <c r="D222" s="111"/>
      <c r="E222" s="111"/>
      <c r="F222" s="111"/>
      <c r="G222" s="111"/>
      <c r="H222" s="112"/>
      <c r="T222" s="37"/>
    </row>
    <row r="223" spans="1:20" s="35" customFormat="1" x14ac:dyDescent="0.25">
      <c r="A223" s="46" t="s">
        <v>150</v>
      </c>
      <c r="B223" s="110" t="s">
        <v>346</v>
      </c>
      <c r="C223" s="111"/>
      <c r="D223" s="111"/>
      <c r="E223" s="111"/>
      <c r="F223" s="111"/>
      <c r="G223" s="111"/>
      <c r="H223" s="112"/>
      <c r="T223" s="37"/>
    </row>
    <row r="224" spans="1:20" s="35" customFormat="1" x14ac:dyDescent="0.25">
      <c r="A224" s="46" t="s">
        <v>150</v>
      </c>
      <c r="B224" s="110" t="s">
        <v>149</v>
      </c>
      <c r="C224" s="111"/>
      <c r="D224" s="111"/>
      <c r="E224" s="111"/>
      <c r="F224" s="111"/>
      <c r="G224" s="111"/>
      <c r="H224" s="112"/>
    </row>
    <row r="225" spans="1:20" s="35" customFormat="1" x14ac:dyDescent="0.25">
      <c r="A225" s="46" t="s">
        <v>150</v>
      </c>
      <c r="B225" s="110" t="s">
        <v>121</v>
      </c>
      <c r="C225" s="111"/>
      <c r="D225" s="111"/>
      <c r="E225" s="111"/>
      <c r="F225" s="111"/>
      <c r="G225" s="111"/>
      <c r="H225" s="112"/>
    </row>
    <row r="226" spans="1:20" s="35" customFormat="1" ht="34.5" customHeight="1" x14ac:dyDescent="0.25">
      <c r="A226" s="46" t="s">
        <v>150</v>
      </c>
      <c r="B226" s="110" t="s">
        <v>151</v>
      </c>
      <c r="C226" s="111"/>
      <c r="D226" s="111"/>
      <c r="E226" s="111"/>
      <c r="F226" s="111"/>
      <c r="G226" s="111"/>
      <c r="H226" s="112"/>
    </row>
    <row r="227" spans="1:20" s="35" customFormat="1" x14ac:dyDescent="0.25">
      <c r="A227" s="46" t="s">
        <v>150</v>
      </c>
      <c r="B227" s="110" t="s">
        <v>122</v>
      </c>
      <c r="C227" s="111"/>
      <c r="D227" s="111"/>
      <c r="E227" s="111"/>
      <c r="F227" s="111"/>
      <c r="G227" s="111"/>
      <c r="H227" s="112"/>
    </row>
    <row r="228" spans="1:20" s="35" customFormat="1" ht="32.25" customHeight="1" x14ac:dyDescent="0.25">
      <c r="A228" s="55" t="s">
        <v>150</v>
      </c>
      <c r="B228" s="169" t="s">
        <v>177</v>
      </c>
      <c r="C228" s="170"/>
      <c r="D228" s="170"/>
      <c r="E228" s="170"/>
      <c r="F228" s="170"/>
      <c r="G228" s="170"/>
      <c r="H228" s="171"/>
    </row>
    <row r="229" spans="1:20" s="35" customFormat="1" x14ac:dyDescent="0.25">
      <c r="A229" s="82" t="s">
        <v>150</v>
      </c>
      <c r="B229" s="169" t="s">
        <v>348</v>
      </c>
      <c r="C229" s="170"/>
      <c r="D229" s="170"/>
      <c r="E229" s="170"/>
      <c r="F229" s="170"/>
      <c r="G229" s="170"/>
      <c r="H229" s="171"/>
    </row>
    <row r="230" spans="1:20" s="35" customFormat="1" hidden="1" x14ac:dyDescent="0.25">
      <c r="A230" s="59" t="s">
        <v>150</v>
      </c>
      <c r="B230" s="169" t="s">
        <v>357</v>
      </c>
      <c r="C230" s="170"/>
      <c r="D230" s="170"/>
      <c r="E230" s="170"/>
      <c r="F230" s="170"/>
      <c r="G230" s="170"/>
      <c r="H230" s="171"/>
    </row>
    <row r="231" spans="1:20" x14ac:dyDescent="0.25">
      <c r="A231" s="167" t="s">
        <v>58</v>
      </c>
      <c r="B231" s="167"/>
      <c r="C231" s="167"/>
      <c r="D231" s="167"/>
      <c r="E231" s="167"/>
      <c r="F231" s="167"/>
      <c r="G231" s="167"/>
      <c r="H231" s="167"/>
      <c r="T231" s="35"/>
    </row>
    <row r="232" spans="1:20" x14ac:dyDescent="0.25">
      <c r="A232" s="85" t="s">
        <v>59</v>
      </c>
      <c r="B232" s="85"/>
      <c r="C232" s="85"/>
      <c r="D232" s="85"/>
      <c r="E232" s="85"/>
      <c r="F232" s="85"/>
      <c r="G232" s="85"/>
      <c r="H232" s="85"/>
      <c r="T232" s="35"/>
    </row>
    <row r="233" spans="1:20" ht="15.75" customHeight="1" x14ac:dyDescent="0.25">
      <c r="A233" s="186" t="s">
        <v>60</v>
      </c>
      <c r="B233" s="186"/>
      <c r="C233" s="186"/>
      <c r="D233" s="186"/>
      <c r="E233" s="186"/>
      <c r="F233" s="186"/>
      <c r="G233" s="186"/>
      <c r="H233" s="186"/>
      <c r="T233" s="35"/>
    </row>
    <row r="234" spans="1:20" x14ac:dyDescent="0.25">
      <c r="A234" s="85" t="s">
        <v>61</v>
      </c>
      <c r="B234" s="85"/>
      <c r="C234" s="85"/>
      <c r="D234" s="85"/>
      <c r="E234" s="85"/>
      <c r="F234" s="85"/>
      <c r="G234" s="85"/>
      <c r="H234" s="85"/>
      <c r="T234" s="35"/>
    </row>
    <row r="235" spans="1:20" x14ac:dyDescent="0.25">
      <c r="A235" s="85" t="s">
        <v>62</v>
      </c>
      <c r="B235" s="85"/>
      <c r="C235" s="85"/>
      <c r="D235" s="85"/>
      <c r="E235" s="85"/>
      <c r="F235" s="85"/>
      <c r="G235" s="85"/>
      <c r="H235" s="85"/>
      <c r="T235" s="35"/>
    </row>
    <row r="236" spans="1:20" x14ac:dyDescent="0.25">
      <c r="A236" s="85" t="s">
        <v>123</v>
      </c>
      <c r="B236" s="85"/>
      <c r="C236" s="85"/>
      <c r="D236" s="85"/>
      <c r="E236" s="85"/>
      <c r="F236" s="85"/>
      <c r="G236" s="85"/>
      <c r="H236" s="85"/>
      <c r="T236" s="35"/>
    </row>
    <row r="237" spans="1:20" ht="33.950000000000003" customHeight="1" x14ac:dyDescent="0.25">
      <c r="A237" s="131" t="s">
        <v>124</v>
      </c>
      <c r="B237" s="131"/>
      <c r="C237" s="131"/>
      <c r="D237" s="131"/>
      <c r="E237" s="131"/>
      <c r="F237" s="131"/>
      <c r="G237" s="131"/>
      <c r="H237" s="131"/>
    </row>
    <row r="238" spans="1:20" x14ac:dyDescent="0.25">
      <c r="A238" s="177" t="s">
        <v>74</v>
      </c>
      <c r="B238" s="177"/>
      <c r="C238" s="177" t="s">
        <v>304</v>
      </c>
      <c r="D238" s="177"/>
      <c r="E238" s="177" t="s">
        <v>104</v>
      </c>
      <c r="F238" s="177"/>
      <c r="G238" s="177" t="s">
        <v>359</v>
      </c>
      <c r="H238" s="177"/>
    </row>
    <row r="239" spans="1:20" x14ac:dyDescent="0.25">
      <c r="A239" s="176" t="s">
        <v>76</v>
      </c>
      <c r="B239" s="176"/>
      <c r="C239" s="176"/>
      <c r="D239" s="176"/>
      <c r="E239" s="176"/>
      <c r="F239" s="176"/>
      <c r="G239" s="176"/>
      <c r="H239" s="176"/>
    </row>
    <row r="240" spans="1:20" x14ac:dyDescent="0.25">
      <c r="A240" s="176"/>
      <c r="B240" s="176"/>
      <c r="C240" s="176"/>
      <c r="D240" s="176"/>
      <c r="E240" s="176"/>
      <c r="F240" s="176"/>
      <c r="G240" s="176"/>
      <c r="H240" s="176"/>
    </row>
    <row r="241" spans="1:8" x14ac:dyDescent="0.25">
      <c r="A241" s="176"/>
      <c r="B241" s="176"/>
      <c r="C241" s="176"/>
      <c r="D241" s="176"/>
      <c r="E241" s="176"/>
      <c r="F241" s="176"/>
      <c r="G241" s="176"/>
      <c r="H241" s="176"/>
    </row>
    <row r="242" spans="1:8" x14ac:dyDescent="0.25">
      <c r="A242" s="176"/>
      <c r="B242" s="176"/>
      <c r="C242" s="176"/>
      <c r="D242" s="176"/>
      <c r="E242" s="176"/>
      <c r="F242" s="176"/>
      <c r="G242" s="176"/>
      <c r="H242" s="176"/>
    </row>
    <row r="243" spans="1:8" x14ac:dyDescent="0.25">
      <c r="A243" s="38" t="s">
        <v>63</v>
      </c>
      <c r="B243" s="39"/>
      <c r="C243" s="39"/>
      <c r="D243" s="38" t="str">
        <f>E9</f>
        <v>Swastik Divine</v>
      </c>
      <c r="F243" s="39"/>
      <c r="G243" s="39"/>
      <c r="H243" s="39"/>
    </row>
    <row r="244" spans="1:8" x14ac:dyDescent="0.25">
      <c r="A244" s="39"/>
      <c r="B244" s="39"/>
      <c r="C244" s="39"/>
      <c r="D244" s="39"/>
      <c r="E244" s="39"/>
      <c r="F244" s="39"/>
      <c r="G244" s="39"/>
      <c r="H244" s="39"/>
    </row>
    <row r="245" spans="1:8" x14ac:dyDescent="0.25">
      <c r="A245" s="39"/>
      <c r="B245" s="39"/>
      <c r="C245" s="39"/>
      <c r="D245" s="39"/>
      <c r="E245" s="39"/>
      <c r="F245" s="39"/>
      <c r="G245" s="39"/>
      <c r="H245" s="39"/>
    </row>
    <row r="246" spans="1:8" ht="15" customHeight="1" x14ac:dyDescent="0.25"/>
    <row r="285" spans="1:1" x14ac:dyDescent="0.25">
      <c r="A285" s="41" t="s">
        <v>161</v>
      </c>
    </row>
    <row r="327" spans="1:1" x14ac:dyDescent="0.25">
      <c r="A327" s="41" t="s">
        <v>64</v>
      </c>
    </row>
  </sheetData>
  <mergeCells count="444">
    <mergeCell ref="C53:H53"/>
    <mergeCell ref="L217:M217"/>
    <mergeCell ref="A212:H212"/>
    <mergeCell ref="A213:B213"/>
    <mergeCell ref="L213:M213"/>
    <mergeCell ref="A214:B214"/>
    <mergeCell ref="L214:M214"/>
    <mergeCell ref="A215:B215"/>
    <mergeCell ref="L215:M215"/>
    <mergeCell ref="A216:B216"/>
    <mergeCell ref="L216:M216"/>
    <mergeCell ref="L211:M211"/>
    <mergeCell ref="A179:H179"/>
    <mergeCell ref="A180:B180"/>
    <mergeCell ref="L180:M180"/>
    <mergeCell ref="A181:B181"/>
    <mergeCell ref="L181:M181"/>
    <mergeCell ref="A182:B182"/>
    <mergeCell ref="L182:M182"/>
    <mergeCell ref="A183:B183"/>
    <mergeCell ref="L183:M183"/>
    <mergeCell ref="A206:H206"/>
    <mergeCell ref="A207:B207"/>
    <mergeCell ref="L207:M207"/>
    <mergeCell ref="A208:B208"/>
    <mergeCell ref="L208:M208"/>
    <mergeCell ref="A209:B209"/>
    <mergeCell ref="L209:M209"/>
    <mergeCell ref="A210:B210"/>
    <mergeCell ref="L210:M210"/>
    <mergeCell ref="A203:B203"/>
    <mergeCell ref="L203:M203"/>
    <mergeCell ref="A204:B204"/>
    <mergeCell ref="L204:M204"/>
    <mergeCell ref="L205:M205"/>
    <mergeCell ref="L193:M193"/>
    <mergeCell ref="L189:M189"/>
    <mergeCell ref="A190:B190"/>
    <mergeCell ref="L190:M190"/>
    <mergeCell ref="L178:M178"/>
    <mergeCell ref="A169:H169"/>
    <mergeCell ref="A170:B170"/>
    <mergeCell ref="C170:G170"/>
    <mergeCell ref="L170:M170"/>
    <mergeCell ref="A171:B171"/>
    <mergeCell ref="L171:M171"/>
    <mergeCell ref="A172:B172"/>
    <mergeCell ref="L172:M172"/>
    <mergeCell ref="A173:B173"/>
    <mergeCell ref="L173:M173"/>
    <mergeCell ref="L201:M201"/>
    <mergeCell ref="A202:B202"/>
    <mergeCell ref="L202:M202"/>
    <mergeCell ref="A194:H194"/>
    <mergeCell ref="A195:B195"/>
    <mergeCell ref="L195:M195"/>
    <mergeCell ref="A196:B196"/>
    <mergeCell ref="L196:M196"/>
    <mergeCell ref="A197:B197"/>
    <mergeCell ref="L197:M197"/>
    <mergeCell ref="A198:B198"/>
    <mergeCell ref="L198:M198"/>
    <mergeCell ref="A199:B199"/>
    <mergeCell ref="L199:M199"/>
    <mergeCell ref="C195:G195"/>
    <mergeCell ref="L165:M165"/>
    <mergeCell ref="A166:B166"/>
    <mergeCell ref="L166:M166"/>
    <mergeCell ref="A167:B167"/>
    <mergeCell ref="L167:M167"/>
    <mergeCell ref="A168:B168"/>
    <mergeCell ref="L168:M168"/>
    <mergeCell ref="C165:G165"/>
    <mergeCell ref="A200:H200"/>
    <mergeCell ref="A174:H174"/>
    <mergeCell ref="A175:B175"/>
    <mergeCell ref="L175:M175"/>
    <mergeCell ref="A176:B176"/>
    <mergeCell ref="L176:M176"/>
    <mergeCell ref="A177:B177"/>
    <mergeCell ref="L177:M177"/>
    <mergeCell ref="A178:B178"/>
    <mergeCell ref="L191:M191"/>
    <mergeCell ref="A192:B192"/>
    <mergeCell ref="L192:M192"/>
    <mergeCell ref="A184:H184"/>
    <mergeCell ref="A185:H185"/>
    <mergeCell ref="A186:H186"/>
    <mergeCell ref="A187:H187"/>
    <mergeCell ref="I15:P15"/>
    <mergeCell ref="F129:H129"/>
    <mergeCell ref="F127:H127"/>
    <mergeCell ref="A144:H144"/>
    <mergeCell ref="G133:H133"/>
    <mergeCell ref="A128:E128"/>
    <mergeCell ref="A149:B149"/>
    <mergeCell ref="A62:B62"/>
    <mergeCell ref="C62:E62"/>
    <mergeCell ref="D64:H64"/>
    <mergeCell ref="F128:H128"/>
    <mergeCell ref="E133:F133"/>
    <mergeCell ref="A133:B133"/>
    <mergeCell ref="A135:B135"/>
    <mergeCell ref="C138:D138"/>
    <mergeCell ref="D74:H74"/>
    <mergeCell ref="A75:C75"/>
    <mergeCell ref="E43:H43"/>
    <mergeCell ref="A43:D43"/>
    <mergeCell ref="A91:B91"/>
    <mergeCell ref="C91:H91"/>
    <mergeCell ref="A86:B86"/>
    <mergeCell ref="A50:B50"/>
    <mergeCell ref="A52:B53"/>
    <mergeCell ref="C50:E50"/>
    <mergeCell ref="C55:E55"/>
    <mergeCell ref="G55:H55"/>
    <mergeCell ref="G50:H50"/>
    <mergeCell ref="G54:H54"/>
    <mergeCell ref="A51:B51"/>
    <mergeCell ref="A63:H63"/>
    <mergeCell ref="A64:C64"/>
    <mergeCell ref="A65:C65"/>
    <mergeCell ref="D65:H65"/>
    <mergeCell ref="G62:H62"/>
    <mergeCell ref="A56:B57"/>
    <mergeCell ref="C56:E56"/>
    <mergeCell ref="G56:H56"/>
    <mergeCell ref="A58:B59"/>
    <mergeCell ref="C58:E58"/>
    <mergeCell ref="G58:H58"/>
    <mergeCell ref="A60:B61"/>
    <mergeCell ref="C60:E60"/>
    <mergeCell ref="G60:H60"/>
    <mergeCell ref="G51:H51"/>
    <mergeCell ref="A54:B55"/>
    <mergeCell ref="C52:E52"/>
    <mergeCell ref="G52:H52"/>
    <mergeCell ref="C51:E51"/>
    <mergeCell ref="A236:H236"/>
    <mergeCell ref="A233:H233"/>
    <mergeCell ref="A138:B138"/>
    <mergeCell ref="D153:D154"/>
    <mergeCell ref="E153:E154"/>
    <mergeCell ref="A99:B99"/>
    <mergeCell ref="A100:B100"/>
    <mergeCell ref="A101:B101"/>
    <mergeCell ref="A115:B115"/>
    <mergeCell ref="F120:H120"/>
    <mergeCell ref="G134:H134"/>
    <mergeCell ref="A118:B118"/>
    <mergeCell ref="F126:H126"/>
    <mergeCell ref="C133:D133"/>
    <mergeCell ref="C141:D141"/>
    <mergeCell ref="A159:H159"/>
    <mergeCell ref="A156:H156"/>
    <mergeCell ref="A157:H157"/>
    <mergeCell ref="A158:H158"/>
    <mergeCell ref="A155:H155"/>
    <mergeCell ref="A188:H188"/>
    <mergeCell ref="A189:B189"/>
    <mergeCell ref="A191:B191"/>
    <mergeCell ref="B220:H220"/>
    <mergeCell ref="B222:H222"/>
    <mergeCell ref="B223:H223"/>
    <mergeCell ref="A218:H218"/>
    <mergeCell ref="D69:H69"/>
    <mergeCell ref="C54:E54"/>
    <mergeCell ref="A67:C69"/>
    <mergeCell ref="D67:H67"/>
    <mergeCell ref="D68:H68"/>
    <mergeCell ref="A201:B201"/>
    <mergeCell ref="C201:G201"/>
    <mergeCell ref="A205:B205"/>
    <mergeCell ref="A211:B211"/>
    <mergeCell ref="A217:B217"/>
    <mergeCell ref="A102:B102"/>
    <mergeCell ref="A103:B103"/>
    <mergeCell ref="E108:F108"/>
    <mergeCell ref="E109:F118"/>
    <mergeCell ref="A152:H152"/>
    <mergeCell ref="E138:F138"/>
    <mergeCell ref="A143:H143"/>
    <mergeCell ref="A164:H164"/>
    <mergeCell ref="A165:B165"/>
    <mergeCell ref="A193:B193"/>
    <mergeCell ref="A239:H242"/>
    <mergeCell ref="A238:B238"/>
    <mergeCell ref="E238:F238"/>
    <mergeCell ref="C238:D238"/>
    <mergeCell ref="G238:H238"/>
    <mergeCell ref="A237:H237"/>
    <mergeCell ref="A235:H235"/>
    <mergeCell ref="B225:H225"/>
    <mergeCell ref="B221:H221"/>
    <mergeCell ref="B229:H229"/>
    <mergeCell ref="F131:H131"/>
    <mergeCell ref="A139:B139"/>
    <mergeCell ref="A134:B134"/>
    <mergeCell ref="A234:H234"/>
    <mergeCell ref="A137:H137"/>
    <mergeCell ref="A231:H231"/>
    <mergeCell ref="G138:H138"/>
    <mergeCell ref="C145:C146"/>
    <mergeCell ref="B153:B154"/>
    <mergeCell ref="A232:H232"/>
    <mergeCell ref="A160:B160"/>
    <mergeCell ref="A151:B151"/>
    <mergeCell ref="A150:B150"/>
    <mergeCell ref="B230:H230"/>
    <mergeCell ref="B226:H226"/>
    <mergeCell ref="B228:H228"/>
    <mergeCell ref="B227:H227"/>
    <mergeCell ref="A153:A154"/>
    <mergeCell ref="F153:F154"/>
    <mergeCell ref="A148:B148"/>
    <mergeCell ref="A142:B142"/>
    <mergeCell ref="C142:D142"/>
    <mergeCell ref="E142:F142"/>
    <mergeCell ref="B219:H21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9:H118"/>
    <mergeCell ref="A42:D42"/>
    <mergeCell ref="E42:H42"/>
    <mergeCell ref="A41:H41"/>
    <mergeCell ref="A70:C70"/>
    <mergeCell ref="A71:C71"/>
    <mergeCell ref="D70:H70"/>
    <mergeCell ref="E81:F90"/>
    <mergeCell ref="G81:H90"/>
    <mergeCell ref="A89:B89"/>
    <mergeCell ref="A90:B90"/>
    <mergeCell ref="D71:H71"/>
    <mergeCell ref="A44:D44"/>
    <mergeCell ref="E44:H44"/>
    <mergeCell ref="E45:H45"/>
    <mergeCell ref="E46:H46"/>
    <mergeCell ref="A94:B94"/>
    <mergeCell ref="E47:H47"/>
    <mergeCell ref="C59:H59"/>
    <mergeCell ref="C61:H61"/>
    <mergeCell ref="A93:B93"/>
    <mergeCell ref="A39:B39"/>
    <mergeCell ref="C39:H39"/>
    <mergeCell ref="A46:D46"/>
    <mergeCell ref="L151:M151"/>
    <mergeCell ref="L150:M150"/>
    <mergeCell ref="L149:M149"/>
    <mergeCell ref="L148:M148"/>
    <mergeCell ref="A88:B88"/>
    <mergeCell ref="C139:D139"/>
    <mergeCell ref="E139:F139"/>
    <mergeCell ref="G139:H139"/>
    <mergeCell ref="A120:E120"/>
    <mergeCell ref="A105:B105"/>
    <mergeCell ref="C105:H105"/>
    <mergeCell ref="A147:H147"/>
    <mergeCell ref="E145:E146"/>
    <mergeCell ref="A95:B95"/>
    <mergeCell ref="A47:D47"/>
    <mergeCell ref="A48:H48"/>
    <mergeCell ref="D66:H66"/>
    <mergeCell ref="A66:C66"/>
    <mergeCell ref="A87:B87"/>
    <mergeCell ref="C93:H93"/>
    <mergeCell ref="A45:D45"/>
    <mergeCell ref="L163:M163"/>
    <mergeCell ref="L160:M160"/>
    <mergeCell ref="A161:B161"/>
    <mergeCell ref="G142:H142"/>
    <mergeCell ref="L161:M161"/>
    <mergeCell ref="A162:B162"/>
    <mergeCell ref="L162:M162"/>
    <mergeCell ref="C57:H57"/>
    <mergeCell ref="A163:B163"/>
    <mergeCell ref="A80:B80"/>
    <mergeCell ref="A79:B79"/>
    <mergeCell ref="A77:B77"/>
    <mergeCell ref="C77:H77"/>
    <mergeCell ref="A85:B85"/>
    <mergeCell ref="A72:C72"/>
    <mergeCell ref="D72:H72"/>
    <mergeCell ref="C79:H79"/>
    <mergeCell ref="A82:B82"/>
    <mergeCell ref="A84:B84"/>
    <mergeCell ref="E80:F80"/>
    <mergeCell ref="A73:C73"/>
    <mergeCell ref="D73:H73"/>
    <mergeCell ref="A76:C76"/>
    <mergeCell ref="D76:H76"/>
    <mergeCell ref="A40:B40"/>
    <mergeCell ref="C40:H40"/>
    <mergeCell ref="F145:F146"/>
    <mergeCell ref="C134:D134"/>
    <mergeCell ref="E134:F134"/>
    <mergeCell ref="B145:B146"/>
    <mergeCell ref="A145:A146"/>
    <mergeCell ref="C153:C154"/>
    <mergeCell ref="G153:G154"/>
    <mergeCell ref="A74:C74"/>
    <mergeCell ref="D75:H75"/>
    <mergeCell ref="A81:B81"/>
    <mergeCell ref="G80:H80"/>
    <mergeCell ref="F119:H119"/>
    <mergeCell ref="F124:H124"/>
    <mergeCell ref="E94:F94"/>
    <mergeCell ref="G94:H94"/>
    <mergeCell ref="A125:E125"/>
    <mergeCell ref="F125:H125"/>
    <mergeCell ref="A127:E127"/>
    <mergeCell ref="F122:H122"/>
    <mergeCell ref="A126:E126"/>
    <mergeCell ref="A112:B112"/>
    <mergeCell ref="A113:B113"/>
    <mergeCell ref="A49:B49"/>
    <mergeCell ref="C49:H49"/>
    <mergeCell ref="B224:H224"/>
    <mergeCell ref="A110:B110"/>
    <mergeCell ref="A111:B111"/>
    <mergeCell ref="G95:H104"/>
    <mergeCell ref="A96:B96"/>
    <mergeCell ref="A97:B97"/>
    <mergeCell ref="A98:B98"/>
    <mergeCell ref="F121:H121"/>
    <mergeCell ref="A121:E121"/>
    <mergeCell ref="D145:D146"/>
    <mergeCell ref="A123:E123"/>
    <mergeCell ref="A114:B114"/>
    <mergeCell ref="A116:B116"/>
    <mergeCell ref="A117:B117"/>
    <mergeCell ref="A122:E122"/>
    <mergeCell ref="A119:E119"/>
    <mergeCell ref="F123:H123"/>
    <mergeCell ref="G108:H108"/>
    <mergeCell ref="A107:B107"/>
    <mergeCell ref="G145:G146"/>
    <mergeCell ref="A83:B83"/>
    <mergeCell ref="E95:F104"/>
    <mergeCell ref="A124:E124"/>
    <mergeCell ref="A104:B104"/>
    <mergeCell ref="A109:B109"/>
    <mergeCell ref="A141:B141"/>
    <mergeCell ref="E141:F141"/>
    <mergeCell ref="C107:H107"/>
    <mergeCell ref="A108:B108"/>
    <mergeCell ref="A129:E129"/>
    <mergeCell ref="G141:H141"/>
    <mergeCell ref="C135:D135"/>
    <mergeCell ref="E135:F135"/>
    <mergeCell ref="G135:H135"/>
    <mergeCell ref="A136:B136"/>
    <mergeCell ref="C136:D136"/>
    <mergeCell ref="E136:F136"/>
    <mergeCell ref="G136:H136"/>
    <mergeCell ref="A140:B140"/>
    <mergeCell ref="C140:D140"/>
    <mergeCell ref="E140:F140"/>
    <mergeCell ref="G140:H140"/>
    <mergeCell ref="A132:H132"/>
    <mergeCell ref="A130:E130"/>
    <mergeCell ref="F130:H130"/>
    <mergeCell ref="A131:E131"/>
  </mergeCells>
  <dataValidations count="19">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5:E146">
      <formula1>"Attached Loft area,Attached Otla area,Attached Mezzanine area"</formula1>
    </dataValidation>
    <dataValidation type="list" allowBlank="1" showInputMessage="1" showErrorMessage="1" sqref="G238:H238">
      <formula1>"Kunal Kadam,Pranita Mhatre,Shruti Fule,Pooja Kawale,Neha Dhokale,Shruti Tathare, Hitakshi Mhatre, Sachin Sawant"</formula1>
    </dataValidation>
    <dataValidation type="list" allowBlank="1" showInputMessage="1" showErrorMessage="1" sqref="F119:H119">
      <formula1>"On Saleable Area,On Builtup Area,On Carpet Area,On Plot Area"</formula1>
    </dataValidation>
    <dataValidation type="list" allowBlank="1" showInputMessage="1" showErrorMessage="1" sqref="B145:B146">
      <formula1>"Shop No. (Sale Plan),Sale / Rehab,Sale / Mhada"</formula1>
    </dataValidation>
    <dataValidation type="list" allowBlank="1" showInputMessage="1" showErrorMessage="1" sqref="B153:B15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3:E154">
      <formula1>"Fungible area,Balcony Area,Chajja Area,Cornice Area,AP Area,WS Area"</formula1>
    </dataValidation>
    <dataValidation type="list" allowBlank="1" showInputMessage="1" showErrorMessage="1" sqref="H146 H15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6">
      <formula1>0</formula1>
      <formula2>H78</formula2>
    </dataValidation>
    <dataValidation type="list" allowBlank="1" showInputMessage="1" showErrorMessage="1" sqref="H145 H153">
      <formula1>"Saleable area Loading :,Builder Saleable Area"</formula1>
    </dataValidation>
    <dataValidation type="list" allowBlank="1" showInputMessage="1" showErrorMessage="1" sqref="D145:D146">
      <formula1>"Carpet area,RERA Carpet area"</formula1>
    </dataValidation>
    <dataValidation type="list" allowBlank="1" showInputMessage="1" showErrorMessage="1" sqref="D153:D154">
      <formula1>"Carpet area+ Dry Balcony + Balcony,RERA Carpet area"</formula1>
    </dataValidation>
    <dataValidation type="list" allowBlank="1" showInputMessage="1" showErrorMessage="1" sqref="F130:H130">
      <formula1>OFFSET($S$119,1,MATCH($G20,$S$119:$W$119,0)-1,15,1)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242" max="16383" man="1"/>
    <brk id="284" max="16383" man="1"/>
    <brk id="32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85546875" defaultRowHeight="15" x14ac:dyDescent="0.25"/>
  <cols>
    <col min="1" max="1" width="8.855468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85546875" style="1"/>
  </cols>
  <sheetData>
    <row r="1" spans="1:9" ht="15" customHeight="1" x14ac:dyDescent="0.25"/>
    <row r="2" spans="1:9" ht="15" customHeight="1" x14ac:dyDescent="0.25">
      <c r="A2" s="2"/>
      <c r="B2" s="2"/>
      <c r="C2" s="2"/>
      <c r="D2" s="2"/>
      <c r="E2" s="2"/>
      <c r="F2" s="2"/>
      <c r="G2" s="2"/>
      <c r="H2" s="2"/>
    </row>
    <row r="3" spans="1:9" ht="15.75" customHeight="1" x14ac:dyDescent="0.25">
      <c r="A3" s="2"/>
      <c r="B3" s="209" t="s">
        <v>105</v>
      </c>
      <c r="C3" s="209"/>
      <c r="D3" s="209"/>
      <c r="E3" s="209"/>
      <c r="F3" s="209"/>
      <c r="G3" s="209"/>
      <c r="H3" s="209"/>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6"/>
      <c r="C4" s="56" t="s">
        <v>11</v>
      </c>
      <c r="D4" s="57" t="s">
        <v>178</v>
      </c>
      <c r="E4" s="57" t="s">
        <v>188</v>
      </c>
      <c r="F4" s="57" t="s">
        <v>170</v>
      </c>
      <c r="G4" s="57" t="s">
        <v>193</v>
      </c>
      <c r="H4" s="57" t="s">
        <v>211</v>
      </c>
      <c r="J4" t="s">
        <v>193</v>
      </c>
      <c r="K4" t="s">
        <v>209</v>
      </c>
    </row>
    <row r="5" spans="2:11" x14ac:dyDescent="0.25">
      <c r="B5" s="56"/>
      <c r="C5" s="56"/>
      <c r="D5" s="57" t="s">
        <v>179</v>
      </c>
      <c r="E5" s="57" t="s">
        <v>186</v>
      </c>
      <c r="F5" s="57" t="s">
        <v>208</v>
      </c>
      <c r="G5" s="57" t="s">
        <v>194</v>
      </c>
      <c r="H5" s="57" t="s">
        <v>212</v>
      </c>
    </row>
    <row r="6" spans="2:11" x14ac:dyDescent="0.25">
      <c r="B6" s="56"/>
      <c r="C6" s="56"/>
      <c r="D6" s="57" t="s">
        <v>180</v>
      </c>
      <c r="E6" s="57" t="s">
        <v>187</v>
      </c>
      <c r="F6" s="57" t="s">
        <v>209</v>
      </c>
      <c r="G6" s="57" t="s">
        <v>195</v>
      </c>
      <c r="H6" s="57" t="s">
        <v>225</v>
      </c>
    </row>
    <row r="7" spans="2:11" x14ac:dyDescent="0.25">
      <c r="B7" s="56"/>
      <c r="C7" s="56"/>
      <c r="D7" s="57" t="s">
        <v>181</v>
      </c>
      <c r="E7" s="57" t="s">
        <v>189</v>
      </c>
      <c r="F7" s="57" t="s">
        <v>210</v>
      </c>
      <c r="G7" s="57" t="s">
        <v>196</v>
      </c>
      <c r="H7" s="57" t="s">
        <v>213</v>
      </c>
    </row>
    <row r="8" spans="2:11" x14ac:dyDescent="0.25">
      <c r="B8" s="56"/>
      <c r="C8" s="56"/>
      <c r="D8" s="57" t="s">
        <v>182</v>
      </c>
      <c r="E8" s="57" t="s">
        <v>190</v>
      </c>
      <c r="F8" s="57"/>
      <c r="G8" s="57" t="s">
        <v>197</v>
      </c>
      <c r="H8" s="57" t="s">
        <v>214</v>
      </c>
    </row>
    <row r="9" spans="2:11" x14ac:dyDescent="0.25">
      <c r="B9" s="56"/>
      <c r="C9" s="56"/>
      <c r="D9" s="57" t="s">
        <v>183</v>
      </c>
      <c r="E9" s="57" t="s">
        <v>188</v>
      </c>
      <c r="F9" s="57"/>
      <c r="G9" s="57" t="s">
        <v>198</v>
      </c>
      <c r="H9" s="57" t="s">
        <v>215</v>
      </c>
    </row>
    <row r="10" spans="2:11" x14ac:dyDescent="0.25">
      <c r="B10" s="56"/>
      <c r="C10" s="56"/>
      <c r="D10" s="57" t="s">
        <v>184</v>
      </c>
      <c r="E10" s="57" t="s">
        <v>191</v>
      </c>
      <c r="F10" s="57"/>
      <c r="G10" s="57" t="s">
        <v>199</v>
      </c>
      <c r="H10" s="57" t="s">
        <v>216</v>
      </c>
    </row>
    <row r="11" spans="2:11" x14ac:dyDescent="0.25">
      <c r="B11" s="56"/>
      <c r="C11" s="56"/>
      <c r="D11" s="57" t="s">
        <v>185</v>
      </c>
      <c r="E11" s="57" t="s">
        <v>192</v>
      </c>
      <c r="F11" s="57"/>
      <c r="G11" s="57" t="s">
        <v>200</v>
      </c>
      <c r="H11" s="57" t="s">
        <v>217</v>
      </c>
    </row>
    <row r="12" spans="2:11" x14ac:dyDescent="0.25">
      <c r="B12" s="56"/>
      <c r="C12" s="56"/>
      <c r="D12" s="57"/>
      <c r="E12" s="57"/>
      <c r="F12" s="57"/>
      <c r="G12" s="57" t="s">
        <v>201</v>
      </c>
      <c r="H12" s="57" t="s">
        <v>218</v>
      </c>
    </row>
    <row r="13" spans="2:11" x14ac:dyDescent="0.25">
      <c r="B13" s="56"/>
      <c r="C13" s="56"/>
      <c r="D13" s="57"/>
      <c r="E13" s="57"/>
      <c r="F13" s="57"/>
      <c r="G13" s="57" t="s">
        <v>202</v>
      </c>
      <c r="H13" s="57" t="s">
        <v>219</v>
      </c>
    </row>
    <row r="14" spans="2:11" x14ac:dyDescent="0.25">
      <c r="B14" s="56"/>
      <c r="C14" s="56"/>
      <c r="D14" s="57"/>
      <c r="E14" s="57"/>
      <c r="F14" s="57"/>
      <c r="G14" s="57" t="s">
        <v>203</v>
      </c>
      <c r="H14" s="57" t="s">
        <v>220</v>
      </c>
    </row>
    <row r="15" spans="2:11" x14ac:dyDescent="0.25">
      <c r="B15" s="56"/>
      <c r="C15" s="56"/>
      <c r="D15" s="57"/>
      <c r="E15" s="57"/>
      <c r="F15" s="57"/>
      <c r="G15" s="57" t="s">
        <v>204</v>
      </c>
      <c r="H15" s="57" t="s">
        <v>221</v>
      </c>
    </row>
    <row r="16" spans="2:11" x14ac:dyDescent="0.25">
      <c r="B16" s="56"/>
      <c r="C16" s="56"/>
      <c r="D16" s="57"/>
      <c r="E16" s="57"/>
      <c r="F16" s="57"/>
      <c r="G16" s="57" t="s">
        <v>205</v>
      </c>
      <c r="H16" s="57" t="s">
        <v>222</v>
      </c>
    </row>
    <row r="17" spans="2:8" x14ac:dyDescent="0.25">
      <c r="B17" s="56"/>
      <c r="C17" s="56"/>
      <c r="D17" s="57"/>
      <c r="E17" s="57"/>
      <c r="F17" s="57"/>
      <c r="G17" s="57" t="s">
        <v>206</v>
      </c>
      <c r="H17" s="57" t="s">
        <v>223</v>
      </c>
    </row>
    <row r="18" spans="2:8" x14ac:dyDescent="0.25">
      <c r="B18" s="56"/>
      <c r="C18" s="56"/>
      <c r="D18" s="57"/>
      <c r="E18" s="57"/>
      <c r="F18" s="57"/>
      <c r="G18" s="57" t="s">
        <v>207</v>
      </c>
      <c r="H18" s="57" t="s">
        <v>224</v>
      </c>
    </row>
    <row r="24" spans="2:8" x14ac:dyDescent="0.25">
      <c r="C24" t="s">
        <v>167</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167</v>
      </c>
    </row>
    <row r="33" spans="3:11" x14ac:dyDescent="0.25">
      <c r="J33">
        <v>1</v>
      </c>
      <c r="K33">
        <v>2</v>
      </c>
    </row>
    <row r="34" spans="3:11" x14ac:dyDescent="0.25">
      <c r="C34" s="60" t="s">
        <v>236</v>
      </c>
      <c r="D34" s="57" t="s">
        <v>234</v>
      </c>
      <c r="E34" s="57" t="s">
        <v>239</v>
      </c>
      <c r="F34" s="57" t="s">
        <v>237</v>
      </c>
      <c r="G34" s="57" t="s">
        <v>238</v>
      </c>
      <c r="H34" s="57" t="s">
        <v>240</v>
      </c>
      <c r="J34" t="s">
        <v>193</v>
      </c>
      <c r="K34" t="s">
        <v>209</v>
      </c>
    </row>
    <row r="35" spans="3:11" x14ac:dyDescent="0.25">
      <c r="C35" s="56" t="s">
        <v>235</v>
      </c>
      <c r="D35" s="57" t="s">
        <v>168</v>
      </c>
      <c r="E35" s="57" t="s">
        <v>244</v>
      </c>
      <c r="F35" s="57" t="s">
        <v>246</v>
      </c>
      <c r="G35" s="57" t="s">
        <v>248</v>
      </c>
      <c r="H35" s="57"/>
    </row>
    <row r="36" spans="3:11" x14ac:dyDescent="0.25">
      <c r="C36" s="56"/>
      <c r="D36" s="57" t="s">
        <v>241</v>
      </c>
      <c r="E36" s="57" t="s">
        <v>245</v>
      </c>
      <c r="F36" s="57" t="s">
        <v>247</v>
      </c>
      <c r="G36" s="57" t="s">
        <v>249</v>
      </c>
      <c r="H36" s="57"/>
    </row>
    <row r="37" spans="3:11" x14ac:dyDescent="0.25">
      <c r="C37" s="56"/>
      <c r="D37" s="57" t="s">
        <v>242</v>
      </c>
      <c r="E37" s="57"/>
      <c r="F37" s="57"/>
      <c r="G37" s="57" t="s">
        <v>250</v>
      </c>
      <c r="H37" s="57"/>
    </row>
    <row r="38" spans="3:11" x14ac:dyDescent="0.25">
      <c r="C38" s="56"/>
      <c r="D38" s="57" t="s">
        <v>243</v>
      </c>
      <c r="E38" s="57"/>
      <c r="F38" s="57"/>
      <c r="G38" s="57" t="s">
        <v>250</v>
      </c>
      <c r="H38" s="57"/>
    </row>
    <row r="39" spans="3:11" x14ac:dyDescent="0.25">
      <c r="C39" s="56"/>
      <c r="D39" s="57"/>
      <c r="E39" s="57"/>
      <c r="F39" s="57"/>
      <c r="G39" s="57" t="s">
        <v>251</v>
      </c>
      <c r="H39" s="57"/>
    </row>
    <row r="40" spans="3:11" x14ac:dyDescent="0.25">
      <c r="C40" s="56"/>
      <c r="D40" s="57"/>
      <c r="E40" s="57"/>
      <c r="F40" s="57"/>
      <c r="G40" s="57" t="s">
        <v>252</v>
      </c>
      <c r="H40" s="57"/>
    </row>
    <row r="41" spans="3:11" x14ac:dyDescent="0.25">
      <c r="C41" s="56"/>
      <c r="D41" s="57"/>
      <c r="E41" s="57"/>
      <c r="F41" s="57"/>
      <c r="G41" s="57"/>
      <c r="H41" s="57"/>
    </row>
    <row r="43" spans="3:11" x14ac:dyDescent="0.25">
      <c r="C43" t="s">
        <v>253</v>
      </c>
    </row>
    <row r="44" spans="3:11" x14ac:dyDescent="0.25">
      <c r="C44" t="s">
        <v>170</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178</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193</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188</v>
      </c>
      <c r="D67" t="s">
        <v>275</v>
      </c>
    </row>
    <row r="68" spans="3:4" x14ac:dyDescent="0.25">
      <c r="D68" t="s">
        <v>276</v>
      </c>
    </row>
    <row r="69" spans="3:4" x14ac:dyDescent="0.2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workbookViewId="0">
      <selection activeCell="E8" sqref="E8"/>
    </sheetView>
  </sheetViews>
  <sheetFormatPr defaultRowHeight="15" x14ac:dyDescent="0.25"/>
  <cols>
    <col min="2" max="2" width="3" bestFit="1" customWidth="1"/>
    <col min="3" max="3" width="130" customWidth="1"/>
  </cols>
  <sheetData>
    <row r="2" spans="2:3" ht="15" customHeight="1" x14ac:dyDescent="0.25">
      <c r="B2" s="61">
        <v>1</v>
      </c>
      <c r="C2" s="64" t="s">
        <v>284</v>
      </c>
    </row>
    <row r="3" spans="2:3" x14ac:dyDescent="0.25">
      <c r="B3" s="61">
        <v>2</v>
      </c>
      <c r="C3" s="62" t="s">
        <v>285</v>
      </c>
    </row>
    <row r="4" spans="2:3" x14ac:dyDescent="0.25">
      <c r="B4" s="61">
        <v>3</v>
      </c>
      <c r="C4" s="63" t="s">
        <v>286</v>
      </c>
    </row>
    <row r="5" spans="2:3" ht="30" x14ac:dyDescent="0.25">
      <c r="B5" s="61">
        <v>4</v>
      </c>
      <c r="C5" s="62" t="s">
        <v>287</v>
      </c>
    </row>
    <row r="6" spans="2:3" x14ac:dyDescent="0.25">
      <c r="B6" s="61">
        <v>5</v>
      </c>
      <c r="C6" s="63" t="s">
        <v>288</v>
      </c>
    </row>
    <row r="7" spans="2:3" ht="30" x14ac:dyDescent="0.25">
      <c r="B7" s="61">
        <v>6</v>
      </c>
      <c r="C7" s="62" t="s">
        <v>289</v>
      </c>
    </row>
    <row r="8" spans="2:3" ht="90" x14ac:dyDescent="0.25">
      <c r="B8" s="61">
        <v>7</v>
      </c>
      <c r="C8" s="62" t="s">
        <v>290</v>
      </c>
    </row>
    <row r="9" spans="2:3" x14ac:dyDescent="0.25">
      <c r="B9" s="61">
        <v>8</v>
      </c>
      <c r="C9" s="63" t="s">
        <v>291</v>
      </c>
    </row>
    <row r="10" spans="2:3" x14ac:dyDescent="0.25">
      <c r="B10" s="61">
        <v>9</v>
      </c>
      <c r="C10" s="63" t="s">
        <v>292</v>
      </c>
    </row>
    <row r="11" spans="2:3" x14ac:dyDescent="0.25">
      <c r="B11" s="61">
        <v>10</v>
      </c>
      <c r="C11" s="63" t="s">
        <v>293</v>
      </c>
    </row>
    <row r="12" spans="2:3" x14ac:dyDescent="0.25">
      <c r="B12" s="61">
        <v>11</v>
      </c>
      <c r="C12" s="63" t="s">
        <v>294</v>
      </c>
    </row>
    <row r="13" spans="2:3" x14ac:dyDescent="0.25">
      <c r="B13" s="61">
        <v>12</v>
      </c>
      <c r="C13" s="63" t="s">
        <v>295</v>
      </c>
    </row>
    <row r="14" spans="2:3" x14ac:dyDescent="0.25">
      <c r="B14" s="61">
        <v>13</v>
      </c>
      <c r="C14" s="63" t="s">
        <v>296</v>
      </c>
    </row>
    <row r="15" spans="2:3" x14ac:dyDescent="0.25">
      <c r="B15" s="61">
        <v>14</v>
      </c>
      <c r="C15" s="63" t="s">
        <v>286</v>
      </c>
    </row>
    <row r="16" spans="2:3" x14ac:dyDescent="0.25">
      <c r="B16" s="61">
        <v>15</v>
      </c>
      <c r="C16" s="63" t="s">
        <v>298</v>
      </c>
    </row>
    <row r="17" spans="2:3" ht="31.5" customHeight="1" x14ac:dyDescent="0.25">
      <c r="B17" s="69">
        <v>16</v>
      </c>
      <c r="C17" s="71" t="s">
        <v>299</v>
      </c>
    </row>
    <row r="18" spans="2:3" x14ac:dyDescent="0.25">
      <c r="B18" s="70">
        <v>17</v>
      </c>
      <c r="C18" s="71" t="s">
        <v>300</v>
      </c>
    </row>
    <row r="19" spans="2:3" x14ac:dyDescent="0.25">
      <c r="B19" s="69">
        <v>18</v>
      </c>
      <c r="C19" s="61" t="s">
        <v>301</v>
      </c>
    </row>
    <row r="20" spans="2:3" x14ac:dyDescent="0.25">
      <c r="B20" s="70">
        <v>19</v>
      </c>
      <c r="C20" s="61"/>
    </row>
    <row r="21" spans="2:3" x14ac:dyDescent="0.25">
      <c r="B21" s="72">
        <v>20</v>
      </c>
      <c r="C21" s="61"/>
    </row>
    <row r="22" spans="2:3" x14ac:dyDescent="0.25">
      <c r="B22" s="61"/>
      <c r="C22" s="61"/>
    </row>
    <row r="23" spans="2:3" x14ac:dyDescent="0.25">
      <c r="B23" s="61"/>
      <c r="C23" s="61"/>
    </row>
    <row r="24" spans="2:3" x14ac:dyDescent="0.25">
      <c r="B24" s="61"/>
      <c r="C24" s="61"/>
    </row>
    <row r="25" spans="2:3" x14ac:dyDescent="0.25">
      <c r="B25" s="61"/>
      <c r="C25" s="61"/>
    </row>
    <row r="26" spans="2:3" x14ac:dyDescent="0.25">
      <c r="B26" s="61"/>
      <c r="C26" s="61"/>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2025-06-10T10:37:18Z</cp:lastPrinted>
  <dcterms:created xsi:type="dcterms:W3CDTF">2019-07-16T09:29:46Z</dcterms:created>
  <dcterms:modified xsi:type="dcterms:W3CDTF">2025-09-17T17:30:23Z</dcterms:modified>
</cp:coreProperties>
</file>