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Sheet1" sheetId="1" r:id="rId1"/>
    <sheet name="C %" sheetId="14" r:id="rId2"/>
    <sheet name="Wing A" sheetId="11" r:id="rId3"/>
    <sheet name="Wing B" sheetId="12" r:id="rId4"/>
    <sheet name="Wing C" sheetId="13" r:id="rId5"/>
  </sheets>
  <definedNames>
    <definedName name="_xlnm.Print_Area" localSheetId="0">Sheet1!$A$1:$J$255</definedName>
  </definedNames>
  <calcPr calcId="144525"/>
</workbook>
</file>

<file path=xl/calcChain.xml><?xml version="1.0" encoding="utf-8"?>
<calcChain xmlns="http://schemas.openxmlformats.org/spreadsheetml/2006/main">
  <c r="C57" i="1" l="1"/>
  <c r="D156" i="1"/>
  <c r="F156" i="1" s="1"/>
  <c r="D153" i="1"/>
  <c r="D152" i="1"/>
  <c r="F152" i="1" s="1"/>
  <c r="D155" i="1"/>
  <c r="D146" i="1"/>
  <c r="F146" i="1" s="1"/>
  <c r="D145" i="1"/>
  <c r="F145" i="1" s="1"/>
  <c r="D148" i="1"/>
  <c r="F148" i="1" s="1"/>
  <c r="D158" i="1"/>
  <c r="F158" i="1" s="1"/>
  <c r="D143" i="1"/>
  <c r="F143" i="1" s="1"/>
  <c r="D141" i="1"/>
  <c r="F141" i="1" s="1"/>
  <c r="D138" i="1"/>
  <c r="F138" i="1" s="1"/>
  <c r="D137" i="1"/>
  <c r="F137" i="1" s="1"/>
  <c r="D136" i="1"/>
  <c r="F136" i="1" s="1"/>
  <c r="D126" i="1"/>
  <c r="F126" i="1" s="1"/>
  <c r="D130" i="1"/>
  <c r="F130" i="1" s="1"/>
  <c r="D127" i="1"/>
  <c r="F127" i="1" s="1"/>
  <c r="D124" i="1"/>
  <c r="F124" i="1" s="1"/>
  <c r="D123" i="1"/>
  <c r="F123" i="1" s="1"/>
  <c r="D121" i="1"/>
  <c r="F121" i="1" s="1"/>
  <c r="D120" i="1"/>
  <c r="F120" i="1" s="1"/>
  <c r="D118" i="1"/>
  <c r="F118" i="1" s="1"/>
  <c r="D116" i="1"/>
  <c r="F116" i="1" s="1"/>
  <c r="D114" i="1"/>
  <c r="F114" i="1" s="1"/>
  <c r="D113" i="1" l="1"/>
  <c r="F113" i="1" s="1"/>
  <c r="D111" i="1"/>
  <c r="F111" i="1" s="1"/>
  <c r="D109" i="1"/>
  <c r="F109" i="1" s="1"/>
  <c r="D106" i="1"/>
  <c r="F106" i="1" s="1"/>
  <c r="D104" i="1"/>
  <c r="D105" i="1"/>
  <c r="F105" i="1" s="1"/>
  <c r="C84" i="1" l="1"/>
  <c r="E84" i="1"/>
  <c r="F104" i="1"/>
  <c r="G84" i="1" s="1"/>
  <c r="O111" i="1"/>
  <c r="P111" i="1"/>
  <c r="N111" i="1"/>
  <c r="N104" i="1"/>
  <c r="O112" i="1" l="1"/>
  <c r="E162" i="1"/>
  <c r="D162" i="1"/>
  <c r="E159" i="1"/>
  <c r="D159" i="1"/>
  <c r="A162" i="1"/>
  <c r="G161" i="1"/>
  <c r="A159" i="1"/>
  <c r="G158" i="1"/>
  <c r="A130" i="1"/>
  <c r="G129" i="1"/>
  <c r="A127" i="1"/>
  <c r="G126" i="1"/>
  <c r="A156" i="1"/>
  <c r="G155" i="1"/>
  <c r="A124" i="1"/>
  <c r="G123" i="1"/>
  <c r="A153" i="1"/>
  <c r="G152" i="1"/>
  <c r="A121" i="1"/>
  <c r="G120" i="1"/>
  <c r="A149" i="1"/>
  <c r="A150" i="1" s="1"/>
  <c r="G148" i="1"/>
  <c r="A117" i="1"/>
  <c r="A118" i="1" s="1"/>
  <c r="G116" i="1"/>
  <c r="A146" i="1"/>
  <c r="G145" i="1"/>
  <c r="A114" i="1"/>
  <c r="G113" i="1"/>
  <c r="A142" i="1"/>
  <c r="A143" i="1" s="1"/>
  <c r="G141" i="1"/>
  <c r="A110" i="1"/>
  <c r="A111" i="1" s="1"/>
  <c r="G109" i="1"/>
  <c r="A137" i="1"/>
  <c r="A138" i="1" s="1"/>
  <c r="G136" i="1"/>
  <c r="A105" i="1"/>
  <c r="A106" i="1" s="1"/>
  <c r="G104" i="1"/>
  <c r="F95" i="1"/>
  <c r="F94" i="1"/>
  <c r="F93" i="1"/>
  <c r="A93" i="1"/>
  <c r="A94" i="1" s="1"/>
  <c r="A95" i="1" s="1"/>
  <c r="G92" i="1"/>
  <c r="F92" i="1"/>
  <c r="F159" i="1" l="1"/>
  <c r="C85" i="1"/>
  <c r="C86" i="1" s="1"/>
  <c r="E85" i="1"/>
  <c r="E86" i="1" s="1"/>
  <c r="F162" i="1"/>
  <c r="F153" i="1"/>
  <c r="F155" i="1"/>
  <c r="F3" i="1"/>
  <c r="G85" i="1" l="1"/>
  <c r="G86" i="1" s="1"/>
  <c r="N65" i="1" l="1"/>
  <c r="L68" i="1"/>
  <c r="L67" i="1"/>
  <c r="L66" i="1"/>
  <c r="L65" i="1"/>
  <c r="I58" i="1"/>
  <c r="D63" i="1" l="1"/>
  <c r="L61" i="1"/>
  <c r="D70" i="1"/>
  <c r="D68" i="1"/>
  <c r="D66" i="1"/>
  <c r="D64" i="1"/>
  <c r="L62" i="1"/>
  <c r="C61" i="1" s="1"/>
  <c r="L60" i="1"/>
  <c r="D69" i="1"/>
  <c r="D65" i="1"/>
  <c r="L63" i="1"/>
  <c r="L64" i="1" s="1"/>
  <c r="L69" i="1" s="1"/>
  <c r="L70" i="1" s="1"/>
  <c r="C62" i="1" s="1"/>
  <c r="D67" i="1"/>
  <c r="C8" i="14"/>
  <c r="K6" i="14" s="1"/>
  <c r="G15" i="14" s="1"/>
  <c r="D168" i="1"/>
  <c r="B16" i="14"/>
  <c r="E10" i="14" s="1"/>
  <c r="B14" i="14"/>
  <c r="E9" i="14" s="1"/>
  <c r="B12" i="14"/>
  <c r="E8" i="14" s="1"/>
  <c r="B10" i="14"/>
  <c r="B8" i="14"/>
  <c r="I6" i="14"/>
  <c r="G13" i="14"/>
  <c r="B6" i="14"/>
  <c r="J6" i="14" s="1"/>
  <c r="G14" i="14" s="1"/>
  <c r="E4" i="14"/>
  <c r="D48" i="1"/>
  <c r="F7" i="1"/>
  <c r="D52" i="1"/>
  <c r="G81"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G35" i="13" s="1"/>
  <c r="F35" i="13" s="1"/>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4" i="1"/>
  <c r="C44"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E6" i="14"/>
  <c r="K7" i="14"/>
  <c r="H15" i="14" s="1"/>
  <c r="I7" i="14"/>
  <c r="H13" i="14" s="1"/>
  <c r="M6" i="14" l="1"/>
  <c r="G17" i="14" s="1"/>
  <c r="N35" i="13"/>
  <c r="M35" i="13" s="1"/>
  <c r="M7" i="14"/>
  <c r="H17" i="14" s="1"/>
  <c r="M34" i="11"/>
  <c r="L34" i="11" s="1"/>
  <c r="J34" i="11"/>
  <c r="I34" i="11" s="1"/>
  <c r="J35" i="12"/>
  <c r="I35" i="12" s="1"/>
  <c r="M35" i="12"/>
  <c r="L35" i="12" s="1"/>
  <c r="F35" i="12"/>
  <c r="E35" i="12" s="1"/>
  <c r="O6" i="14"/>
  <c r="G19" i="14" s="1"/>
  <c r="J7" i="14"/>
  <c r="H14" i="14" s="1"/>
  <c r="O7" i="14"/>
  <c r="H19" i="14" s="1"/>
  <c r="K35" i="13"/>
  <c r="J35" i="13" s="1"/>
  <c r="F34" i="11"/>
  <c r="E34" i="11" s="1"/>
  <c r="F61" i="1"/>
  <c r="D62" i="1"/>
  <c r="H61" i="1"/>
  <c r="D61" i="1"/>
  <c r="N7" i="14"/>
  <c r="H18" i="14" s="1"/>
  <c r="E5" i="14"/>
  <c r="N6" i="14"/>
  <c r="G18" i="14" s="1"/>
  <c r="L6" i="14"/>
  <c r="G16" i="14" s="1"/>
  <c r="E7" i="14"/>
  <c r="L7" i="14"/>
  <c r="H16" i="14" s="1"/>
  <c r="H20" i="14" l="1"/>
  <c r="G20" i="14"/>
  <c r="K57" i="1"/>
  <c r="C59" i="1" s="1"/>
</calcChain>
</file>

<file path=xl/sharedStrings.xml><?xml version="1.0" encoding="utf-8"?>
<sst xmlns="http://schemas.openxmlformats.org/spreadsheetml/2006/main" count="424" uniqueCount="242">
  <si>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</si>
  <si>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</si>
  <si>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</si>
  <si>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</si>
  <si>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</si>
  <si>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</si>
  <si>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</si>
  <si>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</si>
  <si>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</si>
  <si>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</si>
  <si>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</si>
  <si>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</si>
  <si>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</si>
  <si>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</si>
  <si>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</si>
  <si>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</si>
  <si>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</si>
  <si>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</si>
  <si>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</si>
  <si>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</si>
  <si>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</si>
  <si>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</si>
  <si>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number of Buildings</t>
  </si>
  <si>
    <t>Building wise Construction details</t>
  </si>
  <si>
    <t>Recommended Rates of the Property :</t>
  </si>
  <si>
    <t>Quality of infrastructure in vicinity</t>
  </si>
  <si>
    <t>Type of Work</t>
  </si>
  <si>
    <t>Plinth</t>
  </si>
  <si>
    <t>RCC</t>
  </si>
  <si>
    <t>Plaster</t>
  </si>
  <si>
    <t xml:space="preserve">Latitude &amp; Longitude </t>
  </si>
  <si>
    <t>Flooring</t>
  </si>
  <si>
    <t>Finishing</t>
  </si>
  <si>
    <t xml:space="preserve">Valuation Report </t>
  </si>
  <si>
    <t>Yes</t>
  </si>
  <si>
    <t xml:space="preserve">Residential </t>
  </si>
  <si>
    <t>Type of Structure : RCC Framed Structure</t>
  </si>
  <si>
    <t>Expiry date:NA</t>
  </si>
  <si>
    <t>O. Certificate No.: NA</t>
  </si>
  <si>
    <t>Date of approval: NA</t>
  </si>
  <si>
    <t>Violations Observed if any : NA</t>
  </si>
  <si>
    <t>NA</t>
  </si>
  <si>
    <t>South</t>
  </si>
  <si>
    <t xml:space="preserve">Distance from city centre: </t>
  </si>
  <si>
    <t>Plane</t>
  </si>
  <si>
    <t>Accessibility of the project from the city:(Proximities to civic amenities like school, hospital &amp; market,etc.)</t>
  </si>
  <si>
    <t>Expiry date: NA</t>
  </si>
  <si>
    <t>Wheather the construction is as per approved Building plan : Under Construction</t>
  </si>
  <si>
    <t>Does the boundaries at site match, as mentioned in the Docoumentation: NA</t>
  </si>
  <si>
    <t>all available at  1 to 2 km.</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</si>
  <si>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</si>
  <si>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</si>
  <si>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</si>
  <si>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</si>
  <si>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</si>
  <si>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</si>
  <si>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</si>
  <si>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</si>
  <si>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</si>
  <si>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</si>
  <si>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</si>
  <si>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</si>
  <si>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</si>
  <si>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</si>
  <si>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</si>
  <si>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</si>
  <si>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Floor rise rate  Per Sq. Ft.</t>
  </si>
  <si>
    <t>Development charges Per Sq. Ft.</t>
  </si>
  <si>
    <t>Distress valuation of the property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</si>
  <si>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</si>
  <si>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</si>
  <si>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</si>
  <si>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</si>
  <si>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</si>
  <si>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</si>
  <si>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</si>
  <si>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</si>
  <si>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</si>
  <si>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</si>
  <si>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</si>
  <si>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</si>
  <si>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</si>
  <si>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</si>
  <si>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</si>
  <si>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</si>
  <si>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</si>
  <si>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</si>
  <si>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</si>
  <si>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</si>
  <si>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</si>
  <si>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</si>
  <si>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</si>
  <si>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</si>
  <si>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</si>
  <si>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</si>
  <si>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</si>
  <si>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</si>
  <si>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</si>
  <si>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</si>
  <si>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</si>
  <si>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</si>
  <si>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</si>
  <si>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</si>
  <si>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</si>
  <si>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</si>
  <si>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</si>
  <si>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</si>
  <si>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</si>
  <si>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</si>
  <si>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</si>
  <si>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</si>
  <si>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</si>
  <si>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</si>
  <si>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</si>
  <si>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</si>
  <si>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</si>
  <si>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</si>
  <si>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</si>
  <si>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</si>
  <si>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</si>
  <si>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 xml:space="preserve">totaL floor </t>
  </si>
  <si>
    <t>Refer Data</t>
  </si>
  <si>
    <t>Approved no of units</t>
  </si>
  <si>
    <t>Name &amp; No of Buildings</t>
  </si>
  <si>
    <t>Authorized Signatory
Name &amp; Seal of the agency</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</si>
  <si>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</si>
  <si>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Approved usage of the Property: Residential
(Restrictive convenants in regards to land use , if any)</t>
  </si>
  <si>
    <t>Axis Sanpada</t>
  </si>
  <si>
    <t>Contact Number</t>
  </si>
  <si>
    <t>M/s.RRD Heights &amp; Builders Pvt. Ltd.</t>
  </si>
  <si>
    <t>The Elite</t>
  </si>
  <si>
    <t>Mr. Chetan/Ms. Kavita - 9769791479, 8767170288, 9082417289</t>
  </si>
  <si>
    <t>Wing A &amp; B</t>
  </si>
  <si>
    <t>The Elite, Proposed Sale Building On Plot Bearing CTS No. 555(pt) Of Village - Mulund, Sarvodaya Nagar, Jain Mandir Road, Nahur Road, Purushottam Kheraj Road, Near Sarvodaya Heights, Nahur, Mulund (W), Mumbai 400080.</t>
  </si>
  <si>
    <t>555(pt)</t>
  </si>
  <si>
    <t>Mulund</t>
  </si>
  <si>
    <t>Nahur Road</t>
  </si>
  <si>
    <t>Mumbai</t>
  </si>
  <si>
    <t>Sarvodaya Heights</t>
  </si>
  <si>
    <t>St. Mary Convent School</t>
  </si>
  <si>
    <t>Irsha Chaya CHS</t>
  </si>
  <si>
    <t>Building</t>
  </si>
  <si>
    <t>Total approved built-up area</t>
  </si>
  <si>
    <t>50/-</t>
  </si>
  <si>
    <t>About 1.5Km from Mulund Railway Station</t>
  </si>
  <si>
    <t>RERA No.</t>
  </si>
  <si>
    <t>P51800005901</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</si>
  <si>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</si>
  <si>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</si>
  <si>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</si>
  <si>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</si>
  <si>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</si>
  <si>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</si>
  <si>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</si>
  <si>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</si>
  <si>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</si>
  <si>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</si>
  <si>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</si>
  <si>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</si>
  <si>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</si>
  <si>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</si>
  <si>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</si>
  <si>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</si>
  <si>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</si>
  <si>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</si>
  <si>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</si>
  <si>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</si>
  <si>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</si>
  <si>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</si>
  <si>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</si>
  <si>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</si>
  <si>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</si>
  <si>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</si>
  <si>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</si>
  <si>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</si>
  <si>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</si>
  <si>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</si>
  <si>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</si>
  <si>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</si>
  <si>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</si>
  <si>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2 Wings</t>
  </si>
  <si>
    <t>Location Link</t>
  </si>
  <si>
    <t>https://goo.gl/maps/eBV8WAVxNvFEvLu38</t>
  </si>
  <si>
    <t>SRA/ENG/2595/T/MHL/AP                                                                                                                                 Valid Up to: This C.C. is re-endorsed as per approved amended plans dated 14/07/2022.</t>
  </si>
  <si>
    <t>SRA/ENG/2595/T/MML/AP</t>
  </si>
  <si>
    <t>Wing A &amp; B - Stilt/Ground + 1st to 3rd Podium + 4th to 45th Floor.</t>
  </si>
  <si>
    <t>Building &amp; Wing</t>
  </si>
  <si>
    <t>No. of Units</t>
  </si>
  <si>
    <t>Total Carpet Area</t>
  </si>
  <si>
    <t>Total Saleable Area</t>
  </si>
  <si>
    <t>Residential Area Details :</t>
  </si>
  <si>
    <t>Building details Floor Wise</t>
  </si>
  <si>
    <t xml:space="preserve">Details of Flats in Building   </t>
  </si>
  <si>
    <r>
      <t xml:space="preserve">Shop No.
</t>
    </r>
    <r>
      <rPr>
        <b/>
        <sz val="11"/>
        <color rgb="FF000000"/>
        <rFont val="Times New Roman"/>
        <family val="1"/>
      </rPr>
      <t>(Approved Plan)</t>
    </r>
  </si>
  <si>
    <t>Shop No.
(Sale Plan)</t>
  </si>
  <si>
    <t>Description</t>
  </si>
  <si>
    <t>Gross Carpet area</t>
  </si>
  <si>
    <t>Attached Loft area</t>
  </si>
  <si>
    <t>Saleable area Loading :</t>
  </si>
  <si>
    <t>Floor</t>
  </si>
  <si>
    <t>Ground Floor</t>
  </si>
  <si>
    <r>
      <t xml:space="preserve">Flat No.
</t>
    </r>
    <r>
      <rPr>
        <b/>
        <sz val="11"/>
        <color rgb="FF000000"/>
        <rFont val="Times New Roman"/>
        <family val="1"/>
      </rPr>
      <t>(Approved Plan)</t>
    </r>
  </si>
  <si>
    <t>Flat No.
(Sale Plan)</t>
  </si>
  <si>
    <t>Attached Terrace area</t>
  </si>
  <si>
    <t>Ground Floor for Parking</t>
  </si>
  <si>
    <t>1st &amp; 2nd Podium Floor for Parking</t>
  </si>
  <si>
    <t>Wing A</t>
  </si>
  <si>
    <t>3rd Floor for Amenities</t>
  </si>
  <si>
    <t>2BHK</t>
  </si>
  <si>
    <t>3BHK</t>
  </si>
  <si>
    <t>Wing B</t>
  </si>
  <si>
    <t>4th, 6th, 8th to 13th, 15th to 19th, 21st, 23rd to 28th, 30th to 34th Floor for Residential</t>
  </si>
  <si>
    <t>7th, 14th, 22nd, 29th Floor (Part Refuge Area)</t>
  </si>
  <si>
    <t>Refuge Area</t>
  </si>
  <si>
    <t>35th Floor</t>
  </si>
  <si>
    <t>4BHK</t>
  </si>
  <si>
    <t>4th to 6th, 8th to 13th, 15th to 19th, 21st, 23rd to 28th, 30th to 34th Floor for Residential</t>
  </si>
  <si>
    <t>5BHK</t>
  </si>
  <si>
    <t>3BHK
(Duplex with 36th Floor)</t>
  </si>
  <si>
    <t>36th Floor (Part Refuge Area)</t>
  </si>
  <si>
    <t>Lower Duplex with 35th Floor</t>
  </si>
  <si>
    <t>37th to 42nd Floor</t>
  </si>
  <si>
    <t>43rd Floor (Part Refuge Area)</t>
  </si>
  <si>
    <t>45th Floor</t>
  </si>
  <si>
    <t>Lower Duplex with 44th Floor</t>
  </si>
  <si>
    <t>20th Service Floor</t>
  </si>
  <si>
    <t>7BHK
(Duplex with 45th Floor)</t>
  </si>
  <si>
    <t>7BHK (Duplex with 44th Floor)</t>
  </si>
  <si>
    <t>44th Floor (Duplex with 45th Floor)</t>
  </si>
  <si>
    <t>Recommended rate of the flat Per Sq. Ft. ( on Saleable area)</t>
  </si>
  <si>
    <t>800000/-</t>
  </si>
  <si>
    <t>19.1649625,72.9437923</t>
  </si>
  <si>
    <t xml:space="preserve">Quality of construction: </t>
  </si>
  <si>
    <t xml:space="preserve">Projected life: </t>
  </si>
  <si>
    <t>60 Years After Completion</t>
  </si>
  <si>
    <t>Bricks, Cement &amp; Steel etc.</t>
  </si>
  <si>
    <t>Material laying at Site:</t>
  </si>
  <si>
    <t>Proposed no of Floors</t>
  </si>
  <si>
    <t>Office No. 1031, Wing J, Akshar Business Park, Plot No. 03 Sector 25, Near APMC Market, 
Vashi, Navi Mumbai, Maharashtra 400703 TEL: 022-46090378/79/80                                                                                                                                    E mail : vsjcapf@gmail.com. Web site : www.vsjadon.com</t>
  </si>
  <si>
    <t>1. Construction work is Same as last visit (12/09/2023).</t>
  </si>
  <si>
    <t>As per Rera - 31/12/2025</t>
  </si>
  <si>
    <r>
      <t xml:space="preserve">Remarks:
1. Construction work is Same as last visit dtd. 17/03/2025.
2. Car parking is subjected to authentic documentation.
3. We have considered rate by verifying it from market inquire.
4. On site, we meet Mr Sontosh Kumar (site engineer) -  9029409221.
5. We update CC from Rera (On 06/04/2023).
6. We have updated approved floor plans (On 03/07/2023).
7. </t>
    </r>
    <r>
      <rPr>
        <b/>
        <sz val="11"/>
        <color rgb="FFFF0000"/>
        <rFont val="Times New Roman"/>
        <family val="1"/>
      </rPr>
      <t>As per RERA, completion period of project is expired on 29/12/2024 but still project is under construction.</t>
    </r>
    <r>
      <rPr>
        <b/>
        <sz val="11"/>
        <color indexed="8"/>
        <rFont val="Times New Roman"/>
        <family val="1"/>
      </rPr>
      <t xml:space="preserve">
7. Construction work goes beyond approved CC. Please provide revised approved CC.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</si>
</sst>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b/>
      <sz val="11"/>
      <color rgb="FFFF0000"/>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2"/>
      <color indexed="8"/>
      <name val="Times New Roman"/>
      <family val="1"/>
    </font>
    <font>
      <sz val="12"/>
      <color indexed="8"/>
      <name val="Times New Roman"/>
      <family val="1"/>
    </font>
    <font>
      <b/>
      <sz val="11"/>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6" fillId="0" borderId="0"/>
    <xf numFmtId="0" fontId="6" fillId="0" borderId="0"/>
    <xf numFmtId="0" fontId="16" fillId="0" borderId="0" applyNumberFormat="0" applyFill="0" applyBorder="0" applyAlignment="0" applyProtection="0"/>
    <xf numFmtId="9" fontId="6" fillId="0" borderId="0" applyFont="0" applyFill="0" applyBorder="0" applyAlignment="0" applyProtection="0"/>
  </cellStyleXfs>
  <cellXfs count="163">
    <xf numFmtId="0" fontId="0" fillId="0" borderId="0" xfId="0"/>
    <xf numFmtId="0" fontId="0" fillId="0" borderId="1" xfId="0" applyBorder="1"/>
    <xf numFmtId="0" fontId="7" fillId="0" borderId="1" xfId="0" applyFont="1" applyBorder="1"/>
    <xf numFmtId="0" fontId="0" fillId="0" borderId="2" xfId="0" applyBorder="1"/>
    <xf numFmtId="0" fontId="0" fillId="2" borderId="1" xfId="0" applyFill="1" applyBorder="1"/>
    <xf numFmtId="0" fontId="7" fillId="0" borderId="1" xfId="0" applyFont="1" applyBorder="1" applyAlignment="1">
      <alignment horizontal="center"/>
    </xf>
    <xf numFmtId="0" fontId="6" fillId="0" borderId="0" xfId="2"/>
    <xf numFmtId="0" fontId="7" fillId="2" borderId="1" xfId="2" applyFont="1" applyFill="1" applyBorder="1"/>
    <xf numFmtId="0" fontId="6" fillId="0" borderId="1" xfId="2" applyBorder="1"/>
    <xf numFmtId="0" fontId="6" fillId="0" borderId="3" xfId="2" applyBorder="1"/>
    <xf numFmtId="0" fontId="6" fillId="0" borderId="0" xfId="2" applyAlignment="1">
      <alignment wrapText="1"/>
    </xf>
    <xf numFmtId="0" fontId="6" fillId="0" borderId="1" xfId="2" applyBorder="1" applyAlignment="1">
      <alignment wrapText="1"/>
    </xf>
    <xf numFmtId="0" fontId="8" fillId="0" borderId="0" xfId="2" applyFont="1"/>
    <xf numFmtId="0" fontId="12" fillId="0" borderId="0" xfId="3" applyFont="1" applyProtection="1">
      <protection hidden="1"/>
    </xf>
    <xf numFmtId="0" fontId="15" fillId="0" borderId="0" xfId="0" applyFont="1" applyProtection="1">
      <protection hidden="1"/>
    </xf>
    <xf numFmtId="0" fontId="13" fillId="0" borderId="1" xfId="3" applyFont="1" applyBorder="1" applyAlignment="1" applyProtection="1">
      <alignment horizontal="center" vertical="top"/>
      <protection locked="0"/>
    </xf>
    <xf numFmtId="0" fontId="13" fillId="0" borderId="1" xfId="3" applyFont="1" applyBorder="1" applyAlignment="1" applyProtection="1">
      <alignment horizontal="center" vertical="top" wrapText="1"/>
      <protection locked="0"/>
    </xf>
    <xf numFmtId="0" fontId="3" fillId="0" borderId="1" xfId="0" applyFont="1" applyBorder="1" applyAlignment="1">
      <alignment horizontal="left" vertical="top"/>
    </xf>
    <xf numFmtId="0" fontId="10" fillId="0" borderId="0" xfId="0" applyFont="1"/>
    <xf numFmtId="0" fontId="3" fillId="0" borderId="1" xfId="0" applyFont="1" applyBorder="1" applyAlignment="1">
      <alignment vertical="top"/>
    </xf>
    <xf numFmtId="0" fontId="12" fillId="0" borderId="0" xfId="3" applyFont="1"/>
    <xf numFmtId="0" fontId="13" fillId="0" borderId="1" xfId="3" applyFont="1" applyBorder="1" applyAlignment="1" applyProtection="1">
      <alignment horizontal="center" wrapText="1"/>
      <protection locked="0"/>
    </xf>
    <xf numFmtId="1" fontId="13" fillId="0" borderId="1" xfId="3" applyNumberFormat="1" applyFont="1" applyBorder="1" applyAlignment="1" applyProtection="1">
      <alignment horizontal="center" wrapText="1"/>
      <protection locked="0"/>
    </xf>
    <xf numFmtId="1" fontId="0" fillId="0" borderId="0" xfId="0" applyNumberFormat="1"/>
    <xf numFmtId="1" fontId="0" fillId="0" borderId="0" xfId="0" applyNumberFormat="1" applyAlignment="1">
      <alignment horizontal="right"/>
    </xf>
    <xf numFmtId="0" fontId="3" fillId="0" borderId="0" xfId="1" applyFont="1"/>
    <xf numFmtId="0" fontId="9" fillId="0" borderId="0" xfId="0" applyFont="1"/>
    <xf numFmtId="1" fontId="12" fillId="0" borderId="1" xfId="3" applyNumberFormat="1" applyFont="1" applyBorder="1" applyAlignment="1" applyProtection="1">
      <alignment horizontal="center" wrapText="1"/>
      <protection locked="0"/>
    </xf>
    <xf numFmtId="0" fontId="12" fillId="0" borderId="0" xfId="0" applyFont="1" applyAlignment="1">
      <alignment horizontal="center" vertical="center"/>
    </xf>
    <xf numFmtId="0" fontId="18" fillId="0" borderId="0" xfId="1" applyFont="1"/>
    <xf numFmtId="1" fontId="17" fillId="0" borderId="3" xfId="3" applyNumberFormat="1" applyFont="1" applyBorder="1" applyAlignment="1" applyProtection="1">
      <alignment horizontal="center" vertical="top" wrapText="1"/>
      <protection locked="0"/>
    </xf>
    <xf numFmtId="9" fontId="17" fillId="0" borderId="17" xfId="5" applyFont="1" applyFill="1" applyBorder="1" applyAlignment="1" applyProtection="1">
      <alignment horizontal="center" vertical="top" wrapText="1"/>
      <protection locked="0"/>
    </xf>
    <xf numFmtId="0" fontId="12" fillId="0" borderId="0" xfId="3" applyFont="1" applyAlignment="1">
      <alignment horizontal="center" vertical="center"/>
    </xf>
    <xf numFmtId="1" fontId="12" fillId="0" borderId="0" xfId="3" applyNumberFormat="1" applyFont="1" applyAlignment="1">
      <alignment horizontal="center" vertical="center"/>
    </xf>
    <xf numFmtId="1" fontId="18" fillId="0" borderId="1" xfId="3" applyNumberFormat="1" applyFont="1" applyBorder="1" applyAlignment="1" applyProtection="1">
      <alignment horizontal="center" vertical="center" wrapText="1"/>
      <protection locked="0"/>
    </xf>
    <xf numFmtId="1" fontId="12" fillId="0" borderId="1" xfId="3" applyNumberFormat="1" applyFont="1" applyBorder="1" applyAlignment="1">
      <alignment horizontal="center" vertical="center"/>
    </xf>
    <xf numFmtId="0" fontId="12" fillId="0" borderId="0" xfId="3" applyFont="1" applyAlignment="1">
      <alignment vertical="center"/>
    </xf>
    <xf numFmtId="1" fontId="13" fillId="0" borderId="1" xfId="3" applyNumberFormat="1" applyFont="1" applyBorder="1" applyAlignment="1" applyProtection="1">
      <alignment horizontal="center" vertical="center" wrapText="1"/>
      <protection locked="0"/>
    </xf>
    <xf numFmtId="0" fontId="2" fillId="0" borderId="1" xfId="0" applyFont="1" applyBorder="1" applyAlignment="1">
      <alignment horizontal="left" vertical="top"/>
    </xf>
    <xf numFmtId="0" fontId="10" fillId="0" borderId="0" xfId="0" applyFont="1" applyAlignment="1">
      <alignment vertical="top"/>
    </xf>
    <xf numFmtId="0" fontId="3" fillId="0" borderId="1"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14" fontId="3" fillId="0" borderId="4" xfId="0" applyNumberFormat="1" applyFont="1" applyBorder="1" applyAlignment="1">
      <alignment horizontal="left" vertical="top"/>
    </xf>
    <xf numFmtId="14" fontId="3" fillId="0" borderId="5" xfId="0" applyNumberFormat="1" applyFont="1" applyBorder="1" applyAlignment="1">
      <alignment horizontal="left" vertical="top"/>
    </xf>
    <xf numFmtId="14" fontId="3" fillId="0" borderId="6" xfId="0" applyNumberFormat="1" applyFont="1" applyBorder="1" applyAlignment="1">
      <alignment horizontal="left" vertical="top"/>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1" fontId="17" fillId="0" borderId="4" xfId="0" applyNumberFormat="1" applyFont="1" applyBorder="1" applyAlignment="1" applyProtection="1">
      <alignment horizontal="center" vertical="center" wrapText="1"/>
      <protection locked="0"/>
    </xf>
    <xf numFmtId="1" fontId="17" fillId="0" borderId="5" xfId="0" applyNumberFormat="1" applyFont="1" applyBorder="1" applyAlignment="1" applyProtection="1">
      <alignment horizontal="center" vertical="center" wrapText="1"/>
      <protection locked="0"/>
    </xf>
    <xf numFmtId="1" fontId="18" fillId="0" borderId="4" xfId="3" applyNumberFormat="1" applyFont="1" applyBorder="1" applyAlignment="1" applyProtection="1">
      <alignment horizontal="center" vertical="center" wrapText="1"/>
      <protection locked="0"/>
    </xf>
    <xf numFmtId="1" fontId="18" fillId="0" borderId="6" xfId="3" applyNumberFormat="1" applyFont="1" applyBorder="1" applyAlignment="1" applyProtection="1">
      <alignment horizontal="center" vertical="center" wrapText="1"/>
      <protection locked="0"/>
    </xf>
    <xf numFmtId="1" fontId="18" fillId="0" borderId="1" xfId="3" applyNumberFormat="1" applyFont="1" applyBorder="1" applyAlignment="1" applyProtection="1">
      <alignment horizontal="center" vertical="center" wrapText="1"/>
      <protection locked="0"/>
    </xf>
    <xf numFmtId="0" fontId="12" fillId="0" borderId="0" xfId="3" applyFont="1" applyAlignment="1">
      <alignment horizontal="center" vertical="center"/>
    </xf>
    <xf numFmtId="1" fontId="13" fillId="0" borderId="4" xfId="3" applyNumberFormat="1" applyFont="1" applyBorder="1" applyAlignment="1" applyProtection="1">
      <alignment horizontal="center" vertical="center" wrapText="1"/>
      <protection locked="0"/>
    </xf>
    <xf numFmtId="1" fontId="13" fillId="0" borderId="5" xfId="3" applyNumberFormat="1" applyFont="1" applyBorder="1" applyAlignment="1" applyProtection="1">
      <alignment horizontal="center" vertical="center" wrapText="1"/>
      <protection locked="0"/>
    </xf>
    <xf numFmtId="1" fontId="13" fillId="0" borderId="6" xfId="3" applyNumberFormat="1" applyFont="1" applyBorder="1" applyAlignment="1" applyProtection="1">
      <alignment horizontal="center" vertical="center" wrapText="1"/>
      <protection locked="0"/>
    </xf>
    <xf numFmtId="1" fontId="18" fillId="0" borderId="5" xfId="3" applyNumberFormat="1" applyFont="1" applyBorder="1" applyAlignment="1" applyProtection="1">
      <alignment horizontal="center" vertical="center" wrapText="1"/>
      <protection locked="0"/>
    </xf>
    <xf numFmtId="1" fontId="17" fillId="0" borderId="7" xfId="3" applyNumberFormat="1" applyFont="1" applyBorder="1" applyAlignment="1" applyProtection="1">
      <alignment horizontal="center" vertical="center" wrapText="1"/>
      <protection locked="0"/>
    </xf>
    <xf numFmtId="1" fontId="17" fillId="0" borderId="13" xfId="3" applyNumberFormat="1" applyFont="1" applyBorder="1" applyAlignment="1" applyProtection="1">
      <alignment horizontal="center" vertical="center" wrapText="1"/>
      <protection locked="0"/>
    </xf>
    <xf numFmtId="1" fontId="17" fillId="0" borderId="9" xfId="3" applyNumberFormat="1" applyFont="1" applyBorder="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1" fontId="17" fillId="3" borderId="4" xfId="0" applyNumberFormat="1" applyFont="1" applyFill="1" applyBorder="1" applyAlignment="1" applyProtection="1">
      <alignment horizontal="center" vertical="center" wrapText="1"/>
      <protection locked="0"/>
    </xf>
    <xf numFmtId="1" fontId="17" fillId="3" borderId="5" xfId="0" applyNumberFormat="1" applyFont="1" applyFill="1" applyBorder="1" applyAlignment="1" applyProtection="1">
      <alignment horizontal="center" vertical="center" wrapText="1"/>
      <protection locked="0"/>
    </xf>
    <xf numFmtId="1" fontId="18" fillId="0" borderId="2" xfId="3" applyNumberFormat="1" applyFont="1" applyBorder="1" applyAlignment="1" applyProtection="1">
      <alignment horizontal="center" vertical="center" wrapText="1"/>
      <protection locked="0"/>
    </xf>
    <xf numFmtId="1" fontId="18" fillId="0" borderId="12" xfId="3" applyNumberFormat="1" applyFont="1" applyBorder="1" applyAlignment="1" applyProtection="1">
      <alignment horizontal="center" vertical="center" wrapText="1"/>
      <protection locked="0"/>
    </xf>
    <xf numFmtId="1" fontId="17" fillId="0" borderId="7" xfId="3" applyNumberFormat="1" applyFont="1" applyBorder="1" applyAlignment="1" applyProtection="1">
      <alignment horizontal="center" vertical="top" wrapText="1"/>
      <protection locked="0"/>
    </xf>
    <xf numFmtId="1" fontId="17" fillId="0" borderId="11" xfId="3" applyNumberFormat="1" applyFont="1" applyBorder="1" applyAlignment="1" applyProtection="1">
      <alignment horizontal="center" vertical="top" wrapText="1"/>
      <protection locked="0"/>
    </xf>
    <xf numFmtId="1" fontId="17" fillId="0" borderId="3" xfId="3" applyNumberFormat="1" applyFont="1" applyBorder="1" applyAlignment="1" applyProtection="1">
      <alignment horizontal="center" vertical="top" wrapText="1"/>
      <protection locked="0"/>
    </xf>
    <xf numFmtId="1" fontId="17" fillId="0" borderId="17" xfId="3" applyNumberFormat="1" applyFont="1" applyBorder="1" applyAlignment="1" applyProtection="1">
      <alignment horizontal="center" vertical="top" wrapText="1"/>
      <protection locked="0"/>
    </xf>
    <xf numFmtId="1" fontId="2" fillId="0" borderId="3" xfId="3" applyNumberFormat="1" applyFont="1" applyBorder="1" applyAlignment="1" applyProtection="1">
      <alignment horizontal="center" vertical="top" wrapText="1"/>
      <protection locked="0"/>
    </xf>
    <xf numFmtId="1" fontId="2" fillId="0" borderId="17" xfId="3" applyNumberFormat="1" applyFont="1" applyBorder="1" applyAlignment="1" applyProtection="1">
      <alignment horizontal="center" vertical="top" wrapText="1"/>
      <protection locked="0"/>
    </xf>
    <xf numFmtId="1" fontId="17" fillId="0" borderId="1" xfId="0" applyNumberFormat="1" applyFont="1" applyBorder="1" applyAlignment="1" applyProtection="1">
      <alignment horizontal="center" vertical="top" wrapText="1"/>
      <protection locked="0"/>
    </xf>
    <xf numFmtId="1" fontId="12" fillId="0" borderId="4"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top" wrapText="1"/>
      <protection locked="0"/>
    </xf>
    <xf numFmtId="1" fontId="12" fillId="0" borderId="6" xfId="0" applyNumberFormat="1" applyFont="1" applyBorder="1" applyAlignment="1" applyProtection="1">
      <alignment horizontal="center" vertical="top" wrapText="1"/>
      <protection locked="0"/>
    </xf>
    <xf numFmtId="1" fontId="18" fillId="0" borderId="3" xfId="0" applyNumberFormat="1" applyFont="1" applyBorder="1" applyAlignment="1" applyProtection="1">
      <alignment horizontal="center" vertical="top" wrapText="1"/>
      <protection locked="0"/>
    </xf>
    <xf numFmtId="1" fontId="17" fillId="0" borderId="15" xfId="0" applyNumberFormat="1" applyFont="1" applyBorder="1" applyAlignment="1" applyProtection="1">
      <alignment horizontal="center" vertical="top" wrapText="1"/>
      <protection locked="0"/>
    </xf>
    <xf numFmtId="1" fontId="17" fillId="0" borderId="16" xfId="0" applyNumberFormat="1" applyFont="1" applyBorder="1" applyAlignment="1" applyProtection="1">
      <alignment horizontal="center" vertical="top" wrapText="1"/>
      <protection locked="0"/>
    </xf>
    <xf numFmtId="9" fontId="13" fillId="0" borderId="1" xfId="3" applyNumberFormat="1" applyFont="1" applyBorder="1" applyAlignment="1" applyProtection="1">
      <alignment horizontal="center" vertical="center" wrapText="1"/>
      <protection hidden="1"/>
    </xf>
    <xf numFmtId="0" fontId="3" fillId="0" borderId="11" xfId="0" applyFont="1" applyBorder="1" applyAlignment="1">
      <alignment horizontal="left" vertical="top"/>
    </xf>
    <xf numFmtId="0" fontId="3" fillId="0" borderId="2" xfId="0" applyFont="1" applyBorder="1" applyAlignment="1">
      <alignment horizontal="left" vertical="top"/>
    </xf>
    <xf numFmtId="0" fontId="3" fillId="0" borderId="12" xfId="0" applyFont="1" applyBorder="1" applyAlignment="1">
      <alignment horizontal="left" vertical="top"/>
    </xf>
    <xf numFmtId="1" fontId="18" fillId="0" borderId="3"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top" wrapText="1"/>
      <protection locked="0"/>
    </xf>
    <xf numFmtId="1" fontId="17" fillId="0" borderId="14" xfId="0" applyNumberFormat="1" applyFont="1" applyBorder="1" applyAlignment="1" applyProtection="1">
      <alignment horizontal="center" vertical="center" wrapText="1"/>
      <protection locked="0"/>
    </xf>
    <xf numFmtId="1" fontId="17" fillId="0" borderId="15" xfId="0" applyNumberFormat="1"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1" fontId="9" fillId="0" borderId="15" xfId="0" applyNumberFormat="1" applyFont="1" applyBorder="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18" fillId="0" borderId="1" xfId="0" applyNumberFormat="1" applyFont="1" applyBorder="1" applyAlignment="1" applyProtection="1">
      <alignment horizontal="center" vertical="center" wrapText="1"/>
      <protection locked="0"/>
    </xf>
    <xf numFmtId="0" fontId="3" fillId="0" borderId="4" xfId="0" applyFont="1" applyBorder="1" applyAlignment="1">
      <alignment horizontal="center" vertical="top"/>
    </xf>
    <xf numFmtId="0" fontId="3" fillId="0" borderId="6" xfId="0" applyFont="1" applyBorder="1" applyAlignment="1">
      <alignment horizontal="center" vertical="top"/>
    </xf>
    <xf numFmtId="4" fontId="5" fillId="0" borderId="4" xfId="0" applyNumberFormat="1"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16" fillId="0" borderId="4" xfId="4" applyFill="1" applyBorder="1" applyAlignment="1">
      <alignment horizontal="left"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13" fillId="0" borderId="1" xfId="3" applyFont="1" applyBorder="1" applyAlignment="1" applyProtection="1">
      <alignment horizontal="center" vertical="top" wrapText="1"/>
      <protection locked="0"/>
    </xf>
    <xf numFmtId="0" fontId="13" fillId="0" borderId="1" xfId="3" applyFont="1" applyBorder="1" applyAlignment="1" applyProtection="1">
      <alignment horizontal="center" vertical="top"/>
      <protection locked="0"/>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5" fillId="0" borderId="4" xfId="0" applyFont="1" applyBorder="1" applyAlignment="1">
      <alignment horizontal="left" vertical="top"/>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xf>
    <xf numFmtId="0" fontId="3" fillId="0" borderId="13" xfId="0" applyFont="1" applyBorder="1" applyAlignment="1">
      <alignment horizontal="left" vertical="top"/>
    </xf>
    <xf numFmtId="0" fontId="3" fillId="0" borderId="8" xfId="0" applyFont="1" applyBorder="1" applyAlignment="1">
      <alignment horizontal="lef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1" applyFont="1" applyBorder="1" applyAlignment="1">
      <alignment horizontal="left" vertical="top" wrapText="1"/>
    </xf>
    <xf numFmtId="0" fontId="2" fillId="0" borderId="13" xfId="1" applyFont="1" applyBorder="1" applyAlignment="1">
      <alignment horizontal="left" vertical="top" wrapText="1"/>
    </xf>
    <xf numFmtId="0" fontId="2" fillId="0" borderId="8" xfId="1" applyFont="1" applyBorder="1" applyAlignment="1">
      <alignment horizontal="left" vertical="top" wrapText="1"/>
    </xf>
    <xf numFmtId="0" fontId="12" fillId="0" borderId="1" xfId="0" applyFont="1" applyBorder="1" applyAlignment="1" applyProtection="1">
      <alignment horizontal="center" vertical="center"/>
      <protection locked="0"/>
    </xf>
    <xf numFmtId="1" fontId="17" fillId="0" borderId="11" xfId="0" applyNumberFormat="1" applyFont="1" applyBorder="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13" xfId="3" applyNumberFormat="1" applyFont="1" applyBorder="1" applyAlignment="1" applyProtection="1">
      <alignment horizontal="center" vertical="top" wrapText="1"/>
      <protection locked="0"/>
    </xf>
    <xf numFmtId="1" fontId="17" fillId="0" borderId="9" xfId="3" applyNumberFormat="1" applyFont="1" applyBorder="1" applyAlignment="1" applyProtection="1">
      <alignment horizontal="center" vertical="top" wrapText="1"/>
      <protection locked="0"/>
    </xf>
    <xf numFmtId="1" fontId="17" fillId="0" borderId="0" xfId="3" applyNumberFormat="1" applyFont="1" applyAlignment="1" applyProtection="1">
      <alignment horizontal="center" vertical="top" wrapText="1"/>
      <protection locked="0"/>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11" fillId="0" borderId="0" xfId="0" applyFont="1" applyAlignment="1">
      <alignment horizontal="center"/>
    </xf>
    <xf numFmtId="0" fontId="14" fillId="0" borderId="1" xfId="3" applyFont="1" applyBorder="1" applyAlignment="1" applyProtection="1">
      <alignment horizontal="center" vertical="top" wrapText="1"/>
      <protection locked="0"/>
    </xf>
    <xf numFmtId="0" fontId="14" fillId="0" borderId="1" xfId="3" applyFont="1" applyBorder="1" applyAlignment="1" applyProtection="1">
      <alignment horizontal="left" vertical="top" wrapText="1"/>
      <protection locked="0"/>
    </xf>
    <xf numFmtId="0" fontId="14" fillId="0" borderId="1" xfId="3" applyFont="1" applyBorder="1" applyAlignment="1" applyProtection="1">
      <alignment horizontal="left" vertical="top"/>
      <protection locked="0"/>
    </xf>
    <xf numFmtId="0" fontId="2" fillId="0" borderId="7" xfId="0" applyFont="1" applyBorder="1" applyAlignment="1">
      <alignment horizontal="center" vertical="top" wrapText="1"/>
    </xf>
    <xf numFmtId="0" fontId="2" fillId="0" borderId="13"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2" xfId="0" applyFont="1" applyBorder="1" applyAlignment="1">
      <alignment horizontal="center" vertical="top" wrapText="1"/>
    </xf>
    <xf numFmtId="0" fontId="2" fillId="0" borderId="12" xfId="0" applyFont="1" applyBorder="1" applyAlignment="1">
      <alignment horizontal="center" vertical="top" wrapText="1"/>
    </xf>
    <xf numFmtId="0" fontId="0" fillId="2" borderId="1" xfId="0" applyFill="1" applyBorder="1" applyAlignment="1">
      <alignment horizontal="center" wrapText="1"/>
    </xf>
    <xf numFmtId="0" fontId="7" fillId="0" borderId="1" xfId="0" applyFont="1" applyBorder="1" applyAlignment="1">
      <alignment horizontal="center"/>
    </xf>
  </cellXfs>
  <cellStyles count="6">
    <cellStyle name="Excel Built-in Normal" xfId="1"/>
    <cellStyle name="Hyperlink" xfId="4" builtinId="8"/>
    <cellStyle name="Normal" xfId="0" builtinId="0"/>
    <cellStyle name="Normal 2" xfId="2"/>
    <cellStyle name="Normal 3" xfId="3"/>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434790</xdr:colOff>
      <xdr:row>215</xdr:row>
      <xdr:rowOff>0</xdr:rowOff>
    </xdr:from>
    <xdr:to>
      <xdr:col>7</xdr:col>
      <xdr:colOff>627259</xdr:colOff>
      <xdr:row>233</xdr:row>
      <xdr:rowOff>158749</xdr:rowOff>
    </xdr:to>
    <xdr:pic>
      <xdr:nvPicPr>
        <xdr:cNvPr id="1502" name="Picture 1">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34790" y="27689735"/>
          <a:ext cx="5981326" cy="3587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447490</xdr:colOff>
      <xdr:row>234</xdr:row>
      <xdr:rowOff>75623</xdr:rowOff>
    </xdr:from>
    <xdr:to>
      <xdr:col>7</xdr:col>
      <xdr:colOff>627259</xdr:colOff>
      <xdr:row>253</xdr:row>
      <xdr:rowOff>50223</xdr:rowOff>
    </xdr:to>
    <xdr:pic>
      <xdr:nvPicPr>
        <xdr:cNvPr id="1503" name="Picture 2">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47490" y="31118464"/>
          <a:ext cx="5531087" cy="35941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19051</xdr:colOff>
      <xdr:row>168</xdr:row>
      <xdr:rowOff>38100</xdr:rowOff>
    </xdr:from>
    <xdr:to>
      <xdr:col>9</xdr:col>
      <xdr:colOff>188788</xdr:colOff>
      <xdr:row>212</xdr:row>
      <xdr:rowOff>102599</xdr:rowOff>
    </xdr:to>
    <xdr:grpSp>
      <xdr:nvGrpSpPr>
        <xdr:cNvPr id="3" name="Group 2"/>
        <xdr:cNvGrpSpPr/>
      </xdr:nvGrpSpPr>
      <xdr:grpSpPr>
        <a:xfrm>
          <a:off x="704851" y="35871150"/>
          <a:ext cx="5722812" cy="8446499"/>
          <a:chOff x="704851" y="35871150"/>
          <a:chExt cx="5722812" cy="8446499"/>
        </a:xfrm>
      </xdr:grpSpPr>
      <xdr:pic>
        <xdr:nvPicPr>
          <xdr:cNvPr id="12" name="Picture 11" descr="https://vsjcllp.vsjadon.com/upload/insp-246633-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486276" y="42176699"/>
            <a:ext cx="1603028" cy="213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46633-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04851" y="35871150"/>
            <a:ext cx="2808162"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6633-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600575" y="39690675"/>
            <a:ext cx="1790919" cy="2381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6633-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695575" y="39700200"/>
            <a:ext cx="1790919" cy="2381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6633-87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619501" y="35871150"/>
            <a:ext cx="2808162" cy="3733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6633-87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800100" y="39690675"/>
            <a:ext cx="1790919" cy="2381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6633-88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809876" y="42186224"/>
            <a:ext cx="1603028" cy="213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633-93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114426" y="42167174"/>
            <a:ext cx="1603028" cy="213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21</xdr:row>
      <xdr:rowOff>0</xdr:rowOff>
    </xdr:from>
    <xdr:to>
      <xdr:col>7</xdr:col>
      <xdr:colOff>419100</xdr:colOff>
      <xdr:row>32</xdr:row>
      <xdr:rowOff>63500</xdr:rowOff>
    </xdr:to>
    <xdr:pic>
      <xdr:nvPicPr>
        <xdr:cNvPr id="2093" name="Picture 1">
          <a:extLst>
            <a:ext uri="{FF2B5EF4-FFF2-40B4-BE49-F238E27FC236}">
              <a16:creationId xmlns:a16="http://schemas.microsoft.com/office/drawing/2014/main" xmlns="" id="{00000000-0008-0000-0100-00002D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550" y="4267200"/>
          <a:ext cx="170180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BV8WAVxNvFEvLu3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4"/>
  <sheetViews>
    <sheetView tabSelected="1" view="pageBreakPreview" zoomScaleNormal="100" zoomScaleSheetLayoutView="100" zoomScalePageLayoutView="115" workbookViewId="0">
      <selection activeCell="O13" sqref="O13"/>
    </sheetView>
  </sheetViews>
  <sheetFormatPr defaultColWidth="9.28515625" defaultRowHeight="15" x14ac:dyDescent="0.25"/>
  <cols>
    <col min="1" max="1" width="10.28515625" style="18" customWidth="1"/>
    <col min="2" max="2" width="13.7109375" style="18" customWidth="1"/>
    <col min="3" max="3" width="12.5703125" style="18" customWidth="1"/>
    <col min="4" max="4" width="11" style="18" customWidth="1"/>
    <col min="5" max="5" width="9" style="18" customWidth="1"/>
    <col min="6" max="6" width="12.5703125" style="18" customWidth="1"/>
    <col min="7" max="7" width="10.7109375" style="18" customWidth="1"/>
    <col min="8" max="8" width="9.7109375" style="18" customWidth="1"/>
    <col min="9" max="9" width="4" style="18" customWidth="1"/>
    <col min="10" max="10" width="10.7109375" style="18" customWidth="1"/>
    <col min="11" max="11" width="3.5703125" style="18" customWidth="1"/>
    <col min="12" max="14" width="9.28515625" style="18"/>
    <col min="15" max="15" width="10.28515625" style="18" bestFit="1" customWidth="1"/>
    <col min="16" max="16384" width="9.28515625" style="18"/>
  </cols>
  <sheetData>
    <row r="1" spans="1:10" ht="44.1" customHeight="1" x14ac:dyDescent="0.3">
      <c r="A1" s="114" t="s">
        <v>238</v>
      </c>
      <c r="B1" s="115"/>
      <c r="C1" s="115"/>
      <c r="D1" s="115"/>
      <c r="E1" s="115"/>
      <c r="F1" s="115"/>
      <c r="G1" s="115"/>
      <c r="H1" s="115"/>
      <c r="I1" s="115"/>
      <c r="J1" s="116"/>
    </row>
    <row r="2" spans="1:10" ht="13.9" x14ac:dyDescent="0.3">
      <c r="A2" s="128" t="s">
        <v>33</v>
      </c>
      <c r="B2" s="129"/>
      <c r="C2" s="129"/>
      <c r="D2" s="129"/>
      <c r="E2" s="129"/>
      <c r="F2" s="129"/>
      <c r="G2" s="129"/>
      <c r="H2" s="129"/>
      <c r="I2" s="129"/>
      <c r="J2" s="130"/>
    </row>
    <row r="3" spans="1:10" ht="13.9" x14ac:dyDescent="0.3">
      <c r="A3" s="43" t="s">
        <v>0</v>
      </c>
      <c r="B3" s="44"/>
      <c r="C3" s="44"/>
      <c r="D3" s="44"/>
      <c r="E3" s="45"/>
      <c r="F3" s="46" t="str">
        <f ca="1">TEXT(TODAY(),"DD/MM/YYYY")</f>
        <v>17/09/2025</v>
      </c>
      <c r="G3" s="47"/>
      <c r="H3" s="47"/>
      <c r="I3" s="47"/>
      <c r="J3" s="48"/>
    </row>
    <row r="4" spans="1:10" ht="13.9" x14ac:dyDescent="0.3">
      <c r="A4" s="43" t="s">
        <v>1</v>
      </c>
      <c r="B4" s="44"/>
      <c r="C4" s="44"/>
      <c r="D4" s="44"/>
      <c r="E4" s="45"/>
      <c r="F4" s="43" t="s">
        <v>127</v>
      </c>
      <c r="G4" s="44"/>
      <c r="H4" s="44"/>
      <c r="I4" s="44"/>
      <c r="J4" s="45"/>
    </row>
    <row r="5" spans="1:10" ht="13.9" x14ac:dyDescent="0.3">
      <c r="A5" s="43" t="s">
        <v>2</v>
      </c>
      <c r="B5" s="44"/>
      <c r="C5" s="44"/>
      <c r="D5" s="44"/>
      <c r="E5" s="45"/>
      <c r="F5" s="46">
        <v>45909</v>
      </c>
      <c r="G5" s="47"/>
      <c r="H5" s="47"/>
      <c r="I5" s="47"/>
      <c r="J5" s="48"/>
    </row>
    <row r="6" spans="1:10" ht="16.5" customHeight="1" x14ac:dyDescent="0.3">
      <c r="A6" s="43" t="s">
        <v>3</v>
      </c>
      <c r="B6" s="44"/>
      <c r="C6" s="44"/>
      <c r="D6" s="44"/>
      <c r="E6" s="45"/>
      <c r="F6" s="122" t="s">
        <v>129</v>
      </c>
      <c r="G6" s="123"/>
      <c r="H6" s="123"/>
      <c r="I6" s="123"/>
      <c r="J6" s="124"/>
    </row>
    <row r="7" spans="1:10" ht="15" customHeight="1" x14ac:dyDescent="0.3">
      <c r="A7" s="43" t="s">
        <v>4</v>
      </c>
      <c r="B7" s="44"/>
      <c r="C7" s="44"/>
      <c r="D7" s="44"/>
      <c r="E7" s="45"/>
      <c r="F7" s="122" t="str">
        <f>F6</f>
        <v>M/s.RRD Heights &amp; Builders Pvt. Ltd.</v>
      </c>
      <c r="G7" s="123"/>
      <c r="H7" s="123"/>
      <c r="I7" s="123"/>
      <c r="J7" s="124"/>
    </row>
    <row r="8" spans="1:10" ht="13.9" x14ac:dyDescent="0.3">
      <c r="A8" s="43" t="s">
        <v>5</v>
      </c>
      <c r="B8" s="44"/>
      <c r="C8" s="44"/>
      <c r="D8" s="44"/>
      <c r="E8" s="45"/>
      <c r="F8" s="51" t="s">
        <v>130</v>
      </c>
      <c r="G8" s="52"/>
      <c r="H8" s="52"/>
      <c r="I8" s="52"/>
      <c r="J8" s="53"/>
    </row>
    <row r="9" spans="1:10" ht="30" customHeight="1" x14ac:dyDescent="0.3">
      <c r="A9" s="43" t="s">
        <v>128</v>
      </c>
      <c r="B9" s="44"/>
      <c r="C9" s="44"/>
      <c r="D9" s="44"/>
      <c r="E9" s="45"/>
      <c r="F9" s="122" t="s">
        <v>131</v>
      </c>
      <c r="G9" s="123"/>
      <c r="H9" s="123"/>
      <c r="I9" s="123"/>
      <c r="J9" s="124"/>
    </row>
    <row r="10" spans="1:10" ht="13.9" x14ac:dyDescent="0.3">
      <c r="A10" s="43" t="s">
        <v>123</v>
      </c>
      <c r="B10" s="44"/>
      <c r="C10" s="44"/>
      <c r="D10" s="44"/>
      <c r="E10" s="45"/>
      <c r="F10" s="43" t="s">
        <v>132</v>
      </c>
      <c r="G10" s="44"/>
      <c r="H10" s="44"/>
      <c r="I10" s="44"/>
      <c r="J10" s="45"/>
    </row>
    <row r="11" spans="1:10" ht="13.9" x14ac:dyDescent="0.3">
      <c r="A11" s="43" t="s">
        <v>6</v>
      </c>
      <c r="B11" s="44"/>
      <c r="C11" s="44"/>
      <c r="D11" s="44"/>
      <c r="E11" s="45"/>
      <c r="F11" s="43" t="s">
        <v>121</v>
      </c>
      <c r="G11" s="44"/>
      <c r="H11" s="44"/>
      <c r="I11" s="44"/>
      <c r="J11" s="45"/>
    </row>
    <row r="12" spans="1:10" ht="13.9" x14ac:dyDescent="0.3">
      <c r="A12" s="43" t="s">
        <v>145</v>
      </c>
      <c r="B12" s="44"/>
      <c r="C12" s="44"/>
      <c r="D12" s="44"/>
      <c r="E12" s="45"/>
      <c r="F12" s="43" t="s">
        <v>146</v>
      </c>
      <c r="G12" s="44"/>
      <c r="H12" s="44"/>
      <c r="I12" s="44"/>
      <c r="J12" s="45"/>
    </row>
    <row r="13" spans="1:10" ht="46.5" customHeight="1" x14ac:dyDescent="0.3">
      <c r="A13" s="118" t="s">
        <v>51</v>
      </c>
      <c r="B13" s="118"/>
      <c r="C13" s="119" t="s">
        <v>133</v>
      </c>
      <c r="D13" s="120"/>
      <c r="E13" s="120"/>
      <c r="F13" s="120"/>
      <c r="G13" s="120"/>
      <c r="H13" s="120"/>
      <c r="I13" s="120"/>
      <c r="J13" s="121"/>
    </row>
    <row r="14" spans="1:10" ht="13.9" x14ac:dyDescent="0.3">
      <c r="A14" s="40" t="s">
        <v>52</v>
      </c>
      <c r="B14" s="40"/>
      <c r="C14" s="40" t="s">
        <v>134</v>
      </c>
      <c r="D14" s="40"/>
      <c r="E14" s="40"/>
      <c r="F14" s="40" t="s">
        <v>53</v>
      </c>
      <c r="G14" s="40"/>
      <c r="H14" s="41" t="s">
        <v>135</v>
      </c>
      <c r="I14" s="41"/>
      <c r="J14" s="42"/>
    </row>
    <row r="15" spans="1:10" ht="13.9" x14ac:dyDescent="0.3">
      <c r="A15" s="40" t="s">
        <v>7</v>
      </c>
      <c r="B15" s="40"/>
      <c r="C15" s="40" t="s">
        <v>136</v>
      </c>
      <c r="D15" s="40"/>
      <c r="E15" s="40"/>
      <c r="F15" s="40" t="s">
        <v>54</v>
      </c>
      <c r="G15" s="40"/>
      <c r="H15" s="41" t="s">
        <v>137</v>
      </c>
      <c r="I15" s="41"/>
      <c r="J15" s="42"/>
    </row>
    <row r="16" spans="1:10" ht="13.9" x14ac:dyDescent="0.3">
      <c r="A16" s="40" t="s">
        <v>8</v>
      </c>
      <c r="B16" s="40"/>
      <c r="C16" s="40" t="s">
        <v>135</v>
      </c>
      <c r="D16" s="40"/>
      <c r="E16" s="40"/>
      <c r="F16" s="40" t="s">
        <v>55</v>
      </c>
      <c r="G16" s="40"/>
      <c r="H16" s="41">
        <v>400080</v>
      </c>
      <c r="I16" s="41"/>
      <c r="J16" s="42"/>
    </row>
    <row r="17" spans="1:10" ht="32.25" customHeight="1" x14ac:dyDescent="0.3">
      <c r="A17" s="40" t="s">
        <v>56</v>
      </c>
      <c r="B17" s="40"/>
      <c r="C17" s="40" t="s">
        <v>138</v>
      </c>
      <c r="D17" s="40"/>
      <c r="E17" s="40"/>
      <c r="F17" s="40" t="s">
        <v>43</v>
      </c>
      <c r="G17" s="40"/>
      <c r="H17" s="41" t="s">
        <v>144</v>
      </c>
      <c r="I17" s="41"/>
      <c r="J17" s="42"/>
    </row>
    <row r="18" spans="1:10" ht="15" customHeight="1" x14ac:dyDescent="0.25">
      <c r="A18" s="140" t="s">
        <v>45</v>
      </c>
      <c r="B18" s="141"/>
      <c r="C18" s="141"/>
      <c r="D18" s="141"/>
      <c r="E18" s="142"/>
      <c r="F18" s="125" t="s">
        <v>49</v>
      </c>
      <c r="G18" s="126"/>
      <c r="H18" s="126"/>
      <c r="I18" s="126"/>
      <c r="J18" s="127"/>
    </row>
    <row r="19" spans="1:10" x14ac:dyDescent="0.25">
      <c r="A19" s="143"/>
      <c r="B19" s="144"/>
      <c r="C19" s="144"/>
      <c r="D19" s="144"/>
      <c r="E19" s="145"/>
      <c r="F19" s="86"/>
      <c r="G19" s="87"/>
      <c r="H19" s="87"/>
      <c r="I19" s="87"/>
      <c r="J19" s="88"/>
    </row>
    <row r="20" spans="1:10" ht="15" customHeight="1" x14ac:dyDescent="0.25">
      <c r="A20" s="140" t="s">
        <v>9</v>
      </c>
      <c r="B20" s="141"/>
      <c r="C20" s="141"/>
      <c r="D20" s="141"/>
      <c r="E20" s="142"/>
      <c r="F20" s="140" t="s">
        <v>34</v>
      </c>
      <c r="G20" s="141"/>
      <c r="H20" s="141"/>
      <c r="I20" s="141"/>
      <c r="J20" s="142"/>
    </row>
    <row r="21" spans="1:10" x14ac:dyDescent="0.25">
      <c r="A21" s="143"/>
      <c r="B21" s="144"/>
      <c r="C21" s="144"/>
      <c r="D21" s="144"/>
      <c r="E21" s="145"/>
      <c r="F21" s="143"/>
      <c r="G21" s="144"/>
      <c r="H21" s="144"/>
      <c r="I21" s="144"/>
      <c r="J21" s="145"/>
    </row>
    <row r="22" spans="1:10" x14ac:dyDescent="0.25">
      <c r="A22" s="43" t="s">
        <v>10</v>
      </c>
      <c r="B22" s="44"/>
      <c r="C22" s="44"/>
      <c r="D22" s="44"/>
      <c r="E22" s="45"/>
      <c r="F22" s="43" t="s">
        <v>97</v>
      </c>
      <c r="G22" s="44"/>
      <c r="H22" s="44"/>
      <c r="I22" s="44"/>
      <c r="J22" s="45"/>
    </row>
    <row r="23" spans="1:10" x14ac:dyDescent="0.25">
      <c r="A23" s="43" t="s">
        <v>11</v>
      </c>
      <c r="B23" s="44"/>
      <c r="C23" s="44"/>
      <c r="D23" s="44"/>
      <c r="E23" s="45"/>
      <c r="F23" s="43" t="s">
        <v>44</v>
      </c>
      <c r="G23" s="44"/>
      <c r="H23" s="44"/>
      <c r="I23" s="44"/>
      <c r="J23" s="45"/>
    </row>
    <row r="24" spans="1:10" x14ac:dyDescent="0.25">
      <c r="A24" s="43" t="s">
        <v>12</v>
      </c>
      <c r="B24" s="44"/>
      <c r="C24" s="44"/>
      <c r="D24" s="44"/>
      <c r="E24" s="45"/>
      <c r="F24" s="43" t="s">
        <v>35</v>
      </c>
      <c r="G24" s="44"/>
      <c r="H24" s="44"/>
      <c r="I24" s="44"/>
      <c r="J24" s="45"/>
    </row>
    <row r="25" spans="1:10" x14ac:dyDescent="0.25">
      <c r="A25" s="43" t="s">
        <v>25</v>
      </c>
      <c r="B25" s="44"/>
      <c r="C25" s="44"/>
      <c r="D25" s="44"/>
      <c r="E25" s="45"/>
      <c r="F25" s="43" t="s">
        <v>57</v>
      </c>
      <c r="G25" s="44"/>
      <c r="H25" s="44"/>
      <c r="I25" s="44"/>
      <c r="J25" s="45"/>
    </row>
    <row r="26" spans="1:10" x14ac:dyDescent="0.25">
      <c r="A26" s="100" t="s">
        <v>13</v>
      </c>
      <c r="B26" s="101"/>
      <c r="C26" s="100" t="s">
        <v>14</v>
      </c>
      <c r="D26" s="101"/>
      <c r="E26" s="100" t="s">
        <v>15</v>
      </c>
      <c r="F26" s="101"/>
      <c r="G26" s="100" t="s">
        <v>42</v>
      </c>
      <c r="H26" s="101"/>
      <c r="I26" s="100" t="s">
        <v>16</v>
      </c>
      <c r="J26" s="101"/>
    </row>
    <row r="27" spans="1:10" x14ac:dyDescent="0.25">
      <c r="A27" s="100" t="s">
        <v>17</v>
      </c>
      <c r="B27" s="101"/>
      <c r="C27" s="100" t="s">
        <v>41</v>
      </c>
      <c r="D27" s="101"/>
      <c r="E27" s="100" t="s">
        <v>41</v>
      </c>
      <c r="F27" s="101"/>
      <c r="G27" s="100" t="s">
        <v>41</v>
      </c>
      <c r="H27" s="101"/>
      <c r="I27" s="100" t="s">
        <v>41</v>
      </c>
      <c r="J27" s="101"/>
    </row>
    <row r="28" spans="1:10" ht="32.25" customHeight="1" x14ac:dyDescent="0.25">
      <c r="A28" s="100" t="s">
        <v>18</v>
      </c>
      <c r="B28" s="101"/>
      <c r="C28" s="100" t="s">
        <v>140</v>
      </c>
      <c r="D28" s="101"/>
      <c r="E28" s="100" t="s">
        <v>141</v>
      </c>
      <c r="F28" s="101"/>
      <c r="G28" s="100" t="s">
        <v>7</v>
      </c>
      <c r="H28" s="101"/>
      <c r="I28" s="146" t="s">
        <v>139</v>
      </c>
      <c r="J28" s="147"/>
    </row>
    <row r="29" spans="1:10" x14ac:dyDescent="0.25">
      <c r="A29" s="43" t="s">
        <v>48</v>
      </c>
      <c r="B29" s="44"/>
      <c r="C29" s="44"/>
      <c r="D29" s="44"/>
      <c r="E29" s="44"/>
      <c r="F29" s="44"/>
      <c r="G29" s="44"/>
      <c r="H29" s="44"/>
      <c r="I29" s="44"/>
      <c r="J29" s="45"/>
    </row>
    <row r="30" spans="1:10" x14ac:dyDescent="0.25">
      <c r="A30" s="43" t="s">
        <v>36</v>
      </c>
      <c r="B30" s="44"/>
      <c r="C30" s="44"/>
      <c r="D30" s="44"/>
      <c r="E30" s="44"/>
      <c r="F30" s="44"/>
      <c r="G30" s="44"/>
      <c r="H30" s="44"/>
      <c r="I30" s="44"/>
      <c r="J30" s="45"/>
    </row>
    <row r="31" spans="1:10" ht="14.65" customHeight="1" x14ac:dyDescent="0.25">
      <c r="A31" s="43" t="s">
        <v>30</v>
      </c>
      <c r="B31" s="45"/>
      <c r="C31" s="51" t="s">
        <v>231</v>
      </c>
      <c r="D31" s="52"/>
      <c r="E31" s="52"/>
      <c r="F31" s="52"/>
      <c r="G31" s="52"/>
      <c r="H31" s="52"/>
      <c r="I31" s="52"/>
      <c r="J31" s="53"/>
    </row>
    <row r="32" spans="1:10" x14ac:dyDescent="0.25">
      <c r="A32" s="43" t="s">
        <v>181</v>
      </c>
      <c r="B32" s="45"/>
      <c r="C32" s="105" t="s">
        <v>182</v>
      </c>
      <c r="D32" s="44"/>
      <c r="E32" s="44"/>
      <c r="F32" s="44"/>
      <c r="G32" s="44"/>
      <c r="H32" s="44"/>
      <c r="I32" s="44"/>
      <c r="J32" s="45"/>
    </row>
    <row r="33" spans="1:10" x14ac:dyDescent="0.25">
      <c r="A33" s="51" t="s">
        <v>19</v>
      </c>
      <c r="B33" s="52"/>
      <c r="C33" s="52"/>
      <c r="D33" s="52"/>
      <c r="E33" s="52"/>
      <c r="F33" s="52"/>
      <c r="G33" s="52"/>
      <c r="H33" s="52"/>
      <c r="I33" s="52"/>
      <c r="J33" s="53"/>
    </row>
    <row r="34" spans="1:10" ht="15" customHeight="1" x14ac:dyDescent="0.25">
      <c r="A34" s="140" t="s">
        <v>126</v>
      </c>
      <c r="B34" s="141"/>
      <c r="C34" s="141"/>
      <c r="D34" s="141"/>
      <c r="E34" s="141"/>
      <c r="F34" s="141"/>
      <c r="G34" s="141"/>
      <c r="H34" s="141"/>
      <c r="I34" s="141"/>
      <c r="J34" s="142"/>
    </row>
    <row r="35" spans="1:10" x14ac:dyDescent="0.25">
      <c r="A35" s="143"/>
      <c r="B35" s="144"/>
      <c r="C35" s="144"/>
      <c r="D35" s="144"/>
      <c r="E35" s="144"/>
      <c r="F35" s="144"/>
      <c r="G35" s="144"/>
      <c r="H35" s="144"/>
      <c r="I35" s="144"/>
      <c r="J35" s="145"/>
    </row>
    <row r="36" spans="1:10" ht="16.5" customHeight="1" x14ac:dyDescent="0.25">
      <c r="A36" s="43" t="s">
        <v>58</v>
      </c>
      <c r="B36" s="44"/>
      <c r="C36" s="44"/>
      <c r="D36" s="44"/>
      <c r="E36" s="45"/>
      <c r="F36" s="102">
        <v>16111.01</v>
      </c>
      <c r="G36" s="103"/>
      <c r="H36" s="103"/>
      <c r="I36" s="103"/>
      <c r="J36" s="104"/>
    </row>
    <row r="37" spans="1:10" x14ac:dyDescent="0.25">
      <c r="A37" s="43" t="s">
        <v>20</v>
      </c>
      <c r="B37" s="44"/>
      <c r="C37" s="44"/>
      <c r="D37" s="44"/>
      <c r="E37" s="45"/>
      <c r="F37" s="117">
        <v>3</v>
      </c>
      <c r="G37" s="103"/>
      <c r="H37" s="103"/>
      <c r="I37" s="103"/>
      <c r="J37" s="104"/>
    </row>
    <row r="38" spans="1:10" x14ac:dyDescent="0.25">
      <c r="A38" s="43" t="s">
        <v>21</v>
      </c>
      <c r="B38" s="44"/>
      <c r="C38" s="44"/>
      <c r="D38" s="44"/>
      <c r="E38" s="45"/>
      <c r="F38" s="117" t="s">
        <v>41</v>
      </c>
      <c r="G38" s="103"/>
      <c r="H38" s="103"/>
      <c r="I38" s="103"/>
      <c r="J38" s="104"/>
    </row>
    <row r="39" spans="1:10" x14ac:dyDescent="0.25">
      <c r="A39" s="43" t="s">
        <v>142</v>
      </c>
      <c r="B39" s="44"/>
      <c r="C39" s="44"/>
      <c r="D39" s="44"/>
      <c r="E39" s="45"/>
      <c r="F39" s="117">
        <v>3677.1</v>
      </c>
      <c r="G39" s="103"/>
      <c r="H39" s="103"/>
      <c r="I39" s="103"/>
      <c r="J39" s="104"/>
    </row>
    <row r="40" spans="1:10" x14ac:dyDescent="0.25">
      <c r="A40" s="43" t="s">
        <v>59</v>
      </c>
      <c r="B40" s="44"/>
      <c r="C40" s="44"/>
      <c r="D40" s="44"/>
      <c r="E40" s="45"/>
      <c r="F40" s="102">
        <v>27958.14</v>
      </c>
      <c r="G40" s="103"/>
      <c r="H40" s="103"/>
      <c r="I40" s="103"/>
      <c r="J40" s="104"/>
    </row>
    <row r="41" spans="1:10" x14ac:dyDescent="0.25">
      <c r="A41" s="43" t="s">
        <v>22</v>
      </c>
      <c r="B41" s="44"/>
      <c r="C41" s="44"/>
      <c r="D41" s="44"/>
      <c r="E41" s="45"/>
      <c r="F41" s="43" t="s">
        <v>180</v>
      </c>
      <c r="G41" s="44"/>
      <c r="H41" s="44"/>
      <c r="I41" s="44"/>
      <c r="J41" s="45"/>
    </row>
    <row r="42" spans="1:10" x14ac:dyDescent="0.25">
      <c r="A42" s="51" t="s">
        <v>61</v>
      </c>
      <c r="B42" s="52"/>
      <c r="C42" s="52"/>
      <c r="D42" s="52"/>
      <c r="E42" s="52"/>
      <c r="F42" s="52"/>
      <c r="G42" s="52"/>
      <c r="H42" s="52"/>
      <c r="I42" s="52"/>
      <c r="J42" s="53"/>
    </row>
    <row r="43" spans="1:10" ht="16.5" customHeight="1" x14ac:dyDescent="0.25">
      <c r="A43" s="40" t="s">
        <v>60</v>
      </c>
      <c r="B43" s="40"/>
      <c r="C43" s="43" t="s">
        <v>184</v>
      </c>
      <c r="D43" s="44"/>
      <c r="E43" s="44"/>
      <c r="F43" s="45"/>
      <c r="G43" s="17" t="s">
        <v>50</v>
      </c>
      <c r="H43" s="46">
        <v>44756</v>
      </c>
      <c r="I43" s="44"/>
      <c r="J43" s="45"/>
    </row>
    <row r="44" spans="1:10" ht="17.25" customHeight="1" x14ac:dyDescent="0.25">
      <c r="A44" s="122" t="s">
        <v>62</v>
      </c>
      <c r="B44" s="124"/>
      <c r="C44" s="43" t="str">
        <f>C43</f>
        <v>SRA/ENG/2595/T/MML/AP</v>
      </c>
      <c r="D44" s="44"/>
      <c r="E44" s="44"/>
      <c r="F44" s="45"/>
      <c r="G44" s="17" t="s">
        <v>50</v>
      </c>
      <c r="H44" s="46">
        <f>H43</f>
        <v>44756</v>
      </c>
      <c r="I44" s="47" t="s">
        <v>37</v>
      </c>
      <c r="J44" s="48"/>
    </row>
    <row r="45" spans="1:10" ht="48" customHeight="1" x14ac:dyDescent="0.25">
      <c r="A45" s="122" t="s">
        <v>63</v>
      </c>
      <c r="B45" s="124"/>
      <c r="C45" s="122" t="s">
        <v>183</v>
      </c>
      <c r="D45" s="123"/>
      <c r="E45" s="123"/>
      <c r="F45" s="124"/>
      <c r="G45" s="19" t="s">
        <v>50</v>
      </c>
      <c r="H45" s="46">
        <v>44756</v>
      </c>
      <c r="I45" s="44"/>
      <c r="J45" s="45"/>
    </row>
    <row r="46" spans="1:10" x14ac:dyDescent="0.25">
      <c r="A46" s="49" t="s">
        <v>38</v>
      </c>
      <c r="B46" s="50"/>
      <c r="C46" s="51" t="s">
        <v>41</v>
      </c>
      <c r="D46" s="52"/>
      <c r="E46" s="52"/>
      <c r="F46" s="53" t="s">
        <v>39</v>
      </c>
      <c r="G46" s="38" t="s">
        <v>50</v>
      </c>
      <c r="H46" s="51" t="s">
        <v>41</v>
      </c>
      <c r="I46" s="52" t="s">
        <v>46</v>
      </c>
      <c r="J46" s="53"/>
    </row>
    <row r="47" spans="1:10" x14ac:dyDescent="0.25">
      <c r="A47" s="51" t="s">
        <v>23</v>
      </c>
      <c r="B47" s="52"/>
      <c r="C47" s="52"/>
      <c r="D47" s="52"/>
      <c r="E47" s="52"/>
      <c r="F47" s="52"/>
      <c r="G47" s="52"/>
      <c r="H47" s="52"/>
      <c r="I47" s="52"/>
      <c r="J47" s="53"/>
    </row>
    <row r="48" spans="1:10" ht="17.25" customHeight="1" x14ac:dyDescent="0.25">
      <c r="A48" s="43" t="s">
        <v>96</v>
      </c>
      <c r="B48" s="44"/>
      <c r="C48" s="45"/>
      <c r="D48" s="43">
        <f>F40</f>
        <v>27958.14</v>
      </c>
      <c r="E48" s="44"/>
      <c r="F48" s="44"/>
      <c r="G48" s="44"/>
      <c r="H48" s="44"/>
      <c r="I48" s="44"/>
      <c r="J48" s="45"/>
    </row>
    <row r="49" spans="1:12" ht="17.25" customHeight="1" x14ac:dyDescent="0.25">
      <c r="A49" s="43" t="s">
        <v>122</v>
      </c>
      <c r="B49" s="44"/>
      <c r="C49" s="45"/>
      <c r="D49" s="43">
        <v>213</v>
      </c>
      <c r="E49" s="44"/>
      <c r="F49" s="44"/>
      <c r="G49" s="44"/>
      <c r="H49" s="44"/>
      <c r="I49" s="44"/>
      <c r="J49" s="45"/>
    </row>
    <row r="50" spans="1:12" ht="13.9" customHeight="1" x14ac:dyDescent="0.25">
      <c r="A50" s="43" t="s">
        <v>65</v>
      </c>
      <c r="B50" s="44"/>
      <c r="C50" s="45"/>
      <c r="D50" s="43" t="s">
        <v>185</v>
      </c>
      <c r="E50" s="44"/>
      <c r="F50" s="44"/>
      <c r="G50" s="44"/>
      <c r="H50" s="44"/>
      <c r="I50" s="44"/>
      <c r="J50" s="45"/>
    </row>
    <row r="51" spans="1:12" ht="13.9" customHeight="1" x14ac:dyDescent="0.25">
      <c r="A51" s="43" t="s">
        <v>237</v>
      </c>
      <c r="B51" s="44"/>
      <c r="C51" s="45"/>
      <c r="D51" s="43" t="s">
        <v>185</v>
      </c>
      <c r="E51" s="44"/>
      <c r="F51" s="44"/>
      <c r="G51" s="44"/>
      <c r="H51" s="44"/>
      <c r="I51" s="44"/>
      <c r="J51" s="45"/>
    </row>
    <row r="52" spans="1:12" x14ac:dyDescent="0.25">
      <c r="A52" s="43" t="s">
        <v>69</v>
      </c>
      <c r="B52" s="44"/>
      <c r="C52" s="45"/>
      <c r="D52" s="46">
        <f>H45</f>
        <v>44756</v>
      </c>
      <c r="E52" s="47"/>
      <c r="F52" s="47"/>
      <c r="G52" s="47"/>
      <c r="H52" s="47"/>
      <c r="I52" s="47"/>
      <c r="J52" s="48"/>
    </row>
    <row r="53" spans="1:12" x14ac:dyDescent="0.25">
      <c r="A53" s="43" t="s">
        <v>64</v>
      </c>
      <c r="B53" s="44"/>
      <c r="C53" s="45"/>
      <c r="D53" s="46" t="s">
        <v>240</v>
      </c>
      <c r="E53" s="47"/>
      <c r="F53" s="47"/>
      <c r="G53" s="47"/>
      <c r="H53" s="47"/>
      <c r="I53" s="47"/>
      <c r="J53" s="48"/>
    </row>
    <row r="54" spans="1:12" x14ac:dyDescent="0.25">
      <c r="A54" s="43" t="s">
        <v>232</v>
      </c>
      <c r="B54" s="44"/>
      <c r="C54" s="45"/>
      <c r="D54" s="43" t="s">
        <v>57</v>
      </c>
      <c r="E54" s="44"/>
      <c r="F54" s="44"/>
      <c r="G54" s="44"/>
      <c r="H54" s="44"/>
      <c r="I54" s="44"/>
      <c r="J54" s="45"/>
    </row>
    <row r="55" spans="1:12" ht="13.9" customHeight="1" x14ac:dyDescent="0.25">
      <c r="A55" s="43" t="s">
        <v>233</v>
      </c>
      <c r="B55" s="44"/>
      <c r="C55" s="45"/>
      <c r="D55" s="43" t="s">
        <v>234</v>
      </c>
      <c r="E55" s="44"/>
      <c r="F55" s="44"/>
      <c r="G55" s="44"/>
      <c r="H55" s="44"/>
      <c r="I55" s="44"/>
      <c r="J55" s="45"/>
    </row>
    <row r="56" spans="1:12" x14ac:dyDescent="0.25">
      <c r="A56" s="43" t="s">
        <v>236</v>
      </c>
      <c r="B56" s="44"/>
      <c r="C56" s="45"/>
      <c r="D56" s="43" t="s">
        <v>235</v>
      </c>
      <c r="E56" s="44"/>
      <c r="F56" s="44"/>
      <c r="G56" s="44"/>
      <c r="H56" s="44"/>
      <c r="I56" s="44"/>
      <c r="J56" s="45"/>
    </row>
    <row r="57" spans="1:12" customFormat="1" ht="15.75" x14ac:dyDescent="0.25">
      <c r="A57" s="149" t="s">
        <v>147</v>
      </c>
      <c r="B57" s="149"/>
      <c r="C57" s="150" t="str">
        <f>D51</f>
        <v>Wing A &amp; B - Stilt/Ground + 1st to 3rd Podium + 4th to 45th Floor.</v>
      </c>
      <c r="D57" s="150"/>
      <c r="E57" s="150"/>
      <c r="F57" s="150"/>
      <c r="G57" s="150"/>
      <c r="H57" s="150"/>
      <c r="I57" s="150"/>
      <c r="J57" s="150"/>
      <c r="K57" s="13"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upto 43 Floor, Internal Plaster upto 40 Floor, External Plaster upto 38 Floor, Flooring upto 23 Floor, Painting upto 16 Floor Completed</v>
      </c>
      <c r="L57" s="13"/>
    </row>
    <row r="58" spans="1:12" customFormat="1" ht="15.75" x14ac:dyDescent="0.25">
      <c r="A58" s="15" t="s">
        <v>148</v>
      </c>
      <c r="B58" s="15">
        <v>0</v>
      </c>
      <c r="C58" s="15" t="s">
        <v>149</v>
      </c>
      <c r="D58" s="15">
        <v>1</v>
      </c>
      <c r="E58" s="113" t="s">
        <v>150</v>
      </c>
      <c r="F58" s="113"/>
      <c r="G58" s="15">
        <v>0</v>
      </c>
      <c r="H58" s="15" t="s">
        <v>151</v>
      </c>
      <c r="I58" s="113">
        <f ca="1">--TRIM(RIGHT(SUBSTITUTE(LEFT(C57,_xlfn.AGGREGATE(16,6,FIND({0,1,2,3,4,5,6,7,8,9},C57,ROW(INDIRECT("1:"&amp;LEN(C57)))),1))," ",REPT(" ",LEN(C57))),LEN(C57)))</f>
        <v>45</v>
      </c>
      <c r="J58" s="113"/>
      <c r="K58" s="13"/>
      <c r="L58" s="13"/>
    </row>
    <row r="59" spans="1:12" customFormat="1" ht="48.75" customHeight="1" x14ac:dyDescent="0.25">
      <c r="A59" s="151" t="s">
        <v>152</v>
      </c>
      <c r="B59" s="151"/>
      <c r="C59" s="150" t="str">
        <f ca="1">K57</f>
        <v>Excavation work Completed. Plinth work completed, RCC Slab, Brickwork upto 43 Floor, Internal Plaster upto 40 Floor, External Plaster upto 38 Floor, Flooring upto 23 Floor, Painting upto 16 Floor Completed</v>
      </c>
      <c r="D59" s="150"/>
      <c r="E59" s="150"/>
      <c r="F59" s="150"/>
      <c r="G59" s="150"/>
      <c r="H59" s="150"/>
      <c r="I59" s="150"/>
      <c r="J59" s="150"/>
      <c r="K59" s="13" t="s">
        <v>153</v>
      </c>
      <c r="L59" s="13"/>
    </row>
    <row r="60" spans="1:12" customFormat="1" ht="15.75" customHeight="1" x14ac:dyDescent="0.25">
      <c r="A60" s="112" t="s">
        <v>26</v>
      </c>
      <c r="B60" s="112"/>
      <c r="C60" s="16" t="s">
        <v>154</v>
      </c>
      <c r="D60" s="112" t="s">
        <v>155</v>
      </c>
      <c r="E60" s="112"/>
      <c r="F60" s="112" t="s">
        <v>156</v>
      </c>
      <c r="G60" s="112"/>
      <c r="H60" s="112" t="s">
        <v>157</v>
      </c>
      <c r="I60" s="112"/>
      <c r="J60" s="112"/>
      <c r="K60" s="14" t="s">
        <v>158</v>
      </c>
      <c r="L60" s="20">
        <f ca="1">I58*25%</f>
        <v>11.25</v>
      </c>
    </row>
    <row r="61" spans="1:12" customFormat="1" ht="15.75" x14ac:dyDescent="0.25">
      <c r="A61" s="112" t="s">
        <v>159</v>
      </c>
      <c r="B61" s="112"/>
      <c r="C61" s="21">
        <f ca="1">L62</f>
        <v>45</v>
      </c>
      <c r="D61" s="85">
        <f ca="1">((100/I58)*C61)/100</f>
        <v>1</v>
      </c>
      <c r="E61" s="85"/>
      <c r="F61" s="85">
        <f ca="1">(((C62/I58*10)+(40/(D58+G58+I58)*C63)+(7.5/(I58)*C64)+(7.5/(I58)*C65)+(10/I58*C66)+(10/I58*C67)+(5/I58*C68)+(5/I58*C69)+(5/I58*C70))/100)</f>
        <v>0.79166666666666652</v>
      </c>
      <c r="G61" s="85"/>
      <c r="H61" s="85">
        <f ca="1">((((C61/I58)*20)+((C62/I58)*25)+(30/(I58+G58+D58)*C63)+(5/I58*C64)+(5/I58*C65)+(5/I58*C66)+(5/I58*C67)+(0/I58*C68)+(0/I58*C69)+(5/I58*C70))/100)</f>
        <v>0.91</v>
      </c>
      <c r="I61" s="85"/>
      <c r="J61" s="85"/>
      <c r="K61" s="14" t="s">
        <v>160</v>
      </c>
      <c r="L61" s="14">
        <f ca="1">I58*50%</f>
        <v>22.5</v>
      </c>
    </row>
    <row r="62" spans="1:12" customFormat="1" ht="15.75" x14ac:dyDescent="0.25">
      <c r="A62" s="112" t="s">
        <v>27</v>
      </c>
      <c r="B62" s="112"/>
      <c r="C62" s="22">
        <f ca="1">L70</f>
        <v>45</v>
      </c>
      <c r="D62" s="85">
        <f ca="1">((100/I58)*C62)/100</f>
        <v>1</v>
      </c>
      <c r="E62" s="85"/>
      <c r="F62" s="85"/>
      <c r="G62" s="85"/>
      <c r="H62" s="85"/>
      <c r="I62" s="85"/>
      <c r="J62" s="85"/>
      <c r="K62" s="14" t="s">
        <v>161</v>
      </c>
      <c r="L62" s="14">
        <f ca="1">I58</f>
        <v>45</v>
      </c>
    </row>
    <row r="63" spans="1:12" customFormat="1" ht="15.75" x14ac:dyDescent="0.25">
      <c r="A63" s="113" t="s">
        <v>162</v>
      </c>
      <c r="B63" s="113"/>
      <c r="C63" s="22">
        <v>46</v>
      </c>
      <c r="D63" s="85">
        <f ca="1">((100/(D58+G58+I58))*C63)/100</f>
        <v>1</v>
      </c>
      <c r="E63" s="85"/>
      <c r="F63" s="85"/>
      <c r="G63" s="85"/>
      <c r="H63" s="85"/>
      <c r="I63" s="85"/>
      <c r="J63" s="85"/>
      <c r="K63" s="14" t="s">
        <v>163</v>
      </c>
      <c r="L63" s="23">
        <f ca="1">(IF(B58&gt;1,(I58/(B58+2)),I58/4))</f>
        <v>11.25</v>
      </c>
    </row>
    <row r="64" spans="1:12" customFormat="1" ht="15.75" x14ac:dyDescent="0.25">
      <c r="A64" s="112" t="s">
        <v>164</v>
      </c>
      <c r="B64" s="112" t="s">
        <v>165</v>
      </c>
      <c r="C64" s="22">
        <v>43</v>
      </c>
      <c r="D64" s="85">
        <f ca="1">((100/I58)*C64)/100</f>
        <v>0.9555555555555556</v>
      </c>
      <c r="E64" s="85"/>
      <c r="F64" s="85"/>
      <c r="G64" s="85"/>
      <c r="H64" s="85"/>
      <c r="I64" s="85"/>
      <c r="J64" s="85"/>
      <c r="K64" s="14" t="s">
        <v>166</v>
      </c>
      <c r="L64" s="23">
        <f ca="1">(IF(B58&gt;1,(I58/(B58+2)+L63),I58/4+L63))</f>
        <v>22.5</v>
      </c>
    </row>
    <row r="65" spans="1:14" customFormat="1" ht="15.75" x14ac:dyDescent="0.25">
      <c r="A65" s="112" t="s">
        <v>167</v>
      </c>
      <c r="B65" s="112" t="s">
        <v>165</v>
      </c>
      <c r="C65" s="27">
        <v>40</v>
      </c>
      <c r="D65" s="85">
        <f ca="1">((100/I58)*C65)/100</f>
        <v>0.88888888888888884</v>
      </c>
      <c r="E65" s="85"/>
      <c r="F65" s="85"/>
      <c r="G65" s="85"/>
      <c r="H65" s="85"/>
      <c r="I65" s="85"/>
      <c r="J65" s="85"/>
      <c r="K65" s="14" t="s">
        <v>168</v>
      </c>
      <c r="L65" s="23">
        <f>(IF(B58&gt;1,(I58/(B58+2)+L64),0))</f>
        <v>0</v>
      </c>
      <c r="N65">
        <f>86+69</f>
        <v>155</v>
      </c>
    </row>
    <row r="66" spans="1:14" customFormat="1" ht="15.75" x14ac:dyDescent="0.25">
      <c r="A66" s="113" t="s">
        <v>169</v>
      </c>
      <c r="B66" s="113" t="s">
        <v>170</v>
      </c>
      <c r="C66" s="22">
        <v>38</v>
      </c>
      <c r="D66" s="85">
        <f ca="1">((100/(I58))*C66)/100</f>
        <v>0.84444444444444444</v>
      </c>
      <c r="E66" s="85"/>
      <c r="F66" s="85"/>
      <c r="G66" s="85"/>
      <c r="H66" s="85"/>
      <c r="I66" s="85"/>
      <c r="J66" s="85"/>
      <c r="K66" s="14" t="s">
        <v>171</v>
      </c>
      <c r="L66" s="23">
        <f>(IF(B58&gt;2,(I58/(B58+2)+L65),0))</f>
        <v>0</v>
      </c>
    </row>
    <row r="67" spans="1:14" customFormat="1" ht="15.75" x14ac:dyDescent="0.25">
      <c r="A67" s="112" t="s">
        <v>172</v>
      </c>
      <c r="B67" s="112" t="s">
        <v>172</v>
      </c>
      <c r="C67" s="21">
        <v>23</v>
      </c>
      <c r="D67" s="85">
        <f ca="1">((100/I58)*C67)/100</f>
        <v>0.51111111111111118</v>
      </c>
      <c r="E67" s="85"/>
      <c r="F67" s="85"/>
      <c r="G67" s="85"/>
      <c r="H67" s="85"/>
      <c r="I67" s="85"/>
      <c r="J67" s="85"/>
      <c r="K67" s="14" t="s">
        <v>173</v>
      </c>
      <c r="L67" s="24">
        <f>(IF(B58&gt;3,(I58/(B58+2)+L66),0))</f>
        <v>0</v>
      </c>
    </row>
    <row r="68" spans="1:14" customFormat="1" ht="15.75" x14ac:dyDescent="0.25">
      <c r="A68" s="112" t="s">
        <v>174</v>
      </c>
      <c r="B68" s="112"/>
      <c r="C68" s="21">
        <v>16</v>
      </c>
      <c r="D68" s="85">
        <f ca="1">((100/I58)*C68)/100</f>
        <v>0.35555555555555557</v>
      </c>
      <c r="E68" s="85"/>
      <c r="F68" s="85"/>
      <c r="G68" s="85"/>
      <c r="H68" s="85"/>
      <c r="I68" s="85"/>
      <c r="J68" s="85"/>
      <c r="K68" s="14" t="s">
        <v>175</v>
      </c>
      <c r="L68" s="23">
        <f>(IF(B58&gt;4,(I58/(B58+2)+L67),0))</f>
        <v>0</v>
      </c>
    </row>
    <row r="69" spans="1:14" customFormat="1" ht="15.75" x14ac:dyDescent="0.25">
      <c r="A69" s="112" t="s">
        <v>176</v>
      </c>
      <c r="B69" s="112" t="s">
        <v>176</v>
      </c>
      <c r="C69" s="21">
        <v>0</v>
      </c>
      <c r="D69" s="85">
        <f ca="1">((100/(I58))*C69)/100</f>
        <v>0</v>
      </c>
      <c r="E69" s="85"/>
      <c r="F69" s="85"/>
      <c r="G69" s="85"/>
      <c r="H69" s="85"/>
      <c r="I69" s="85"/>
      <c r="J69" s="85"/>
      <c r="K69" s="14" t="s">
        <v>177</v>
      </c>
      <c r="L69" s="23">
        <f ca="1">(IF(B58=1,(I58/(B58+3)+L64),IF(B58=0,(I58/4+L64),IF(B58&gt;1,0))))</f>
        <v>33.75</v>
      </c>
    </row>
    <row r="70" spans="1:14" customFormat="1" ht="15.75" x14ac:dyDescent="0.25">
      <c r="A70" s="112" t="s">
        <v>178</v>
      </c>
      <c r="B70" s="112"/>
      <c r="C70" s="21">
        <v>0</v>
      </c>
      <c r="D70" s="85">
        <f ca="1">((100/(I58))*C70)/100</f>
        <v>0</v>
      </c>
      <c r="E70" s="85"/>
      <c r="F70" s="85"/>
      <c r="G70" s="85"/>
      <c r="H70" s="85"/>
      <c r="I70" s="85"/>
      <c r="J70" s="85"/>
      <c r="K70" s="14" t="s">
        <v>179</v>
      </c>
      <c r="L70" s="23">
        <f ca="1">(IF(B58&gt;1.5,(I58/(B58+2)+L64+MAX(0,L65-L64)+MAX(0,L66-L65)+MAX(0,L67-L66)+MAX(0,L68-L67)+MAX(0,L69-L68)),IF(B58=1,(I58/(B58+3)+L69),IF(B58=0,I58/4+L69))))</f>
        <v>45</v>
      </c>
    </row>
    <row r="71" spans="1:14" x14ac:dyDescent="0.25">
      <c r="A71" s="86" t="s">
        <v>47</v>
      </c>
      <c r="B71" s="87"/>
      <c r="C71" s="87"/>
      <c r="D71" s="87"/>
      <c r="E71" s="87"/>
      <c r="F71" s="87"/>
      <c r="G71" s="87"/>
      <c r="H71" s="87"/>
      <c r="I71" s="87"/>
      <c r="J71" s="88"/>
    </row>
    <row r="72" spans="1:14" x14ac:dyDescent="0.25">
      <c r="A72" s="43" t="s">
        <v>40</v>
      </c>
      <c r="B72" s="44"/>
      <c r="C72" s="44"/>
      <c r="D72" s="44"/>
      <c r="E72" s="44"/>
      <c r="F72" s="44"/>
      <c r="G72" s="44"/>
      <c r="H72" s="44"/>
      <c r="I72" s="44"/>
      <c r="J72" s="45"/>
    </row>
    <row r="73" spans="1:14" ht="15" customHeight="1" x14ac:dyDescent="0.25">
      <c r="A73" s="106" t="s">
        <v>125</v>
      </c>
      <c r="B73" s="107"/>
      <c r="C73" s="107"/>
      <c r="D73" s="107"/>
      <c r="E73" s="107"/>
      <c r="F73" s="107"/>
      <c r="G73" s="107"/>
      <c r="H73" s="107"/>
      <c r="I73" s="107"/>
      <c r="J73" s="108"/>
    </row>
    <row r="74" spans="1:14" x14ac:dyDescent="0.25">
      <c r="A74" s="109"/>
      <c r="B74" s="110"/>
      <c r="C74" s="110"/>
      <c r="D74" s="110"/>
      <c r="E74" s="110"/>
      <c r="F74" s="110"/>
      <c r="G74" s="110"/>
      <c r="H74" s="110"/>
      <c r="I74" s="110"/>
      <c r="J74" s="111"/>
    </row>
    <row r="75" spans="1:14" x14ac:dyDescent="0.25">
      <c r="A75" s="51" t="s">
        <v>24</v>
      </c>
      <c r="B75" s="52"/>
      <c r="C75" s="52"/>
      <c r="D75" s="52"/>
      <c r="E75" s="52"/>
      <c r="F75" s="52"/>
      <c r="G75" s="52"/>
      <c r="H75" s="52"/>
      <c r="I75" s="52"/>
      <c r="J75" s="53"/>
    </row>
    <row r="76" spans="1:14" x14ac:dyDescent="0.25">
      <c r="A76" s="43" t="s">
        <v>229</v>
      </c>
      <c r="B76" s="44"/>
      <c r="C76" s="44"/>
      <c r="D76" s="44"/>
      <c r="E76" s="44"/>
      <c r="F76" s="45"/>
      <c r="G76" s="51">
        <v>15000</v>
      </c>
      <c r="H76" s="52"/>
      <c r="I76" s="52"/>
      <c r="J76" s="53"/>
    </row>
    <row r="77" spans="1:14" ht="13.9" hidden="1" x14ac:dyDescent="0.3">
      <c r="A77" s="43" t="s">
        <v>66</v>
      </c>
      <c r="B77" s="44"/>
      <c r="C77" s="44"/>
      <c r="D77" s="44"/>
      <c r="E77" s="44"/>
      <c r="F77" s="45"/>
      <c r="G77" s="122" t="s">
        <v>143</v>
      </c>
      <c r="H77" s="123"/>
      <c r="I77" s="123"/>
      <c r="J77" s="124"/>
    </row>
    <row r="78" spans="1:14" ht="15" hidden="1" customHeight="1" x14ac:dyDescent="0.3">
      <c r="A78" s="43" t="s">
        <v>70</v>
      </c>
      <c r="B78" s="44"/>
      <c r="C78" s="44"/>
      <c r="D78" s="44"/>
      <c r="E78" s="44"/>
      <c r="F78" s="45"/>
      <c r="G78" s="122" t="s">
        <v>41</v>
      </c>
      <c r="H78" s="123"/>
      <c r="I78" s="123"/>
      <c r="J78" s="124"/>
    </row>
    <row r="79" spans="1:14" x14ac:dyDescent="0.25">
      <c r="A79" s="43" t="s">
        <v>92</v>
      </c>
      <c r="B79" s="44"/>
      <c r="C79" s="44"/>
      <c r="D79" s="44"/>
      <c r="E79" s="44"/>
      <c r="F79" s="45"/>
      <c r="G79" s="122" t="s">
        <v>230</v>
      </c>
      <c r="H79" s="123"/>
      <c r="I79" s="123"/>
      <c r="J79" s="124"/>
    </row>
    <row r="80" spans="1:14" ht="15" hidden="1" customHeight="1" x14ac:dyDescent="0.3">
      <c r="A80" s="43" t="s">
        <v>67</v>
      </c>
      <c r="B80" s="44"/>
      <c r="C80" s="44"/>
      <c r="D80" s="44"/>
      <c r="E80" s="44"/>
      <c r="F80" s="45"/>
      <c r="G80" s="122" t="s">
        <v>41</v>
      </c>
      <c r="H80" s="123"/>
      <c r="I80" s="123"/>
      <c r="J80" s="124"/>
    </row>
    <row r="81" spans="1:14" s="25" customFormat="1" ht="14.65" customHeight="1" x14ac:dyDescent="0.25">
      <c r="A81" s="51" t="s">
        <v>68</v>
      </c>
      <c r="B81" s="52"/>
      <c r="C81" s="52"/>
      <c r="D81" s="52"/>
      <c r="E81" s="52"/>
      <c r="F81" s="53"/>
      <c r="G81" s="43">
        <f>G76*0.8</f>
        <v>12000</v>
      </c>
      <c r="H81" s="44"/>
      <c r="I81" s="44"/>
      <c r="J81" s="45"/>
    </row>
    <row r="82" spans="1:14" s="28" customFormat="1" ht="15.75" customHeight="1" x14ac:dyDescent="0.25">
      <c r="A82" s="54" t="s">
        <v>190</v>
      </c>
      <c r="B82" s="55"/>
      <c r="C82" s="55"/>
      <c r="D82" s="55"/>
      <c r="E82" s="55"/>
      <c r="F82" s="55"/>
      <c r="G82" s="55"/>
      <c r="H82" s="55"/>
      <c r="I82" s="55"/>
      <c r="J82" s="55"/>
    </row>
    <row r="83" spans="1:14" s="28" customFormat="1" ht="15.75" customHeight="1" x14ac:dyDescent="0.25">
      <c r="A83" s="78" t="s">
        <v>186</v>
      </c>
      <c r="B83" s="78"/>
      <c r="C83" s="97" t="s">
        <v>187</v>
      </c>
      <c r="D83" s="97"/>
      <c r="E83" s="98" t="s">
        <v>188</v>
      </c>
      <c r="F83" s="98"/>
      <c r="G83" s="78" t="s">
        <v>189</v>
      </c>
      <c r="H83" s="78"/>
      <c r="I83" s="78"/>
      <c r="J83" s="78"/>
    </row>
    <row r="84" spans="1:14" s="28" customFormat="1" ht="15.75" x14ac:dyDescent="0.25">
      <c r="A84" s="99" t="s">
        <v>206</v>
      </c>
      <c r="B84" s="99"/>
      <c r="C84" s="134">
        <f>COUNT(D104:D106)*26+COUNT(D109,D111)*4+COUNT(D113:D114)+COUNT(D116,D118)+COUNT(D120:D121)*6+COUNT(D123:D124)+COUNT(D126:D127)+COUNT(D130)</f>
        <v>107</v>
      </c>
      <c r="D84" s="134"/>
      <c r="E84" s="91">
        <f t="shared" ref="E84" si="0">SUM(D104:D106)*26+SUM(D109,D111)*4+SUM(D113:D114)+SUM(D116,D118)+SUM(D120:D121)*6+SUM(D123:D124)+SUM(D126:D127)+SUM(D130)</f>
        <v>145028.89608479998</v>
      </c>
      <c r="F84" s="91"/>
      <c r="G84" s="79">
        <f>SUM(F104:F106)*26+SUM(F109,F111)*4+SUM(F113:F114)+SUM(F116,F118)+SUM(F120:F121)*6+SUM(F123:F124)+SUM(F126:F127)+SUM(F130)</f>
        <v>232046.23373567997</v>
      </c>
      <c r="H84" s="80"/>
      <c r="I84" s="80"/>
      <c r="J84" s="81"/>
    </row>
    <row r="85" spans="1:14" s="28" customFormat="1" ht="16.5" thickBot="1" x14ac:dyDescent="0.3">
      <c r="A85" s="89" t="s">
        <v>210</v>
      </c>
      <c r="B85" s="89"/>
      <c r="C85" s="90">
        <f>COUNT(D136:D138)*26+COUNT(D141,D143)*4+COUNT(D145:D146)+COUNT(D148)+COUNT(D152:D153)*6+COUNT(D155:D156)+COUNT(D158:D159)+COUNT(D162)</f>
        <v>106</v>
      </c>
      <c r="D85" s="90"/>
      <c r="E85" s="91">
        <f t="shared" ref="E85" si="1">SUM(D136:D138)*26+SUM(D141,D143)*4+SUM(D145:D146)+SUM(D148)+SUM(D152:D153)*6+SUM(D155:D156)+SUM(D158:D159)+SUM(D162)</f>
        <v>143154.2884356</v>
      </c>
      <c r="F85" s="91"/>
      <c r="G85" s="82">
        <f>SUM(F136:F138)*26+SUM(F141,F143)*4+SUM(F145:F146)+SUM(F148)+SUM(F152:F153)*6+SUM(F155:F156)+SUM(F158:F159)+SUM(F162)</f>
        <v>223011.54094751997</v>
      </c>
      <c r="H85" s="82"/>
      <c r="I85" s="82"/>
      <c r="J85" s="82"/>
    </row>
    <row r="86" spans="1:14" s="28" customFormat="1" ht="16.5" thickBot="1" x14ac:dyDescent="0.3">
      <c r="A86" s="92" t="s">
        <v>89</v>
      </c>
      <c r="B86" s="93"/>
      <c r="C86" s="94">
        <f>SUM(C84:D85)</f>
        <v>213</v>
      </c>
      <c r="D86" s="94"/>
      <c r="E86" s="95">
        <f>SUM(E84:F85)</f>
        <v>288183.18452040001</v>
      </c>
      <c r="F86" s="96"/>
      <c r="G86" s="83">
        <f>SUM(G84:J85)</f>
        <v>455057.77468319994</v>
      </c>
      <c r="H86" s="83"/>
      <c r="I86" s="83"/>
      <c r="J86" s="84"/>
    </row>
    <row r="87" spans="1:14" s="29" customFormat="1" ht="15.75" x14ac:dyDescent="0.25">
      <c r="A87" s="135" t="s">
        <v>191</v>
      </c>
      <c r="B87" s="136"/>
      <c r="C87" s="136"/>
      <c r="D87" s="136"/>
      <c r="E87" s="136"/>
      <c r="F87" s="136"/>
      <c r="G87" s="136"/>
      <c r="H87" s="136"/>
      <c r="I87" s="136"/>
      <c r="J87" s="136"/>
    </row>
    <row r="88" spans="1:14" s="20" customFormat="1" ht="15.75" customHeight="1" x14ac:dyDescent="0.25">
      <c r="A88" s="54" t="s">
        <v>192</v>
      </c>
      <c r="B88" s="55"/>
      <c r="C88" s="55"/>
      <c r="D88" s="55"/>
      <c r="E88" s="55"/>
      <c r="F88" s="55"/>
      <c r="G88" s="55"/>
      <c r="H88" s="55"/>
      <c r="I88" s="55"/>
      <c r="J88" s="55"/>
    </row>
    <row r="89" spans="1:14" s="20" customFormat="1" ht="47.25" hidden="1" customHeight="1" x14ac:dyDescent="0.35">
      <c r="A89" s="74" t="s">
        <v>193</v>
      </c>
      <c r="B89" s="74" t="s">
        <v>194</v>
      </c>
      <c r="C89" s="74" t="s">
        <v>195</v>
      </c>
      <c r="D89" s="74" t="s">
        <v>196</v>
      </c>
      <c r="E89" s="76" t="s">
        <v>197</v>
      </c>
      <c r="F89" s="30" t="s">
        <v>198</v>
      </c>
      <c r="G89" s="72" t="s">
        <v>199</v>
      </c>
      <c r="H89" s="137"/>
      <c r="I89" s="137"/>
      <c r="J89" s="137"/>
    </row>
    <row r="90" spans="1:14" s="32" customFormat="1" ht="15.4" hidden="1" x14ac:dyDescent="0.35">
      <c r="A90" s="75"/>
      <c r="B90" s="75"/>
      <c r="C90" s="75"/>
      <c r="D90" s="75"/>
      <c r="E90" s="77"/>
      <c r="F90" s="31">
        <v>0.6</v>
      </c>
      <c r="G90" s="138"/>
      <c r="H90" s="139"/>
      <c r="I90" s="139"/>
      <c r="J90" s="139"/>
    </row>
    <row r="91" spans="1:14" s="32" customFormat="1" ht="15.75" hidden="1" customHeight="1" x14ac:dyDescent="0.35">
      <c r="A91" s="54" t="s">
        <v>200</v>
      </c>
      <c r="B91" s="55"/>
      <c r="C91" s="55"/>
      <c r="D91" s="55"/>
      <c r="E91" s="55"/>
      <c r="F91" s="55"/>
      <c r="G91" s="55"/>
      <c r="H91" s="55"/>
      <c r="I91" s="55"/>
      <c r="J91" s="55"/>
    </row>
    <row r="92" spans="1:14" s="32" customFormat="1" ht="15.75" hidden="1" customHeight="1" x14ac:dyDescent="0.35">
      <c r="A92" s="56">
        <v>1</v>
      </c>
      <c r="B92" s="57"/>
      <c r="C92" s="34"/>
      <c r="D92" s="34"/>
      <c r="E92" s="34">
        <v>0</v>
      </c>
      <c r="F92" s="34">
        <f>(D92+E92)*(($F$170)+1)</f>
        <v>0</v>
      </c>
      <c r="G92" s="58" t="str">
        <f>A91</f>
        <v>Ground Floor</v>
      </c>
      <c r="H92" s="58"/>
      <c r="I92" s="58"/>
      <c r="J92" s="58"/>
      <c r="L92" s="59"/>
      <c r="M92" s="59"/>
      <c r="N92" s="33"/>
    </row>
    <row r="93" spans="1:14" s="32" customFormat="1" ht="15.75" hidden="1" customHeight="1" x14ac:dyDescent="0.35">
      <c r="A93" s="56">
        <f t="shared" ref="A93:A95" si="2">A92+1</f>
        <v>2</v>
      </c>
      <c r="B93" s="57"/>
      <c r="C93" s="34"/>
      <c r="D93" s="34"/>
      <c r="E93" s="34">
        <v>0</v>
      </c>
      <c r="F93" s="34">
        <f>(D93+E93)*(($F$170)+1)</f>
        <v>0</v>
      </c>
      <c r="G93" s="58"/>
      <c r="H93" s="58"/>
      <c r="I93" s="58"/>
      <c r="J93" s="58"/>
      <c r="L93" s="59"/>
      <c r="M93" s="59"/>
      <c r="N93" s="33"/>
    </row>
    <row r="94" spans="1:14" s="32" customFormat="1" ht="15.75" hidden="1" customHeight="1" x14ac:dyDescent="0.35">
      <c r="A94" s="56">
        <f t="shared" si="2"/>
        <v>3</v>
      </c>
      <c r="B94" s="57"/>
      <c r="C94" s="34"/>
      <c r="D94" s="34"/>
      <c r="E94" s="34">
        <v>0</v>
      </c>
      <c r="F94" s="34">
        <f>(D94+E94)*(($F$170)+1)</f>
        <v>0</v>
      </c>
      <c r="G94" s="58"/>
      <c r="H94" s="58"/>
      <c r="I94" s="58"/>
      <c r="J94" s="58"/>
      <c r="L94" s="59"/>
      <c r="M94" s="59"/>
      <c r="N94" s="33"/>
    </row>
    <row r="95" spans="1:14" s="32" customFormat="1" ht="15.75" hidden="1" customHeight="1" x14ac:dyDescent="0.35">
      <c r="A95" s="56">
        <f t="shared" si="2"/>
        <v>4</v>
      </c>
      <c r="B95" s="57"/>
      <c r="C95" s="34"/>
      <c r="D95" s="34"/>
      <c r="E95" s="34">
        <v>0</v>
      </c>
      <c r="F95" s="34">
        <f>(D95+E95)*(($F$170)+1)</f>
        <v>0</v>
      </c>
      <c r="G95" s="58"/>
      <c r="H95" s="58"/>
      <c r="I95" s="58"/>
      <c r="J95" s="58"/>
      <c r="L95" s="59"/>
      <c r="M95" s="59"/>
      <c r="N95" s="33"/>
    </row>
    <row r="96" spans="1:14" s="32" customFormat="1" ht="15.4" hidden="1" x14ac:dyDescent="0.35">
      <c r="A96" s="56"/>
      <c r="B96" s="63"/>
      <c r="C96" s="63"/>
      <c r="D96" s="63"/>
      <c r="E96" s="63"/>
      <c r="F96" s="63"/>
      <c r="G96" s="70"/>
      <c r="H96" s="71"/>
      <c r="I96" s="33"/>
      <c r="N96" s="33"/>
    </row>
    <row r="97" spans="1:16" s="20" customFormat="1" ht="47.25" customHeight="1" x14ac:dyDescent="0.25">
      <c r="A97" s="72" t="s">
        <v>201</v>
      </c>
      <c r="B97" s="72" t="s">
        <v>202</v>
      </c>
      <c r="C97" s="74" t="s">
        <v>195</v>
      </c>
      <c r="D97" s="74" t="s">
        <v>196</v>
      </c>
      <c r="E97" s="76" t="s">
        <v>203</v>
      </c>
      <c r="F97" s="30" t="s">
        <v>198</v>
      </c>
      <c r="G97" s="64" t="s">
        <v>199</v>
      </c>
      <c r="H97" s="65"/>
      <c r="I97" s="65"/>
      <c r="J97" s="65"/>
    </row>
    <row r="98" spans="1:16" s="32" customFormat="1" ht="15.75" x14ac:dyDescent="0.25">
      <c r="A98" s="73"/>
      <c r="B98" s="73"/>
      <c r="C98" s="75"/>
      <c r="D98" s="75"/>
      <c r="E98" s="77"/>
      <c r="F98" s="31">
        <v>0.6</v>
      </c>
      <c r="G98" s="66"/>
      <c r="H98" s="67"/>
      <c r="I98" s="67"/>
      <c r="J98" s="67"/>
    </row>
    <row r="99" spans="1:16" s="32" customFormat="1" ht="15.75" customHeight="1" x14ac:dyDescent="0.25">
      <c r="A99" s="68" t="s">
        <v>206</v>
      </c>
      <c r="B99" s="69"/>
      <c r="C99" s="69"/>
      <c r="D99" s="69"/>
      <c r="E99" s="69"/>
      <c r="F99" s="69"/>
      <c r="G99" s="69"/>
      <c r="H99" s="69"/>
      <c r="I99" s="69"/>
      <c r="J99" s="69"/>
    </row>
    <row r="100" spans="1:16" s="32" customFormat="1" ht="15.75" customHeight="1" x14ac:dyDescent="0.25">
      <c r="A100" s="54" t="s">
        <v>204</v>
      </c>
      <c r="B100" s="55"/>
      <c r="C100" s="55"/>
      <c r="D100" s="55"/>
      <c r="E100" s="55"/>
      <c r="F100" s="55"/>
      <c r="G100" s="55"/>
      <c r="H100" s="55"/>
      <c r="I100" s="55"/>
      <c r="J100" s="55"/>
    </row>
    <row r="101" spans="1:16" s="32" customFormat="1" ht="15.75" customHeight="1" x14ac:dyDescent="0.25">
      <c r="A101" s="54" t="s">
        <v>205</v>
      </c>
      <c r="B101" s="55"/>
      <c r="C101" s="55"/>
      <c r="D101" s="55"/>
      <c r="E101" s="55"/>
      <c r="F101" s="55"/>
      <c r="G101" s="55"/>
      <c r="H101" s="55"/>
      <c r="I101" s="55"/>
      <c r="J101" s="55"/>
      <c r="N101" s="36"/>
    </row>
    <row r="102" spans="1:16" s="32" customFormat="1" ht="15.75" customHeight="1" x14ac:dyDescent="0.25">
      <c r="A102" s="54" t="s">
        <v>207</v>
      </c>
      <c r="B102" s="55"/>
      <c r="C102" s="55"/>
      <c r="D102" s="55"/>
      <c r="E102" s="55"/>
      <c r="F102" s="55"/>
      <c r="G102" s="55"/>
      <c r="H102" s="55"/>
      <c r="I102" s="55"/>
      <c r="J102" s="55"/>
      <c r="N102" s="36"/>
    </row>
    <row r="103" spans="1:16" s="32" customFormat="1" ht="15.75" customHeight="1" x14ac:dyDescent="0.25">
      <c r="A103" s="54" t="s">
        <v>216</v>
      </c>
      <c r="B103" s="55"/>
      <c r="C103" s="55"/>
      <c r="D103" s="55"/>
      <c r="E103" s="55"/>
      <c r="F103" s="55"/>
      <c r="G103" s="55"/>
      <c r="H103" s="55"/>
      <c r="I103" s="55"/>
      <c r="J103" s="55"/>
      <c r="N103" s="36"/>
    </row>
    <row r="104" spans="1:16" s="32" customFormat="1" ht="15.75" customHeight="1" x14ac:dyDescent="0.25">
      <c r="A104" s="56">
        <v>1</v>
      </c>
      <c r="B104" s="57"/>
      <c r="C104" s="34" t="s">
        <v>208</v>
      </c>
      <c r="D104" s="35">
        <f>91.87*10.764</f>
        <v>988.88868000000002</v>
      </c>
      <c r="E104" s="35">
        <v>0</v>
      </c>
      <c r="F104" s="34">
        <f>D104*((F98)+1)+(IF(E104&lt;101,E104,IF(E104&lt;201,E104/2,IF(E104&lt;=301,E104/3,E104/4))))</f>
        <v>1582.221888</v>
      </c>
      <c r="G104" s="58" t="str">
        <f>A103</f>
        <v>4th to 6th, 8th to 13th, 15th to 19th, 21st, 23rd to 28th, 30th to 34th Floor for Residential</v>
      </c>
      <c r="H104" s="58"/>
      <c r="I104" s="58"/>
      <c r="J104" s="58"/>
      <c r="L104" s="59"/>
      <c r="M104" s="59"/>
      <c r="N104" s="36">
        <f>4.77*5.84+2.49*3.35+4.19*3.81+3.35*3.94+1.37*2.41+2.45*1.75+2.52*1.32+2.55*1.22+1.5*(3.8+4.85)</f>
        <v>92.362799999999993</v>
      </c>
    </row>
    <row r="105" spans="1:16" s="32" customFormat="1" ht="15.75" x14ac:dyDescent="0.25">
      <c r="A105" s="56">
        <f t="shared" ref="A105:A106" si="3">A104+1</f>
        <v>2</v>
      </c>
      <c r="B105" s="57"/>
      <c r="C105" s="34" t="s">
        <v>208</v>
      </c>
      <c r="D105" s="35">
        <f>91.87*10.764</f>
        <v>988.88868000000002</v>
      </c>
      <c r="E105" s="35">
        <v>0</v>
      </c>
      <c r="F105" s="34">
        <f>D105*(1.6)+(IF(E105&lt;101,E105,IF(E105&lt;201,E105/2,IF(E105&lt;=301,E105/3,E105/4))))</f>
        <v>1582.221888</v>
      </c>
      <c r="G105" s="58"/>
      <c r="H105" s="58"/>
      <c r="I105" s="58"/>
      <c r="J105" s="58"/>
      <c r="L105" s="59"/>
      <c r="M105" s="59"/>
      <c r="N105" s="36"/>
    </row>
    <row r="106" spans="1:16" s="32" customFormat="1" ht="15.75" x14ac:dyDescent="0.25">
      <c r="A106" s="56">
        <f t="shared" si="3"/>
        <v>3</v>
      </c>
      <c r="B106" s="57"/>
      <c r="C106" s="34" t="s">
        <v>209</v>
      </c>
      <c r="D106" s="35">
        <f>(130.56)*10.764</f>
        <v>1405.3478399999999</v>
      </c>
      <c r="E106" s="35">
        <v>0</v>
      </c>
      <c r="F106" s="34">
        <f>D106*(1.6)+(IF(E106&lt;101,E106,IF(E106&lt;201,E106/2,IF(E106&lt;=301,E106/3,E106/4))))</f>
        <v>2248.556544</v>
      </c>
      <c r="G106" s="58"/>
      <c r="H106" s="58"/>
      <c r="I106" s="58"/>
      <c r="J106" s="58"/>
      <c r="L106" s="59"/>
      <c r="M106" s="59"/>
      <c r="N106" s="36"/>
    </row>
    <row r="107" spans="1:16" s="32" customFormat="1" ht="15.75" customHeight="1" x14ac:dyDescent="0.25">
      <c r="A107" s="54" t="s">
        <v>225</v>
      </c>
      <c r="B107" s="55"/>
      <c r="C107" s="55"/>
      <c r="D107" s="55"/>
      <c r="E107" s="55"/>
      <c r="F107" s="55"/>
      <c r="G107" s="55"/>
      <c r="H107" s="55"/>
      <c r="I107" s="55"/>
      <c r="J107" s="55"/>
    </row>
    <row r="108" spans="1:16" s="32" customFormat="1" ht="15.75" customHeight="1" x14ac:dyDescent="0.25">
      <c r="A108" s="54" t="s">
        <v>212</v>
      </c>
      <c r="B108" s="55"/>
      <c r="C108" s="55"/>
      <c r="D108" s="55"/>
      <c r="E108" s="55"/>
      <c r="F108" s="55"/>
      <c r="G108" s="55"/>
      <c r="H108" s="55"/>
      <c r="I108" s="55"/>
      <c r="J108" s="55"/>
    </row>
    <row r="109" spans="1:16" s="32" customFormat="1" ht="15.75" customHeight="1" x14ac:dyDescent="0.25">
      <c r="A109" s="56">
        <v>1</v>
      </c>
      <c r="B109" s="57"/>
      <c r="C109" s="34" t="s">
        <v>208</v>
      </c>
      <c r="D109" s="35">
        <f>91.87*10.764</f>
        <v>988.88868000000002</v>
      </c>
      <c r="E109" s="35">
        <v>0</v>
      </c>
      <c r="F109" s="34">
        <f>D109*(1.6)+(IF(E109&lt;101,E109,IF(E109&lt;201,E109/2,IF(E109&lt;=301,E109/3,E109/4))))</f>
        <v>1582.221888</v>
      </c>
      <c r="G109" s="58" t="str">
        <f>A108</f>
        <v>7th, 14th, 22nd, 29th Floor (Part Refuge Area)</v>
      </c>
      <c r="H109" s="58"/>
      <c r="I109" s="58"/>
      <c r="J109" s="58"/>
      <c r="L109" s="59"/>
      <c r="M109" s="59"/>
      <c r="N109" s="33"/>
    </row>
    <row r="110" spans="1:16" s="32" customFormat="1" ht="15.75" x14ac:dyDescent="0.25">
      <c r="A110" s="56">
        <f t="shared" ref="A110:A111" si="4">A109+1</f>
        <v>2</v>
      </c>
      <c r="B110" s="57"/>
      <c r="C110" s="56" t="s">
        <v>213</v>
      </c>
      <c r="D110" s="63"/>
      <c r="E110" s="63"/>
      <c r="F110" s="57"/>
      <c r="G110" s="58"/>
      <c r="H110" s="58"/>
      <c r="I110" s="58"/>
      <c r="J110" s="58"/>
      <c r="L110" s="59"/>
      <c r="M110" s="59"/>
      <c r="N110" s="33"/>
    </row>
    <row r="111" spans="1:16" s="32" customFormat="1" ht="15.75" x14ac:dyDescent="0.25">
      <c r="A111" s="56">
        <f t="shared" si="4"/>
        <v>3</v>
      </c>
      <c r="B111" s="57"/>
      <c r="C111" s="34" t="s">
        <v>209</v>
      </c>
      <c r="D111" s="35">
        <f>(130.56)*10.764</f>
        <v>1405.3478399999999</v>
      </c>
      <c r="E111" s="35">
        <v>0</v>
      </c>
      <c r="F111" s="34">
        <f>D111*(1.6)+(IF(E111&lt;101,E111,IF(E111&lt;201,E111/2,IF(E111&lt;=301,E111/3,E111/4))))</f>
        <v>2248.556544</v>
      </c>
      <c r="G111" s="58"/>
      <c r="H111" s="58"/>
      <c r="I111" s="58"/>
      <c r="J111" s="58"/>
      <c r="L111" s="59"/>
      <c r="M111" s="59"/>
      <c r="N111" s="33">
        <f>35000000/F111</f>
        <v>15565.541410730029</v>
      </c>
      <c r="O111" s="32">
        <f>13600*F111</f>
        <v>30580368.998399999</v>
      </c>
      <c r="P111" s="32">
        <f>F111*50</f>
        <v>112427.8272</v>
      </c>
    </row>
    <row r="112" spans="1:16" s="32" customFormat="1" ht="15.75" customHeight="1" x14ac:dyDescent="0.25">
      <c r="A112" s="54" t="s">
        <v>214</v>
      </c>
      <c r="B112" s="55"/>
      <c r="C112" s="55"/>
      <c r="D112" s="55"/>
      <c r="E112" s="55"/>
      <c r="F112" s="55"/>
      <c r="G112" s="55"/>
      <c r="H112" s="55"/>
      <c r="I112" s="55"/>
      <c r="J112" s="55"/>
      <c r="O112" s="32">
        <f>O111+P111</f>
        <v>30692796.825599998</v>
      </c>
    </row>
    <row r="113" spans="1:14" s="32" customFormat="1" ht="15.75" customHeight="1" x14ac:dyDescent="0.25">
      <c r="A113" s="56">
        <v>1</v>
      </c>
      <c r="B113" s="57"/>
      <c r="C113" s="34" t="s">
        <v>217</v>
      </c>
      <c r="D113" s="35">
        <f>(288.7)*10.764</f>
        <v>3107.5667999999996</v>
      </c>
      <c r="E113" s="35">
        <v>0</v>
      </c>
      <c r="F113" s="34">
        <f>D113*(1.6)+(IF(E113&lt;101,E113,IF(E113&lt;201,E113/2,IF(E113&lt;=301,E113/3,E113/4))))</f>
        <v>4972.1068799999994</v>
      </c>
      <c r="G113" s="58" t="str">
        <f>A112</f>
        <v>35th Floor</v>
      </c>
      <c r="H113" s="58"/>
      <c r="I113" s="58"/>
      <c r="J113" s="58"/>
      <c r="L113" s="59"/>
      <c r="M113" s="59"/>
      <c r="N113" s="33"/>
    </row>
    <row r="114" spans="1:14" s="32" customFormat="1" ht="15.75" x14ac:dyDescent="0.25">
      <c r="A114" s="56">
        <f t="shared" ref="A114" si="5">A113+1</f>
        <v>2</v>
      </c>
      <c r="B114" s="57"/>
      <c r="C114" s="34" t="s">
        <v>215</v>
      </c>
      <c r="D114" s="35">
        <f>(176.88)*10.764</f>
        <v>1903.9363199999998</v>
      </c>
      <c r="E114" s="35">
        <v>0</v>
      </c>
      <c r="F114" s="34">
        <f>D114*(1.6)+(IF(E114&lt;101,E114,IF(E114&lt;201,E114/2,IF(E114&lt;=301,E114/3,E114/4))))</f>
        <v>3046.2981119999999</v>
      </c>
      <c r="G114" s="58"/>
      <c r="H114" s="58"/>
      <c r="I114" s="58"/>
      <c r="J114" s="58"/>
      <c r="L114" s="59"/>
      <c r="M114" s="59"/>
      <c r="N114" s="33"/>
    </row>
    <row r="115" spans="1:14" s="32" customFormat="1" ht="15.75" customHeight="1" x14ac:dyDescent="0.25">
      <c r="A115" s="54" t="s">
        <v>219</v>
      </c>
      <c r="B115" s="55"/>
      <c r="C115" s="55"/>
      <c r="D115" s="55"/>
      <c r="E115" s="55"/>
      <c r="F115" s="55"/>
      <c r="G115" s="55"/>
      <c r="H115" s="55"/>
      <c r="I115" s="55"/>
      <c r="J115" s="55"/>
    </row>
    <row r="116" spans="1:14" s="32" customFormat="1" ht="15.75" customHeight="1" x14ac:dyDescent="0.25">
      <c r="A116" s="56">
        <v>1</v>
      </c>
      <c r="B116" s="57"/>
      <c r="C116" s="37" t="s">
        <v>208</v>
      </c>
      <c r="D116" s="35">
        <f>(4.42*5.26+1.27*3.73+2.5*1.22+3.35*3.94+1.27*2.05+1.37*1.77+2.49*1.38+2.49*5.05+1.22*2.02+3.06*1.7+9.55*4.45+1.37*1.7+2.49*1.15+4.18*11.31+(1.5*2.73))*10.764</f>
        <v>1851.4252223999999</v>
      </c>
      <c r="E116" s="35">
        <v>0</v>
      </c>
      <c r="F116" s="34">
        <f>D116*(1.6)+(IF(E116&lt;101,E116,IF(E116&lt;201,E116/2,IF(E116&lt;=301,E116/3,E116/4))))</f>
        <v>2962.2803558400001</v>
      </c>
      <c r="G116" s="58" t="str">
        <f>A115</f>
        <v>36th Floor (Part Refuge Area)</v>
      </c>
      <c r="H116" s="58"/>
      <c r="I116" s="58"/>
      <c r="J116" s="58"/>
      <c r="L116" s="59"/>
      <c r="M116" s="59"/>
      <c r="N116" s="33"/>
    </row>
    <row r="117" spans="1:14" s="32" customFormat="1" ht="15.75" x14ac:dyDescent="0.25">
      <c r="A117" s="56">
        <f t="shared" ref="A117:A118" si="6">A116+1</f>
        <v>2</v>
      </c>
      <c r="B117" s="57"/>
      <c r="C117" s="56" t="s">
        <v>213</v>
      </c>
      <c r="D117" s="63"/>
      <c r="E117" s="63"/>
      <c r="F117" s="57"/>
      <c r="G117" s="58"/>
      <c r="H117" s="58"/>
      <c r="I117" s="58"/>
      <c r="J117" s="58"/>
      <c r="L117" s="59"/>
      <c r="M117" s="59"/>
      <c r="N117" s="33"/>
    </row>
    <row r="118" spans="1:14" s="32" customFormat="1" ht="15.75" x14ac:dyDescent="0.25">
      <c r="A118" s="56">
        <f t="shared" si="6"/>
        <v>3</v>
      </c>
      <c r="B118" s="57"/>
      <c r="C118" s="34" t="s">
        <v>215</v>
      </c>
      <c r="D118" s="35">
        <f>169.88*10.764</f>
        <v>1828.5883199999998</v>
      </c>
      <c r="E118" s="35">
        <v>0</v>
      </c>
      <c r="F118" s="34">
        <f>D118*(1.6)+(IF(E118&lt;101,E118,IF(E118&lt;201,E118/2,IF(E118&lt;=301,E118/3,E118/4))))</f>
        <v>2925.7413120000001</v>
      </c>
      <c r="G118" s="58"/>
      <c r="H118" s="58"/>
      <c r="I118" s="58"/>
      <c r="J118" s="58"/>
      <c r="L118" s="59"/>
      <c r="M118" s="59"/>
      <c r="N118" s="33"/>
    </row>
    <row r="119" spans="1:14" s="32" customFormat="1" ht="15.75" customHeight="1" x14ac:dyDescent="0.25">
      <c r="A119" s="54" t="s">
        <v>221</v>
      </c>
      <c r="B119" s="55"/>
      <c r="C119" s="55"/>
      <c r="D119" s="55"/>
      <c r="E119" s="55"/>
      <c r="F119" s="55"/>
      <c r="G119" s="55"/>
      <c r="H119" s="55"/>
      <c r="I119" s="55"/>
      <c r="J119" s="55"/>
    </row>
    <row r="120" spans="1:14" s="32" customFormat="1" ht="15.75" customHeight="1" x14ac:dyDescent="0.25">
      <c r="A120" s="56">
        <v>1</v>
      </c>
      <c r="B120" s="57"/>
      <c r="C120" s="34" t="s">
        <v>217</v>
      </c>
      <c r="D120" s="35">
        <f>291.55*10.764</f>
        <v>3138.2442000000001</v>
      </c>
      <c r="E120" s="35">
        <v>0</v>
      </c>
      <c r="F120" s="34">
        <f>D120*(1.6)+(IF(E120&lt;101,E120,IF(E120&lt;201,E120/2,IF(E120&lt;=301,E120/3,E120/4))))</f>
        <v>5021.1907200000005</v>
      </c>
      <c r="G120" s="58" t="str">
        <f>A119</f>
        <v>37th to 42nd Floor</v>
      </c>
      <c r="H120" s="58"/>
      <c r="I120" s="58"/>
      <c r="J120" s="58"/>
      <c r="L120" s="59"/>
      <c r="M120" s="59"/>
      <c r="N120" s="33"/>
    </row>
    <row r="121" spans="1:14" s="32" customFormat="1" ht="15.75" x14ac:dyDescent="0.25">
      <c r="A121" s="56">
        <f t="shared" ref="A121" si="7">A120+1</f>
        <v>2</v>
      </c>
      <c r="B121" s="57"/>
      <c r="C121" s="34" t="s">
        <v>209</v>
      </c>
      <c r="D121" s="35">
        <f>(130.56)*10.764</f>
        <v>1405.3478399999999</v>
      </c>
      <c r="E121" s="35">
        <v>0</v>
      </c>
      <c r="F121" s="34">
        <f>D121*(1.6)+(IF(E121&lt;101,E121,IF(E121&lt;201,E121/2,IF(E121&lt;=301,E121/3,E121/4))))</f>
        <v>2248.556544</v>
      </c>
      <c r="G121" s="58"/>
      <c r="H121" s="58"/>
      <c r="I121" s="58"/>
      <c r="J121" s="58"/>
      <c r="L121" s="59"/>
      <c r="M121" s="59"/>
      <c r="N121" s="33"/>
    </row>
    <row r="122" spans="1:14" s="32" customFormat="1" ht="15.75" customHeight="1" x14ac:dyDescent="0.25">
      <c r="A122" s="54" t="s">
        <v>222</v>
      </c>
      <c r="B122" s="55"/>
      <c r="C122" s="55"/>
      <c r="D122" s="55"/>
      <c r="E122" s="55"/>
      <c r="F122" s="55"/>
      <c r="G122" s="55"/>
      <c r="H122" s="55"/>
      <c r="I122" s="55"/>
      <c r="J122" s="55"/>
    </row>
    <row r="123" spans="1:14" s="32" customFormat="1" ht="15.75" customHeight="1" x14ac:dyDescent="0.25">
      <c r="A123" s="56">
        <v>1</v>
      </c>
      <c r="B123" s="57"/>
      <c r="C123" s="37" t="s">
        <v>208</v>
      </c>
      <c r="D123" s="35">
        <f>(4.42*5.26+1.27*3.73+2.5*1.22+3.35*3.94+1.27*2.05+1.37*1.77+2.49*1.38+2.49*5.05+1.22*2.02+3.06*1.7+9.55*4.45+1.37*1.7+2.49*1.15+4.18*11.31+(1.5*2.73))*10.764</f>
        <v>1851.4252223999999</v>
      </c>
      <c r="E123" s="35">
        <v>0</v>
      </c>
      <c r="F123" s="34">
        <f>D123*(1.6)+(IF(E123&lt;101,E123,IF(E123&lt;201,E123/2,IF(E123&lt;=301,E123/3,E123/4))))</f>
        <v>2962.2803558400001</v>
      </c>
      <c r="G123" s="58" t="str">
        <f>A122</f>
        <v>43rd Floor (Part Refuge Area)</v>
      </c>
      <c r="H123" s="58"/>
      <c r="I123" s="58"/>
      <c r="J123" s="58"/>
      <c r="L123" s="59"/>
      <c r="M123" s="59"/>
      <c r="N123" s="33"/>
    </row>
    <row r="124" spans="1:14" s="32" customFormat="1" ht="15.75" x14ac:dyDescent="0.25">
      <c r="A124" s="56">
        <f t="shared" ref="A124" si="8">A123+1</f>
        <v>2</v>
      </c>
      <c r="B124" s="57"/>
      <c r="C124" s="34" t="s">
        <v>209</v>
      </c>
      <c r="D124" s="35">
        <f>(130.56)*10.764</f>
        <v>1405.3478399999999</v>
      </c>
      <c r="E124" s="35">
        <v>0</v>
      </c>
      <c r="F124" s="34">
        <f>D124*(1.6)+(IF(E124&lt;101,E124,IF(E124&lt;201,E124/2,IF(E124&lt;=301,E124/3,E124/4))))</f>
        <v>2248.556544</v>
      </c>
      <c r="G124" s="58"/>
      <c r="H124" s="58"/>
      <c r="I124" s="58"/>
      <c r="J124" s="58"/>
      <c r="L124" s="59"/>
      <c r="M124" s="59"/>
      <c r="N124" s="33"/>
    </row>
    <row r="125" spans="1:14" s="32" customFormat="1" ht="15.75" customHeight="1" x14ac:dyDescent="0.25">
      <c r="A125" s="54" t="s">
        <v>228</v>
      </c>
      <c r="B125" s="55"/>
      <c r="C125" s="55"/>
      <c r="D125" s="55"/>
      <c r="E125" s="55"/>
      <c r="F125" s="55"/>
      <c r="G125" s="55"/>
      <c r="H125" s="55"/>
      <c r="I125" s="55"/>
      <c r="J125" s="55"/>
    </row>
    <row r="126" spans="1:14" s="32" customFormat="1" ht="64.5" customHeight="1" x14ac:dyDescent="0.25">
      <c r="A126" s="56">
        <v>1</v>
      </c>
      <c r="B126" s="57"/>
      <c r="C126" s="37" t="s">
        <v>226</v>
      </c>
      <c r="D126" s="35">
        <f>508.19*10.764</f>
        <v>5470.1571599999997</v>
      </c>
      <c r="E126" s="35">
        <v>0</v>
      </c>
      <c r="F126" s="34">
        <f>D126*(1.6)+(IF(E126&lt;101,E126,IF(E126&lt;201,E126/2,IF(E126&lt;=301,E126/3,E126/4))))</f>
        <v>8752.251456</v>
      </c>
      <c r="G126" s="58" t="str">
        <f>A125</f>
        <v>44th Floor (Duplex with 45th Floor)</v>
      </c>
      <c r="H126" s="58"/>
      <c r="I126" s="58"/>
      <c r="J126" s="58"/>
      <c r="L126" s="59"/>
      <c r="M126" s="59"/>
      <c r="N126" s="33"/>
    </row>
    <row r="127" spans="1:14" s="32" customFormat="1" ht="15.75" x14ac:dyDescent="0.25">
      <c r="A127" s="56">
        <f t="shared" ref="A127" si="9">A126+1</f>
        <v>2</v>
      </c>
      <c r="B127" s="57"/>
      <c r="C127" s="34" t="s">
        <v>209</v>
      </c>
      <c r="D127" s="35">
        <f>(130.56)*10.764</f>
        <v>1405.3478399999999</v>
      </c>
      <c r="E127" s="35">
        <v>0</v>
      </c>
      <c r="F127" s="34">
        <f>D127*(1.6)+(IF(E127&lt;101,E127,IF(E127&lt;201,E127/2,IF(E127&lt;=301,E127/3,E127/4))))</f>
        <v>2248.556544</v>
      </c>
      <c r="G127" s="58"/>
      <c r="H127" s="58"/>
      <c r="I127" s="58"/>
      <c r="J127" s="58"/>
      <c r="L127" s="59"/>
      <c r="M127" s="59"/>
      <c r="N127" s="33"/>
    </row>
    <row r="128" spans="1:14" s="32" customFormat="1" ht="15.75" customHeight="1" x14ac:dyDescent="0.25">
      <c r="A128" s="54" t="s">
        <v>223</v>
      </c>
      <c r="B128" s="55"/>
      <c r="C128" s="55"/>
      <c r="D128" s="55"/>
      <c r="E128" s="55"/>
      <c r="F128" s="55"/>
      <c r="G128" s="55"/>
      <c r="H128" s="55"/>
      <c r="I128" s="55"/>
      <c r="J128" s="55"/>
    </row>
    <row r="129" spans="1:14" s="32" customFormat="1" ht="15.75" x14ac:dyDescent="0.25">
      <c r="A129" s="56">
        <v>1</v>
      </c>
      <c r="B129" s="57"/>
      <c r="C129" s="60" t="s">
        <v>227</v>
      </c>
      <c r="D129" s="61"/>
      <c r="E129" s="61"/>
      <c r="F129" s="62"/>
      <c r="G129" s="58" t="str">
        <f>A128</f>
        <v>45th Floor</v>
      </c>
      <c r="H129" s="58"/>
      <c r="I129" s="58"/>
      <c r="J129" s="58"/>
      <c r="L129" s="59"/>
      <c r="M129" s="59"/>
      <c r="N129" s="33"/>
    </row>
    <row r="130" spans="1:14" s="32" customFormat="1" ht="15.75" x14ac:dyDescent="0.25">
      <c r="A130" s="56">
        <f t="shared" ref="A130" si="10">A129+1</f>
        <v>2</v>
      </c>
      <c r="B130" s="57"/>
      <c r="C130" s="34" t="s">
        <v>209</v>
      </c>
      <c r="D130" s="35">
        <f>(130.56)*10.764</f>
        <v>1405.3478399999999</v>
      </c>
      <c r="E130" s="35">
        <v>0</v>
      </c>
      <c r="F130" s="34">
        <f>D130*(1.6)+(IF(E130&lt;101,E130,IF(E130&lt;201,E130/2,IF(E130&lt;=301,E130/3,E130/4))))</f>
        <v>2248.556544</v>
      </c>
      <c r="G130" s="58"/>
      <c r="H130" s="58"/>
      <c r="I130" s="58"/>
      <c r="J130" s="58"/>
      <c r="L130" s="59"/>
      <c r="M130" s="59"/>
      <c r="N130" s="33"/>
    </row>
    <row r="131" spans="1:14" s="32" customFormat="1" ht="15.75" customHeight="1" x14ac:dyDescent="0.25">
      <c r="A131" s="68" t="s">
        <v>210</v>
      </c>
      <c r="B131" s="69"/>
      <c r="C131" s="69"/>
      <c r="D131" s="69"/>
      <c r="E131" s="69"/>
      <c r="F131" s="69"/>
      <c r="G131" s="69"/>
      <c r="H131" s="69"/>
      <c r="I131" s="69"/>
      <c r="J131" s="69"/>
    </row>
    <row r="132" spans="1:14" s="32" customFormat="1" ht="15.75" customHeight="1" x14ac:dyDescent="0.25">
      <c r="A132" s="54" t="s">
        <v>204</v>
      </c>
      <c r="B132" s="55"/>
      <c r="C132" s="55"/>
      <c r="D132" s="55"/>
      <c r="E132" s="55"/>
      <c r="F132" s="55"/>
      <c r="G132" s="55"/>
      <c r="H132" s="55"/>
      <c r="I132" s="55"/>
      <c r="J132" s="55"/>
    </row>
    <row r="133" spans="1:14" s="32" customFormat="1" ht="15.75" customHeight="1" x14ac:dyDescent="0.25">
      <c r="A133" s="54" t="s">
        <v>205</v>
      </c>
      <c r="B133" s="55"/>
      <c r="C133" s="55"/>
      <c r="D133" s="55"/>
      <c r="E133" s="55"/>
      <c r="F133" s="55"/>
      <c r="G133" s="55"/>
      <c r="H133" s="55"/>
      <c r="I133" s="55"/>
      <c r="J133" s="55"/>
    </row>
    <row r="134" spans="1:14" s="32" customFormat="1" ht="15.75" customHeight="1" x14ac:dyDescent="0.25">
      <c r="A134" s="54" t="s">
        <v>207</v>
      </c>
      <c r="B134" s="55"/>
      <c r="C134" s="55"/>
      <c r="D134" s="55"/>
      <c r="E134" s="55"/>
      <c r="F134" s="55"/>
      <c r="G134" s="55"/>
      <c r="H134" s="55"/>
      <c r="I134" s="55"/>
      <c r="J134" s="55"/>
    </row>
    <row r="135" spans="1:14" s="32" customFormat="1" ht="15.75" customHeight="1" x14ac:dyDescent="0.25">
      <c r="A135" s="54" t="s">
        <v>211</v>
      </c>
      <c r="B135" s="55"/>
      <c r="C135" s="55"/>
      <c r="D135" s="55"/>
      <c r="E135" s="55"/>
      <c r="F135" s="55"/>
      <c r="G135" s="55"/>
      <c r="H135" s="55"/>
      <c r="I135" s="55"/>
      <c r="J135" s="55"/>
    </row>
    <row r="136" spans="1:14" s="32" customFormat="1" ht="15.75" customHeight="1" x14ac:dyDescent="0.25">
      <c r="A136" s="56">
        <v>1</v>
      </c>
      <c r="B136" s="57"/>
      <c r="C136" s="34" t="s">
        <v>208</v>
      </c>
      <c r="D136" s="35">
        <f>91.87*10.764</f>
        <v>988.88868000000002</v>
      </c>
      <c r="E136" s="35">
        <v>0</v>
      </c>
      <c r="F136" s="34">
        <f>D136*(1.6)+(IF(E136&lt;101,E136,IF(E136&lt;201,E136/2,IF(E136&lt;=301,E136/3,E136/4))))</f>
        <v>1582.221888</v>
      </c>
      <c r="G136" s="58" t="str">
        <f>A135</f>
        <v>4th, 6th, 8th to 13th, 15th to 19th, 21st, 23rd to 28th, 30th to 34th Floor for Residential</v>
      </c>
      <c r="H136" s="58"/>
      <c r="I136" s="58"/>
      <c r="J136" s="58"/>
      <c r="L136" s="59"/>
      <c r="M136" s="59"/>
      <c r="N136" s="33"/>
    </row>
    <row r="137" spans="1:14" s="32" customFormat="1" ht="15.75" x14ac:dyDescent="0.25">
      <c r="A137" s="56">
        <f t="shared" ref="A137:A138" si="11">A136+1</f>
        <v>2</v>
      </c>
      <c r="B137" s="57"/>
      <c r="C137" s="34" t="s">
        <v>208</v>
      </c>
      <c r="D137" s="35">
        <f>91.87*10.764</f>
        <v>988.88868000000002</v>
      </c>
      <c r="E137" s="35">
        <v>0</v>
      </c>
      <c r="F137" s="34">
        <f t="shared" ref="F137:F138" si="12">D137*(1.6)+(IF(E137&lt;101,E137,IF(E137&lt;201,E137/2,IF(E137&lt;=301,E137/3,E137/4))))</f>
        <v>1582.221888</v>
      </c>
      <c r="G137" s="58"/>
      <c r="H137" s="58"/>
      <c r="I137" s="58"/>
      <c r="J137" s="58"/>
      <c r="L137" s="59"/>
      <c r="M137" s="59"/>
      <c r="N137" s="33"/>
    </row>
    <row r="138" spans="1:14" s="32" customFormat="1" ht="15.75" x14ac:dyDescent="0.25">
      <c r="A138" s="56">
        <f t="shared" si="11"/>
        <v>3</v>
      </c>
      <c r="B138" s="57"/>
      <c r="C138" s="34" t="s">
        <v>209</v>
      </c>
      <c r="D138" s="35">
        <f>(130.56)*10.764</f>
        <v>1405.3478399999999</v>
      </c>
      <c r="E138" s="35">
        <v>0</v>
      </c>
      <c r="F138" s="34">
        <f t="shared" si="12"/>
        <v>2248.556544</v>
      </c>
      <c r="G138" s="58"/>
      <c r="H138" s="58"/>
      <c r="I138" s="58"/>
      <c r="J138" s="58"/>
      <c r="L138" s="59"/>
      <c r="M138" s="59"/>
      <c r="N138" s="33"/>
    </row>
    <row r="139" spans="1:14" s="32" customFormat="1" ht="15.75" customHeight="1" x14ac:dyDescent="0.25">
      <c r="A139" s="54" t="s">
        <v>225</v>
      </c>
      <c r="B139" s="55"/>
      <c r="C139" s="55"/>
      <c r="D139" s="55"/>
      <c r="E139" s="55"/>
      <c r="F139" s="55"/>
      <c r="G139" s="55"/>
      <c r="H139" s="55"/>
      <c r="I139" s="55"/>
      <c r="J139" s="55"/>
    </row>
    <row r="140" spans="1:14" s="32" customFormat="1" ht="15.75" customHeight="1" x14ac:dyDescent="0.25">
      <c r="A140" s="54" t="s">
        <v>212</v>
      </c>
      <c r="B140" s="55"/>
      <c r="C140" s="55"/>
      <c r="D140" s="55"/>
      <c r="E140" s="55"/>
      <c r="F140" s="55"/>
      <c r="G140" s="55"/>
      <c r="H140" s="55"/>
      <c r="I140" s="55"/>
      <c r="J140" s="55"/>
    </row>
    <row r="141" spans="1:14" s="32" customFormat="1" ht="15.75" customHeight="1" x14ac:dyDescent="0.25">
      <c r="A141" s="56">
        <v>1</v>
      </c>
      <c r="B141" s="57"/>
      <c r="C141" s="34" t="s">
        <v>208</v>
      </c>
      <c r="D141" s="35">
        <f>91.87*10.764</f>
        <v>988.88868000000002</v>
      </c>
      <c r="E141" s="35">
        <v>0</v>
      </c>
      <c r="F141" s="34">
        <f>D141*(1.6)+(IF(E141&lt;101,E141,IF(E141&lt;201,E141/2,IF(E141&lt;=301,E141/3,E141/4))))</f>
        <v>1582.221888</v>
      </c>
      <c r="G141" s="58" t="str">
        <f>A140</f>
        <v>7th, 14th, 22nd, 29th Floor (Part Refuge Area)</v>
      </c>
      <c r="H141" s="58"/>
      <c r="I141" s="58"/>
      <c r="J141" s="58"/>
      <c r="L141" s="59"/>
      <c r="M141" s="59"/>
      <c r="N141" s="33"/>
    </row>
    <row r="142" spans="1:14" s="32" customFormat="1" ht="15.75" x14ac:dyDescent="0.25">
      <c r="A142" s="56">
        <f t="shared" ref="A142:A143" si="13">A141+1</f>
        <v>2</v>
      </c>
      <c r="B142" s="57"/>
      <c r="C142" s="56" t="s">
        <v>213</v>
      </c>
      <c r="D142" s="63"/>
      <c r="E142" s="63"/>
      <c r="F142" s="57"/>
      <c r="G142" s="58"/>
      <c r="H142" s="58"/>
      <c r="I142" s="58"/>
      <c r="J142" s="58"/>
      <c r="L142" s="59"/>
      <c r="M142" s="59"/>
      <c r="N142" s="33"/>
    </row>
    <row r="143" spans="1:14" s="32" customFormat="1" ht="15.75" x14ac:dyDescent="0.25">
      <c r="A143" s="56">
        <f t="shared" si="13"/>
        <v>3</v>
      </c>
      <c r="B143" s="57"/>
      <c r="C143" s="34" t="s">
        <v>209</v>
      </c>
      <c r="D143" s="35">
        <f>(130.56)*10.764</f>
        <v>1405.3478399999999</v>
      </c>
      <c r="E143" s="35">
        <v>0</v>
      </c>
      <c r="F143" s="34">
        <f>D143*(1.6)+(IF(E143&lt;101,E143,IF(E143&lt;201,E143/2,IF(E143&lt;=301,E143/3,E143/4))))</f>
        <v>2248.556544</v>
      </c>
      <c r="G143" s="58"/>
      <c r="H143" s="58"/>
      <c r="I143" s="58"/>
      <c r="J143" s="58"/>
      <c r="L143" s="59"/>
      <c r="M143" s="59"/>
      <c r="N143" s="33"/>
    </row>
    <row r="144" spans="1:14" s="32" customFormat="1" ht="15.75" customHeight="1" x14ac:dyDescent="0.25">
      <c r="A144" s="54" t="s">
        <v>214</v>
      </c>
      <c r="B144" s="55"/>
      <c r="C144" s="55"/>
      <c r="D144" s="55"/>
      <c r="E144" s="55"/>
      <c r="F144" s="55"/>
      <c r="G144" s="55"/>
      <c r="H144" s="55"/>
      <c r="I144" s="55"/>
      <c r="J144" s="55"/>
    </row>
    <row r="145" spans="1:14" s="32" customFormat="1" ht="15.75" customHeight="1" x14ac:dyDescent="0.25">
      <c r="A145" s="56">
        <v>1</v>
      </c>
      <c r="B145" s="57"/>
      <c r="C145" s="34" t="s">
        <v>217</v>
      </c>
      <c r="D145" s="35">
        <f>291.55*10.764</f>
        <v>3138.2442000000001</v>
      </c>
      <c r="E145" s="35">
        <v>0</v>
      </c>
      <c r="F145" s="34">
        <f>D145*(1.6)+(IF(E145&lt;101,E145,IF(E145&lt;201,E145/2,IF(E145&lt;=301,E145/3,E145/4))))</f>
        <v>5021.1907200000005</v>
      </c>
      <c r="G145" s="58" t="str">
        <f>A144</f>
        <v>35th Floor</v>
      </c>
      <c r="H145" s="58"/>
      <c r="I145" s="58"/>
      <c r="J145" s="58"/>
      <c r="L145" s="59"/>
      <c r="M145" s="59"/>
      <c r="N145" s="33"/>
    </row>
    <row r="146" spans="1:14" s="32" customFormat="1" ht="47.25" x14ac:dyDescent="0.25">
      <c r="A146" s="56">
        <f t="shared" ref="A146" si="14">A145+1</f>
        <v>2</v>
      </c>
      <c r="B146" s="57"/>
      <c r="C146" s="34" t="s">
        <v>218</v>
      </c>
      <c r="D146" s="35">
        <f>((1.5*4.2+2.15*(2.98+2.98)+4.2*5.23+3.01*4.34+2.98*2.88+3.36*4.02+3.64*5.32+1.1*2.75+1.37*2.05+1.1*0.9+0.95*1.1+1.1*5.8+1.37*0.9)+(1.67*4.29+3.67*4.21+0.9*1.55+1.95*1.3+1.37*1.1+1.37*1.17+2*1.3+4.65*4.85+4.6*1.55+2.13*1.3))*10.764</f>
        <v>1892.1572748000001</v>
      </c>
      <c r="E146" s="35">
        <v>0</v>
      </c>
      <c r="F146" s="34">
        <f>D146*(1.6)+(IF(E146&lt;101,E146,IF(E146&lt;201,E146/2,IF(E146&lt;=301,E146/3,E146/4))))</f>
        <v>3027.4516396800004</v>
      </c>
      <c r="G146" s="58"/>
      <c r="H146" s="58"/>
      <c r="I146" s="58"/>
      <c r="J146" s="58"/>
      <c r="L146" s="59"/>
      <c r="M146" s="59"/>
      <c r="N146" s="33"/>
    </row>
    <row r="147" spans="1:14" s="32" customFormat="1" ht="15.75" customHeight="1" x14ac:dyDescent="0.25">
      <c r="A147" s="54" t="s">
        <v>219</v>
      </c>
      <c r="B147" s="55"/>
      <c r="C147" s="55"/>
      <c r="D147" s="55"/>
      <c r="E147" s="55"/>
      <c r="F147" s="55"/>
      <c r="G147" s="55"/>
      <c r="H147" s="55"/>
      <c r="I147" s="55"/>
      <c r="J147" s="55"/>
    </row>
    <row r="148" spans="1:14" s="32" customFormat="1" ht="15.75" customHeight="1" x14ac:dyDescent="0.25">
      <c r="A148" s="56">
        <v>1</v>
      </c>
      <c r="B148" s="57"/>
      <c r="C148" s="37" t="s">
        <v>208</v>
      </c>
      <c r="D148" s="35">
        <f>(4.42*5.26+1.27*3.73+2.5*1.22+3.35*3.94+1.27*2.05+1.37*1.77+2.49*1.38+2.49*5.05+1.22*2.02+3.06*1.7+9.55*4.45+1.37*1.7+2.49*1.15+4.18*11.31+(1.5*2.73))*10.764</f>
        <v>1851.4252223999999</v>
      </c>
      <c r="E148" s="35">
        <v>0</v>
      </c>
      <c r="F148" s="34">
        <f>D148*(1.6)+(IF(E148&lt;101,E148,IF(E148&lt;201,E148/2,IF(E148&lt;=301,E148/3,E148/4))))</f>
        <v>2962.2803558400001</v>
      </c>
      <c r="G148" s="58" t="str">
        <f>A147</f>
        <v>36th Floor (Part Refuge Area)</v>
      </c>
      <c r="H148" s="58"/>
      <c r="I148" s="58"/>
      <c r="J148" s="58"/>
      <c r="L148" s="59"/>
      <c r="M148" s="59"/>
      <c r="N148" s="33"/>
    </row>
    <row r="149" spans="1:14" s="32" customFormat="1" ht="15.75" x14ac:dyDescent="0.25">
      <c r="A149" s="56">
        <f t="shared" ref="A149:A150" si="15">A148+1</f>
        <v>2</v>
      </c>
      <c r="B149" s="57"/>
      <c r="C149" s="56" t="s">
        <v>213</v>
      </c>
      <c r="D149" s="63"/>
      <c r="E149" s="63"/>
      <c r="F149" s="57"/>
      <c r="G149" s="58"/>
      <c r="H149" s="58"/>
      <c r="I149" s="58"/>
      <c r="J149" s="58"/>
      <c r="L149" s="59"/>
      <c r="M149" s="59"/>
      <c r="N149" s="33"/>
    </row>
    <row r="150" spans="1:14" s="32" customFormat="1" ht="15.75" x14ac:dyDescent="0.25">
      <c r="A150" s="56">
        <f t="shared" si="15"/>
        <v>3</v>
      </c>
      <c r="B150" s="57"/>
      <c r="C150" s="56" t="s">
        <v>220</v>
      </c>
      <c r="D150" s="63"/>
      <c r="E150" s="63"/>
      <c r="F150" s="57"/>
      <c r="G150" s="58"/>
      <c r="H150" s="58"/>
      <c r="I150" s="58"/>
      <c r="J150" s="58"/>
      <c r="L150" s="59"/>
      <c r="M150" s="59"/>
      <c r="N150" s="33"/>
    </row>
    <row r="151" spans="1:14" s="32" customFormat="1" ht="15.75" customHeight="1" x14ac:dyDescent="0.25">
      <c r="A151" s="54" t="s">
        <v>221</v>
      </c>
      <c r="B151" s="55"/>
      <c r="C151" s="55"/>
      <c r="D151" s="55"/>
      <c r="E151" s="55"/>
      <c r="F151" s="55"/>
      <c r="G151" s="55"/>
      <c r="H151" s="55"/>
      <c r="I151" s="55"/>
      <c r="J151" s="55"/>
    </row>
    <row r="152" spans="1:14" s="32" customFormat="1" ht="15.75" customHeight="1" x14ac:dyDescent="0.25">
      <c r="A152" s="56">
        <v>1</v>
      </c>
      <c r="B152" s="57"/>
      <c r="C152" s="34" t="s">
        <v>217</v>
      </c>
      <c r="D152" s="35">
        <f>291.55*10.764</f>
        <v>3138.2442000000001</v>
      </c>
      <c r="E152" s="35">
        <v>0</v>
      </c>
      <c r="F152" s="34">
        <f>D152*(1.6)+(IF(E152&lt;101,E152,IF(E152&lt;201,E152/2,IF(E152&lt;=301,E152/3,E152/4))))</f>
        <v>5021.1907200000005</v>
      </c>
      <c r="G152" s="58" t="str">
        <f>A151</f>
        <v>37th to 42nd Floor</v>
      </c>
      <c r="H152" s="58"/>
      <c r="I152" s="58"/>
      <c r="J152" s="58"/>
      <c r="L152" s="59"/>
      <c r="M152" s="59"/>
      <c r="N152" s="33"/>
    </row>
    <row r="153" spans="1:14" s="32" customFormat="1" ht="15.75" x14ac:dyDescent="0.25">
      <c r="A153" s="56">
        <f t="shared" ref="A153" si="16">A152+1</f>
        <v>2</v>
      </c>
      <c r="B153" s="57"/>
      <c r="C153" s="34" t="s">
        <v>209</v>
      </c>
      <c r="D153" s="35">
        <f>(130.56)*10.764</f>
        <v>1405.3478399999999</v>
      </c>
      <c r="E153" s="35">
        <v>0</v>
      </c>
      <c r="F153" s="34">
        <f>D153*(($F$178)+1)+(IF(E153&lt;101,E153,IF(E153&lt;201,E153/2,IF(E153&lt;=301,E153/3,E153/4))))</f>
        <v>1405.3478399999999</v>
      </c>
      <c r="G153" s="58"/>
      <c r="H153" s="58"/>
      <c r="I153" s="58"/>
      <c r="J153" s="58"/>
      <c r="L153" s="59"/>
      <c r="M153" s="59"/>
      <c r="N153" s="33"/>
    </row>
    <row r="154" spans="1:14" s="32" customFormat="1" ht="15.75" customHeight="1" x14ac:dyDescent="0.25">
      <c r="A154" s="54" t="s">
        <v>222</v>
      </c>
      <c r="B154" s="55"/>
      <c r="C154" s="55"/>
      <c r="D154" s="55"/>
      <c r="E154" s="55"/>
      <c r="F154" s="55"/>
      <c r="G154" s="55"/>
      <c r="H154" s="55"/>
      <c r="I154" s="55"/>
      <c r="J154" s="55"/>
    </row>
    <row r="155" spans="1:14" s="32" customFormat="1" ht="15.75" customHeight="1" x14ac:dyDescent="0.25">
      <c r="A155" s="56">
        <v>1</v>
      </c>
      <c r="B155" s="57"/>
      <c r="C155" s="37" t="s">
        <v>208</v>
      </c>
      <c r="D155" s="35">
        <f>(4.42*5.26+1.27*3.73+2.5*1.22+3.35*3.94+1.27*2.05+1.37*1.77+2.49*1.38+2.49*5.05+1.22*2.02+3.06*1.7+9.55*4.45+1.37*1.7+2.49*1.15+4.18*11.31+(1.5*2.73))*10.764</f>
        <v>1851.4252223999999</v>
      </c>
      <c r="E155" s="35">
        <v>0</v>
      </c>
      <c r="F155" s="34">
        <f>D155*(($F$178)+1)+(IF(E155&lt;101,E155,IF(E155&lt;201,E155/2,IF(E155&lt;=301,E155/3,E155/4))))</f>
        <v>1851.4252223999999</v>
      </c>
      <c r="G155" s="58" t="str">
        <f>A154</f>
        <v>43rd Floor (Part Refuge Area)</v>
      </c>
      <c r="H155" s="58"/>
      <c r="I155" s="58"/>
      <c r="J155" s="58"/>
      <c r="L155" s="59"/>
      <c r="M155" s="59"/>
      <c r="N155" s="33"/>
    </row>
    <row r="156" spans="1:14" s="32" customFormat="1" ht="15.75" x14ac:dyDescent="0.25">
      <c r="A156" s="56">
        <f t="shared" ref="A156" si="17">A155+1</f>
        <v>2</v>
      </c>
      <c r="B156" s="57"/>
      <c r="C156" s="34" t="s">
        <v>209</v>
      </c>
      <c r="D156" s="35">
        <f>(130.56)*10.764</f>
        <v>1405.3478399999999</v>
      </c>
      <c r="E156" s="35">
        <v>0</v>
      </c>
      <c r="F156" s="34">
        <f>D156*(1.6)+(IF(E156&lt;101,E156,IF(E156&lt;201,E156/2,IF(E156&lt;=301,E156/3,E156/4))))</f>
        <v>2248.556544</v>
      </c>
      <c r="G156" s="58"/>
      <c r="H156" s="58"/>
      <c r="I156" s="58"/>
      <c r="J156" s="58"/>
      <c r="L156" s="59"/>
      <c r="M156" s="59"/>
      <c r="N156" s="33"/>
    </row>
    <row r="157" spans="1:14" s="32" customFormat="1" ht="15.75" customHeight="1" x14ac:dyDescent="0.25">
      <c r="A157" s="54" t="s">
        <v>228</v>
      </c>
      <c r="B157" s="55"/>
      <c r="C157" s="55"/>
      <c r="D157" s="55"/>
      <c r="E157" s="55"/>
      <c r="F157" s="55"/>
      <c r="G157" s="55"/>
      <c r="H157" s="55"/>
      <c r="I157" s="55"/>
      <c r="J157" s="55"/>
    </row>
    <row r="158" spans="1:14" s="32" customFormat="1" ht="47.25" customHeight="1" x14ac:dyDescent="0.25">
      <c r="A158" s="56">
        <v>1</v>
      </c>
      <c r="B158" s="57"/>
      <c r="C158" s="37" t="s">
        <v>226</v>
      </c>
      <c r="D158" s="35">
        <f>508.19*10.764</f>
        <v>5470.1571599999997</v>
      </c>
      <c r="E158" s="35">
        <v>0</v>
      </c>
      <c r="F158" s="34">
        <f>D158*(1.6)+(IF(E158&lt;101,E158,IF(E158&lt;201,E158/2,IF(E158&lt;=301,E158/3,E158/4))))</f>
        <v>8752.251456</v>
      </c>
      <c r="G158" s="58" t="str">
        <f>A157</f>
        <v>44th Floor (Duplex with 45th Floor)</v>
      </c>
      <c r="H158" s="58"/>
      <c r="I158" s="58"/>
      <c r="J158" s="58"/>
      <c r="L158" s="59"/>
      <c r="M158" s="59"/>
      <c r="N158" s="33"/>
    </row>
    <row r="159" spans="1:14" s="32" customFormat="1" ht="15.75" x14ac:dyDescent="0.25">
      <c r="A159" s="56">
        <f t="shared" ref="A159" si="18">A158+1</f>
        <v>2</v>
      </c>
      <c r="B159" s="57"/>
      <c r="C159" s="34" t="s">
        <v>209</v>
      </c>
      <c r="D159" s="35">
        <f>(4.2*5.23+3.48*3.81+2.52*4.34+3.36*3.94+3.64*3.93+1.68*1.16+3.67*4.26+1.53*2.75+1.37*2.8+1.67*2.92+1.67*2.72+4.3*1.2+4.96*1.2+1.42*1.1+3.06*2)*10.764</f>
        <v>1372.8889979999999</v>
      </c>
      <c r="E159" s="35">
        <f>(1.2*4.2+2.15*3.48)*10.764</f>
        <v>134.78680799999998</v>
      </c>
      <c r="F159" s="34">
        <f>D159*(1.6)+(IF(E159&lt;101,E159,IF(E159&lt;201,E159/2,IF(E159&lt;=301,E159/3,E159/4))))</f>
        <v>2264.0158007999999</v>
      </c>
      <c r="G159" s="58"/>
      <c r="H159" s="58"/>
      <c r="I159" s="58"/>
      <c r="J159" s="58"/>
      <c r="L159" s="59"/>
      <c r="M159" s="59"/>
      <c r="N159" s="33"/>
    </row>
    <row r="160" spans="1:14" s="32" customFormat="1" ht="15.75" customHeight="1" x14ac:dyDescent="0.25">
      <c r="A160" s="54" t="s">
        <v>223</v>
      </c>
      <c r="B160" s="55"/>
      <c r="C160" s="55"/>
      <c r="D160" s="55"/>
      <c r="E160" s="55"/>
      <c r="F160" s="55"/>
      <c r="G160" s="55"/>
      <c r="H160" s="55"/>
      <c r="I160" s="55"/>
      <c r="J160" s="55"/>
    </row>
    <row r="161" spans="1:14" s="32" customFormat="1" ht="15.75" x14ac:dyDescent="0.25">
      <c r="A161" s="56">
        <v>1</v>
      </c>
      <c r="B161" s="57"/>
      <c r="C161" s="60" t="s">
        <v>224</v>
      </c>
      <c r="D161" s="61"/>
      <c r="E161" s="61"/>
      <c r="F161" s="62"/>
      <c r="G161" s="58" t="str">
        <f>A160</f>
        <v>45th Floor</v>
      </c>
      <c r="H161" s="58"/>
      <c r="I161" s="58"/>
      <c r="J161" s="58"/>
      <c r="L161" s="59"/>
      <c r="M161" s="59"/>
      <c r="N161" s="33"/>
    </row>
    <row r="162" spans="1:14" s="32" customFormat="1" ht="15.75" x14ac:dyDescent="0.25">
      <c r="A162" s="56">
        <f t="shared" ref="A162" si="19">A161+1</f>
        <v>2</v>
      </c>
      <c r="B162" s="57"/>
      <c r="C162" s="34" t="s">
        <v>209</v>
      </c>
      <c r="D162" s="35">
        <f>(4.2*5.23+3.48*3.81+2.52*4.34+3.36*3.94+3.64*3.93+1.68*1.16+3.67*4.26+1.53*2.75+1.37*2.8+1.67*2.92+1.67*2.72+4.3*1.2+4.96*1.2+1.42*1.1+3.06*2)*10.764</f>
        <v>1372.8889979999999</v>
      </c>
      <c r="E162" s="35">
        <f>(1.2*4.2+2.15*3.48)*10.764</f>
        <v>134.78680799999998</v>
      </c>
      <c r="F162" s="34">
        <f>D162*(1.6)+(IF(E162&lt;101,E162,IF(E162&lt;201,E162/2,IF(E162&lt;=301,E162/3,E162/4))))</f>
        <v>2264.0158007999999</v>
      </c>
      <c r="G162" s="58"/>
      <c r="H162" s="58"/>
      <c r="I162" s="58"/>
      <c r="J162" s="58"/>
      <c r="L162" s="59"/>
      <c r="M162" s="59"/>
      <c r="N162" s="33"/>
    </row>
    <row r="163" spans="1:14" ht="106.5" customHeight="1" x14ac:dyDescent="0.25">
      <c r="A163" s="131" t="s">
        <v>241</v>
      </c>
      <c r="B163" s="132"/>
      <c r="C163" s="132"/>
      <c r="D163" s="132"/>
      <c r="E163" s="132"/>
      <c r="F163" s="132"/>
      <c r="G163" s="132"/>
      <c r="H163" s="132"/>
      <c r="I163" s="132"/>
      <c r="J163" s="133"/>
      <c r="L163" s="39" t="s">
        <v>239</v>
      </c>
    </row>
    <row r="164" spans="1:14" x14ac:dyDescent="0.25">
      <c r="A164" s="152" t="s">
        <v>124</v>
      </c>
      <c r="B164" s="153"/>
      <c r="C164" s="153"/>
      <c r="D164" s="153"/>
      <c r="E164" s="153"/>
      <c r="F164" s="153"/>
      <c r="G164" s="153"/>
      <c r="H164" s="153"/>
      <c r="I164" s="153"/>
      <c r="J164" s="154"/>
    </row>
    <row r="165" spans="1:14" x14ac:dyDescent="0.25">
      <c r="A165" s="155"/>
      <c r="B165" s="156"/>
      <c r="C165" s="156"/>
      <c r="D165" s="156"/>
      <c r="E165" s="156"/>
      <c r="F165" s="156"/>
      <c r="G165" s="156"/>
      <c r="H165" s="156"/>
      <c r="I165" s="156"/>
      <c r="J165" s="157"/>
    </row>
    <row r="166" spans="1:14" x14ac:dyDescent="0.25">
      <c r="A166" s="155"/>
      <c r="B166" s="156"/>
      <c r="C166" s="156"/>
      <c r="D166" s="156"/>
      <c r="E166" s="156"/>
      <c r="F166" s="156"/>
      <c r="G166" s="156"/>
      <c r="H166" s="156"/>
      <c r="I166" s="156"/>
      <c r="J166" s="157"/>
    </row>
    <row r="167" spans="1:14" x14ac:dyDescent="0.25">
      <c r="A167" s="158"/>
      <c r="B167" s="159"/>
      <c r="C167" s="159"/>
      <c r="D167" s="159"/>
      <c r="E167" s="159"/>
      <c r="F167" s="159"/>
      <c r="G167" s="159"/>
      <c r="H167" s="159"/>
      <c r="I167" s="159"/>
      <c r="J167" s="160"/>
    </row>
    <row r="168" spans="1:14" s="26" customFormat="1" ht="15.75" x14ac:dyDescent="0.25">
      <c r="A168" s="26" t="s">
        <v>118</v>
      </c>
      <c r="D168" s="26" t="str">
        <f>F8</f>
        <v>The Elite</v>
      </c>
    </row>
    <row r="169" spans="1:14" x14ac:dyDescent="0.25">
      <c r="D169" s="148"/>
      <c r="E169" s="148"/>
      <c r="F169" s="148"/>
    </row>
    <row r="214" spans="1:1" s="26" customFormat="1" ht="15.75" x14ac:dyDescent="0.25">
      <c r="A214" s="26" t="s">
        <v>119</v>
      </c>
    </row>
  </sheetData>
  <mergeCells count="337">
    <mergeCell ref="D169:F169"/>
    <mergeCell ref="D70:E70"/>
    <mergeCell ref="A38:E38"/>
    <mergeCell ref="A39:E39"/>
    <mergeCell ref="A34:J35"/>
    <mergeCell ref="A57:B57"/>
    <mergeCell ref="C57:J57"/>
    <mergeCell ref="E58:F58"/>
    <mergeCell ref="I58:J58"/>
    <mergeCell ref="A59:B59"/>
    <mergeCell ref="C59:J59"/>
    <mergeCell ref="A60:B60"/>
    <mergeCell ref="D60:E60"/>
    <mergeCell ref="H60:J60"/>
    <mergeCell ref="A61:B61"/>
    <mergeCell ref="H46:J46"/>
    <mergeCell ref="H44:J44"/>
    <mergeCell ref="H43:J43"/>
    <mergeCell ref="F38:J38"/>
    <mergeCell ref="A164:J167"/>
    <mergeCell ref="A81:F81"/>
    <mergeCell ref="A47:J47"/>
    <mergeCell ref="F60:G60"/>
    <mergeCell ref="A67:B67"/>
    <mergeCell ref="C17:E17"/>
    <mergeCell ref="A11:E11"/>
    <mergeCell ref="F11:J11"/>
    <mergeCell ref="A27:B27"/>
    <mergeCell ref="A18:E19"/>
    <mergeCell ref="A22:E22"/>
    <mergeCell ref="A44:B44"/>
    <mergeCell ref="F24:J24"/>
    <mergeCell ref="H45:J45"/>
    <mergeCell ref="E27:F27"/>
    <mergeCell ref="A23:E23"/>
    <mergeCell ref="F22:J22"/>
    <mergeCell ref="A24:E24"/>
    <mergeCell ref="A25:E25"/>
    <mergeCell ref="A20:E21"/>
    <mergeCell ref="F20:J21"/>
    <mergeCell ref="A17:B17"/>
    <mergeCell ref="I27:J27"/>
    <mergeCell ref="A43:B43"/>
    <mergeCell ref="F41:J41"/>
    <mergeCell ref="E26:F26"/>
    <mergeCell ref="F23:J23"/>
    <mergeCell ref="I28:J28"/>
    <mergeCell ref="A29:J29"/>
    <mergeCell ref="A6:E6"/>
    <mergeCell ref="F17:G17"/>
    <mergeCell ref="A5:E5"/>
    <mergeCell ref="F5:J5"/>
    <mergeCell ref="F8:J8"/>
    <mergeCell ref="A8:E8"/>
    <mergeCell ref="A7:E7"/>
    <mergeCell ref="F7:J7"/>
    <mergeCell ref="H14:J14"/>
    <mergeCell ref="A12:E12"/>
    <mergeCell ref="F10:J10"/>
    <mergeCell ref="F12:J12"/>
    <mergeCell ref="H17:J17"/>
    <mergeCell ref="A9:E9"/>
    <mergeCell ref="F9:J9"/>
    <mergeCell ref="F6:J6"/>
    <mergeCell ref="A10:E10"/>
    <mergeCell ref="A14:B14"/>
    <mergeCell ref="C14:E14"/>
    <mergeCell ref="A15:B15"/>
    <mergeCell ref="C15:E15"/>
    <mergeCell ref="A16:B16"/>
    <mergeCell ref="C16:E16"/>
    <mergeCell ref="F14:G14"/>
    <mergeCell ref="A163:J163"/>
    <mergeCell ref="A80:F80"/>
    <mergeCell ref="G80:J80"/>
    <mergeCell ref="G79:J79"/>
    <mergeCell ref="A76:F76"/>
    <mergeCell ref="G77:J77"/>
    <mergeCell ref="A75:J75"/>
    <mergeCell ref="G78:J78"/>
    <mergeCell ref="G76:J76"/>
    <mergeCell ref="A78:F78"/>
    <mergeCell ref="C84:D84"/>
    <mergeCell ref="E84:F84"/>
    <mergeCell ref="A135:J135"/>
    <mergeCell ref="A136:B136"/>
    <mergeCell ref="G136:J138"/>
    <mergeCell ref="A104:B104"/>
    <mergeCell ref="A131:J131"/>
    <mergeCell ref="A132:J132"/>
    <mergeCell ref="A87:J87"/>
    <mergeCell ref="A88:J88"/>
    <mergeCell ref="G89:J90"/>
    <mergeCell ref="A91:J91"/>
    <mergeCell ref="G81:J81"/>
    <mergeCell ref="A79:F79"/>
    <mergeCell ref="A68:B68"/>
    <mergeCell ref="D68:E68"/>
    <mergeCell ref="A69:B69"/>
    <mergeCell ref="D69:E69"/>
    <mergeCell ref="A70:B70"/>
    <mergeCell ref="D61:E61"/>
    <mergeCell ref="F61:G70"/>
    <mergeCell ref="A62:B62"/>
    <mergeCell ref="D64:E64"/>
    <mergeCell ref="A64:B64"/>
    <mergeCell ref="D62:E62"/>
    <mergeCell ref="A63:B63"/>
    <mergeCell ref="D63:E63"/>
    <mergeCell ref="A1:J1"/>
    <mergeCell ref="F39:J39"/>
    <mergeCell ref="A40:E40"/>
    <mergeCell ref="C43:F43"/>
    <mergeCell ref="A13:B13"/>
    <mergeCell ref="C13:J13"/>
    <mergeCell ref="A42:J42"/>
    <mergeCell ref="C44:F44"/>
    <mergeCell ref="C45:F45"/>
    <mergeCell ref="G26:H26"/>
    <mergeCell ref="I26:J26"/>
    <mergeCell ref="A36:E36"/>
    <mergeCell ref="A45:B45"/>
    <mergeCell ref="A37:E37"/>
    <mergeCell ref="F37:J37"/>
    <mergeCell ref="F18:J19"/>
    <mergeCell ref="G27:H27"/>
    <mergeCell ref="E28:F28"/>
    <mergeCell ref="G28:H28"/>
    <mergeCell ref="A2:J2"/>
    <mergeCell ref="A3:E3"/>
    <mergeCell ref="F3:J3"/>
    <mergeCell ref="A4:E4"/>
    <mergeCell ref="F4:J4"/>
    <mergeCell ref="A94:B94"/>
    <mergeCell ref="L94:M94"/>
    <mergeCell ref="F25:J25"/>
    <mergeCell ref="A26:B26"/>
    <mergeCell ref="C26:D26"/>
    <mergeCell ref="C28:D28"/>
    <mergeCell ref="C27:D27"/>
    <mergeCell ref="A41:E41"/>
    <mergeCell ref="F36:J36"/>
    <mergeCell ref="F40:J40"/>
    <mergeCell ref="A30:J30"/>
    <mergeCell ref="A33:J33"/>
    <mergeCell ref="A28:B28"/>
    <mergeCell ref="A31:B31"/>
    <mergeCell ref="A32:B32"/>
    <mergeCell ref="C32:J32"/>
    <mergeCell ref="C31:J31"/>
    <mergeCell ref="A72:J72"/>
    <mergeCell ref="A73:J74"/>
    <mergeCell ref="A65:B65"/>
    <mergeCell ref="D65:E65"/>
    <mergeCell ref="A66:B66"/>
    <mergeCell ref="D66:E66"/>
    <mergeCell ref="H61:J70"/>
    <mergeCell ref="G83:J83"/>
    <mergeCell ref="G84:J84"/>
    <mergeCell ref="G85:J85"/>
    <mergeCell ref="G86:J86"/>
    <mergeCell ref="A82:J82"/>
    <mergeCell ref="D67:E67"/>
    <mergeCell ref="A77:F77"/>
    <mergeCell ref="A71:J71"/>
    <mergeCell ref="L104:M104"/>
    <mergeCell ref="C89:C90"/>
    <mergeCell ref="D89:D90"/>
    <mergeCell ref="E89:E90"/>
    <mergeCell ref="A85:B85"/>
    <mergeCell ref="C85:D85"/>
    <mergeCell ref="E85:F85"/>
    <mergeCell ref="A86:B86"/>
    <mergeCell ref="C86:D86"/>
    <mergeCell ref="E86:F86"/>
    <mergeCell ref="A89:A90"/>
    <mergeCell ref="B89:B90"/>
    <mergeCell ref="A83:B83"/>
    <mergeCell ref="C83:D83"/>
    <mergeCell ref="E83:F83"/>
    <mergeCell ref="A84:B84"/>
    <mergeCell ref="A105:B105"/>
    <mergeCell ref="L105:M105"/>
    <mergeCell ref="A106:B106"/>
    <mergeCell ref="L106:M106"/>
    <mergeCell ref="G92:J95"/>
    <mergeCell ref="A100:J100"/>
    <mergeCell ref="G97:J98"/>
    <mergeCell ref="A101:J101"/>
    <mergeCell ref="A99:J99"/>
    <mergeCell ref="A102:J102"/>
    <mergeCell ref="G104:J106"/>
    <mergeCell ref="A103:J103"/>
    <mergeCell ref="A95:B95"/>
    <mergeCell ref="L95:M95"/>
    <mergeCell ref="A96:H96"/>
    <mergeCell ref="A97:A98"/>
    <mergeCell ref="B97:B98"/>
    <mergeCell ref="C97:C98"/>
    <mergeCell ref="D97:D98"/>
    <mergeCell ref="E97:E98"/>
    <mergeCell ref="A92:B92"/>
    <mergeCell ref="L92:M92"/>
    <mergeCell ref="A93:B93"/>
    <mergeCell ref="L93:M93"/>
    <mergeCell ref="A143:B143"/>
    <mergeCell ref="L143:M143"/>
    <mergeCell ref="L136:M136"/>
    <mergeCell ref="A137:B137"/>
    <mergeCell ref="L137:M137"/>
    <mergeCell ref="A138:B138"/>
    <mergeCell ref="L138:M138"/>
    <mergeCell ref="A108:J108"/>
    <mergeCell ref="A109:B109"/>
    <mergeCell ref="G109:J111"/>
    <mergeCell ref="L109:M109"/>
    <mergeCell ref="A110:B110"/>
    <mergeCell ref="L110:M110"/>
    <mergeCell ref="A111:B111"/>
    <mergeCell ref="L111:M111"/>
    <mergeCell ref="C110:F110"/>
    <mergeCell ref="A112:J112"/>
    <mergeCell ref="A113:B113"/>
    <mergeCell ref="G113:J114"/>
    <mergeCell ref="L113:M113"/>
    <mergeCell ref="A114:B114"/>
    <mergeCell ref="L114:M114"/>
    <mergeCell ref="A133:J133"/>
    <mergeCell ref="A134:J134"/>
    <mergeCell ref="A146:B146"/>
    <mergeCell ref="L146:M146"/>
    <mergeCell ref="A115:J115"/>
    <mergeCell ref="A116:B116"/>
    <mergeCell ref="G116:J118"/>
    <mergeCell ref="L116:M116"/>
    <mergeCell ref="A117:B117"/>
    <mergeCell ref="C117:F117"/>
    <mergeCell ref="L117:M117"/>
    <mergeCell ref="A118:B118"/>
    <mergeCell ref="L118:M118"/>
    <mergeCell ref="A119:J119"/>
    <mergeCell ref="A120:B120"/>
    <mergeCell ref="G120:J121"/>
    <mergeCell ref="L120:M120"/>
    <mergeCell ref="A121:B121"/>
    <mergeCell ref="L121:M121"/>
    <mergeCell ref="A140:J140"/>
    <mergeCell ref="A141:B141"/>
    <mergeCell ref="G141:J143"/>
    <mergeCell ref="L141:M141"/>
    <mergeCell ref="A142:B142"/>
    <mergeCell ref="C142:F142"/>
    <mergeCell ref="L142:M142"/>
    <mergeCell ref="G152:J153"/>
    <mergeCell ref="L152:M152"/>
    <mergeCell ref="A153:B153"/>
    <mergeCell ref="L153:M153"/>
    <mergeCell ref="A122:J122"/>
    <mergeCell ref="A123:B123"/>
    <mergeCell ref="G123:J124"/>
    <mergeCell ref="L123:M123"/>
    <mergeCell ref="A124:B124"/>
    <mergeCell ref="L124:M124"/>
    <mergeCell ref="A147:J147"/>
    <mergeCell ref="A148:B148"/>
    <mergeCell ref="G148:J150"/>
    <mergeCell ref="L148:M148"/>
    <mergeCell ref="A149:B149"/>
    <mergeCell ref="C149:F149"/>
    <mergeCell ref="L149:M149"/>
    <mergeCell ref="A150:B150"/>
    <mergeCell ref="L150:M150"/>
    <mergeCell ref="C150:F150"/>
    <mergeCell ref="A144:J144"/>
    <mergeCell ref="A145:B145"/>
    <mergeCell ref="G145:J146"/>
    <mergeCell ref="L145:M145"/>
    <mergeCell ref="A161:B161"/>
    <mergeCell ref="C161:F161"/>
    <mergeCell ref="G161:J162"/>
    <mergeCell ref="L161:M161"/>
    <mergeCell ref="A162:B162"/>
    <mergeCell ref="L162:M162"/>
    <mergeCell ref="A154:J154"/>
    <mergeCell ref="A155:B155"/>
    <mergeCell ref="G155:J156"/>
    <mergeCell ref="L155:M155"/>
    <mergeCell ref="A156:B156"/>
    <mergeCell ref="L156:M156"/>
    <mergeCell ref="A107:J107"/>
    <mergeCell ref="A139:J139"/>
    <mergeCell ref="A157:J157"/>
    <mergeCell ref="A158:B158"/>
    <mergeCell ref="G158:J159"/>
    <mergeCell ref="L158:M158"/>
    <mergeCell ref="A159:B159"/>
    <mergeCell ref="L159:M159"/>
    <mergeCell ref="A160:J160"/>
    <mergeCell ref="A125:J125"/>
    <mergeCell ref="A126:B126"/>
    <mergeCell ref="G126:J127"/>
    <mergeCell ref="L126:M126"/>
    <mergeCell ref="A127:B127"/>
    <mergeCell ref="L127:M127"/>
    <mergeCell ref="A128:J128"/>
    <mergeCell ref="A129:B129"/>
    <mergeCell ref="G129:J130"/>
    <mergeCell ref="L129:M129"/>
    <mergeCell ref="A130:B130"/>
    <mergeCell ref="L130:M130"/>
    <mergeCell ref="C129:F129"/>
    <mergeCell ref="A151:J151"/>
    <mergeCell ref="A152:B152"/>
    <mergeCell ref="F15:G15"/>
    <mergeCell ref="H15:J15"/>
    <mergeCell ref="F16:G16"/>
    <mergeCell ref="H16:J16"/>
    <mergeCell ref="A56:C56"/>
    <mergeCell ref="D56:J56"/>
    <mergeCell ref="A51:C51"/>
    <mergeCell ref="D51:J51"/>
    <mergeCell ref="A53:C53"/>
    <mergeCell ref="D52:J52"/>
    <mergeCell ref="D53:J53"/>
    <mergeCell ref="A49:C49"/>
    <mergeCell ref="D48:J48"/>
    <mergeCell ref="D49:J49"/>
    <mergeCell ref="A50:C50"/>
    <mergeCell ref="D50:J50"/>
    <mergeCell ref="A54:C54"/>
    <mergeCell ref="D54:J54"/>
    <mergeCell ref="A55:C55"/>
    <mergeCell ref="D55:J55"/>
    <mergeCell ref="A52:C52"/>
    <mergeCell ref="A48:C48"/>
    <mergeCell ref="A46:B46"/>
    <mergeCell ref="C46:F46"/>
  </mergeCells>
  <phoneticPr fontId="0" type="noConversion"/>
  <hyperlinks>
    <hyperlink ref="C32" r:id="rId1"/>
  </hyperlinks>
  <printOptions horizontalCentered="1"/>
  <pageMargins left="0.39370078740157483" right="0.39370078740157483" top="0.78740157480314965" bottom="0.78740157480314965" header="0.19685039370078741" footer="0.19685039370078741"/>
  <pageSetup paperSize="2" scale="94" fitToHeight="0" orientation="portrait" r:id="rId2"/>
  <headerFooter>
    <oddHeader>&amp;C&amp;"Times New Roman,Bold"&amp;20&amp;G</oddHeader>
    <oddFooter>&amp;L&amp;"Times New Roman,Bold"Ref No: &amp;F&amp;C&amp;G&amp;R&amp;P</oddFooter>
  </headerFooter>
  <rowBreaks count="2" manualBreakCount="2">
    <brk id="167" max="16383" man="1"/>
    <brk id="21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1" sqref="C11"/>
    </sheetView>
  </sheetViews>
  <sheetFormatPr defaultColWidth="9.28515625" defaultRowHeight="15" x14ac:dyDescent="0.25"/>
  <cols>
    <col min="1" max="1" width="9.28515625" style="6"/>
    <col min="2" max="2" width="11.5703125" style="6" customWidth="1"/>
    <col min="3" max="16384" width="9.28515625" style="6"/>
  </cols>
  <sheetData>
    <row r="2" spans="1:15" x14ac:dyDescent="0.25">
      <c r="A2" s="6" t="s">
        <v>98</v>
      </c>
      <c r="B2" s="7" t="s">
        <v>120</v>
      </c>
      <c r="C2" s="7">
        <v>42</v>
      </c>
    </row>
    <row r="3" spans="1:15" x14ac:dyDescent="0.25">
      <c r="B3" s="6" t="s">
        <v>99</v>
      </c>
      <c r="C3" s="6" t="s">
        <v>100</v>
      </c>
    </row>
    <row r="4" spans="1:15" x14ac:dyDescent="0.25">
      <c r="A4" s="6" t="s">
        <v>101</v>
      </c>
      <c r="B4" s="8">
        <v>10</v>
      </c>
      <c r="C4" s="8">
        <v>10</v>
      </c>
      <c r="E4" s="6">
        <f>(100/B4)*C4</f>
        <v>100</v>
      </c>
    </row>
    <row r="5" spans="1:15" x14ac:dyDescent="0.25">
      <c r="A5" s="6" t="s">
        <v>102</v>
      </c>
      <c r="B5" s="6" t="s">
        <v>103</v>
      </c>
      <c r="C5" s="6" t="s">
        <v>104</v>
      </c>
      <c r="E5" s="6">
        <f>(100/B6)*C6</f>
        <v>88.372093023255815</v>
      </c>
      <c r="I5" s="8" t="s">
        <v>105</v>
      </c>
      <c r="J5" s="8" t="s">
        <v>106</v>
      </c>
      <c r="K5" s="8" t="s">
        <v>107</v>
      </c>
      <c r="L5" s="8" t="s">
        <v>29</v>
      </c>
      <c r="M5" s="8" t="s">
        <v>31</v>
      </c>
      <c r="N5" s="8" t="s">
        <v>108</v>
      </c>
      <c r="O5" s="8" t="s">
        <v>32</v>
      </c>
    </row>
    <row r="6" spans="1:15" x14ac:dyDescent="0.25">
      <c r="B6" s="8">
        <f>C2+1</f>
        <v>43</v>
      </c>
      <c r="C6" s="8">
        <v>38</v>
      </c>
      <c r="E6" s="6">
        <f>(100/B8)*C8</f>
        <v>88.095238095238088</v>
      </c>
      <c r="F6" s="9" t="s">
        <v>109</v>
      </c>
      <c r="I6" s="9">
        <f>C4</f>
        <v>10</v>
      </c>
      <c r="J6" s="9">
        <f>40/B6*C6</f>
        <v>35.348837209302324</v>
      </c>
      <c r="K6" s="9">
        <f>15/B8*C8</f>
        <v>13.214285714285715</v>
      </c>
      <c r="L6" s="9">
        <f>10/B10*C10</f>
        <v>7.6190476190476186</v>
      </c>
      <c r="M6" s="9">
        <f>10/B12*C12</f>
        <v>0.23809523809523808</v>
      </c>
      <c r="N6" s="9">
        <f>5/B14*C14</f>
        <v>0</v>
      </c>
      <c r="O6" s="9">
        <f>5/B16*C16</f>
        <v>0</v>
      </c>
    </row>
    <row r="7" spans="1:15" x14ac:dyDescent="0.25">
      <c r="A7" s="6" t="s">
        <v>110</v>
      </c>
      <c r="B7" s="6" t="s">
        <v>111</v>
      </c>
      <c r="C7" s="6" t="s">
        <v>112</v>
      </c>
      <c r="E7" s="6">
        <f>(100/B10)*C10</f>
        <v>76.19047619047619</v>
      </c>
      <c r="F7" s="8" t="s">
        <v>113</v>
      </c>
      <c r="G7" s="8"/>
      <c r="H7" s="8"/>
      <c r="I7" s="8">
        <f>I6+20</f>
        <v>30</v>
      </c>
      <c r="J7" s="8">
        <f>30/B6*C6</f>
        <v>26.511627906976745</v>
      </c>
      <c r="K7" s="8">
        <f>15/B8*C8</f>
        <v>13.214285714285715</v>
      </c>
      <c r="L7" s="8">
        <f>10/B10*C10</f>
        <v>7.6190476190476186</v>
      </c>
      <c r="M7" s="8">
        <f>5/B12*C12</f>
        <v>0.11904761904761904</v>
      </c>
      <c r="N7" s="8">
        <f>5/B14*C14</f>
        <v>0</v>
      </c>
      <c r="O7" s="8">
        <f>5/B16*C16</f>
        <v>0</v>
      </c>
    </row>
    <row r="8" spans="1:15" x14ac:dyDescent="0.25">
      <c r="B8" s="8">
        <f>C2</f>
        <v>42</v>
      </c>
      <c r="C8" s="8">
        <f>C6-1</f>
        <v>37</v>
      </c>
      <c r="E8" s="6">
        <f>(100/B12)*C12</f>
        <v>2.3809523809523809</v>
      </c>
    </row>
    <row r="9" spans="1:15" x14ac:dyDescent="0.25">
      <c r="A9" s="6" t="s">
        <v>114</v>
      </c>
      <c r="B9" s="6" t="s">
        <v>111</v>
      </c>
      <c r="C9" s="6" t="s">
        <v>112</v>
      </c>
      <c r="E9" s="6">
        <f>(100/B14)*C14</f>
        <v>0</v>
      </c>
    </row>
    <row r="10" spans="1:15" x14ac:dyDescent="0.25">
      <c r="B10" s="8">
        <f>C2</f>
        <v>42</v>
      </c>
      <c r="C10" s="8">
        <v>32</v>
      </c>
      <c r="E10" s="6">
        <f>(100/B16)*C16</f>
        <v>0</v>
      </c>
    </row>
    <row r="11" spans="1:15" x14ac:dyDescent="0.25">
      <c r="A11" s="6" t="s">
        <v>31</v>
      </c>
      <c r="B11" s="6" t="s">
        <v>111</v>
      </c>
      <c r="C11" s="6" t="s">
        <v>112</v>
      </c>
    </row>
    <row r="12" spans="1:15" x14ac:dyDescent="0.25">
      <c r="B12" s="8">
        <f>C2</f>
        <v>42</v>
      </c>
      <c r="C12" s="8">
        <v>1</v>
      </c>
      <c r="F12" s="8"/>
      <c r="G12" s="8" t="s">
        <v>109</v>
      </c>
      <c r="H12" s="8" t="s">
        <v>115</v>
      </c>
      <c r="L12" s="6" t="s">
        <v>116</v>
      </c>
    </row>
    <row r="13" spans="1:15" ht="31.5" customHeight="1" x14ac:dyDescent="0.25">
      <c r="A13" s="10" t="s">
        <v>108</v>
      </c>
      <c r="B13" s="6" t="s">
        <v>111</v>
      </c>
      <c r="C13" s="6" t="s">
        <v>112</v>
      </c>
      <c r="F13" s="8" t="s">
        <v>27</v>
      </c>
      <c r="G13" s="8">
        <f>I6</f>
        <v>10</v>
      </c>
      <c r="H13" s="8">
        <f>I7</f>
        <v>30</v>
      </c>
      <c r="L13" s="6" t="s">
        <v>116</v>
      </c>
    </row>
    <row r="14" spans="1:15" x14ac:dyDescent="0.25">
      <c r="B14" s="8">
        <f>C2</f>
        <v>42</v>
      </c>
      <c r="C14" s="8">
        <v>0</v>
      </c>
      <c r="F14" s="8" t="s">
        <v>28</v>
      </c>
      <c r="G14" s="8">
        <f>J6</f>
        <v>35.348837209302324</v>
      </c>
      <c r="H14" s="8">
        <f>J7</f>
        <v>26.511627906976745</v>
      </c>
    </row>
    <row r="15" spans="1:15" x14ac:dyDescent="0.25">
      <c r="A15" s="6" t="s">
        <v>32</v>
      </c>
      <c r="B15" s="6" t="s">
        <v>111</v>
      </c>
      <c r="C15" s="6" t="s">
        <v>112</v>
      </c>
      <c r="F15" s="8" t="s">
        <v>107</v>
      </c>
      <c r="G15" s="8">
        <f>K6</f>
        <v>13.214285714285715</v>
      </c>
      <c r="H15" s="8">
        <f>K7</f>
        <v>13.214285714285715</v>
      </c>
    </row>
    <row r="16" spans="1:15" x14ac:dyDescent="0.25">
      <c r="B16" s="8">
        <f>C2</f>
        <v>42</v>
      </c>
      <c r="C16" s="8">
        <v>0</v>
      </c>
      <c r="F16" s="8" t="s">
        <v>29</v>
      </c>
      <c r="G16" s="8">
        <f>L6</f>
        <v>7.6190476190476186</v>
      </c>
      <c r="H16" s="8">
        <f>L7</f>
        <v>7.6190476190476186</v>
      </c>
    </row>
    <row r="17" spans="5:8" x14ac:dyDescent="0.25">
      <c r="F17" s="8" t="s">
        <v>31</v>
      </c>
      <c r="G17" s="8">
        <f>M6</f>
        <v>0.23809523809523808</v>
      </c>
      <c r="H17" s="8">
        <f>M7</f>
        <v>0.11904761904761904</v>
      </c>
    </row>
    <row r="18" spans="5:8" ht="29.25" customHeight="1" x14ac:dyDescent="0.25">
      <c r="F18" s="11" t="s">
        <v>108</v>
      </c>
      <c r="G18" s="8">
        <f>N6</f>
        <v>0</v>
      </c>
      <c r="H18" s="8">
        <f>N7</f>
        <v>0</v>
      </c>
    </row>
    <row r="19" spans="5:8" x14ac:dyDescent="0.25">
      <c r="F19" s="8" t="s">
        <v>32</v>
      </c>
      <c r="G19" s="8">
        <f>O6</f>
        <v>0</v>
      </c>
      <c r="H19" s="8">
        <f>O7</f>
        <v>0</v>
      </c>
    </row>
    <row r="20" spans="5:8" x14ac:dyDescent="0.25">
      <c r="F20" s="8" t="s">
        <v>117</v>
      </c>
      <c r="G20" s="8">
        <f>G13+G14+G15+G16+G17+G18+G19</f>
        <v>66.420265780730901</v>
      </c>
      <c r="H20" s="8">
        <f>H13+H14+H15+H16+H17+H18+H19</f>
        <v>77.464008859357705</v>
      </c>
    </row>
    <row r="21" spans="5:8" x14ac:dyDescent="0.25">
      <c r="E21" s="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x14ac:dyDescent="0.25">
      <c r="C2" s="4" t="s">
        <v>90</v>
      </c>
      <c r="D2" s="161"/>
      <c r="E2" s="161"/>
    </row>
    <row r="3" spans="2:13" x14ac:dyDescent="0.25">
      <c r="E3" s="3"/>
      <c r="F3" s="3"/>
      <c r="G3" s="3"/>
      <c r="H3" s="3"/>
      <c r="I3" s="3"/>
      <c r="J3" s="3"/>
    </row>
    <row r="4" spans="2:13" x14ac:dyDescent="0.25">
      <c r="B4" s="4" t="s">
        <v>91</v>
      </c>
      <c r="C4" s="2" t="s">
        <v>71</v>
      </c>
      <c r="D4" s="162" t="s">
        <v>72</v>
      </c>
      <c r="E4" s="162"/>
      <c r="F4" s="162"/>
      <c r="G4" s="5"/>
      <c r="H4" s="162" t="s">
        <v>73</v>
      </c>
      <c r="I4" s="162"/>
      <c r="J4" s="162"/>
      <c r="K4" s="162" t="s">
        <v>74</v>
      </c>
      <c r="L4" s="162"/>
      <c r="M4" s="162"/>
    </row>
    <row r="5" spans="2:13" x14ac:dyDescent="0.25">
      <c r="B5" s="4">
        <v>1</v>
      </c>
      <c r="C5" s="2"/>
      <c r="D5" s="2" t="s">
        <v>75</v>
      </c>
      <c r="E5" s="2" t="s">
        <v>76</v>
      </c>
      <c r="F5" s="2" t="s">
        <v>77</v>
      </c>
      <c r="G5" s="2"/>
      <c r="H5" s="2" t="s">
        <v>75</v>
      </c>
      <c r="I5" s="2" t="s">
        <v>76</v>
      </c>
      <c r="J5" s="2" t="s">
        <v>77</v>
      </c>
      <c r="K5" s="2" t="s">
        <v>75</v>
      </c>
      <c r="L5" s="2" t="s">
        <v>76</v>
      </c>
      <c r="M5" s="2" t="s">
        <v>77</v>
      </c>
    </row>
    <row r="6" spans="2:13" x14ac:dyDescent="0.25">
      <c r="C6" s="1" t="s">
        <v>78</v>
      </c>
      <c r="D6" s="1"/>
      <c r="E6" s="1"/>
      <c r="F6" s="1">
        <f>D6*E6</f>
        <v>0</v>
      </c>
      <c r="G6" s="1" t="s">
        <v>93</v>
      </c>
      <c r="H6" s="1"/>
      <c r="I6" s="1"/>
      <c r="J6" s="1">
        <f>H6*I6</f>
        <v>0</v>
      </c>
      <c r="K6" s="1"/>
      <c r="L6" s="1"/>
      <c r="M6" s="1">
        <f>K6*L6</f>
        <v>0</v>
      </c>
    </row>
    <row r="7" spans="2:13" x14ac:dyDescent="0.25">
      <c r="C7" s="1"/>
      <c r="D7" s="1"/>
      <c r="E7" s="1"/>
      <c r="F7" s="1">
        <f t="shared" ref="F7:F33" si="0">D7*E7</f>
        <v>0</v>
      </c>
      <c r="G7" s="1" t="s">
        <v>94</v>
      </c>
      <c r="H7" s="1"/>
      <c r="I7" s="1"/>
      <c r="J7" s="1">
        <f t="shared" ref="J7:J29" si="1">H7*I7</f>
        <v>0</v>
      </c>
      <c r="K7" s="1"/>
      <c r="L7" s="1"/>
      <c r="M7" s="1">
        <f t="shared" ref="M7:M29" si="2">K7*L7</f>
        <v>0</v>
      </c>
    </row>
    <row r="8" spans="2:13" x14ac:dyDescent="0.25">
      <c r="C8" s="1"/>
      <c r="D8" s="1"/>
      <c r="E8" s="1"/>
      <c r="F8" s="1">
        <f t="shared" si="0"/>
        <v>0</v>
      </c>
      <c r="G8" s="1"/>
      <c r="H8" s="1"/>
      <c r="I8" s="1"/>
      <c r="J8" s="1">
        <f t="shared" si="1"/>
        <v>0</v>
      </c>
      <c r="K8" s="1"/>
      <c r="L8" s="1"/>
      <c r="M8" s="1">
        <f t="shared" si="2"/>
        <v>0</v>
      </c>
    </row>
    <row r="9" spans="2:13" x14ac:dyDescent="0.25">
      <c r="C9" s="1" t="s">
        <v>81</v>
      </c>
      <c r="D9" s="1"/>
      <c r="E9" s="1"/>
      <c r="F9" s="1">
        <f t="shared" si="0"/>
        <v>0</v>
      </c>
      <c r="G9" s="1" t="s">
        <v>93</v>
      </c>
      <c r="H9" s="1"/>
      <c r="I9" s="1"/>
      <c r="J9" s="1">
        <f t="shared" si="1"/>
        <v>0</v>
      </c>
      <c r="K9" s="1"/>
      <c r="L9" s="1"/>
      <c r="M9" s="1">
        <f t="shared" si="2"/>
        <v>0</v>
      </c>
    </row>
    <row r="10" spans="2:13" x14ac:dyDescent="0.25">
      <c r="C10" s="1"/>
      <c r="D10" s="1"/>
      <c r="E10" s="1"/>
      <c r="F10" s="1">
        <f t="shared" si="0"/>
        <v>0</v>
      </c>
      <c r="G10" s="1" t="s">
        <v>94</v>
      </c>
      <c r="H10" s="1"/>
      <c r="I10" s="1"/>
      <c r="J10" s="1">
        <f t="shared" si="1"/>
        <v>0</v>
      </c>
      <c r="K10" s="1"/>
      <c r="L10" s="1"/>
      <c r="M10" s="1">
        <f t="shared" si="2"/>
        <v>0</v>
      </c>
    </row>
    <row r="11" spans="2:13" x14ac:dyDescent="0.25">
      <c r="C11" s="1"/>
      <c r="D11" s="1"/>
      <c r="E11" s="1"/>
      <c r="F11" s="1">
        <f t="shared" si="0"/>
        <v>0</v>
      </c>
      <c r="G11" s="1"/>
      <c r="H11" s="1"/>
      <c r="I11" s="1"/>
      <c r="J11" s="1">
        <f t="shared" si="1"/>
        <v>0</v>
      </c>
      <c r="K11" s="1"/>
      <c r="L11" s="1"/>
      <c r="M11" s="1">
        <f t="shared" si="2"/>
        <v>0</v>
      </c>
    </row>
    <row r="12" spans="2:13" x14ac:dyDescent="0.25">
      <c r="C12" s="1"/>
      <c r="D12" s="1"/>
      <c r="E12" s="1"/>
      <c r="F12" s="1">
        <f t="shared" si="0"/>
        <v>0</v>
      </c>
      <c r="G12" s="1"/>
      <c r="H12" s="1"/>
      <c r="I12" s="1"/>
      <c r="J12" s="1">
        <f t="shared" si="1"/>
        <v>0</v>
      </c>
      <c r="K12" s="1"/>
      <c r="L12" s="1"/>
      <c r="M12" s="1">
        <f t="shared" si="2"/>
        <v>0</v>
      </c>
    </row>
    <row r="13" spans="2:13" x14ac:dyDescent="0.25">
      <c r="C13" s="1" t="s">
        <v>79</v>
      </c>
      <c r="D13" s="1"/>
      <c r="E13" s="1"/>
      <c r="F13" s="1">
        <f t="shared" si="0"/>
        <v>0</v>
      </c>
      <c r="G13" s="1" t="s">
        <v>93</v>
      </c>
      <c r="H13" s="1"/>
      <c r="I13" s="1"/>
      <c r="J13" s="1">
        <f t="shared" si="1"/>
        <v>0</v>
      </c>
      <c r="K13" s="1"/>
      <c r="L13" s="1"/>
      <c r="M13" s="1">
        <f t="shared" si="2"/>
        <v>0</v>
      </c>
    </row>
    <row r="14" spans="2:13" x14ac:dyDescent="0.25">
      <c r="C14" s="1"/>
      <c r="D14" s="1"/>
      <c r="E14" s="1"/>
      <c r="F14" s="1">
        <f t="shared" si="0"/>
        <v>0</v>
      </c>
      <c r="G14" s="1" t="s">
        <v>94</v>
      </c>
      <c r="H14" s="1"/>
      <c r="I14" s="1"/>
      <c r="J14" s="1">
        <f t="shared" si="1"/>
        <v>0</v>
      </c>
      <c r="K14" s="1"/>
      <c r="L14" s="1"/>
      <c r="M14" s="1">
        <f t="shared" si="2"/>
        <v>0</v>
      </c>
    </row>
    <row r="15" spans="2:13" x14ac:dyDescent="0.25">
      <c r="C15" s="1"/>
      <c r="D15" s="1"/>
      <c r="E15" s="1"/>
      <c r="F15" s="1">
        <f t="shared" si="0"/>
        <v>0</v>
      </c>
      <c r="G15" s="1"/>
      <c r="H15" s="1"/>
      <c r="I15" s="1"/>
      <c r="J15" s="1">
        <f t="shared" si="1"/>
        <v>0</v>
      </c>
      <c r="K15" s="1"/>
      <c r="L15" s="1"/>
      <c r="M15" s="1">
        <f t="shared" si="2"/>
        <v>0</v>
      </c>
    </row>
    <row r="16" spans="2:13" x14ac:dyDescent="0.25">
      <c r="C16" s="1"/>
      <c r="D16" s="1"/>
      <c r="E16" s="1"/>
      <c r="F16" s="1">
        <f t="shared" si="0"/>
        <v>0</v>
      </c>
      <c r="G16" s="1"/>
      <c r="H16" s="1"/>
      <c r="I16" s="1"/>
      <c r="J16" s="1">
        <f t="shared" si="1"/>
        <v>0</v>
      </c>
      <c r="K16" s="1"/>
      <c r="L16" s="1"/>
      <c r="M16" s="1">
        <f t="shared" si="2"/>
        <v>0</v>
      </c>
    </row>
    <row r="17" spans="3:13" x14ac:dyDescent="0.25">
      <c r="C17" s="1" t="s">
        <v>80</v>
      </c>
      <c r="D17" s="1"/>
      <c r="E17" s="1"/>
      <c r="F17" s="1">
        <f t="shared" si="0"/>
        <v>0</v>
      </c>
      <c r="G17" s="1" t="s">
        <v>93</v>
      </c>
      <c r="H17" s="1"/>
      <c r="I17" s="1"/>
      <c r="J17" s="1">
        <f t="shared" si="1"/>
        <v>0</v>
      </c>
      <c r="K17" s="1"/>
      <c r="L17" s="1"/>
      <c r="M17" s="1">
        <f t="shared" si="2"/>
        <v>0</v>
      </c>
    </row>
    <row r="18" spans="3:13" x14ac:dyDescent="0.25">
      <c r="C18" s="1"/>
      <c r="D18" s="1"/>
      <c r="E18" s="1"/>
      <c r="F18" s="1">
        <f t="shared" si="0"/>
        <v>0</v>
      </c>
      <c r="G18" s="1" t="s">
        <v>94</v>
      </c>
      <c r="H18" s="1"/>
      <c r="I18" s="1"/>
      <c r="J18" s="1">
        <f t="shared" si="1"/>
        <v>0</v>
      </c>
      <c r="K18" s="1"/>
      <c r="L18" s="1"/>
      <c r="M18" s="1">
        <f t="shared" si="2"/>
        <v>0</v>
      </c>
    </row>
    <row r="19" spans="3:13" x14ac:dyDescent="0.25">
      <c r="C19" s="1"/>
      <c r="D19" s="1"/>
      <c r="E19" s="1"/>
      <c r="F19" s="1">
        <f t="shared" si="0"/>
        <v>0</v>
      </c>
      <c r="G19" s="1"/>
      <c r="H19" s="1"/>
      <c r="I19" s="1"/>
      <c r="J19" s="1">
        <f t="shared" si="1"/>
        <v>0</v>
      </c>
      <c r="K19" s="1"/>
      <c r="L19" s="1"/>
      <c r="M19" s="1">
        <f t="shared" si="2"/>
        <v>0</v>
      </c>
    </row>
    <row r="20" spans="3:13" x14ac:dyDescent="0.25">
      <c r="C20" s="1" t="s">
        <v>80</v>
      </c>
      <c r="D20" s="1"/>
      <c r="E20" s="1"/>
      <c r="F20" s="1">
        <f t="shared" si="0"/>
        <v>0</v>
      </c>
      <c r="G20" s="1" t="s">
        <v>93</v>
      </c>
      <c r="H20" s="1"/>
      <c r="I20" s="1"/>
      <c r="J20" s="1">
        <f t="shared" si="1"/>
        <v>0</v>
      </c>
      <c r="K20" s="1"/>
      <c r="L20" s="1"/>
      <c r="M20" s="1">
        <f t="shared" si="2"/>
        <v>0</v>
      </c>
    </row>
    <row r="21" spans="3:13" x14ac:dyDescent="0.25">
      <c r="C21" s="1"/>
      <c r="D21" s="1"/>
      <c r="E21" s="1"/>
      <c r="F21" s="1">
        <f t="shared" si="0"/>
        <v>0</v>
      </c>
      <c r="G21" s="1" t="s">
        <v>94</v>
      </c>
      <c r="H21" s="1"/>
      <c r="I21" s="1"/>
      <c r="J21" s="1">
        <f t="shared" si="1"/>
        <v>0</v>
      </c>
      <c r="K21" s="1"/>
      <c r="L21" s="1"/>
      <c r="M21" s="1">
        <f t="shared" si="2"/>
        <v>0</v>
      </c>
    </row>
    <row r="22" spans="3:13" x14ac:dyDescent="0.25">
      <c r="C22" s="1"/>
      <c r="D22" s="1"/>
      <c r="E22" s="1"/>
      <c r="F22" s="1">
        <f t="shared" si="0"/>
        <v>0</v>
      </c>
      <c r="G22" s="1"/>
      <c r="H22" s="1"/>
      <c r="I22" s="1"/>
      <c r="J22" s="1">
        <f t="shared" si="1"/>
        <v>0</v>
      </c>
      <c r="K22" s="1"/>
      <c r="L22" s="1"/>
      <c r="M22" s="1">
        <f t="shared" si="2"/>
        <v>0</v>
      </c>
    </row>
    <row r="23" spans="3:13" x14ac:dyDescent="0.25">
      <c r="C23" s="1" t="s">
        <v>86</v>
      </c>
      <c r="D23" s="1"/>
      <c r="E23" s="1"/>
      <c r="F23" s="1">
        <f t="shared" si="0"/>
        <v>0</v>
      </c>
      <c r="G23" s="1" t="s">
        <v>95</v>
      </c>
      <c r="H23" s="1"/>
      <c r="I23" s="1"/>
      <c r="J23" s="1">
        <f t="shared" si="1"/>
        <v>0</v>
      </c>
      <c r="K23" s="1"/>
      <c r="L23" s="1"/>
      <c r="M23" s="1">
        <f t="shared" si="2"/>
        <v>0</v>
      </c>
    </row>
    <row r="24" spans="3:13" x14ac:dyDescent="0.25">
      <c r="C24" s="1" t="s">
        <v>87</v>
      </c>
      <c r="D24" s="1"/>
      <c r="E24" s="1"/>
      <c r="F24" s="1">
        <f t="shared" si="0"/>
        <v>0</v>
      </c>
      <c r="G24" s="1" t="s">
        <v>95</v>
      </c>
      <c r="H24" s="1"/>
      <c r="I24" s="1"/>
      <c r="J24" s="1">
        <f t="shared" si="1"/>
        <v>0</v>
      </c>
      <c r="K24" s="1"/>
      <c r="L24" s="1"/>
      <c r="M24" s="1">
        <f t="shared" si="2"/>
        <v>0</v>
      </c>
    </row>
    <row r="25" spans="3:13" x14ac:dyDescent="0.25">
      <c r="C25" s="1" t="s">
        <v>88</v>
      </c>
      <c r="D25" s="1"/>
      <c r="E25" s="1"/>
      <c r="F25" s="1">
        <f t="shared" si="0"/>
        <v>0</v>
      </c>
      <c r="G25" s="1" t="s">
        <v>95</v>
      </c>
      <c r="H25" s="1"/>
      <c r="I25" s="1"/>
      <c r="J25" s="1">
        <f t="shared" si="1"/>
        <v>0</v>
      </c>
      <c r="K25" s="1"/>
      <c r="L25" s="1"/>
      <c r="M25" s="1">
        <f t="shared" si="2"/>
        <v>0</v>
      </c>
    </row>
    <row r="26" spans="3:13" x14ac:dyDescent="0.25">
      <c r="C26" s="1"/>
      <c r="D26" s="1"/>
      <c r="E26" s="1"/>
      <c r="F26" s="1">
        <f t="shared" si="0"/>
        <v>0</v>
      </c>
      <c r="G26" s="1"/>
      <c r="H26" s="1"/>
      <c r="I26" s="1"/>
      <c r="J26" s="1">
        <f t="shared" si="1"/>
        <v>0</v>
      </c>
      <c r="K26" s="1"/>
      <c r="L26" s="1"/>
      <c r="M26" s="1">
        <f t="shared" si="2"/>
        <v>0</v>
      </c>
    </row>
    <row r="27" spans="3:13" x14ac:dyDescent="0.25">
      <c r="C27" s="1" t="s">
        <v>82</v>
      </c>
      <c r="D27" s="1"/>
      <c r="E27" s="1"/>
      <c r="F27" s="1">
        <f t="shared" si="0"/>
        <v>0</v>
      </c>
      <c r="G27" s="1"/>
      <c r="H27" s="1"/>
      <c r="I27" s="1"/>
      <c r="J27" s="1">
        <f t="shared" si="1"/>
        <v>0</v>
      </c>
      <c r="K27" s="1"/>
      <c r="L27" s="1"/>
      <c r="M27" s="1">
        <f t="shared" si="2"/>
        <v>0</v>
      </c>
    </row>
    <row r="28" spans="3:13" x14ac:dyDescent="0.25">
      <c r="C28" s="1" t="s">
        <v>83</v>
      </c>
      <c r="D28" s="1"/>
      <c r="E28" s="1"/>
      <c r="F28" s="1">
        <f t="shared" si="0"/>
        <v>0</v>
      </c>
      <c r="G28" s="1"/>
      <c r="H28" s="1"/>
      <c r="I28" s="1"/>
      <c r="J28" s="1">
        <f t="shared" si="1"/>
        <v>0</v>
      </c>
      <c r="K28" s="1"/>
      <c r="L28" s="1"/>
      <c r="M28" s="1">
        <f t="shared" si="2"/>
        <v>0</v>
      </c>
    </row>
    <row r="29" spans="3:13" x14ac:dyDescent="0.25">
      <c r="C29" s="1" t="s">
        <v>84</v>
      </c>
      <c r="D29" s="1"/>
      <c r="E29" s="1"/>
      <c r="F29" s="1">
        <f t="shared" si="0"/>
        <v>0</v>
      </c>
      <c r="G29" s="1"/>
      <c r="H29" s="1"/>
      <c r="I29" s="1"/>
      <c r="J29" s="1">
        <f t="shared" si="1"/>
        <v>0</v>
      </c>
      <c r="K29" s="1"/>
      <c r="L29" s="1"/>
      <c r="M29" s="1">
        <f t="shared" si="2"/>
        <v>0</v>
      </c>
    </row>
    <row r="30" spans="3:13" x14ac:dyDescent="0.25">
      <c r="C30" s="1" t="s">
        <v>85</v>
      </c>
      <c r="D30" s="1"/>
      <c r="E30" s="1"/>
      <c r="F30" s="1">
        <f t="shared" si="0"/>
        <v>0</v>
      </c>
      <c r="G30" s="1"/>
      <c r="H30" s="1"/>
      <c r="I30" s="1"/>
      <c r="J30" s="1">
        <f>H30*I30</f>
        <v>0</v>
      </c>
      <c r="K30" s="1"/>
      <c r="L30" s="1"/>
      <c r="M30" s="1">
        <f>K30*L30</f>
        <v>0</v>
      </c>
    </row>
    <row r="31" spans="3:13" x14ac:dyDescent="0.25">
      <c r="C31" s="1"/>
      <c r="D31" s="1"/>
      <c r="E31" s="1"/>
      <c r="F31" s="1">
        <f t="shared" si="0"/>
        <v>0</v>
      </c>
      <c r="G31" s="1"/>
      <c r="H31" s="1"/>
      <c r="I31" s="1"/>
      <c r="J31" s="1">
        <f>H31*I31</f>
        <v>0</v>
      </c>
      <c r="K31" s="1"/>
      <c r="L31" s="1"/>
      <c r="M31" s="1">
        <f>K31*L31</f>
        <v>0</v>
      </c>
    </row>
    <row r="32" spans="3:13" x14ac:dyDescent="0.25">
      <c r="C32" s="1"/>
      <c r="D32" s="1"/>
      <c r="E32" s="1"/>
      <c r="F32" s="1">
        <f t="shared" si="0"/>
        <v>0</v>
      </c>
      <c r="G32" s="1"/>
      <c r="H32" s="1"/>
      <c r="I32" s="1"/>
      <c r="J32" s="1">
        <f>H32*I32</f>
        <v>0</v>
      </c>
      <c r="K32" s="1"/>
      <c r="L32" s="1"/>
      <c r="M32" s="1">
        <f>K32*L32</f>
        <v>0</v>
      </c>
    </row>
    <row r="33" spans="3:13" x14ac:dyDescent="0.25">
      <c r="C33" s="1"/>
      <c r="D33" s="1"/>
      <c r="E33" s="1"/>
      <c r="F33" s="1">
        <f t="shared" si="0"/>
        <v>0</v>
      </c>
      <c r="G33" s="1"/>
      <c r="H33" s="1"/>
      <c r="I33" s="1"/>
      <c r="J33" s="1">
        <f>H33*I33</f>
        <v>0</v>
      </c>
      <c r="K33" s="1"/>
      <c r="L33" s="1"/>
      <c r="M33" s="1">
        <f>K33*L33</f>
        <v>0</v>
      </c>
    </row>
    <row r="34" spans="3:13" x14ac:dyDescent="0.25">
      <c r="C34" s="1" t="s">
        <v>89</v>
      </c>
      <c r="D34" s="1"/>
      <c r="E34" s="1">
        <f>F34*10.764</f>
        <v>0</v>
      </c>
      <c r="F34" s="1">
        <f>SUM(F6:F33)</f>
        <v>0</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4" t="s">
        <v>90</v>
      </c>
      <c r="D3" s="161"/>
      <c r="E3" s="161"/>
    </row>
    <row r="4" spans="2:13" x14ac:dyDescent="0.25">
      <c r="E4" s="3"/>
      <c r="F4" s="3"/>
      <c r="G4" s="3"/>
      <c r="H4" s="3"/>
      <c r="I4" s="3"/>
      <c r="J4" s="3"/>
    </row>
    <row r="5" spans="2:13" x14ac:dyDescent="0.25">
      <c r="B5" s="4" t="s">
        <v>91</v>
      </c>
      <c r="C5" s="2" t="s">
        <v>71</v>
      </c>
      <c r="D5" s="162" t="s">
        <v>72</v>
      </c>
      <c r="E5" s="162"/>
      <c r="F5" s="162"/>
      <c r="G5" s="5"/>
      <c r="H5" s="162" t="s">
        <v>73</v>
      </c>
      <c r="I5" s="162"/>
      <c r="J5" s="162"/>
      <c r="K5" s="162" t="s">
        <v>74</v>
      </c>
      <c r="L5" s="162"/>
      <c r="M5" s="162"/>
    </row>
    <row r="6" spans="2:13" x14ac:dyDescent="0.25">
      <c r="B6" s="4">
        <v>1</v>
      </c>
      <c r="C6" s="2"/>
      <c r="D6" s="2" t="s">
        <v>75</v>
      </c>
      <c r="E6" s="2" t="s">
        <v>76</v>
      </c>
      <c r="F6" s="2" t="s">
        <v>77</v>
      </c>
      <c r="G6" s="2"/>
      <c r="H6" s="2" t="s">
        <v>75</v>
      </c>
      <c r="I6" s="2" t="s">
        <v>76</v>
      </c>
      <c r="J6" s="2" t="s">
        <v>77</v>
      </c>
      <c r="K6" s="2" t="s">
        <v>75</v>
      </c>
      <c r="L6" s="2" t="s">
        <v>76</v>
      </c>
      <c r="M6" s="2" t="s">
        <v>77</v>
      </c>
    </row>
    <row r="7" spans="2:13" x14ac:dyDescent="0.25">
      <c r="C7" s="1" t="s">
        <v>78</v>
      </c>
      <c r="D7" s="1"/>
      <c r="E7" s="1"/>
      <c r="F7" s="1">
        <f>D7*E7</f>
        <v>0</v>
      </c>
      <c r="G7" s="1" t="s">
        <v>93</v>
      </c>
      <c r="H7" s="1"/>
      <c r="I7" s="1"/>
      <c r="J7" s="1">
        <f>H7*I7</f>
        <v>0</v>
      </c>
      <c r="K7" s="1"/>
      <c r="L7" s="1"/>
      <c r="M7" s="1">
        <f>K7*L7</f>
        <v>0</v>
      </c>
    </row>
    <row r="8" spans="2:13" x14ac:dyDescent="0.25">
      <c r="C8" s="1"/>
      <c r="D8" s="1"/>
      <c r="E8" s="1"/>
      <c r="F8" s="1">
        <f t="shared" ref="F8:F34" si="0">D8*E8</f>
        <v>0</v>
      </c>
      <c r="G8" s="1" t="s">
        <v>94</v>
      </c>
      <c r="H8" s="1"/>
      <c r="I8" s="1"/>
      <c r="J8" s="1">
        <f t="shared" ref="J8:J34" si="1">H8*I8</f>
        <v>0</v>
      </c>
      <c r="K8" s="1"/>
      <c r="L8" s="1"/>
      <c r="M8" s="1">
        <f t="shared" ref="M8:M34" si="2">K8*L8</f>
        <v>0</v>
      </c>
    </row>
    <row r="9" spans="2:13" x14ac:dyDescent="0.25">
      <c r="C9" s="1"/>
      <c r="D9" s="1"/>
      <c r="E9" s="1"/>
      <c r="F9" s="1">
        <f t="shared" si="0"/>
        <v>0</v>
      </c>
      <c r="G9" s="1"/>
      <c r="H9" s="1"/>
      <c r="I9" s="1"/>
      <c r="J9" s="1">
        <f t="shared" si="1"/>
        <v>0</v>
      </c>
      <c r="K9" s="1"/>
      <c r="L9" s="1"/>
      <c r="M9" s="1">
        <f t="shared" si="2"/>
        <v>0</v>
      </c>
    </row>
    <row r="10" spans="2:13" x14ac:dyDescent="0.25">
      <c r="C10" s="1" t="s">
        <v>81</v>
      </c>
      <c r="D10" s="1"/>
      <c r="E10" s="1"/>
      <c r="F10" s="1">
        <f t="shared" si="0"/>
        <v>0</v>
      </c>
      <c r="G10" s="1" t="s">
        <v>93</v>
      </c>
      <c r="H10" s="1"/>
      <c r="I10" s="1"/>
      <c r="J10" s="1">
        <f t="shared" si="1"/>
        <v>0</v>
      </c>
      <c r="K10" s="1"/>
      <c r="L10" s="1"/>
      <c r="M10" s="1">
        <f t="shared" si="2"/>
        <v>0</v>
      </c>
    </row>
    <row r="11" spans="2:13" x14ac:dyDescent="0.25">
      <c r="C11" s="1"/>
      <c r="D11" s="1"/>
      <c r="E11" s="1"/>
      <c r="F11" s="1">
        <f t="shared" si="0"/>
        <v>0</v>
      </c>
      <c r="G11" s="1" t="s">
        <v>94</v>
      </c>
      <c r="H11" s="1"/>
      <c r="I11" s="1"/>
      <c r="J11" s="1">
        <f t="shared" si="1"/>
        <v>0</v>
      </c>
      <c r="K11" s="1"/>
      <c r="L11" s="1"/>
      <c r="M11" s="1">
        <f t="shared" si="2"/>
        <v>0</v>
      </c>
    </row>
    <row r="12" spans="2:13" x14ac:dyDescent="0.25">
      <c r="C12" s="1"/>
      <c r="D12" s="1"/>
      <c r="E12" s="1"/>
      <c r="F12" s="1">
        <f t="shared" si="0"/>
        <v>0</v>
      </c>
      <c r="G12" s="1"/>
      <c r="H12" s="1"/>
      <c r="I12" s="1"/>
      <c r="J12" s="1">
        <f t="shared" si="1"/>
        <v>0</v>
      </c>
      <c r="K12" s="1"/>
      <c r="L12" s="1"/>
      <c r="M12" s="1">
        <f t="shared" si="2"/>
        <v>0</v>
      </c>
    </row>
    <row r="13" spans="2:13" x14ac:dyDescent="0.25">
      <c r="C13" s="1"/>
      <c r="D13" s="1"/>
      <c r="E13" s="1"/>
      <c r="F13" s="1">
        <f t="shared" si="0"/>
        <v>0</v>
      </c>
      <c r="G13" s="1"/>
      <c r="H13" s="1"/>
      <c r="I13" s="1"/>
      <c r="J13" s="1">
        <f t="shared" si="1"/>
        <v>0</v>
      </c>
      <c r="K13" s="1"/>
      <c r="L13" s="1"/>
      <c r="M13" s="1">
        <f t="shared" si="2"/>
        <v>0</v>
      </c>
    </row>
    <row r="14" spans="2:13" x14ac:dyDescent="0.25">
      <c r="C14" s="1" t="s">
        <v>79</v>
      </c>
      <c r="D14" s="1"/>
      <c r="E14" s="1"/>
      <c r="F14" s="1">
        <f t="shared" si="0"/>
        <v>0</v>
      </c>
      <c r="G14" s="1" t="s">
        <v>93</v>
      </c>
      <c r="H14" s="1"/>
      <c r="I14" s="1"/>
      <c r="J14" s="1">
        <f t="shared" si="1"/>
        <v>0</v>
      </c>
      <c r="K14" s="1"/>
      <c r="L14" s="1"/>
      <c r="M14" s="1">
        <f t="shared" si="2"/>
        <v>0</v>
      </c>
    </row>
    <row r="15" spans="2:13" x14ac:dyDescent="0.25">
      <c r="C15" s="1"/>
      <c r="D15" s="1"/>
      <c r="E15" s="1"/>
      <c r="F15" s="1">
        <f t="shared" si="0"/>
        <v>0</v>
      </c>
      <c r="G15" s="1" t="s">
        <v>94</v>
      </c>
      <c r="H15" s="1"/>
      <c r="I15" s="1"/>
      <c r="J15" s="1">
        <f t="shared" si="1"/>
        <v>0</v>
      </c>
      <c r="K15" s="1"/>
      <c r="L15" s="1"/>
      <c r="M15" s="1">
        <f t="shared" si="2"/>
        <v>0</v>
      </c>
    </row>
    <row r="16" spans="2:13" x14ac:dyDescent="0.25">
      <c r="C16" s="1"/>
      <c r="D16" s="1"/>
      <c r="E16" s="1"/>
      <c r="F16" s="1">
        <f t="shared" si="0"/>
        <v>0</v>
      </c>
      <c r="G16" s="1"/>
      <c r="H16" s="1"/>
      <c r="I16" s="1"/>
      <c r="J16" s="1">
        <f t="shared" si="1"/>
        <v>0</v>
      </c>
      <c r="K16" s="1"/>
      <c r="L16" s="1"/>
      <c r="M16" s="1">
        <f t="shared" si="2"/>
        <v>0</v>
      </c>
    </row>
    <row r="17" spans="3:13" x14ac:dyDescent="0.25">
      <c r="C17" s="1"/>
      <c r="D17" s="1"/>
      <c r="E17" s="1"/>
      <c r="F17" s="1">
        <f t="shared" si="0"/>
        <v>0</v>
      </c>
      <c r="G17" s="1"/>
      <c r="H17" s="1"/>
      <c r="I17" s="1"/>
      <c r="J17" s="1">
        <f t="shared" si="1"/>
        <v>0</v>
      </c>
      <c r="K17" s="1"/>
      <c r="L17" s="1"/>
      <c r="M17" s="1">
        <f t="shared" si="2"/>
        <v>0</v>
      </c>
    </row>
    <row r="18" spans="3:13" x14ac:dyDescent="0.25">
      <c r="C18" s="1" t="s">
        <v>80</v>
      </c>
      <c r="D18" s="1"/>
      <c r="E18" s="1"/>
      <c r="F18" s="1">
        <f t="shared" si="0"/>
        <v>0</v>
      </c>
      <c r="G18" s="1" t="s">
        <v>93</v>
      </c>
      <c r="H18" s="1"/>
      <c r="I18" s="1"/>
      <c r="J18" s="1">
        <f t="shared" si="1"/>
        <v>0</v>
      </c>
      <c r="K18" s="1"/>
      <c r="L18" s="1"/>
      <c r="M18" s="1">
        <f t="shared" si="2"/>
        <v>0</v>
      </c>
    </row>
    <row r="19" spans="3:13" x14ac:dyDescent="0.25">
      <c r="C19" s="1"/>
      <c r="D19" s="1"/>
      <c r="E19" s="1"/>
      <c r="F19" s="1">
        <f t="shared" si="0"/>
        <v>0</v>
      </c>
      <c r="G19" s="1" t="s">
        <v>94</v>
      </c>
      <c r="H19" s="1"/>
      <c r="I19" s="1"/>
      <c r="J19" s="1">
        <f t="shared" si="1"/>
        <v>0</v>
      </c>
      <c r="K19" s="1"/>
      <c r="L19" s="1"/>
      <c r="M19" s="1">
        <f t="shared" si="2"/>
        <v>0</v>
      </c>
    </row>
    <row r="20" spans="3:13" x14ac:dyDescent="0.25">
      <c r="C20" s="1"/>
      <c r="D20" s="1"/>
      <c r="E20" s="1"/>
      <c r="F20" s="1">
        <f t="shared" si="0"/>
        <v>0</v>
      </c>
      <c r="G20" s="1"/>
      <c r="H20" s="1"/>
      <c r="I20" s="1"/>
      <c r="J20" s="1">
        <f t="shared" si="1"/>
        <v>0</v>
      </c>
      <c r="K20" s="1"/>
      <c r="L20" s="1"/>
      <c r="M20" s="1">
        <f t="shared" si="2"/>
        <v>0</v>
      </c>
    </row>
    <row r="21" spans="3:13" x14ac:dyDescent="0.25">
      <c r="C21" s="1" t="s">
        <v>80</v>
      </c>
      <c r="D21" s="1"/>
      <c r="E21" s="1"/>
      <c r="F21" s="1">
        <f t="shared" si="0"/>
        <v>0</v>
      </c>
      <c r="G21" s="1" t="s">
        <v>93</v>
      </c>
      <c r="H21" s="1"/>
      <c r="I21" s="1"/>
      <c r="J21" s="1">
        <f t="shared" si="1"/>
        <v>0</v>
      </c>
      <c r="K21" s="1"/>
      <c r="L21" s="1"/>
      <c r="M21" s="1">
        <f t="shared" si="2"/>
        <v>0</v>
      </c>
    </row>
    <row r="22" spans="3:13" x14ac:dyDescent="0.25">
      <c r="C22" s="1"/>
      <c r="D22" s="1"/>
      <c r="E22" s="1"/>
      <c r="F22" s="1">
        <f t="shared" si="0"/>
        <v>0</v>
      </c>
      <c r="G22" s="1" t="s">
        <v>94</v>
      </c>
      <c r="H22" s="1"/>
      <c r="I22" s="1"/>
      <c r="J22" s="1">
        <f t="shared" si="1"/>
        <v>0</v>
      </c>
      <c r="K22" s="1"/>
      <c r="L22" s="1"/>
      <c r="M22" s="1">
        <f t="shared" si="2"/>
        <v>0</v>
      </c>
    </row>
    <row r="23" spans="3:13" x14ac:dyDescent="0.25">
      <c r="C23" s="1"/>
      <c r="D23" s="1"/>
      <c r="E23" s="1"/>
      <c r="F23" s="1">
        <f t="shared" si="0"/>
        <v>0</v>
      </c>
      <c r="G23" s="1"/>
      <c r="H23" s="1"/>
      <c r="I23" s="1"/>
      <c r="J23" s="1">
        <f t="shared" si="1"/>
        <v>0</v>
      </c>
      <c r="K23" s="1"/>
      <c r="L23" s="1"/>
      <c r="M23" s="1">
        <f t="shared" si="2"/>
        <v>0</v>
      </c>
    </row>
    <row r="24" spans="3:13" x14ac:dyDescent="0.25">
      <c r="C24" s="1" t="s">
        <v>86</v>
      </c>
      <c r="D24" s="1"/>
      <c r="E24" s="1"/>
      <c r="F24" s="1">
        <f t="shared" si="0"/>
        <v>0</v>
      </c>
      <c r="G24" s="1" t="s">
        <v>95</v>
      </c>
      <c r="H24" s="1"/>
      <c r="I24" s="1"/>
      <c r="J24" s="1">
        <f t="shared" si="1"/>
        <v>0</v>
      </c>
      <c r="K24" s="1"/>
      <c r="L24" s="1"/>
      <c r="M24" s="1">
        <f t="shared" si="2"/>
        <v>0</v>
      </c>
    </row>
    <row r="25" spans="3:13" x14ac:dyDescent="0.25">
      <c r="C25" s="1" t="s">
        <v>87</v>
      </c>
      <c r="D25" s="1"/>
      <c r="E25" s="1"/>
      <c r="F25" s="1">
        <f t="shared" si="0"/>
        <v>0</v>
      </c>
      <c r="G25" s="1" t="s">
        <v>95</v>
      </c>
      <c r="H25" s="1"/>
      <c r="I25" s="1"/>
      <c r="J25" s="1">
        <f t="shared" si="1"/>
        <v>0</v>
      </c>
      <c r="K25" s="1"/>
      <c r="L25" s="1"/>
      <c r="M25" s="1">
        <f t="shared" si="2"/>
        <v>0</v>
      </c>
    </row>
    <row r="26" spans="3:13" x14ac:dyDescent="0.25">
      <c r="C26" s="1" t="s">
        <v>88</v>
      </c>
      <c r="D26" s="1"/>
      <c r="E26" s="1"/>
      <c r="F26" s="1">
        <f t="shared" si="0"/>
        <v>0</v>
      </c>
      <c r="G26" s="1" t="s">
        <v>95</v>
      </c>
      <c r="H26" s="1"/>
      <c r="I26" s="1"/>
      <c r="J26" s="1">
        <f t="shared" si="1"/>
        <v>0</v>
      </c>
      <c r="K26" s="1"/>
      <c r="L26" s="1"/>
      <c r="M26" s="1">
        <f t="shared" si="2"/>
        <v>0</v>
      </c>
    </row>
    <row r="27" spans="3:13" x14ac:dyDescent="0.25">
      <c r="C27" s="1"/>
      <c r="D27" s="1"/>
      <c r="E27" s="1"/>
      <c r="F27" s="1">
        <f t="shared" si="0"/>
        <v>0</v>
      </c>
      <c r="G27" s="1"/>
      <c r="H27" s="1"/>
      <c r="I27" s="1"/>
      <c r="J27" s="1">
        <f t="shared" si="1"/>
        <v>0</v>
      </c>
      <c r="K27" s="1"/>
      <c r="L27" s="1"/>
      <c r="M27" s="1">
        <f t="shared" si="2"/>
        <v>0</v>
      </c>
    </row>
    <row r="28" spans="3:13" x14ac:dyDescent="0.25">
      <c r="C28" s="1" t="s">
        <v>82</v>
      </c>
      <c r="D28" s="1"/>
      <c r="E28" s="1"/>
      <c r="F28" s="1">
        <f t="shared" si="0"/>
        <v>0</v>
      </c>
      <c r="G28" s="1"/>
      <c r="H28" s="1"/>
      <c r="I28" s="1"/>
      <c r="J28" s="1">
        <f t="shared" si="1"/>
        <v>0</v>
      </c>
      <c r="K28" s="1"/>
      <c r="L28" s="1"/>
      <c r="M28" s="1">
        <f t="shared" si="2"/>
        <v>0</v>
      </c>
    </row>
    <row r="29" spans="3:13" x14ac:dyDescent="0.25">
      <c r="C29" s="1" t="s">
        <v>83</v>
      </c>
      <c r="D29" s="1"/>
      <c r="E29" s="1"/>
      <c r="F29" s="1">
        <f t="shared" si="0"/>
        <v>0</v>
      </c>
      <c r="G29" s="1"/>
      <c r="H29" s="1"/>
      <c r="I29" s="1"/>
      <c r="J29" s="1">
        <f t="shared" si="1"/>
        <v>0</v>
      </c>
      <c r="K29" s="1"/>
      <c r="L29" s="1"/>
      <c r="M29" s="1">
        <f t="shared" si="2"/>
        <v>0</v>
      </c>
    </row>
    <row r="30" spans="3:13" x14ac:dyDescent="0.25">
      <c r="C30" s="1" t="s">
        <v>84</v>
      </c>
      <c r="D30" s="1"/>
      <c r="E30" s="1"/>
      <c r="F30" s="1">
        <f t="shared" si="0"/>
        <v>0</v>
      </c>
      <c r="G30" s="1"/>
      <c r="H30" s="1"/>
      <c r="I30" s="1"/>
      <c r="J30" s="1">
        <f t="shared" si="1"/>
        <v>0</v>
      </c>
      <c r="K30" s="1"/>
      <c r="L30" s="1"/>
      <c r="M30" s="1">
        <f t="shared" si="2"/>
        <v>0</v>
      </c>
    </row>
    <row r="31" spans="3:13" x14ac:dyDescent="0.25">
      <c r="C31" s="1" t="s">
        <v>85</v>
      </c>
      <c r="D31" s="1"/>
      <c r="E31" s="1"/>
      <c r="F31" s="1">
        <f t="shared" si="0"/>
        <v>0</v>
      </c>
      <c r="G31" s="1"/>
      <c r="H31" s="1"/>
      <c r="I31" s="1"/>
      <c r="J31" s="1">
        <f t="shared" si="1"/>
        <v>0</v>
      </c>
      <c r="K31" s="1"/>
      <c r="L31" s="1"/>
      <c r="M31" s="1">
        <f t="shared" si="2"/>
        <v>0</v>
      </c>
    </row>
    <row r="32" spans="3:13" x14ac:dyDescent="0.25">
      <c r="C32" s="1"/>
      <c r="D32" s="1"/>
      <c r="E32" s="1"/>
      <c r="F32" s="1">
        <f t="shared" si="0"/>
        <v>0</v>
      </c>
      <c r="G32" s="1"/>
      <c r="H32" s="1"/>
      <c r="I32" s="1"/>
      <c r="J32" s="1">
        <f t="shared" si="1"/>
        <v>0</v>
      </c>
      <c r="K32" s="1"/>
      <c r="L32" s="1"/>
      <c r="M32" s="1">
        <f t="shared" si="2"/>
        <v>0</v>
      </c>
    </row>
    <row r="33" spans="3:13" x14ac:dyDescent="0.25">
      <c r="C33" s="1"/>
      <c r="D33" s="1"/>
      <c r="E33" s="1"/>
      <c r="F33" s="1">
        <f t="shared" si="0"/>
        <v>0</v>
      </c>
      <c r="G33" s="1"/>
      <c r="H33" s="1"/>
      <c r="I33" s="1"/>
      <c r="J33" s="1">
        <f t="shared" si="1"/>
        <v>0</v>
      </c>
      <c r="K33" s="1"/>
      <c r="L33" s="1"/>
      <c r="M33" s="1">
        <f t="shared" si="2"/>
        <v>0</v>
      </c>
    </row>
    <row r="34" spans="3:13" x14ac:dyDescent="0.25">
      <c r="C34" s="1"/>
      <c r="D34" s="1"/>
      <c r="E34" s="1"/>
      <c r="F34" s="1">
        <f t="shared" si="0"/>
        <v>0</v>
      </c>
      <c r="G34" s="1"/>
      <c r="H34" s="1"/>
      <c r="I34" s="1"/>
      <c r="J34" s="1">
        <f t="shared" si="1"/>
        <v>0</v>
      </c>
      <c r="K34" s="1"/>
      <c r="L34" s="1"/>
      <c r="M34" s="1">
        <f t="shared" si="2"/>
        <v>0</v>
      </c>
    </row>
    <row r="35" spans="3:13" x14ac:dyDescent="0.25">
      <c r="C35" s="1" t="s">
        <v>89</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4" t="s">
        <v>90</v>
      </c>
      <c r="E3" s="161"/>
      <c r="F3" s="161"/>
    </row>
    <row r="4" spans="3:14" x14ac:dyDescent="0.25">
      <c r="F4" s="3"/>
      <c r="G4" s="3"/>
      <c r="H4" s="3"/>
      <c r="I4" s="3"/>
      <c r="J4" s="3"/>
      <c r="K4" s="3"/>
    </row>
    <row r="5" spans="3:14" x14ac:dyDescent="0.25">
      <c r="C5" s="4" t="s">
        <v>91</v>
      </c>
      <c r="D5" s="2" t="s">
        <v>71</v>
      </c>
      <c r="E5" s="162" t="s">
        <v>72</v>
      </c>
      <c r="F5" s="162"/>
      <c r="G5" s="162"/>
      <c r="H5" s="5"/>
      <c r="I5" s="162" t="s">
        <v>73</v>
      </c>
      <c r="J5" s="162"/>
      <c r="K5" s="162"/>
      <c r="L5" s="162" t="s">
        <v>74</v>
      </c>
      <c r="M5" s="162"/>
      <c r="N5" s="162"/>
    </row>
    <row r="6" spans="3:14" x14ac:dyDescent="0.25">
      <c r="C6" s="4">
        <v>1</v>
      </c>
      <c r="D6" s="2"/>
      <c r="E6" s="2" t="s">
        <v>75</v>
      </c>
      <c r="F6" s="2" t="s">
        <v>76</v>
      </c>
      <c r="G6" s="2" t="s">
        <v>77</v>
      </c>
      <c r="H6" s="2"/>
      <c r="I6" s="2" t="s">
        <v>75</v>
      </c>
      <c r="J6" s="2" t="s">
        <v>76</v>
      </c>
      <c r="K6" s="2" t="s">
        <v>77</v>
      </c>
      <c r="L6" s="2" t="s">
        <v>75</v>
      </c>
      <c r="M6" s="2" t="s">
        <v>76</v>
      </c>
      <c r="N6" s="2" t="s">
        <v>77</v>
      </c>
    </row>
    <row r="7" spans="3:14" x14ac:dyDescent="0.25">
      <c r="D7" s="1" t="s">
        <v>78</v>
      </c>
      <c r="E7" s="1"/>
      <c r="F7" s="1"/>
      <c r="G7" s="1">
        <f>E7*F7</f>
        <v>0</v>
      </c>
      <c r="H7" s="1" t="s">
        <v>93</v>
      </c>
      <c r="I7" s="1"/>
      <c r="J7" s="1"/>
      <c r="K7" s="1">
        <f>I7*J7</f>
        <v>0</v>
      </c>
      <c r="L7" s="1"/>
      <c r="M7" s="1"/>
      <c r="N7" s="1">
        <f>L7*M7</f>
        <v>0</v>
      </c>
    </row>
    <row r="8" spans="3:14" x14ac:dyDescent="0.25">
      <c r="D8" s="1"/>
      <c r="E8" s="1"/>
      <c r="F8" s="1"/>
      <c r="G8" s="1">
        <f t="shared" ref="G8:G34" si="0">E8*F8</f>
        <v>0</v>
      </c>
      <c r="H8" s="1" t="s">
        <v>94</v>
      </c>
      <c r="I8" s="1"/>
      <c r="J8" s="1"/>
      <c r="K8" s="1">
        <f t="shared" ref="K8:K34" si="1">I8*J8</f>
        <v>0</v>
      </c>
      <c r="L8" s="1"/>
      <c r="M8" s="1"/>
      <c r="N8" s="1">
        <f t="shared" ref="N8:N34" si="2">L8*M8</f>
        <v>0</v>
      </c>
    </row>
    <row r="9" spans="3:14" x14ac:dyDescent="0.25">
      <c r="D9" s="1"/>
      <c r="E9" s="1"/>
      <c r="F9" s="1"/>
      <c r="G9" s="1">
        <f t="shared" si="0"/>
        <v>0</v>
      </c>
      <c r="H9" s="1"/>
      <c r="I9" s="1"/>
      <c r="J9" s="1"/>
      <c r="K9" s="1">
        <f t="shared" si="1"/>
        <v>0</v>
      </c>
      <c r="L9" s="1"/>
      <c r="M9" s="1"/>
      <c r="N9" s="1">
        <f t="shared" si="2"/>
        <v>0</v>
      </c>
    </row>
    <row r="10" spans="3:14" x14ac:dyDescent="0.25">
      <c r="D10" s="1" t="s">
        <v>81</v>
      </c>
      <c r="E10" s="1"/>
      <c r="F10" s="1"/>
      <c r="G10" s="1">
        <f t="shared" si="0"/>
        <v>0</v>
      </c>
      <c r="H10" s="1" t="s">
        <v>93</v>
      </c>
      <c r="I10" s="1"/>
      <c r="J10" s="1"/>
      <c r="K10" s="1">
        <f t="shared" si="1"/>
        <v>0</v>
      </c>
      <c r="L10" s="1"/>
      <c r="M10" s="1"/>
      <c r="N10" s="1">
        <f t="shared" si="2"/>
        <v>0</v>
      </c>
    </row>
    <row r="11" spans="3:14" x14ac:dyDescent="0.25">
      <c r="D11" s="1"/>
      <c r="E11" s="1"/>
      <c r="F11" s="1"/>
      <c r="G11" s="1">
        <f t="shared" si="0"/>
        <v>0</v>
      </c>
      <c r="H11" s="1" t="s">
        <v>94</v>
      </c>
      <c r="I11" s="1"/>
      <c r="J11" s="1"/>
      <c r="K11" s="1">
        <f t="shared" si="1"/>
        <v>0</v>
      </c>
      <c r="L11" s="1"/>
      <c r="M11" s="1"/>
      <c r="N11" s="1">
        <f t="shared" si="2"/>
        <v>0</v>
      </c>
    </row>
    <row r="12" spans="3:14" x14ac:dyDescent="0.25">
      <c r="D12" s="1"/>
      <c r="E12" s="1"/>
      <c r="F12" s="1"/>
      <c r="G12" s="1">
        <f t="shared" si="0"/>
        <v>0</v>
      </c>
      <c r="H12" s="1"/>
      <c r="I12" s="1"/>
      <c r="J12" s="1"/>
      <c r="K12" s="1">
        <f t="shared" si="1"/>
        <v>0</v>
      </c>
      <c r="L12" s="1"/>
      <c r="M12" s="1"/>
      <c r="N12" s="1">
        <f t="shared" si="2"/>
        <v>0</v>
      </c>
    </row>
    <row r="13" spans="3:14" x14ac:dyDescent="0.25">
      <c r="D13" s="1"/>
      <c r="E13" s="1"/>
      <c r="F13" s="1"/>
      <c r="G13" s="1">
        <f t="shared" si="0"/>
        <v>0</v>
      </c>
      <c r="H13" s="1"/>
      <c r="I13" s="1"/>
      <c r="J13" s="1"/>
      <c r="K13" s="1">
        <f t="shared" si="1"/>
        <v>0</v>
      </c>
      <c r="L13" s="1"/>
      <c r="M13" s="1"/>
      <c r="N13" s="1">
        <f t="shared" si="2"/>
        <v>0</v>
      </c>
    </row>
    <row r="14" spans="3:14" x14ac:dyDescent="0.25">
      <c r="D14" s="1" t="s">
        <v>79</v>
      </c>
      <c r="E14" s="1"/>
      <c r="F14" s="1"/>
      <c r="G14" s="1">
        <f t="shared" si="0"/>
        <v>0</v>
      </c>
      <c r="H14" s="1" t="s">
        <v>93</v>
      </c>
      <c r="I14" s="1"/>
      <c r="J14" s="1"/>
      <c r="K14" s="1">
        <f t="shared" si="1"/>
        <v>0</v>
      </c>
      <c r="L14" s="1"/>
      <c r="M14" s="1"/>
      <c r="N14" s="1">
        <f t="shared" si="2"/>
        <v>0</v>
      </c>
    </row>
    <row r="15" spans="3:14" x14ac:dyDescent="0.25">
      <c r="D15" s="1"/>
      <c r="E15" s="1"/>
      <c r="F15" s="1"/>
      <c r="G15" s="1">
        <f t="shared" si="0"/>
        <v>0</v>
      </c>
      <c r="H15" s="1" t="s">
        <v>94</v>
      </c>
      <c r="I15" s="1"/>
      <c r="J15" s="1"/>
      <c r="K15" s="1">
        <f t="shared" si="1"/>
        <v>0</v>
      </c>
      <c r="L15" s="1"/>
      <c r="M15" s="1"/>
      <c r="N15" s="1">
        <f t="shared" si="2"/>
        <v>0</v>
      </c>
    </row>
    <row r="16" spans="3:14" x14ac:dyDescent="0.25">
      <c r="D16" s="1"/>
      <c r="E16" s="1"/>
      <c r="F16" s="1"/>
      <c r="G16" s="1">
        <f t="shared" si="0"/>
        <v>0</v>
      </c>
      <c r="H16" s="1"/>
      <c r="I16" s="1"/>
      <c r="J16" s="1"/>
      <c r="K16" s="1">
        <f t="shared" si="1"/>
        <v>0</v>
      </c>
      <c r="L16" s="1"/>
      <c r="M16" s="1"/>
      <c r="N16" s="1">
        <f t="shared" si="2"/>
        <v>0</v>
      </c>
    </row>
    <row r="17" spans="4:14" x14ac:dyDescent="0.25">
      <c r="D17" s="1"/>
      <c r="E17" s="1"/>
      <c r="F17" s="1"/>
      <c r="G17" s="1">
        <f t="shared" si="0"/>
        <v>0</v>
      </c>
      <c r="H17" s="1"/>
      <c r="I17" s="1"/>
      <c r="J17" s="1"/>
      <c r="K17" s="1">
        <f t="shared" si="1"/>
        <v>0</v>
      </c>
      <c r="L17" s="1"/>
      <c r="M17" s="1"/>
      <c r="N17" s="1">
        <f t="shared" si="2"/>
        <v>0</v>
      </c>
    </row>
    <row r="18" spans="4:14" x14ac:dyDescent="0.25">
      <c r="D18" s="1" t="s">
        <v>80</v>
      </c>
      <c r="E18" s="1"/>
      <c r="F18" s="1"/>
      <c r="G18" s="1">
        <f t="shared" si="0"/>
        <v>0</v>
      </c>
      <c r="H18" s="1" t="s">
        <v>93</v>
      </c>
      <c r="I18" s="1"/>
      <c r="J18" s="1"/>
      <c r="K18" s="1">
        <f t="shared" si="1"/>
        <v>0</v>
      </c>
      <c r="L18" s="1"/>
      <c r="M18" s="1"/>
      <c r="N18" s="1">
        <f t="shared" si="2"/>
        <v>0</v>
      </c>
    </row>
    <row r="19" spans="4:14" x14ac:dyDescent="0.25">
      <c r="D19" s="1"/>
      <c r="E19" s="1"/>
      <c r="F19" s="1"/>
      <c r="G19" s="1">
        <f t="shared" si="0"/>
        <v>0</v>
      </c>
      <c r="H19" s="1" t="s">
        <v>94</v>
      </c>
      <c r="I19" s="1"/>
      <c r="J19" s="1"/>
      <c r="K19" s="1">
        <f t="shared" si="1"/>
        <v>0</v>
      </c>
      <c r="L19" s="1"/>
      <c r="M19" s="1"/>
      <c r="N19" s="1">
        <f t="shared" si="2"/>
        <v>0</v>
      </c>
    </row>
    <row r="20" spans="4:14" x14ac:dyDescent="0.25">
      <c r="D20" s="1"/>
      <c r="E20" s="1"/>
      <c r="F20" s="1"/>
      <c r="G20" s="1">
        <f t="shared" si="0"/>
        <v>0</v>
      </c>
      <c r="H20" s="1"/>
      <c r="I20" s="1"/>
      <c r="J20" s="1"/>
      <c r="K20" s="1">
        <f t="shared" si="1"/>
        <v>0</v>
      </c>
      <c r="L20" s="1"/>
      <c r="M20" s="1"/>
      <c r="N20" s="1">
        <f t="shared" si="2"/>
        <v>0</v>
      </c>
    </row>
    <row r="21" spans="4:14" x14ac:dyDescent="0.25">
      <c r="D21" s="1" t="s">
        <v>80</v>
      </c>
      <c r="E21" s="1"/>
      <c r="F21" s="1"/>
      <c r="G21" s="1">
        <f t="shared" si="0"/>
        <v>0</v>
      </c>
      <c r="H21" s="1" t="s">
        <v>93</v>
      </c>
      <c r="I21" s="1"/>
      <c r="J21" s="1"/>
      <c r="K21" s="1">
        <f t="shared" si="1"/>
        <v>0</v>
      </c>
      <c r="L21" s="1"/>
      <c r="M21" s="1"/>
      <c r="N21" s="1">
        <f t="shared" si="2"/>
        <v>0</v>
      </c>
    </row>
    <row r="22" spans="4:14" x14ac:dyDescent="0.25">
      <c r="D22" s="1"/>
      <c r="E22" s="1"/>
      <c r="F22" s="1"/>
      <c r="G22" s="1">
        <f t="shared" si="0"/>
        <v>0</v>
      </c>
      <c r="H22" s="1" t="s">
        <v>94</v>
      </c>
      <c r="I22" s="1"/>
      <c r="J22" s="1"/>
      <c r="K22" s="1">
        <f t="shared" si="1"/>
        <v>0</v>
      </c>
      <c r="L22" s="1"/>
      <c r="M22" s="1"/>
      <c r="N22" s="1">
        <f t="shared" si="2"/>
        <v>0</v>
      </c>
    </row>
    <row r="23" spans="4:14" x14ac:dyDescent="0.25">
      <c r="D23" s="1"/>
      <c r="E23" s="1"/>
      <c r="F23" s="1"/>
      <c r="G23" s="1">
        <f t="shared" si="0"/>
        <v>0</v>
      </c>
      <c r="H23" s="1"/>
      <c r="I23" s="1"/>
      <c r="J23" s="1"/>
      <c r="K23" s="1">
        <f t="shared" si="1"/>
        <v>0</v>
      </c>
      <c r="L23" s="1"/>
      <c r="M23" s="1"/>
      <c r="N23" s="1">
        <f t="shared" si="2"/>
        <v>0</v>
      </c>
    </row>
    <row r="24" spans="4:14" x14ac:dyDescent="0.25">
      <c r="D24" s="1" t="s">
        <v>86</v>
      </c>
      <c r="E24" s="1"/>
      <c r="F24" s="1"/>
      <c r="G24" s="1">
        <f t="shared" si="0"/>
        <v>0</v>
      </c>
      <c r="H24" s="1" t="s">
        <v>95</v>
      </c>
      <c r="I24" s="1"/>
      <c r="J24" s="1"/>
      <c r="K24" s="1">
        <f t="shared" si="1"/>
        <v>0</v>
      </c>
      <c r="L24" s="1"/>
      <c r="M24" s="1"/>
      <c r="N24" s="1">
        <f t="shared" si="2"/>
        <v>0</v>
      </c>
    </row>
    <row r="25" spans="4:14" x14ac:dyDescent="0.25">
      <c r="D25" s="1" t="s">
        <v>87</v>
      </c>
      <c r="E25" s="1"/>
      <c r="F25" s="1"/>
      <c r="G25" s="1">
        <f t="shared" si="0"/>
        <v>0</v>
      </c>
      <c r="H25" s="1" t="s">
        <v>95</v>
      </c>
      <c r="I25" s="1"/>
      <c r="J25" s="1"/>
      <c r="K25" s="1">
        <f t="shared" si="1"/>
        <v>0</v>
      </c>
      <c r="L25" s="1"/>
      <c r="M25" s="1"/>
      <c r="N25" s="1">
        <f t="shared" si="2"/>
        <v>0</v>
      </c>
    </row>
    <row r="26" spans="4:14" x14ac:dyDescent="0.25">
      <c r="D26" s="1" t="s">
        <v>88</v>
      </c>
      <c r="E26" s="1"/>
      <c r="F26" s="1"/>
      <c r="G26" s="1">
        <f t="shared" si="0"/>
        <v>0</v>
      </c>
      <c r="H26" s="1" t="s">
        <v>95</v>
      </c>
      <c r="I26" s="1"/>
      <c r="J26" s="1"/>
      <c r="K26" s="1">
        <f t="shared" si="1"/>
        <v>0</v>
      </c>
      <c r="L26" s="1"/>
      <c r="M26" s="1"/>
      <c r="N26" s="1">
        <f t="shared" si="2"/>
        <v>0</v>
      </c>
    </row>
    <row r="27" spans="4:14" x14ac:dyDescent="0.25">
      <c r="D27" s="1"/>
      <c r="E27" s="1"/>
      <c r="F27" s="1"/>
      <c r="G27" s="1">
        <f t="shared" si="0"/>
        <v>0</v>
      </c>
      <c r="H27" s="1"/>
      <c r="I27" s="1"/>
      <c r="J27" s="1"/>
      <c r="K27" s="1">
        <f t="shared" si="1"/>
        <v>0</v>
      </c>
      <c r="L27" s="1"/>
      <c r="M27" s="1"/>
      <c r="N27" s="1">
        <f t="shared" si="2"/>
        <v>0</v>
      </c>
    </row>
    <row r="28" spans="4:14" x14ac:dyDescent="0.25">
      <c r="D28" s="1" t="s">
        <v>82</v>
      </c>
      <c r="E28" s="1"/>
      <c r="F28" s="1"/>
      <c r="G28" s="1">
        <f t="shared" si="0"/>
        <v>0</v>
      </c>
      <c r="H28" s="1"/>
      <c r="I28" s="1"/>
      <c r="J28" s="1"/>
      <c r="K28" s="1">
        <f t="shared" si="1"/>
        <v>0</v>
      </c>
      <c r="L28" s="1"/>
      <c r="M28" s="1"/>
      <c r="N28" s="1">
        <f t="shared" si="2"/>
        <v>0</v>
      </c>
    </row>
    <row r="29" spans="4:14" x14ac:dyDescent="0.25">
      <c r="D29" s="1" t="s">
        <v>83</v>
      </c>
      <c r="E29" s="1"/>
      <c r="F29" s="1"/>
      <c r="G29" s="1">
        <f t="shared" si="0"/>
        <v>0</v>
      </c>
      <c r="H29" s="1"/>
      <c r="I29" s="1"/>
      <c r="J29" s="1"/>
      <c r="K29" s="1">
        <f t="shared" si="1"/>
        <v>0</v>
      </c>
      <c r="L29" s="1"/>
      <c r="M29" s="1"/>
      <c r="N29" s="1">
        <f t="shared" si="2"/>
        <v>0</v>
      </c>
    </row>
    <row r="30" spans="4:14" x14ac:dyDescent="0.25">
      <c r="D30" s="1" t="s">
        <v>84</v>
      </c>
      <c r="E30" s="1"/>
      <c r="F30" s="1"/>
      <c r="G30" s="1">
        <f t="shared" si="0"/>
        <v>0</v>
      </c>
      <c r="H30" s="1"/>
      <c r="I30" s="1"/>
      <c r="J30" s="1"/>
      <c r="K30" s="1">
        <f t="shared" si="1"/>
        <v>0</v>
      </c>
      <c r="L30" s="1"/>
      <c r="M30" s="1"/>
      <c r="N30" s="1">
        <f t="shared" si="2"/>
        <v>0</v>
      </c>
    </row>
    <row r="31" spans="4:14" x14ac:dyDescent="0.25">
      <c r="D31" s="1" t="s">
        <v>85</v>
      </c>
      <c r="E31" s="1"/>
      <c r="F31" s="1"/>
      <c r="G31" s="1">
        <f t="shared" si="0"/>
        <v>0</v>
      </c>
      <c r="H31" s="1"/>
      <c r="I31" s="1"/>
      <c r="J31" s="1"/>
      <c r="K31" s="1">
        <f t="shared" si="1"/>
        <v>0</v>
      </c>
      <c r="L31" s="1"/>
      <c r="M31" s="1"/>
      <c r="N31" s="1">
        <f t="shared" si="2"/>
        <v>0</v>
      </c>
    </row>
    <row r="32" spans="4:14" x14ac:dyDescent="0.25">
      <c r="D32" s="1"/>
      <c r="E32" s="1"/>
      <c r="F32" s="1"/>
      <c r="G32" s="1">
        <f t="shared" si="0"/>
        <v>0</v>
      </c>
      <c r="H32" s="1"/>
      <c r="I32" s="1"/>
      <c r="J32" s="1"/>
      <c r="K32" s="1">
        <f t="shared" si="1"/>
        <v>0</v>
      </c>
      <c r="L32" s="1"/>
      <c r="M32" s="1"/>
      <c r="N32" s="1">
        <f t="shared" si="2"/>
        <v>0</v>
      </c>
    </row>
    <row r="33" spans="4:14" x14ac:dyDescent="0.25">
      <c r="D33" s="1"/>
      <c r="E33" s="1"/>
      <c r="F33" s="1"/>
      <c r="G33" s="1">
        <f t="shared" si="0"/>
        <v>0</v>
      </c>
      <c r="H33" s="1"/>
      <c r="I33" s="1"/>
      <c r="J33" s="1"/>
      <c r="K33" s="1">
        <f t="shared" si="1"/>
        <v>0</v>
      </c>
      <c r="L33" s="1"/>
      <c r="M33" s="1"/>
      <c r="N33" s="1">
        <f t="shared" si="2"/>
        <v>0</v>
      </c>
    </row>
    <row r="34" spans="4:14" x14ac:dyDescent="0.25">
      <c r="D34" s="1"/>
      <c r="E34" s="1"/>
      <c r="F34" s="1"/>
      <c r="G34" s="1">
        <f t="shared" si="0"/>
        <v>0</v>
      </c>
      <c r="H34" s="1"/>
      <c r="I34" s="1"/>
      <c r="J34" s="1"/>
      <c r="K34" s="1">
        <f t="shared" si="1"/>
        <v>0</v>
      </c>
      <c r="L34" s="1"/>
      <c r="M34" s="1"/>
      <c r="N34" s="1">
        <f t="shared" si="2"/>
        <v>0</v>
      </c>
    </row>
    <row r="35" spans="4:14" x14ac:dyDescent="0.25">
      <c r="D35" s="1" t="s">
        <v>89</v>
      </c>
      <c r="E35" s="1"/>
      <c r="F35" s="1">
        <f>G35*10.764</f>
        <v>0</v>
      </c>
      <c r="G35" s="1">
        <f>SUM(G7:G34)</f>
        <v>0</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 %</vt:lpstr>
      <vt:lpstr>Wing A</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2025-06-12T12:48:20Z</cp:lastPrinted>
  <dcterms:created xsi:type="dcterms:W3CDTF">2013-11-23T05:32:33Z</dcterms:created>
  <dcterms:modified xsi:type="dcterms:W3CDTF">2025-09-17T17:46:11Z</dcterms:modified>
</cp:coreProperties>
</file>