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4" i="1" l="1"/>
  <c r="I141" i="1" l="1"/>
  <c r="E227" i="1"/>
  <c r="D227" i="1"/>
  <c r="E229" i="1"/>
  <c r="E228" i="1"/>
  <c r="D229" i="1"/>
  <c r="D228" i="1"/>
  <c r="E225" i="1"/>
  <c r="D225" i="1"/>
  <c r="E224" i="1"/>
  <c r="D224" i="1"/>
  <c r="E223" i="1"/>
  <c r="D223" i="1"/>
  <c r="E219" i="1"/>
  <c r="D219" i="1"/>
  <c r="E221" i="1"/>
  <c r="D221" i="1"/>
  <c r="E220" i="1"/>
  <c r="D220" i="1"/>
  <c r="E217" i="1"/>
  <c r="D217" i="1"/>
  <c r="F217" i="1" s="1"/>
  <c r="H217" i="1" s="1"/>
  <c r="E216" i="1"/>
  <c r="D216" i="1"/>
  <c r="E215" i="1"/>
  <c r="D215" i="1"/>
  <c r="E211" i="1"/>
  <c r="D211" i="1"/>
  <c r="A228" i="1"/>
  <c r="A229" i="1" s="1"/>
  <c r="A224" i="1"/>
  <c r="A225" i="1" s="1"/>
  <c r="A220" i="1"/>
  <c r="A221" i="1" s="1"/>
  <c r="D213" i="1"/>
  <c r="F213" i="1" s="1"/>
  <c r="H213" i="1" s="1"/>
  <c r="D212" i="1"/>
  <c r="F212" i="1" s="1"/>
  <c r="H212" i="1" s="1"/>
  <c r="D209" i="1"/>
  <c r="F209" i="1" s="1"/>
  <c r="H209" i="1" s="1"/>
  <c r="D208" i="1"/>
  <c r="F208" i="1" s="1"/>
  <c r="H208" i="1" s="1"/>
  <c r="D207" i="1"/>
  <c r="F207" i="1" s="1"/>
  <c r="H207" i="1" s="1"/>
  <c r="A212" i="1"/>
  <c r="A213" i="1" s="1"/>
  <c r="A208" i="1"/>
  <c r="A209" i="1" s="1"/>
  <c r="A216" i="1"/>
  <c r="A217" i="1" s="1"/>
  <c r="D203" i="1"/>
  <c r="F203" i="1" s="1"/>
  <c r="H203" i="1" s="1"/>
  <c r="D205" i="1"/>
  <c r="F205" i="1" s="1"/>
  <c r="H205" i="1" s="1"/>
  <c r="D204" i="1"/>
  <c r="F204" i="1" s="1"/>
  <c r="H204" i="1" s="1"/>
  <c r="A204" i="1"/>
  <c r="A205" i="1" s="1"/>
  <c r="D201" i="1"/>
  <c r="F201" i="1" s="1"/>
  <c r="H201" i="1" s="1"/>
  <c r="E200" i="1"/>
  <c r="D200" i="1"/>
  <c r="A199" i="1"/>
  <c r="A200" i="1" s="1"/>
  <c r="A201" i="1" s="1"/>
  <c r="D193" i="1"/>
  <c r="F193" i="1" s="1"/>
  <c r="H193" i="1" s="1"/>
  <c r="E192" i="1"/>
  <c r="D192" i="1"/>
  <c r="E190" i="1"/>
  <c r="D190" i="1"/>
  <c r="D189" i="1"/>
  <c r="E188" i="1"/>
  <c r="D188" i="1"/>
  <c r="E184" i="1"/>
  <c r="D184" i="1"/>
  <c r="E186" i="1"/>
  <c r="D186" i="1"/>
  <c r="D185" i="1"/>
  <c r="F185" i="1" s="1"/>
  <c r="H185" i="1" s="1"/>
  <c r="A194" i="1"/>
  <c r="A195" i="1" s="1"/>
  <c r="A193" i="1"/>
  <c r="A185" i="1"/>
  <c r="A186" i="1" s="1"/>
  <c r="E182" i="1"/>
  <c r="D182" i="1"/>
  <c r="D181" i="1"/>
  <c r="F181" i="1" s="1"/>
  <c r="H181" i="1" s="1"/>
  <c r="D180" i="1"/>
  <c r="F180" i="1" s="1"/>
  <c r="H180" i="1" s="1"/>
  <c r="E179" i="1"/>
  <c r="D179" i="1"/>
  <c r="A181" i="1"/>
  <c r="A182" i="1" s="1"/>
  <c r="A180" i="1"/>
  <c r="D176" i="1"/>
  <c r="F176" i="1" s="1"/>
  <c r="H176" i="1" s="1"/>
  <c r="D175" i="1"/>
  <c r="F175" i="1" s="1"/>
  <c r="H175" i="1" s="1"/>
  <c r="A189" i="1"/>
  <c r="A190" i="1" s="1"/>
  <c r="A176" i="1"/>
  <c r="A177" i="1" s="1"/>
  <c r="A175" i="1"/>
  <c r="F189" i="1"/>
  <c r="H189" i="1" s="1"/>
  <c r="A171" i="1"/>
  <c r="A172" i="1" s="1"/>
  <c r="A170" i="1"/>
  <c r="E172" i="1"/>
  <c r="D172" i="1"/>
  <c r="D171" i="1"/>
  <c r="F171" i="1" s="1"/>
  <c r="H171" i="1" s="1"/>
  <c r="D170" i="1"/>
  <c r="F170" i="1" s="1"/>
  <c r="H170" i="1" s="1"/>
  <c r="E169" i="1"/>
  <c r="D169" i="1"/>
  <c r="A166" i="1"/>
  <c r="A167" i="1" s="1"/>
  <c r="A165" i="1"/>
  <c r="E167" i="1"/>
  <c r="D167" i="1"/>
  <c r="D166" i="1"/>
  <c r="F166" i="1" s="1"/>
  <c r="H166" i="1" s="1"/>
  <c r="D165" i="1"/>
  <c r="F165" i="1" s="1"/>
  <c r="H165" i="1" s="1"/>
  <c r="E164" i="1"/>
  <c r="D164" i="1"/>
  <c r="A161" i="1"/>
  <c r="A239" i="1"/>
  <c r="A240" i="1" s="1"/>
  <c r="A241" i="1" s="1"/>
  <c r="D241" i="1"/>
  <c r="F241" i="1" s="1"/>
  <c r="H241" i="1" s="1"/>
  <c r="E240" i="1"/>
  <c r="D240" i="1"/>
  <c r="F229" i="1" l="1"/>
  <c r="H229" i="1" s="1"/>
  <c r="F179" i="1"/>
  <c r="H179" i="1" s="1"/>
  <c r="F223" i="1"/>
  <c r="H223" i="1" s="1"/>
  <c r="F186" i="1"/>
  <c r="H186" i="1" s="1"/>
  <c r="F216" i="1"/>
  <c r="H216" i="1" s="1"/>
  <c r="F219" i="1"/>
  <c r="H219" i="1" s="1"/>
  <c r="F211" i="1"/>
  <c r="H211" i="1" s="1"/>
  <c r="F224" i="1"/>
  <c r="H224" i="1" s="1"/>
  <c r="F227" i="1"/>
  <c r="H227" i="1" s="1"/>
  <c r="F184" i="1"/>
  <c r="H184" i="1" s="1"/>
  <c r="F215" i="1"/>
  <c r="H215" i="1" s="1"/>
  <c r="F221" i="1"/>
  <c r="H221" i="1" s="1"/>
  <c r="F225" i="1"/>
  <c r="H225" i="1" s="1"/>
  <c r="F188" i="1"/>
  <c r="H188" i="1" s="1"/>
  <c r="F220" i="1"/>
  <c r="H220" i="1" s="1"/>
  <c r="F190" i="1"/>
  <c r="H190" i="1" s="1"/>
  <c r="C140" i="1"/>
  <c r="F200" i="1"/>
  <c r="H200" i="1" s="1"/>
  <c r="F182" i="1"/>
  <c r="H182" i="1" s="1"/>
  <c r="F228" i="1"/>
  <c r="H228" i="1" s="1"/>
  <c r="F164" i="1"/>
  <c r="H164" i="1" s="1"/>
  <c r="F192" i="1"/>
  <c r="H192" i="1" s="1"/>
  <c r="F169" i="1"/>
  <c r="H169" i="1" s="1"/>
  <c r="F172" i="1"/>
  <c r="H172" i="1" s="1"/>
  <c r="F167" i="1"/>
  <c r="H167" i="1" s="1"/>
  <c r="F240" i="1"/>
  <c r="H240" i="1" s="1"/>
  <c r="G140" i="1" l="1"/>
  <c r="E140" i="1"/>
  <c r="E162" i="1"/>
  <c r="D162" i="1"/>
  <c r="D161" i="1"/>
  <c r="F161" i="1" s="1"/>
  <c r="H161" i="1" s="1"/>
  <c r="D160" i="1"/>
  <c r="F160" i="1" s="1"/>
  <c r="H160" i="1" s="1"/>
  <c r="E159" i="1"/>
  <c r="D159" i="1"/>
  <c r="A160" i="1"/>
  <c r="A162" i="1" s="1"/>
  <c r="F237" i="1"/>
  <c r="H237" i="1" s="1"/>
  <c r="F236" i="1"/>
  <c r="H236" i="1" s="1"/>
  <c r="F235" i="1"/>
  <c r="H235" i="1" s="1"/>
  <c r="D153" i="1"/>
  <c r="F153" i="1" s="1"/>
  <c r="H153" i="1" s="1"/>
  <c r="D152" i="1"/>
  <c r="D151" i="1"/>
  <c r="D150" i="1"/>
  <c r="D149" i="1"/>
  <c r="C139" i="1" l="1"/>
  <c r="C141" i="1" s="1"/>
  <c r="C134" i="1"/>
  <c r="C136" i="1" s="1"/>
  <c r="F162" i="1"/>
  <c r="H162" i="1" s="1"/>
  <c r="F159" i="1"/>
  <c r="F149" i="1"/>
  <c r="H159" i="1" l="1"/>
  <c r="G139" i="1" s="1"/>
  <c r="G141" i="1" s="1"/>
  <c r="E139" i="1"/>
  <c r="E141" i="1" s="1"/>
  <c r="H149"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98" i="1"/>
  <c r="B269" i="1"/>
  <c r="B268" i="1"/>
  <c r="F265" i="1"/>
  <c r="H265" i="1" s="1"/>
  <c r="F264" i="1"/>
  <c r="H264" i="1" s="1"/>
  <c r="F263" i="1"/>
  <c r="H263" i="1" s="1"/>
  <c r="F262" i="1"/>
  <c r="H262" i="1" s="1"/>
  <c r="F261" i="1"/>
  <c r="H261" i="1" s="1"/>
  <c r="F259" i="1"/>
  <c r="H259" i="1" s="1"/>
  <c r="F258" i="1"/>
  <c r="H258" i="1" s="1"/>
  <c r="F257" i="1"/>
  <c r="H257" i="1" s="1"/>
  <c r="F256" i="1"/>
  <c r="H256" i="1" s="1"/>
  <c r="F255" i="1"/>
  <c r="H255" i="1" s="1"/>
  <c r="F253" i="1"/>
  <c r="H253" i="1" s="1"/>
  <c r="F252" i="1"/>
  <c r="H252" i="1" s="1"/>
  <c r="F251" i="1"/>
  <c r="H251" i="1" s="1"/>
  <c r="F250" i="1"/>
  <c r="H250" i="1" s="1"/>
  <c r="F249" i="1"/>
  <c r="H249" i="1" s="1"/>
  <c r="F247" i="1"/>
  <c r="H247" i="1" s="1"/>
  <c r="F246" i="1"/>
  <c r="H246" i="1" s="1"/>
  <c r="F245" i="1"/>
  <c r="H245" i="1" s="1"/>
  <c r="F244" i="1"/>
  <c r="H244" i="1" s="1"/>
  <c r="F243" i="1"/>
  <c r="H243" i="1" s="1"/>
  <c r="A243" i="1"/>
  <c r="A244" i="1" s="1"/>
  <c r="A245" i="1" s="1"/>
  <c r="A246" i="1" s="1"/>
  <c r="A247" i="1" s="1"/>
  <c r="F234" i="1"/>
  <c r="H234" i="1" s="1"/>
  <c r="F233" i="1"/>
  <c r="H233" i="1" s="1"/>
  <c r="F232" i="1"/>
  <c r="H232" i="1" s="1"/>
  <c r="A232" i="1"/>
  <c r="A233" i="1" s="1"/>
  <c r="A234" i="1" s="1"/>
  <c r="A235" i="1" s="1"/>
  <c r="A236" i="1" s="1"/>
  <c r="A237" i="1" s="1"/>
  <c r="F231" i="1"/>
  <c r="H231" i="1" s="1"/>
  <c r="F152" i="1"/>
  <c r="H152" i="1" s="1"/>
  <c r="F151" i="1"/>
  <c r="H151" i="1" s="1"/>
  <c r="F150" i="1"/>
  <c r="H150" i="1" s="1"/>
  <c r="A150" i="1"/>
  <c r="A151" i="1" s="1"/>
  <c r="A152" i="1" s="1"/>
  <c r="A153" i="1" s="1"/>
  <c r="C142" i="1"/>
  <c r="F131" i="1"/>
  <c r="C105" i="1"/>
  <c r="C91" i="1"/>
  <c r="C77" i="1"/>
  <c r="B78" i="1" s="1"/>
  <c r="D71" i="1"/>
  <c r="D64" i="1"/>
  <c r="G58" i="1"/>
  <c r="C58" i="1"/>
  <c r="K56" i="1"/>
  <c r="G51" i="1"/>
  <c r="C51" i="1"/>
  <c r="E44" i="1"/>
  <c r="E45" i="1" s="1"/>
  <c r="S33" i="1"/>
  <c r="E31" i="1"/>
  <c r="E28" i="1"/>
  <c r="E26" i="1"/>
  <c r="C16" i="1"/>
  <c r="I15" i="1"/>
  <c r="Z13" i="1"/>
  <c r="E8" i="1"/>
  <c r="E3" i="1"/>
  <c r="B279" i="1" s="1"/>
  <c r="H92" i="1"/>
  <c r="A249" i="1"/>
  <c r="H106" i="1"/>
  <c r="A255" i="1"/>
  <c r="H78" i="1"/>
  <c r="A261" i="1"/>
  <c r="E42" i="7" l="1"/>
  <c r="E134" i="1"/>
  <c r="E136" i="1" s="1"/>
  <c r="E142" i="1" s="1"/>
  <c r="G134" i="1"/>
  <c r="G136" i="1" s="1"/>
  <c r="G142" i="1" s="1"/>
  <c r="J85" i="1"/>
  <c r="J86" i="1"/>
  <c r="B106" i="1"/>
  <c r="J114" i="1" s="1"/>
  <c r="I42" i="7"/>
  <c r="H42" i="7" s="1"/>
  <c r="L42" i="7"/>
  <c r="K42" i="7" s="1"/>
  <c r="J91" i="1"/>
  <c r="J93" i="1" s="1"/>
  <c r="D100" i="1"/>
  <c r="D99" i="1"/>
  <c r="D104" i="1"/>
  <c r="D98" i="1"/>
  <c r="J94" i="1"/>
  <c r="D103" i="1"/>
  <c r="J96" i="1"/>
  <c r="C95" i="1" s="1"/>
  <c r="D97" i="1"/>
  <c r="D102" i="1"/>
  <c r="J95" i="1"/>
  <c r="D101" i="1"/>
  <c r="D86" i="1"/>
  <c r="J80" i="1"/>
  <c r="D85" i="1"/>
  <c r="D90" i="1"/>
  <c r="D84" i="1"/>
  <c r="D89" i="1"/>
  <c r="D83" i="1"/>
  <c r="J82" i="1"/>
  <c r="C81" i="1" s="1"/>
  <c r="D88" i="1"/>
  <c r="D87" i="1"/>
  <c r="J81" i="1"/>
  <c r="J77" i="1"/>
  <c r="J79" i="1" s="1"/>
  <c r="D115" i="1"/>
  <c r="J109" i="1"/>
  <c r="J105" i="1"/>
  <c r="J107" i="1" s="1"/>
  <c r="J108" i="1"/>
  <c r="D113" i="1"/>
  <c r="D118" i="1"/>
  <c r="D112" i="1"/>
  <c r="D117" i="1"/>
  <c r="D111" i="1"/>
  <c r="D114" i="1"/>
  <c r="J110" i="1"/>
  <c r="C109" i="1" s="1"/>
  <c r="D109" i="1" s="1"/>
  <c r="D116" i="1"/>
  <c r="D42" i="7"/>
  <c r="L56" i="1"/>
  <c r="B92" i="1"/>
  <c r="J87" i="1"/>
  <c r="J88" i="1"/>
  <c r="I52" i="1"/>
  <c r="J83" i="1"/>
  <c r="J84" i="1" s="1"/>
  <c r="J89" i="1" s="1"/>
  <c r="J90" i="1" s="1"/>
  <c r="C82" i="1" s="1"/>
  <c r="A256" i="1"/>
  <c r="A250" i="1"/>
  <c r="A262" i="1"/>
  <c r="J111" i="1" l="1"/>
  <c r="J112" i="1" s="1"/>
  <c r="J117" i="1" s="1"/>
  <c r="J118" i="1" s="1"/>
  <c r="C110" i="1" s="1"/>
  <c r="E109" i="1" s="1"/>
  <c r="J113" i="1"/>
  <c r="J116" i="1"/>
  <c r="J115" i="1"/>
  <c r="D44" i="7"/>
  <c r="E44" i="7"/>
  <c r="E81" i="1"/>
  <c r="D82" i="1"/>
  <c r="G81" i="1"/>
  <c r="D75" i="1" s="1"/>
  <c r="D81" i="1"/>
  <c r="D95" i="1"/>
  <c r="J100" i="1"/>
  <c r="J97" i="1"/>
  <c r="J98" i="1" s="1"/>
  <c r="J103" i="1" s="1"/>
  <c r="J104" i="1" s="1"/>
  <c r="C96" i="1" s="1"/>
  <c r="J102" i="1"/>
  <c r="J99" i="1"/>
  <c r="J101" i="1"/>
  <c r="A251" i="1"/>
  <c r="A257" i="1"/>
  <c r="A263" i="1"/>
  <c r="G109" i="1" l="1"/>
  <c r="D110" i="1"/>
  <c r="I106" i="1" s="1"/>
  <c r="I107" i="1" s="1"/>
  <c r="J106" i="1"/>
  <c r="I78" i="1"/>
  <c r="I79" i="1" s="1"/>
  <c r="J78" i="1"/>
  <c r="E95" i="1"/>
  <c r="D96" i="1"/>
  <c r="I92" i="1" s="1"/>
  <c r="J92" i="1"/>
  <c r="G95" i="1"/>
  <c r="D76" i="1"/>
  <c r="F76" i="1"/>
  <c r="A258" i="1"/>
  <c r="A252" i="1"/>
  <c r="A264" i="1"/>
  <c r="I105" i="1" l="1"/>
  <c r="C107" i="1" s="1"/>
  <c r="I77" i="1"/>
  <c r="C79" i="1" s="1"/>
  <c r="I93" i="1"/>
  <c r="I91" i="1" s="1"/>
  <c r="C93" i="1" s="1"/>
  <c r="A259" i="1"/>
  <c r="A253" i="1"/>
  <c r="A265"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7" authorId="1">
      <text>
        <r>
          <rPr>
            <b/>
            <sz val="9"/>
            <color indexed="81"/>
            <rFont val="Tahoma"/>
            <family val="2"/>
          </rPr>
          <t>SACHIN:</t>
        </r>
        <r>
          <rPr>
            <sz val="9"/>
            <color indexed="81"/>
            <rFont val="Tahoma"/>
            <family val="2"/>
          </rPr>
          <t xml:space="preserve">
Floor with height</t>
        </r>
      </text>
    </comment>
    <comment ref="C59" authorId="1">
      <text>
        <r>
          <rPr>
            <b/>
            <sz val="9"/>
            <color indexed="81"/>
            <rFont val="Tahoma"/>
            <family val="2"/>
          </rPr>
          <t>SACHIN:</t>
        </r>
        <r>
          <rPr>
            <sz val="9"/>
            <color indexed="81"/>
            <rFont val="Tahoma"/>
            <family val="2"/>
          </rPr>
          <t xml:space="preserve">
Survey Nos.</t>
        </r>
      </text>
    </comment>
    <comment ref="C61" authorId="1">
      <text>
        <r>
          <rPr>
            <b/>
            <sz val="9"/>
            <color indexed="81"/>
            <rFont val="Tahoma"/>
            <family val="2"/>
          </rPr>
          <t>SACHIN:</t>
        </r>
        <r>
          <rPr>
            <sz val="9"/>
            <color indexed="81"/>
            <rFont val="Tahoma"/>
            <family val="2"/>
          </rPr>
          <t xml:space="preserve">
Height from AMSL</t>
        </r>
      </text>
    </comment>
    <comment ref="D64"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<sst xmlns="http://schemas.openxmlformats.org/spreadsheetml/2006/main" count="785" uniqueCount="440">
  <si>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</si>
  <si>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</si>
  <si>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</si>
  <si>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</si>
  <si>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</si>
  <si>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</si>
  <si>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</si>
  <si>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</si>
  <si>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</si>
  <si>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</si>
  <si>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</si>
  <si>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</si>
  <si>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</si>
  <si>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</si>
  <si>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</si>
  <si>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</si>
  <si>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</si>
  <si>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</si>
  <si>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</si>
  <si>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</si>
  <si>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</si>
  <si>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</si>
  <si>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</si>
  <si>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</si>
  <si>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</si>
  <si>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</si>
  <si>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</si>
  <si>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</si>
  <si>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</si>
  <si>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</si>
  <si>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</si>
  <si>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</si>
  <si>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</si>
  <si>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</si>
  <si>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</si>
  <si>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</si>
  <si>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</si>
  <si>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</si>
  <si>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</si>
  <si>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</si>
  <si>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</si>
  <si>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</si>
  <si>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</si>
  <si>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</si>
  <si>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</si>
  <si>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</si>
  <si>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</si>
  <si>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</si>
  <si>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</si>
  <si>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</si>
  <si>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</si>
  <si>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</si>
  <si>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</si>
  <si>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</si>
  <si>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</si>
  <si>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</si>
  <si>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</si>
  <si>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</si>
  <si>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</si>
  <si>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</si>
  <si>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</si>
  <si>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</si>
  <si>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</si>
  <si>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</si>
  <si>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</si>
  <si>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</si>
  <si>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</si>
  <si>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</si>
  <si>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</si>
  <si>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</si>
  <si>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</si>
  <si>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</si>
  <si>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</si>
  <si>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</si>
  <si>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</si>
  <si>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</si>
  <si>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</si>
  <si>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</si>
  <si>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</si>
  <si>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</si>
  <si>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</si>
  <si>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</si>
  <si>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</si>
  <si>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</si>
  <si>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</si>
  <si>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</si>
  <si>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</si>
  <si>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</si>
  <si>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</si>
  <si>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</si>
  <si>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</si>
  <si>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</si>
  <si>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</si>
  <si>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</si>
  <si>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</si>
  <si>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</si>
  <si>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</si>
  <si>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</si>
  <si>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</si>
  <si>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</si>
  <si>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</si>
  <si>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</si>
  <si>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</si>
  <si>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</si>
  <si>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</si>
  <si>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</si>
  <si>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</si>
  <si>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</si>
  <si>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</si>
  <si>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</si>
  <si>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</si>
  <si>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</si>
  <si>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</si>
  <si>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</si>
  <si>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</si>
  <si>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</si>
  <si>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</si>
  <si>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</si>
  <si>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</si>
  <si>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</si>
  <si>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</si>
  <si>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</si>
  <si>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</si>
  <si>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</si>
  <si>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</si>
  <si>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</si>
  <si>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</si>
  <si>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</si>
  <si>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</si>
  <si>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</si>
  <si>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</si>
  <si>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</si>
  <si>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</si>
  <si>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</si>
  <si>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</si>
  <si>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</si>
  <si>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</si>
  <si>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</si>
  <si>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</si>
  <si>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</si>
  <si>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</si>
  <si>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</si>
  <si>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</si>
  <si>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</si>
  <si>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</si>
  <si>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</si>
  <si>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</si>
  <si>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</si>
  <si>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</si>
  <si>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</si>
  <si>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</si>
  <si>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</si>
  <si>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</si>
  <si>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</si>
  <si>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</si>
  <si>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</si>
  <si>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</si>
  <si>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</si>
  <si>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</si>
  <si>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</si>
  <si>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</si>
  <si>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</si>
  <si>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</si>
  <si>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</si>
  <si>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</si>
  <si>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</si>
  <si>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</si>
  <si>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</si>
  <si>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</si>
  <si>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</si>
  <si>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</si>
  <si>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</si>
  <si>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</si>
  <si>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</si>
  <si>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</si>
  <si>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</si>
  <si>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</si>
  <si>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</si>
  <si>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</si>
  <si>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</si>
  <si>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</si>
  <si>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</si>
  <si>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</si>
  <si>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</si>
  <si>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</si>
  <si>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</si>
  <si>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</si>
  <si>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</si>
  <si>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</si>
  <si>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</si>
  <si>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</si>
  <si>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</si>
  <si>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</si>
  <si>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</si>
  <si>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</si>
  <si>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</si>
  <si>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</si>
  <si>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</si>
  <si>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</si>
  <si>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</si>
  <si>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</si>
  <si>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</si>
  <si>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</si>
  <si>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</si>
  <si>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</si>
  <si>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</si>
  <si>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</si>
  <si>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</si>
  <si>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</si>
  <si>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</si>
  <si>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</si>
  <si>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</si>
  <si>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</si>
  <si>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</si>
  <si>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</si>
  <si>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</si>
  <si>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</si>
  <si>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</si>
  <si>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</si>
  <si>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</si>
  <si>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</si>
  <si>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</si>
  <si>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</si>
  <si>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</si>
  <si>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</si>
  <si>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</si>
  <si>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</si>
  <si>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</si>
  <si>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</si>
  <si>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</si>
  <si>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</si>
  <si>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</si>
  <si>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</si>
  <si>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</si>
  <si>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</si>
  <si>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</si>
  <si>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</si>
  <si>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</si>
  <si>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</si>
  <si>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</si>
  <si>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</si>
  <si>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</si>
  <si>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</si>
  <si>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</si>
  <si>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</si>
  <si>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</si>
  <si>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</si>
  <si>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</si>
  <si>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</si>
  <si>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</si>
  <si>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</si>
  <si>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</si>
  <si>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</si>
  <si>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</si>
  <si>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</si>
  <si>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</si>
  <si>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</si>
  <si>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</si>
  <si>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</si>
  <si>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</si>
  <si>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</si>
  <si>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</si>
  <si>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</si>
  <si>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</si>
  <si>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</si>
  <si>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</si>
  <si>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</si>
  <si>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</si>
  <si>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</si>
  <si>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</si>
  <si>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</si>
  <si>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</si>
  <si>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</si>
  <si>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</si>
  <si>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</si>
  <si>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</si>
  <si>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</si>
  <si>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</si>
  <si>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</si>
  <si>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</si>
  <si>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</si>
  <si>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</si>
  <si>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</si>
  <si>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</si>
  <si>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</si>
  <si>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</si>
  <si>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</si>
  <si>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</si>
  <si>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</si>
  <si>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</si>
  <si>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</si>
  <si>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</si>
  <si>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</si>
  <si>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</si>
  <si>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</si>
  <si>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</si>
  <si>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</si>
  <si>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</si>
  <si>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</si>
  <si>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</si>
  <si>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</si>
  <si>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</si>
  <si>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</si>
  <si>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</si>
  <si>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</si>
  <si>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</si>
  <si>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</si>
  <si>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</si>
  <si>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</si>
  <si>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</si>
  <si>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</si>
  <si>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</si>
  <si>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</si>
  <si>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</si>
  <si>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</si>
  <si>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</si>
  <si>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</si>
  <si>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</si>
  <si>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</si>
  <si>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</si>
  <si>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</si>
  <si>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</si>
  <si>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</si>
  <si>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</si>
  <si>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</si>
  <si>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</si>
  <si>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</si>
  <si>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</si>
  <si>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</si>
  <si>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</si>
  <si>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</si>
  <si>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</si>
  <si>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</si>
  <si>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</si>
  <si>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</si>
  <si>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</si>
  <si>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</si>
  <si>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</si>
  <si>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</si>
  <si>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</si>
  <si>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</si>
  <si>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</si>
  <si>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</si>
  <si>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</si>
  <si>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</si>
  <si>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</si>
  <si>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</si>
  <si>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</si>
  <si>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</si>
  <si>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</si>
  <si>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</si>
  <si>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</si>
  <si>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</si>
  <si>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</si>
  <si>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</si>
  <si>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</si>
  <si>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</si>
  <si>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</si>
  <si>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</si>
  <si>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</si>
  <si>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</si>
  <si>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P51800047212</t>
  </si>
  <si>
    <t>Tigon Reality Private Limited</t>
  </si>
  <si>
    <t>Tigon Elite</t>
  </si>
  <si>
    <t>7715072480 / 9967511196</t>
  </si>
  <si>
    <t>Chembur</t>
  </si>
  <si>
    <t>Subhash Nagar</t>
  </si>
  <si>
    <t>Chembur East</t>
  </si>
  <si>
    <t>Principal Mandalecha Street</t>
  </si>
  <si>
    <t>Satra Harmony</t>
  </si>
  <si>
    <t>19.057010,72.904664</t>
  </si>
  <si>
    <t>https://maps.app.goo.gl/4wuL6AptfB9LLszq9</t>
  </si>
  <si>
    <t>0.80KM from Chembur Railway Station</t>
  </si>
  <si>
    <t>12.00MTS Wide Existing Road</t>
  </si>
  <si>
    <t>Other Plot</t>
  </si>
  <si>
    <t>10.90MTS Wide Existing Road</t>
  </si>
  <si>
    <t>Bldg No. 45 Subhash Nagar</t>
  </si>
  <si>
    <t>Internal Road</t>
  </si>
  <si>
    <t>Principal Mandalecha Road</t>
  </si>
  <si>
    <t>Podar Spraha Diamond</t>
  </si>
  <si>
    <t>MH/EE/(BP)/GM/MHADA-29/1131/2024/IOA/1/Amend</t>
  </si>
  <si>
    <t>MH/EE/(BP)/GM/MHADA-29/1131/2024/FCC/3/Amend</t>
  </si>
  <si>
    <t>Wing A &amp; B = G + 1st to 16th Floor</t>
  </si>
  <si>
    <t>As per RERA - 31/12/2026</t>
  </si>
  <si>
    <t>World Class Gym, Library, Business Center, Private Mini Theatre,
Kids Play Area, Indoor Games etc.</t>
  </si>
  <si>
    <r>
      <t xml:space="preserve">Proposed Amenities :                                                                                                                                                                                                                         </t>
    </r>
    <r>
      <rPr>
        <b/>
        <sz val="12"/>
        <color theme="1"/>
        <rFont val="Times New Roman"/>
        <family val="1"/>
      </rPr>
      <t xml:space="preserve">                                               </t>
    </r>
  </si>
  <si>
    <t>https://www.99acres.com/tigon-elite-subhash-nagar-central-mumbai-npxid-r399442?nn_source=Performance&amp;nn_account=google_cmt_projects&amp;nn_campaign=13742860051_124430417716_614690945708&amp;nn_medium=13742860051_124430417716_614690945708&amp;nn_adtype=g_&amp;nn_keyword=&amp;nn_placement=&amp;gad_source=1&amp;gclid=EAIaIQobChMI1cnb7N2kigMVKQ97Bx2AbzQLEAAYASAAEgL6UfD_BwE#showModal</t>
  </si>
  <si>
    <t>Name / No of the Building As per Approved Plan</t>
  </si>
  <si>
    <t>Wing A &amp; B</t>
  </si>
  <si>
    <t>Wing A + B</t>
  </si>
  <si>
    <t>Shop</t>
  </si>
  <si>
    <t>1st Floor For Residential</t>
  </si>
  <si>
    <t>2BHK</t>
  </si>
  <si>
    <t>RERA Carpet area</t>
  </si>
  <si>
    <t>Balcony Area + Dry Yard Area</t>
  </si>
  <si>
    <t>1BHK</t>
  </si>
  <si>
    <t>Entrance Lobby Below</t>
  </si>
  <si>
    <t xml:space="preserve">Wing A + B </t>
  </si>
  <si>
    <t>Wing A</t>
  </si>
  <si>
    <t>2nd to 5th, 7th, 9th &amp; 10th Floor</t>
  </si>
  <si>
    <t>6th Floor</t>
  </si>
  <si>
    <t>8th Floor (Part Refuge Area)</t>
  </si>
  <si>
    <t>Refuge Area</t>
  </si>
  <si>
    <t>11th &amp; 12th Floor</t>
  </si>
  <si>
    <t>13th Floor</t>
  </si>
  <si>
    <t>14th to 15th Floor</t>
  </si>
  <si>
    <t>16th Floor</t>
  </si>
  <si>
    <t>3BHK</t>
  </si>
  <si>
    <t>Fitness Center</t>
  </si>
  <si>
    <t>Wing B</t>
  </si>
  <si>
    <t>Ground Floor For Entrance Lobby, Meter Room, Society Office &amp; Parking</t>
  </si>
  <si>
    <t>1st Floor For Residential &amp; Parking Tower</t>
  </si>
  <si>
    <t>8th Floor</t>
  </si>
  <si>
    <t>We considered Gross carpet area = Net carpet + Balcony Area + Dry Yard Area.</t>
  </si>
  <si>
    <t xml:space="preserve">Please check for Fire NOC &amp; Airport NOC.
</t>
  </si>
  <si>
    <t>Flats - 104, Shops - 05</t>
  </si>
  <si>
    <t>Ground Floor For Entrance Lobby, Commercial, Meter Room, Society Office &amp; Parking</t>
  </si>
  <si>
    <t>We have referred Approved Plan and Approved CC from MHADA Site.</t>
  </si>
  <si>
    <t>SNCR/WEST/B/090121/573141</t>
  </si>
  <si>
    <t>Site Elevation = 4.58M
Permissible Top Elevation = 57.13M</t>
  </si>
  <si>
    <t>FB/R-V/HR/13</t>
  </si>
  <si>
    <t>Stilt + 1st to 16th Floor (Height = 50.80m)</t>
  </si>
  <si>
    <t>Approved Plans, CC, Sale Plans, Airport Noc, Fire Noc</t>
  </si>
  <si>
    <t>Bldg No.46, Subhash Nagar Sagar CHS LTD</t>
  </si>
  <si>
    <t>828/84 to 828/93, Redevelopement of " Bldg No. 46, Subhash Nagar Sagar CHS Ltd.  "</t>
  </si>
  <si>
    <t xml:space="preserve">Commencement-CC No
Valid Up to: </t>
  </si>
  <si>
    <t>Dated
Valid Upto 
Date</t>
  </si>
  <si>
    <t>This C.C. Re-endorsed upto top of 9th floor &amp; Further extended upto top of 14th floor of i.e. Basement (pt.) for Pump Room + Ground (Pt.) for Shops + Stilt for parking +1st to 14th upper floor along with parking tower as per approved amended plan dtd. 31.10.2024.
Note:-That the guidelines for reduction of Air Pollution issued by Chief Engineer (D.P.) BMC dt. 15/09/2023,Hon’ble Municipal Commissioner (BMC) dt. 25/10/2023 and MHADA circular vide No. ET-321, dtd. 25.10.2023 shall be strictly followed on site</t>
  </si>
  <si>
    <t>We have referred Wing bifurcation from Approved Plan Sheet No. 7 out of 7.</t>
  </si>
  <si>
    <t>Rate 17500 Sanjay verbal  31/01/2025</t>
  </si>
  <si>
    <t>Recommended Rates / Other charges of the Property have been revised on 31/01/2025.</t>
  </si>
  <si>
    <t>Akash Kadam</t>
  </si>
  <si>
    <t>Shruti Tathare</t>
  </si>
  <si>
    <t>Construction work is in process at the time of Visit. Internal visit was not allowed.</t>
  </si>
  <si>
    <t>04/11/2024
29/08/2025</t>
  </si>
  <si>
    <t>MH/EE/(BP)/GM/MHADA-29/1131/ 2025/FCC/4/Amend</t>
  </si>
  <si>
    <t>07/02/2025
29/08/2025</t>
  </si>
  <si>
    <t>This C.C. further extended upto top of 16th (Pt.) floor (including LMR/OHT) along with parking tower as per approved amended plans dtd. 31.10.2024.</t>
  </si>
  <si>
    <t xml:space="preserve">We have updated CC from MCGM site on 18/09/2025.
</t>
  </si>
  <si>
    <t xml:space="preserve">Validity of CC is expired on 29/08/2025. Please provide revised CC.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</si>
</sst>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
      <b/>
      <sz val="12"/>
      <color rgb="FFFFFF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7" fillId="0" borderId="0" xfId="10"/>
    <xf numFmtId="0" fontId="7" fillId="0" borderId="1" xfId="1" applyFont="1" applyBorder="1" applyAlignment="1" applyProtection="1">
      <alignment horizontal="center" vertical="top"/>
      <protection locked="0"/>
    </xf>
    <xf numFmtId="0" fontId="32" fillId="0" borderId="0" xfId="1" applyFont="1"/>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2" fontId="6"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Border="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2</xdr:col>
      <xdr:colOff>495967</xdr:colOff>
      <xdr:row>356</xdr:row>
      <xdr:rowOff>164395</xdr:rowOff>
    </xdr:from>
    <xdr:to>
      <xdr:col>5</xdr:col>
      <xdr:colOff>186930</xdr:colOff>
      <xdr:row>373</xdr:row>
      <xdr:rowOff>183971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58067" y="62686495"/>
          <a:ext cx="2234138" cy="3420000"/>
        </a:xfrm>
        <a:prstGeom prst="rect">
          <a:avLst/>
        </a:prstGeom>
        <a:ln>
          <a:solidFill>
            <a:schemeClr val="tx1"/>
          </a:solidFill>
        </a:ln>
      </xdr:spPr>
    </xdr:pic>
    <xdr:clientData/>
  </xdr:twoCellAnchor>
  <xdr:twoCellAnchor>
    <xdr:from>
      <xdr:col>0</xdr:col>
      <xdr:colOff>381000</xdr:colOff>
      <xdr:row>341</xdr:row>
      <xdr:rowOff>161925</xdr:rowOff>
    </xdr:from>
    <xdr:to>
      <xdr:col>7</xdr:col>
      <xdr:colOff>199350</xdr:colOff>
      <xdr:row>355</xdr:row>
      <xdr:rowOff>83616</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381000" y="58607325"/>
          <a:ext cx="5400000" cy="2722041"/>
          <a:chOff x="668920" y="807721"/>
          <a:chExt cx="5400000" cy="2722041"/>
        </a:xfrm>
      </xdr:grpSpPr>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8920" y="807721"/>
            <a:ext cx="5400000" cy="2722041"/>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xmlns="" id="{00000000-0008-0000-0000-000005000000}"/>
              </a:ext>
            </a:extLst>
          </xdr:cNvPr>
          <xdr:cNvSpPr/>
        </xdr:nvSpPr>
        <xdr:spPr>
          <a:xfrm>
            <a:off x="1358900" y="1352148"/>
            <a:ext cx="2010020" cy="115303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3377877" y="1340029"/>
            <a:ext cx="2010020" cy="115303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a:extLst>
              <a:ext uri="{FF2B5EF4-FFF2-40B4-BE49-F238E27FC236}">
                <a16:creationId xmlns:a16="http://schemas.microsoft.com/office/drawing/2014/main" xmlns="" id="{00000000-0008-0000-0000-000007000000}"/>
              </a:ext>
            </a:extLst>
          </xdr:cNvPr>
          <xdr:cNvSpPr/>
        </xdr:nvSpPr>
        <xdr:spPr>
          <a:xfrm>
            <a:off x="3701600" y="2168742"/>
            <a:ext cx="746576" cy="888288"/>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38">
            <a:extLst>
              <a:ext uri="{FF2B5EF4-FFF2-40B4-BE49-F238E27FC236}">
                <a16:creationId xmlns:a16="http://schemas.microsoft.com/office/drawing/2014/main" xmlns="" id="{00000000-0008-0000-0000-000008000000}"/>
              </a:ext>
            </a:extLst>
          </xdr:cNvPr>
          <xdr:cNvSpPr txBox="1"/>
        </xdr:nvSpPr>
        <xdr:spPr>
          <a:xfrm>
            <a:off x="1656860" y="1121439"/>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sp macro="" textlink="">
        <xdr:nvSpPr>
          <xdr:cNvPr id="9" name="TextBox 87">
            <a:extLst>
              <a:ext uri="{FF2B5EF4-FFF2-40B4-BE49-F238E27FC236}">
                <a16:creationId xmlns:a16="http://schemas.microsoft.com/office/drawing/2014/main" xmlns="" id="{00000000-0008-0000-0000-000009000000}"/>
              </a:ext>
            </a:extLst>
          </xdr:cNvPr>
          <xdr:cNvSpPr txBox="1"/>
        </xdr:nvSpPr>
        <xdr:spPr>
          <a:xfrm>
            <a:off x="3840353" y="1079426"/>
            <a:ext cx="7152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10" name="TextBox 88">
            <a:extLst>
              <a:ext uri="{FF2B5EF4-FFF2-40B4-BE49-F238E27FC236}">
                <a16:creationId xmlns:a16="http://schemas.microsoft.com/office/drawing/2014/main" xmlns="" id="{00000000-0008-0000-0000-00000A000000}"/>
              </a:ext>
            </a:extLst>
          </xdr:cNvPr>
          <xdr:cNvSpPr txBox="1"/>
        </xdr:nvSpPr>
        <xdr:spPr>
          <a:xfrm>
            <a:off x="3701600" y="3012993"/>
            <a:ext cx="1027845"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7030A0"/>
                </a:solidFill>
              </a:rPr>
              <a:t>Parking Tower</a:t>
            </a:r>
            <a:endParaRPr lang="en-IN" sz="1100" b="1">
              <a:solidFill>
                <a:srgbClr val="7030A0"/>
              </a:solidFill>
            </a:endParaRPr>
          </a:p>
        </xdr:txBody>
      </xdr:sp>
    </xdr:grpSp>
    <xdr:clientData/>
  </xdr:twoCellAnchor>
  <xdr:twoCellAnchor editAs="oneCell">
    <xdr:from>
      <xdr:col>10</xdr:col>
      <xdr:colOff>243863</xdr:colOff>
      <xdr:row>331</xdr:row>
      <xdr:rowOff>44480</xdr:rowOff>
    </xdr:from>
    <xdr:to>
      <xdr:col>11</xdr:col>
      <xdr:colOff>705123</xdr:colOff>
      <xdr:row>339</xdr:row>
      <xdr:rowOff>64280</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482988" y="56346755"/>
          <a:ext cx="1213735" cy="1620000"/>
        </a:xfrm>
        <a:prstGeom prst="rect">
          <a:avLst/>
        </a:prstGeom>
        <a:ln>
          <a:solidFill>
            <a:schemeClr val="tx1"/>
          </a:solidFill>
        </a:ln>
      </xdr:spPr>
    </xdr:pic>
    <xdr:clientData/>
  </xdr:twoCellAnchor>
  <xdr:twoCellAnchor editAs="oneCell">
    <xdr:from>
      <xdr:col>11</xdr:col>
      <xdr:colOff>841095</xdr:colOff>
      <xdr:row>331</xdr:row>
      <xdr:rowOff>44480</xdr:rowOff>
    </xdr:from>
    <xdr:to>
      <xdr:col>14</xdr:col>
      <xdr:colOff>449757</xdr:colOff>
      <xdr:row>339</xdr:row>
      <xdr:rowOff>64280</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832695" y="56346755"/>
          <a:ext cx="2161362" cy="1620000"/>
        </a:xfrm>
        <a:prstGeom prst="rect">
          <a:avLst/>
        </a:prstGeom>
        <a:ln>
          <a:solidFill>
            <a:schemeClr val="tx1"/>
          </a:solidFill>
        </a:ln>
      </xdr:spPr>
    </xdr:pic>
    <xdr:clientData/>
  </xdr:twoCellAnchor>
  <xdr:twoCellAnchor editAs="oneCell">
    <xdr:from>
      <xdr:col>8</xdr:col>
      <xdr:colOff>361950</xdr:colOff>
      <xdr:row>15</xdr:row>
      <xdr:rowOff>95250</xdr:rowOff>
    </xdr:from>
    <xdr:to>
      <xdr:col>14</xdr:col>
      <xdr:colOff>218439</xdr:colOff>
      <xdr:row>16</xdr:row>
      <xdr:rowOff>22978</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5"/>
        <a:stretch>
          <a:fillRect/>
        </a:stretch>
      </xdr:blipFill>
      <xdr:spPr>
        <a:xfrm>
          <a:off x="6677025" y="4086225"/>
          <a:ext cx="5085714" cy="590476"/>
        </a:xfrm>
        <a:prstGeom prst="rect">
          <a:avLst/>
        </a:prstGeom>
        <a:ln>
          <a:solidFill>
            <a:schemeClr val="tx1"/>
          </a:solidFill>
        </a:ln>
      </xdr:spPr>
    </xdr:pic>
    <xdr:clientData/>
  </xdr:twoCellAnchor>
  <xdr:twoCellAnchor editAs="oneCell">
    <xdr:from>
      <xdr:col>8</xdr:col>
      <xdr:colOff>190500</xdr:colOff>
      <xdr:row>43</xdr:row>
      <xdr:rowOff>19050</xdr:rowOff>
    </xdr:from>
    <xdr:to>
      <xdr:col>11</xdr:col>
      <xdr:colOff>371118</xdr:colOff>
      <xdr:row>50</xdr:row>
      <xdr:rowOff>428334</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6"/>
        <a:stretch>
          <a:fillRect/>
        </a:stretch>
      </xdr:blipFill>
      <xdr:spPr>
        <a:xfrm>
          <a:off x="6505575" y="10448925"/>
          <a:ext cx="2857143" cy="2333333"/>
        </a:xfrm>
        <a:prstGeom prst="rect">
          <a:avLst/>
        </a:prstGeom>
        <a:ln>
          <a:solidFill>
            <a:schemeClr val="tx1"/>
          </a:solidFill>
        </a:ln>
      </xdr:spPr>
    </xdr:pic>
    <xdr:clientData/>
  </xdr:twoCellAnchor>
  <xdr:twoCellAnchor editAs="oneCell">
    <xdr:from>
      <xdr:col>8</xdr:col>
      <xdr:colOff>161925</xdr:colOff>
      <xdr:row>51</xdr:row>
      <xdr:rowOff>104775</xdr:rowOff>
    </xdr:from>
    <xdr:to>
      <xdr:col>13</xdr:col>
      <xdr:colOff>270900</xdr:colOff>
      <xdr:row>54</xdr:row>
      <xdr:rowOff>238595</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7"/>
        <a:stretch>
          <a:fillRect/>
        </a:stretch>
      </xdr:blipFill>
      <xdr:spPr>
        <a:xfrm>
          <a:off x="6477000" y="12820650"/>
          <a:ext cx="4500000" cy="2219795"/>
        </a:xfrm>
        <a:prstGeom prst="rect">
          <a:avLst/>
        </a:prstGeom>
        <a:ln>
          <a:solidFill>
            <a:schemeClr val="tx1"/>
          </a:solidFill>
        </a:ln>
      </xdr:spPr>
    </xdr:pic>
    <xdr:clientData/>
  </xdr:twoCellAnchor>
  <xdr:twoCellAnchor editAs="oneCell">
    <xdr:from>
      <xdr:col>8</xdr:col>
      <xdr:colOff>171450</xdr:colOff>
      <xdr:row>155</xdr:row>
      <xdr:rowOff>142875</xdr:rowOff>
    </xdr:from>
    <xdr:to>
      <xdr:col>11</xdr:col>
      <xdr:colOff>323496</xdr:colOff>
      <xdr:row>168</xdr:row>
      <xdr:rowOff>47311</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8"/>
        <a:stretch>
          <a:fillRect/>
        </a:stretch>
      </xdr:blipFill>
      <xdr:spPr>
        <a:xfrm>
          <a:off x="6486525" y="29984700"/>
          <a:ext cx="2828571" cy="2504762"/>
        </a:xfrm>
        <a:prstGeom prst="rect">
          <a:avLst/>
        </a:prstGeom>
        <a:ln>
          <a:solidFill>
            <a:schemeClr val="tx1"/>
          </a:solidFill>
        </a:ln>
      </xdr:spPr>
    </xdr:pic>
    <xdr:clientData/>
  </xdr:twoCellAnchor>
  <xdr:twoCellAnchor editAs="oneCell">
    <xdr:from>
      <xdr:col>11</xdr:col>
      <xdr:colOff>419100</xdr:colOff>
      <xdr:row>155</xdr:row>
      <xdr:rowOff>152400</xdr:rowOff>
    </xdr:from>
    <xdr:to>
      <xdr:col>14</xdr:col>
      <xdr:colOff>746400</xdr:colOff>
      <xdr:row>163</xdr:row>
      <xdr:rowOff>67990</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9"/>
        <a:stretch>
          <a:fillRect/>
        </a:stretch>
      </xdr:blipFill>
      <xdr:spPr>
        <a:xfrm>
          <a:off x="9410700" y="29994225"/>
          <a:ext cx="2880000" cy="1515790"/>
        </a:xfrm>
        <a:prstGeom prst="rect">
          <a:avLst/>
        </a:prstGeom>
        <a:ln>
          <a:solidFill>
            <a:schemeClr val="tx1"/>
          </a:solidFill>
        </a:ln>
      </xdr:spPr>
    </xdr:pic>
    <xdr:clientData/>
  </xdr:twoCellAnchor>
  <xdr:twoCellAnchor editAs="oneCell">
    <xdr:from>
      <xdr:col>8</xdr:col>
      <xdr:colOff>200025</xdr:colOff>
      <xdr:row>168</xdr:row>
      <xdr:rowOff>180975</xdr:rowOff>
    </xdr:from>
    <xdr:to>
      <xdr:col>11</xdr:col>
      <xdr:colOff>403500</xdr:colOff>
      <xdr:row>175</xdr:row>
      <xdr:rowOff>187117</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0"/>
        <a:stretch>
          <a:fillRect/>
        </a:stretch>
      </xdr:blipFill>
      <xdr:spPr>
        <a:xfrm>
          <a:off x="6515100" y="32623125"/>
          <a:ext cx="2880000" cy="1406316"/>
        </a:xfrm>
        <a:prstGeom prst="rect">
          <a:avLst/>
        </a:prstGeom>
        <a:ln>
          <a:solidFill>
            <a:schemeClr val="tx1"/>
          </a:solidFill>
        </a:ln>
      </xdr:spPr>
    </xdr:pic>
    <xdr:clientData/>
  </xdr:twoCellAnchor>
  <xdr:twoCellAnchor editAs="oneCell">
    <xdr:from>
      <xdr:col>11</xdr:col>
      <xdr:colOff>457200</xdr:colOff>
      <xdr:row>164</xdr:row>
      <xdr:rowOff>28575</xdr:rowOff>
    </xdr:from>
    <xdr:to>
      <xdr:col>14</xdr:col>
      <xdr:colOff>784500</xdr:colOff>
      <xdr:row>175</xdr:row>
      <xdr:rowOff>2497</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11"/>
        <a:stretch>
          <a:fillRect/>
        </a:stretch>
      </xdr:blipFill>
      <xdr:spPr>
        <a:xfrm>
          <a:off x="9448800" y="31670625"/>
          <a:ext cx="2880000" cy="2174197"/>
        </a:xfrm>
        <a:prstGeom prst="rect">
          <a:avLst/>
        </a:prstGeom>
        <a:ln>
          <a:solidFill>
            <a:schemeClr val="tx1"/>
          </a:solidFill>
        </a:ln>
      </xdr:spPr>
    </xdr:pic>
    <xdr:clientData/>
  </xdr:twoCellAnchor>
  <xdr:twoCellAnchor editAs="oneCell">
    <xdr:from>
      <xdr:col>8</xdr:col>
      <xdr:colOff>209550</xdr:colOff>
      <xdr:row>176</xdr:row>
      <xdr:rowOff>95250</xdr:rowOff>
    </xdr:from>
    <xdr:to>
      <xdr:col>11</xdr:col>
      <xdr:colOff>413025</xdr:colOff>
      <xdr:row>191</xdr:row>
      <xdr:rowOff>185212</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2"/>
        <a:stretch>
          <a:fillRect/>
        </a:stretch>
      </xdr:blipFill>
      <xdr:spPr>
        <a:xfrm>
          <a:off x="6524625" y="34137600"/>
          <a:ext cx="2880000" cy="3090337"/>
        </a:xfrm>
        <a:prstGeom prst="rect">
          <a:avLst/>
        </a:prstGeom>
        <a:ln>
          <a:solidFill>
            <a:schemeClr val="tx1"/>
          </a:solidFill>
        </a:ln>
      </xdr:spPr>
    </xdr:pic>
    <xdr:clientData/>
  </xdr:twoCellAnchor>
  <xdr:twoCellAnchor editAs="oneCell">
    <xdr:from>
      <xdr:col>8</xdr:col>
      <xdr:colOff>66675</xdr:colOff>
      <xdr:row>193</xdr:row>
      <xdr:rowOff>180975</xdr:rowOff>
    </xdr:from>
    <xdr:to>
      <xdr:col>11</xdr:col>
      <xdr:colOff>270150</xdr:colOff>
      <xdr:row>202</xdr:row>
      <xdr:rowOff>151173</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13"/>
        <a:stretch>
          <a:fillRect/>
        </a:stretch>
      </xdr:blipFill>
      <xdr:spPr>
        <a:xfrm>
          <a:off x="6381750" y="37623750"/>
          <a:ext cx="2880000" cy="1770425"/>
        </a:xfrm>
        <a:prstGeom prst="rect">
          <a:avLst/>
        </a:prstGeom>
        <a:ln>
          <a:solidFill>
            <a:schemeClr val="tx1"/>
          </a:solidFill>
        </a:ln>
      </xdr:spPr>
    </xdr:pic>
    <xdr:clientData/>
  </xdr:twoCellAnchor>
  <xdr:twoCellAnchor editAs="oneCell">
    <xdr:from>
      <xdr:col>11</xdr:col>
      <xdr:colOff>323850</xdr:colOff>
      <xdr:row>193</xdr:row>
      <xdr:rowOff>152400</xdr:rowOff>
    </xdr:from>
    <xdr:to>
      <xdr:col>14</xdr:col>
      <xdr:colOff>651150</xdr:colOff>
      <xdr:row>206</xdr:row>
      <xdr:rowOff>24075</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14"/>
        <a:stretch>
          <a:fillRect/>
        </a:stretch>
      </xdr:blipFill>
      <xdr:spPr>
        <a:xfrm>
          <a:off x="9315450" y="37595175"/>
          <a:ext cx="2880000" cy="2472000"/>
        </a:xfrm>
        <a:prstGeom prst="rect">
          <a:avLst/>
        </a:prstGeom>
        <a:ln>
          <a:solidFill>
            <a:schemeClr val="tx1"/>
          </a:solidFill>
        </a:ln>
      </xdr:spPr>
    </xdr:pic>
    <xdr:clientData/>
  </xdr:twoCellAnchor>
  <xdr:twoCellAnchor editAs="oneCell">
    <xdr:from>
      <xdr:col>8</xdr:col>
      <xdr:colOff>85725</xdr:colOff>
      <xdr:row>203</xdr:row>
      <xdr:rowOff>0</xdr:rowOff>
    </xdr:from>
    <xdr:to>
      <xdr:col>11</xdr:col>
      <xdr:colOff>289200</xdr:colOff>
      <xdr:row>214</xdr:row>
      <xdr:rowOff>103726</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15"/>
        <a:stretch>
          <a:fillRect/>
        </a:stretch>
      </xdr:blipFill>
      <xdr:spPr>
        <a:xfrm>
          <a:off x="6400800" y="39443025"/>
          <a:ext cx="2880000" cy="2304000"/>
        </a:xfrm>
        <a:prstGeom prst="rect">
          <a:avLst/>
        </a:prstGeom>
        <a:ln>
          <a:solidFill>
            <a:schemeClr val="tx1"/>
          </a:solidFill>
        </a:ln>
      </xdr:spPr>
    </xdr:pic>
    <xdr:clientData/>
  </xdr:twoCellAnchor>
  <xdr:twoCellAnchor editAs="oneCell">
    <xdr:from>
      <xdr:col>11</xdr:col>
      <xdr:colOff>323850</xdr:colOff>
      <xdr:row>206</xdr:row>
      <xdr:rowOff>76201</xdr:rowOff>
    </xdr:from>
    <xdr:to>
      <xdr:col>14</xdr:col>
      <xdr:colOff>651150</xdr:colOff>
      <xdr:row>220</xdr:row>
      <xdr:rowOff>174253</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16"/>
        <a:stretch>
          <a:fillRect/>
        </a:stretch>
      </xdr:blipFill>
      <xdr:spPr>
        <a:xfrm>
          <a:off x="9315450" y="40119301"/>
          <a:ext cx="2880000" cy="2898403"/>
        </a:xfrm>
        <a:prstGeom prst="rect">
          <a:avLst/>
        </a:prstGeom>
        <a:ln>
          <a:solidFill>
            <a:schemeClr val="tx1"/>
          </a:solidFill>
        </a:ln>
      </xdr:spPr>
    </xdr:pic>
    <xdr:clientData/>
  </xdr:twoCellAnchor>
  <xdr:twoCellAnchor editAs="oneCell">
    <xdr:from>
      <xdr:col>8</xdr:col>
      <xdr:colOff>57150</xdr:colOff>
      <xdr:row>215</xdr:row>
      <xdr:rowOff>9525</xdr:rowOff>
    </xdr:from>
    <xdr:to>
      <xdr:col>11</xdr:col>
      <xdr:colOff>260625</xdr:colOff>
      <xdr:row>227</xdr:row>
      <xdr:rowOff>25015</xdr:rowOff>
    </xdr:to>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a:stretch>
          <a:fillRect/>
        </a:stretch>
      </xdr:blipFill>
      <xdr:spPr>
        <a:xfrm>
          <a:off x="6372225" y="41852850"/>
          <a:ext cx="2880000" cy="2415789"/>
        </a:xfrm>
        <a:prstGeom prst="rect">
          <a:avLst/>
        </a:prstGeom>
        <a:ln>
          <a:solidFill>
            <a:schemeClr val="tx1"/>
          </a:solidFill>
        </a:ln>
      </xdr:spPr>
    </xdr:pic>
    <xdr:clientData/>
  </xdr:twoCellAnchor>
  <xdr:twoCellAnchor editAs="oneCell">
    <xdr:from>
      <xdr:col>11</xdr:col>
      <xdr:colOff>333375</xdr:colOff>
      <xdr:row>221</xdr:row>
      <xdr:rowOff>57150</xdr:rowOff>
    </xdr:from>
    <xdr:to>
      <xdr:col>14</xdr:col>
      <xdr:colOff>660675</xdr:colOff>
      <xdr:row>269</xdr:row>
      <xdr:rowOff>44464</xdr:rowOff>
    </xdr:to>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8"/>
        <a:stretch>
          <a:fillRect/>
        </a:stretch>
      </xdr:blipFill>
      <xdr:spPr>
        <a:xfrm>
          <a:off x="9324975" y="43100625"/>
          <a:ext cx="2880000" cy="2387613"/>
        </a:xfrm>
        <a:prstGeom prst="rect">
          <a:avLst/>
        </a:prstGeom>
        <a:ln>
          <a:solidFill>
            <a:schemeClr val="tx1"/>
          </a:solidFill>
        </a:ln>
      </xdr:spPr>
    </xdr:pic>
    <xdr:clientData/>
  </xdr:twoCellAnchor>
  <xdr:twoCellAnchor editAs="oneCell">
    <xdr:from>
      <xdr:col>8</xdr:col>
      <xdr:colOff>57150</xdr:colOff>
      <xdr:row>227</xdr:row>
      <xdr:rowOff>123825</xdr:rowOff>
    </xdr:from>
    <xdr:to>
      <xdr:col>11</xdr:col>
      <xdr:colOff>275863</xdr:colOff>
      <xdr:row>274</xdr:row>
      <xdr:rowOff>123520</xdr:rowOff>
    </xdr:to>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9"/>
        <a:stretch>
          <a:fillRect/>
        </a:stretch>
      </xdr:blipFill>
      <xdr:spPr>
        <a:xfrm>
          <a:off x="6372225" y="44367450"/>
          <a:ext cx="2895238" cy="2438095"/>
        </a:xfrm>
        <a:prstGeom prst="rect">
          <a:avLst/>
        </a:prstGeom>
        <a:ln>
          <a:solidFill>
            <a:schemeClr val="tx1"/>
          </a:solidFill>
        </a:ln>
      </xdr:spPr>
    </xdr:pic>
    <xdr:clientData/>
  </xdr:twoCellAnchor>
  <xdr:twoCellAnchor editAs="oneCell">
    <xdr:from>
      <xdr:col>11</xdr:col>
      <xdr:colOff>352425</xdr:colOff>
      <xdr:row>269</xdr:row>
      <xdr:rowOff>123825</xdr:rowOff>
    </xdr:from>
    <xdr:to>
      <xdr:col>14</xdr:col>
      <xdr:colOff>733058</xdr:colOff>
      <xdr:row>284</xdr:row>
      <xdr:rowOff>94948</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20"/>
        <a:stretch>
          <a:fillRect/>
        </a:stretch>
      </xdr:blipFill>
      <xdr:spPr>
        <a:xfrm>
          <a:off x="9344025" y="45567600"/>
          <a:ext cx="2933333" cy="2419048"/>
        </a:xfrm>
        <a:prstGeom prst="rect">
          <a:avLst/>
        </a:prstGeom>
        <a:ln>
          <a:solidFill>
            <a:schemeClr val="tx1"/>
          </a:solidFill>
        </a:ln>
      </xdr:spPr>
    </xdr:pic>
    <xdr:clientData/>
  </xdr:twoCellAnchor>
  <xdr:twoCellAnchor editAs="oneCell">
    <xdr:from>
      <xdr:col>8</xdr:col>
      <xdr:colOff>277585</xdr:colOff>
      <xdr:row>130</xdr:row>
      <xdr:rowOff>121557</xdr:rowOff>
    </xdr:from>
    <xdr:to>
      <xdr:col>8</xdr:col>
      <xdr:colOff>963299</xdr:colOff>
      <xdr:row>153</xdr:row>
      <xdr:rowOff>80135</xdr:rowOff>
    </xdr:to>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21"/>
        <a:stretch>
          <a:fillRect/>
        </a:stretch>
      </xdr:blipFill>
      <xdr:spPr>
        <a:xfrm>
          <a:off x="6900635" y="23108557"/>
          <a:ext cx="685714" cy="4702028"/>
        </a:xfrm>
        <a:prstGeom prst="rect">
          <a:avLst/>
        </a:prstGeom>
        <a:ln>
          <a:solidFill>
            <a:schemeClr val="tx1"/>
          </a:solidFill>
        </a:ln>
      </xdr:spPr>
    </xdr:pic>
    <xdr:clientData/>
  </xdr:twoCellAnchor>
  <xdr:twoCellAnchor editAs="oneCell">
    <xdr:from>
      <xdr:col>1</xdr:col>
      <xdr:colOff>435815</xdr:colOff>
      <xdr:row>385</xdr:row>
      <xdr:rowOff>13607</xdr:rowOff>
    </xdr:from>
    <xdr:to>
      <xdr:col>5</xdr:col>
      <xdr:colOff>702065</xdr:colOff>
      <xdr:row>397</xdr:row>
      <xdr:rowOff>135750</xdr:rowOff>
    </xdr:to>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1197815" y="69410036"/>
          <a:ext cx="3600000" cy="2571430"/>
        </a:xfrm>
        <a:prstGeom prst="rect">
          <a:avLst/>
        </a:prstGeom>
        <a:ln>
          <a:solidFill>
            <a:schemeClr val="tx1"/>
          </a:solidFill>
        </a:ln>
      </xdr:spPr>
    </xdr:pic>
    <xdr:clientData/>
  </xdr:twoCellAnchor>
  <xdr:twoCellAnchor>
    <xdr:from>
      <xdr:col>0</xdr:col>
      <xdr:colOff>391885</xdr:colOff>
      <xdr:row>398</xdr:row>
      <xdr:rowOff>164158</xdr:rowOff>
    </xdr:from>
    <xdr:to>
      <xdr:col>7</xdr:col>
      <xdr:colOff>333375</xdr:colOff>
      <xdr:row>416</xdr:row>
      <xdr:rowOff>161922</xdr:rowOff>
    </xdr:to>
    <xdr:grpSp>
      <xdr:nvGrpSpPr>
        <xdr:cNvPr id="36" name="Group 35">
          <a:extLst>
            <a:ext uri="{FF2B5EF4-FFF2-40B4-BE49-F238E27FC236}">
              <a16:creationId xmlns:a16="http://schemas.microsoft.com/office/drawing/2014/main" xmlns="" id="{00000000-0008-0000-0000-000024000000}"/>
            </a:ext>
          </a:extLst>
        </xdr:cNvPr>
        <xdr:cNvGrpSpPr/>
      </xdr:nvGrpSpPr>
      <xdr:grpSpPr>
        <a:xfrm>
          <a:off x="391885" y="70010983"/>
          <a:ext cx="5523140" cy="3598214"/>
          <a:chOff x="1010527" y="3943531"/>
          <a:chExt cx="5028285" cy="2800843"/>
        </a:xfrm>
      </xdr:grpSpPr>
      <xdr:pic>
        <xdr:nvPicPr>
          <xdr:cNvPr id="37" name="Picture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1010527" y="3943531"/>
            <a:ext cx="5028285" cy="2800843"/>
          </a:xfrm>
          <a:prstGeom prst="rect">
            <a:avLst/>
          </a:prstGeom>
          <a:ln>
            <a:solidFill>
              <a:schemeClr val="tx1"/>
            </a:solidFill>
          </a:ln>
        </xdr:spPr>
      </xdr:pic>
      <xdr:sp macro="" textlink="">
        <xdr:nvSpPr>
          <xdr:cNvPr id="38" name="Rectangle 37">
            <a:extLst>
              <a:ext uri="{FF2B5EF4-FFF2-40B4-BE49-F238E27FC236}">
                <a16:creationId xmlns:a16="http://schemas.microsoft.com/office/drawing/2014/main" xmlns="" id="{00000000-0008-0000-0000-000026000000}"/>
              </a:ext>
            </a:extLst>
          </xdr:cNvPr>
          <xdr:cNvSpPr/>
        </xdr:nvSpPr>
        <xdr:spPr>
          <a:xfrm>
            <a:off x="2971800" y="5022850"/>
            <a:ext cx="825501" cy="35725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911678</xdr:colOff>
      <xdr:row>2</xdr:row>
      <xdr:rowOff>149679</xdr:rowOff>
    </xdr:from>
    <xdr:to>
      <xdr:col>13</xdr:col>
      <xdr:colOff>739702</xdr:colOff>
      <xdr:row>12</xdr:row>
      <xdr:rowOff>92286</xdr:rowOff>
    </xdr:to>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24"/>
        <a:stretch>
          <a:fillRect/>
        </a:stretch>
      </xdr:blipFill>
      <xdr:spPr>
        <a:xfrm>
          <a:off x="7225392" y="938893"/>
          <a:ext cx="4209524" cy="1942857"/>
        </a:xfrm>
        <a:prstGeom prst="rect">
          <a:avLst/>
        </a:prstGeom>
        <a:ln>
          <a:solidFill>
            <a:schemeClr val="tx1"/>
          </a:solidFill>
        </a:ln>
      </xdr:spPr>
    </xdr:pic>
    <xdr:clientData/>
  </xdr:twoCellAnchor>
  <xdr:twoCellAnchor editAs="oneCell">
    <xdr:from>
      <xdr:col>8</xdr:col>
      <xdr:colOff>542925</xdr:colOff>
      <xdr:row>22</xdr:row>
      <xdr:rowOff>9525</xdr:rowOff>
    </xdr:from>
    <xdr:to>
      <xdr:col>13</xdr:col>
      <xdr:colOff>651900</xdr:colOff>
      <xdr:row>41</xdr:row>
      <xdr:rowOff>42908</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5"/>
        <a:stretch>
          <a:fillRect/>
        </a:stretch>
      </xdr:blipFill>
      <xdr:spPr>
        <a:xfrm>
          <a:off x="6858000" y="6248400"/>
          <a:ext cx="4500000" cy="3833858"/>
        </a:xfrm>
        <a:prstGeom prst="rect">
          <a:avLst/>
        </a:prstGeom>
        <a:ln>
          <a:solidFill>
            <a:schemeClr val="tx1"/>
          </a:solidFill>
        </a:ln>
      </xdr:spPr>
    </xdr:pic>
    <xdr:clientData/>
  </xdr:twoCellAnchor>
  <xdr:twoCellAnchor editAs="oneCell">
    <xdr:from>
      <xdr:col>8</xdr:col>
      <xdr:colOff>156882</xdr:colOff>
      <xdr:row>52</xdr:row>
      <xdr:rowOff>1848971</xdr:rowOff>
    </xdr:from>
    <xdr:to>
      <xdr:col>13</xdr:col>
      <xdr:colOff>264176</xdr:colOff>
      <xdr:row>62</xdr:row>
      <xdr:rowOff>80087</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6"/>
        <a:stretch>
          <a:fillRect/>
        </a:stretch>
      </xdr:blipFill>
      <xdr:spPr>
        <a:xfrm>
          <a:off x="6465794" y="15049500"/>
          <a:ext cx="4500000" cy="2437244"/>
        </a:xfrm>
        <a:prstGeom prst="rect">
          <a:avLst/>
        </a:prstGeom>
        <a:ln>
          <a:solidFill>
            <a:schemeClr val="tx1"/>
          </a:solidFill>
        </a:ln>
      </xdr:spPr>
    </xdr:pic>
    <xdr:clientData/>
  </xdr:twoCellAnchor>
  <xdr:twoCellAnchor editAs="oneCell">
    <xdr:from>
      <xdr:col>8</xdr:col>
      <xdr:colOff>145677</xdr:colOff>
      <xdr:row>63</xdr:row>
      <xdr:rowOff>89648</xdr:rowOff>
    </xdr:from>
    <xdr:to>
      <xdr:col>14</xdr:col>
      <xdr:colOff>750625</xdr:colOff>
      <xdr:row>72</xdr:row>
      <xdr:rowOff>144374</xdr:rowOff>
    </xdr:to>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27"/>
        <a:stretch>
          <a:fillRect/>
        </a:stretch>
      </xdr:blipFill>
      <xdr:spPr>
        <a:xfrm>
          <a:off x="6454589" y="17582030"/>
          <a:ext cx="5838095" cy="1466667"/>
        </a:xfrm>
        <a:prstGeom prst="rect">
          <a:avLst/>
        </a:prstGeom>
        <a:ln>
          <a:solidFill>
            <a:schemeClr val="tx1"/>
          </a:solidFill>
        </a:ln>
      </xdr:spPr>
    </xdr:pic>
    <xdr:clientData/>
  </xdr:twoCellAnchor>
  <xdr:twoCellAnchor editAs="oneCell">
    <xdr:from>
      <xdr:col>8</xdr:col>
      <xdr:colOff>268942</xdr:colOff>
      <xdr:row>73</xdr:row>
      <xdr:rowOff>100854</xdr:rowOff>
    </xdr:from>
    <xdr:to>
      <xdr:col>13</xdr:col>
      <xdr:colOff>376236</xdr:colOff>
      <xdr:row>82</xdr:row>
      <xdr:rowOff>85614</xdr:rowOff>
    </xdr:to>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28"/>
        <a:stretch>
          <a:fillRect/>
        </a:stretch>
      </xdr:blipFill>
      <xdr:spPr>
        <a:xfrm>
          <a:off x="6577854" y="19408589"/>
          <a:ext cx="4500000" cy="2246667"/>
        </a:xfrm>
        <a:prstGeom prst="rect">
          <a:avLst/>
        </a:prstGeom>
        <a:ln>
          <a:solidFill>
            <a:schemeClr val="tx1"/>
          </a:solidFill>
        </a:ln>
      </xdr:spPr>
    </xdr:pic>
    <xdr:clientData/>
  </xdr:twoCellAnchor>
  <xdr:oneCellAnchor>
    <xdr:from>
      <xdr:col>8</xdr:col>
      <xdr:colOff>161925</xdr:colOff>
      <xdr:row>52</xdr:row>
      <xdr:rowOff>76200</xdr:rowOff>
    </xdr:from>
    <xdr:ext cx="4501681" cy="2220356"/>
    <xdr:pic>
      <xdr:nvPicPr>
        <xdr:cNvPr id="42" name="Picture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7"/>
        <a:stretch>
          <a:fillRect/>
        </a:stretch>
      </xdr:blipFill>
      <xdr:spPr>
        <a:xfrm>
          <a:off x="6470837" y="12996582"/>
          <a:ext cx="4501681" cy="2220356"/>
        </a:xfrm>
        <a:prstGeom prst="rect">
          <a:avLst/>
        </a:prstGeom>
        <a:ln>
          <a:solidFill>
            <a:schemeClr val="tx1"/>
          </a:solidFill>
        </a:ln>
      </xdr:spPr>
    </xdr:pic>
    <xdr:clientData/>
  </xdr:oneCellAnchor>
  <xdr:oneCellAnchor>
    <xdr:from>
      <xdr:col>8</xdr:col>
      <xdr:colOff>156882</xdr:colOff>
      <xdr:row>55</xdr:row>
      <xdr:rowOff>0</xdr:rowOff>
    </xdr:from>
    <xdr:ext cx="4500000" cy="2437244"/>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26"/>
        <a:stretch>
          <a:fillRect/>
        </a:stretch>
      </xdr:blipFill>
      <xdr:spPr>
        <a:xfrm>
          <a:off x="6465794" y="15262412"/>
          <a:ext cx="4500000" cy="2437244"/>
        </a:xfrm>
        <a:prstGeom prst="rect">
          <a:avLst/>
        </a:prstGeom>
        <a:ln>
          <a:solidFill>
            <a:schemeClr val="tx1"/>
          </a:solidFill>
        </a:ln>
      </xdr:spPr>
    </xdr:pic>
    <xdr:clientData/>
  </xdr:oneCellAnchor>
  <xdr:twoCellAnchor>
    <xdr:from>
      <xdr:col>0</xdr:col>
      <xdr:colOff>457199</xdr:colOff>
      <xdr:row>298</xdr:row>
      <xdr:rowOff>57149</xdr:rowOff>
    </xdr:from>
    <xdr:to>
      <xdr:col>7</xdr:col>
      <xdr:colOff>466724</xdr:colOff>
      <xdr:row>339</xdr:row>
      <xdr:rowOff>153899</xdr:rowOff>
    </xdr:to>
    <xdr:grpSp>
      <xdr:nvGrpSpPr>
        <xdr:cNvPr id="12" name="Group 11"/>
        <xdr:cNvGrpSpPr/>
      </xdr:nvGrpSpPr>
      <xdr:grpSpPr>
        <a:xfrm>
          <a:off x="457199" y="49910999"/>
          <a:ext cx="5591175" cy="8288250"/>
          <a:chOff x="457199" y="49644299"/>
          <a:chExt cx="5591175" cy="8288250"/>
        </a:xfrm>
      </xdr:grpSpPr>
      <xdr:grpSp>
        <xdr:nvGrpSpPr>
          <xdr:cNvPr id="11" name="Group 10"/>
          <xdr:cNvGrpSpPr/>
        </xdr:nvGrpSpPr>
        <xdr:grpSpPr>
          <a:xfrm>
            <a:off x="457199" y="49644299"/>
            <a:ext cx="5591175" cy="8288250"/>
            <a:chOff x="285749" y="49615724"/>
            <a:chExt cx="5591175" cy="8288250"/>
          </a:xfrm>
        </xdr:grpSpPr>
        <xdr:pic>
          <xdr:nvPicPr>
            <xdr:cNvPr id="51" name="Picture 50" descr="https://vsjcllp.vsjadon.com/upload/insp-246634-1525.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002675" y="56119855"/>
              <a:ext cx="2378825" cy="17841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6634-845.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285749" y="49615724"/>
              <a:ext cx="2743201" cy="36576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6634-844.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2400299" y="53359050"/>
              <a:ext cx="1704975" cy="2672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6634-848.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333374" y="53368575"/>
              <a:ext cx="2004219" cy="2672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6634-852.jpg"/>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4171949" y="53349525"/>
              <a:ext cx="1704975" cy="26722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6634-862.jpg"/>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114674" y="49615724"/>
              <a:ext cx="2743201" cy="36576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4" name="TextBox 408">
            <a:extLst>
              <a:ext uri="{FF2B5EF4-FFF2-40B4-BE49-F238E27FC236}">
                <a16:creationId xmlns:a16="http://schemas.microsoft.com/office/drawing/2014/main" xmlns="" id="{99920F89-A388-47B7-949B-6315C84BEC3F}"/>
              </a:ext>
            </a:extLst>
          </xdr:cNvPr>
          <xdr:cNvSpPr txBox="1"/>
        </xdr:nvSpPr>
        <xdr:spPr>
          <a:xfrm>
            <a:off x="523874" y="49644299"/>
            <a:ext cx="763351" cy="30777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A Wing </a:t>
            </a:r>
            <a:endParaRPr lang="en-IN" sz="1400" b="1">
              <a:solidFill>
                <a:sysClr val="windowText" lastClr="000000"/>
              </a:solidFill>
            </a:endParaRPr>
          </a:p>
        </xdr:txBody>
      </xdr:sp>
      <xdr:sp macro="" textlink="">
        <xdr:nvSpPr>
          <xdr:cNvPr id="75" name="TextBox 408">
            <a:extLst>
              <a:ext uri="{FF2B5EF4-FFF2-40B4-BE49-F238E27FC236}">
                <a16:creationId xmlns:a16="http://schemas.microsoft.com/office/drawing/2014/main" xmlns="" id="{99920F89-A388-47B7-949B-6315C84BEC3F}"/>
              </a:ext>
            </a:extLst>
          </xdr:cNvPr>
          <xdr:cNvSpPr txBox="1"/>
        </xdr:nvSpPr>
        <xdr:spPr>
          <a:xfrm>
            <a:off x="2400299" y="50063399"/>
            <a:ext cx="763351" cy="30777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B Wing </a:t>
            </a:r>
            <a:endParaRPr lang="en-IN" sz="1400" b="1">
              <a:solidFill>
                <a:sysClr val="windowText" lastClr="000000"/>
              </a:solidFill>
            </a:endParaRPr>
          </a:p>
        </xdr:txBody>
      </xdr:sp>
    </xdr:grpSp>
    <xdr:clientData/>
  </xdr:twoCellAnchor>
  <xdr:twoCellAnchor editAs="oneCell">
    <xdr:from>
      <xdr:col>8</xdr:col>
      <xdr:colOff>866775</xdr:colOff>
      <xdr:row>52</xdr:row>
      <xdr:rowOff>276225</xdr:rowOff>
    </xdr:from>
    <xdr:to>
      <xdr:col>17</xdr:col>
      <xdr:colOff>475370</xdr:colOff>
      <xdr:row>59</xdr:row>
      <xdr:rowOff>114030</xdr:rowOff>
    </xdr:to>
    <xdr:pic>
      <xdr:nvPicPr>
        <xdr:cNvPr id="13" name="Picture 12"/>
        <xdr:cNvPicPr>
          <a:picLocks noChangeAspect="1"/>
        </xdr:cNvPicPr>
      </xdr:nvPicPr>
      <xdr:blipFill>
        <a:blip xmlns:r="http://schemas.openxmlformats.org/officeDocument/2006/relationships" r:embed="rId35"/>
        <a:stretch>
          <a:fillRect/>
        </a:stretch>
      </xdr:blipFill>
      <xdr:spPr>
        <a:xfrm>
          <a:off x="7181850" y="13630275"/>
          <a:ext cx="7038095" cy="21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99acres.com/tigon-elite-subhash-nagar-central-mumbai-npxid-r399442?nn_source=Performance&amp;nn_account=google_cmt_projects&amp;nn_campaign=13742860051_124430417716_614690945708&amp;nn_medium=13742860051_124430417716_614690945708&amp;nn_adtype=g_&amp;nn_keyword=&amp;nn_placement=&amp;gad_source=1&amp;gclid=EAIaIQobChMI1cnb7N2kigMVKQ97Bx2AbzQLEAAYASAAEgL6UfD_BwE" TargetMode="External"/><Relationship Id="rId1" Type="http://schemas.openxmlformats.org/officeDocument/2006/relationships/hyperlink" Target="https://maps.app.goo.gl/4wuL6AptfB9LLszq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4"/>
  <sheetViews>
    <sheetView tabSelected="1" view="pageBreakPreview" zoomScaleNormal="100" zoomScaleSheetLayoutView="100" zoomScalePageLayoutView="85" workbookViewId="0">
      <selection activeCell="K17" sqref="K17"/>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0" t="s">
        <v>166</v>
      </c>
      <c r="B1" s="190"/>
      <c r="C1" s="190"/>
      <c r="D1" s="190"/>
      <c r="E1" s="190"/>
      <c r="F1" s="190"/>
      <c r="G1" s="190"/>
      <c r="H1" s="190"/>
    </row>
    <row r="2" spans="1:26" ht="16.5" customHeight="1" x14ac:dyDescent="0.25">
      <c r="A2" s="191" t="s">
        <v>0</v>
      </c>
      <c r="B2" s="191"/>
      <c r="C2" s="191"/>
      <c r="D2" s="191"/>
      <c r="E2" s="191"/>
      <c r="F2" s="191"/>
      <c r="G2" s="191"/>
      <c r="H2" s="191"/>
    </row>
    <row r="3" spans="1:26" x14ac:dyDescent="0.25">
      <c r="A3" s="183" t="s">
        <v>1</v>
      </c>
      <c r="B3" s="183"/>
      <c r="C3" s="183"/>
      <c r="D3" s="183"/>
      <c r="E3" s="183" t="str">
        <f ca="1">TEXT(TODAY(),"DD/MM/YYYY")</f>
        <v>18/09/2025</v>
      </c>
      <c r="F3" s="183"/>
      <c r="G3" s="183"/>
      <c r="H3" s="183"/>
      <c r="K3" s="60" t="s">
        <v>240</v>
      </c>
      <c r="L3" s="57" t="s">
        <v>238</v>
      </c>
      <c r="M3" s="57" t="s">
        <v>243</v>
      </c>
      <c r="N3" s="57" t="s">
        <v>241</v>
      </c>
      <c r="O3" s="57" t="s">
        <v>346</v>
      </c>
      <c r="P3" s="57" t="s">
        <v>244</v>
      </c>
    </row>
    <row r="4" spans="1:26" ht="15" customHeight="1" x14ac:dyDescent="0.25">
      <c r="A4" s="183" t="s">
        <v>237</v>
      </c>
      <c r="B4" s="183"/>
      <c r="C4" s="183"/>
      <c r="D4" s="183"/>
      <c r="E4" s="151" t="s">
        <v>238</v>
      </c>
      <c r="F4" s="151"/>
      <c r="G4" s="151"/>
      <c r="H4" s="151"/>
      <c r="K4" s="56" t="s">
        <v>239</v>
      </c>
      <c r="L4" s="57" t="s">
        <v>173</v>
      </c>
      <c r="M4" s="57" t="s">
        <v>248</v>
      </c>
      <c r="N4" s="57" t="s">
        <v>250</v>
      </c>
      <c r="O4" s="57" t="s">
        <v>347</v>
      </c>
      <c r="P4" s="57"/>
    </row>
    <row r="5" spans="1:26" ht="15" customHeight="1" x14ac:dyDescent="0.25">
      <c r="A5" s="183" t="s">
        <v>2</v>
      </c>
      <c r="B5" s="183"/>
      <c r="C5" s="183"/>
      <c r="D5" s="183"/>
      <c r="E5" s="151" t="s">
        <v>173</v>
      </c>
      <c r="F5" s="151"/>
      <c r="G5" s="151"/>
      <c r="H5" s="151"/>
      <c r="K5" s="56"/>
      <c r="L5" s="57" t="s">
        <v>245</v>
      </c>
      <c r="M5" s="57" t="s">
        <v>249</v>
      </c>
      <c r="N5" s="57" t="s">
        <v>251</v>
      </c>
      <c r="O5" s="57" t="s">
        <v>348</v>
      </c>
      <c r="P5" s="57"/>
    </row>
    <row r="6" spans="1:26" x14ac:dyDescent="0.25">
      <c r="A6" s="183" t="s">
        <v>3</v>
      </c>
      <c r="B6" s="183"/>
      <c r="C6" s="183"/>
      <c r="D6" s="183"/>
      <c r="E6" s="193">
        <v>45814</v>
      </c>
      <c r="F6" s="183"/>
      <c r="G6" s="183"/>
      <c r="H6" s="183"/>
      <c r="K6" s="56"/>
      <c r="L6" s="57" t="s">
        <v>246</v>
      </c>
      <c r="M6" s="57" t="s">
        <v>360</v>
      </c>
      <c r="N6" s="57"/>
      <c r="O6" s="57" t="s">
        <v>349</v>
      </c>
      <c r="P6" s="57"/>
    </row>
    <row r="7" spans="1:26" ht="16.5" customHeight="1" x14ac:dyDescent="0.25">
      <c r="A7" s="183" t="s">
        <v>4</v>
      </c>
      <c r="B7" s="183"/>
      <c r="C7" s="183"/>
      <c r="D7" s="183"/>
      <c r="E7" s="183" t="s">
        <v>362</v>
      </c>
      <c r="F7" s="183"/>
      <c r="G7" s="183"/>
      <c r="H7" s="183"/>
      <c r="K7" s="56"/>
      <c r="L7" s="57" t="s">
        <v>247</v>
      </c>
      <c r="M7" s="57"/>
      <c r="N7" s="57"/>
      <c r="O7" s="57" t="s">
        <v>349</v>
      </c>
      <c r="P7" s="57"/>
    </row>
    <row r="8" spans="1:26" ht="15" customHeight="1" x14ac:dyDescent="0.25">
      <c r="A8" s="183" t="s">
        <v>5</v>
      </c>
      <c r="B8" s="183"/>
      <c r="C8" s="183"/>
      <c r="D8" s="183"/>
      <c r="E8" s="183" t="str">
        <f>E7</f>
        <v>Tigon Reality Private Limited</v>
      </c>
      <c r="F8" s="183"/>
      <c r="G8" s="183"/>
      <c r="H8" s="183"/>
      <c r="K8" s="56"/>
      <c r="L8" s="57"/>
      <c r="M8" s="57"/>
      <c r="N8" s="57"/>
      <c r="O8" s="57" t="s">
        <v>350</v>
      </c>
      <c r="P8" s="57"/>
    </row>
    <row r="9" spans="1:26" x14ac:dyDescent="0.25">
      <c r="A9" s="183" t="s">
        <v>6</v>
      </c>
      <c r="B9" s="183"/>
      <c r="C9" s="183"/>
      <c r="D9" s="183"/>
      <c r="E9" s="192" t="s">
        <v>363</v>
      </c>
      <c r="F9" s="192"/>
      <c r="G9" s="192"/>
      <c r="H9" s="192"/>
      <c r="K9" s="56"/>
      <c r="L9" s="57"/>
      <c r="M9" s="57"/>
      <c r="N9" s="57"/>
      <c r="O9" s="57" t="s">
        <v>351</v>
      </c>
      <c r="P9" s="57"/>
    </row>
    <row r="10" spans="1:26" x14ac:dyDescent="0.25">
      <c r="A10" s="183" t="s">
        <v>169</v>
      </c>
      <c r="B10" s="183"/>
      <c r="C10" s="183"/>
      <c r="D10" s="183"/>
      <c r="E10" s="183" t="s">
        <v>364</v>
      </c>
      <c r="F10" s="183"/>
      <c r="G10" s="183"/>
      <c r="H10" s="183"/>
      <c r="K10" s="56"/>
      <c r="L10" s="57"/>
      <c r="M10" s="57"/>
      <c r="N10" s="57"/>
      <c r="O10" s="57" t="s">
        <v>352</v>
      </c>
      <c r="P10" s="57"/>
    </row>
    <row r="11" spans="1:26" x14ac:dyDescent="0.25">
      <c r="A11" s="183" t="s">
        <v>170</v>
      </c>
      <c r="B11" s="183"/>
      <c r="C11" s="183"/>
      <c r="D11" s="183"/>
      <c r="E11" s="183" t="s">
        <v>27</v>
      </c>
      <c r="F11" s="183"/>
      <c r="G11" s="183"/>
      <c r="H11" s="183"/>
      <c r="O11" s="57" t="s">
        <v>353</v>
      </c>
    </row>
    <row r="12" spans="1:26" x14ac:dyDescent="0.25">
      <c r="A12" s="183" t="s">
        <v>387</v>
      </c>
      <c r="B12" s="183"/>
      <c r="C12" s="183"/>
      <c r="D12" s="183"/>
      <c r="E12" s="183" t="s">
        <v>388</v>
      </c>
      <c r="F12" s="183"/>
      <c r="G12" s="183"/>
      <c r="H12" s="183"/>
    </row>
    <row r="13" spans="1:26" x14ac:dyDescent="0.25">
      <c r="A13" s="151" t="s">
        <v>174</v>
      </c>
      <c r="B13" s="151"/>
      <c r="C13" s="151"/>
      <c r="D13" s="151"/>
      <c r="E13" s="195" t="s">
        <v>423</v>
      </c>
      <c r="F13" s="183"/>
      <c r="G13" s="183"/>
      <c r="H13" s="183"/>
      <c r="S13" s="57" t="s">
        <v>184</v>
      </c>
      <c r="T13" s="57" t="s">
        <v>193</v>
      </c>
      <c r="U13" s="57" t="s">
        <v>175</v>
      </c>
      <c r="V13" s="57" t="s">
        <v>198</v>
      </c>
      <c r="W13" s="57" t="s">
        <v>216</v>
      </c>
      <c r="X13"/>
      <c r="Y13" t="s">
        <v>198</v>
      </c>
      <c r="Z13" t="e">
        <f ca="1">OFFSET($S$13,1,MATCH($G20,$S$13:$W$13,0)-1,15,1)</f>
        <v>#VALUE!</v>
      </c>
    </row>
    <row r="14" spans="1:26" ht="30.75" customHeight="1" x14ac:dyDescent="0.25">
      <c r="A14" s="140" t="s">
        <v>283</v>
      </c>
      <c r="B14" s="140"/>
      <c r="C14" s="140"/>
      <c r="D14" s="140"/>
      <c r="E14" s="194" t="s">
        <v>422</v>
      </c>
      <c r="F14" s="194"/>
      <c r="G14" s="194"/>
      <c r="H14" s="194"/>
      <c r="I14" s="103"/>
      <c r="S14" s="57" t="s">
        <v>184</v>
      </c>
      <c r="T14" s="57" t="s">
        <v>191</v>
      </c>
      <c r="U14" s="57" t="s">
        <v>213</v>
      </c>
      <c r="V14" s="57" t="s">
        <v>199</v>
      </c>
      <c r="W14" s="57" t="s">
        <v>217</v>
      </c>
      <c r="X14"/>
      <c r="Y14"/>
      <c r="Z14"/>
    </row>
    <row r="15" spans="1:26" x14ac:dyDescent="0.25">
      <c r="A15" s="140" t="s">
        <v>7</v>
      </c>
      <c r="B15" s="140"/>
      <c r="C15" s="140"/>
      <c r="D15" s="140"/>
      <c r="E15" s="194" t="s">
        <v>361</v>
      </c>
      <c r="F15" s="151"/>
      <c r="G15" s="151"/>
      <c r="H15" s="151"/>
      <c r="I15" s="141" t="e">
        <f ca="1">OFFSET($D$5,1,MATCH($J13,$D$5:$H$5,0)-1,15,1)</f>
        <v>#N/A</v>
      </c>
      <c r="J15" s="142"/>
      <c r="K15" s="142"/>
      <c r="L15" s="142"/>
      <c r="M15" s="142"/>
      <c r="N15" s="142"/>
      <c r="O15" s="142"/>
      <c r="P15" s="142"/>
      <c r="S15" s="57" t="s">
        <v>185</v>
      </c>
      <c r="T15" s="57" t="s">
        <v>192</v>
      </c>
      <c r="U15" s="57" t="s">
        <v>214</v>
      </c>
      <c r="V15" s="57" t="s">
        <v>200</v>
      </c>
      <c r="W15" s="57" t="s">
        <v>230</v>
      </c>
      <c r="X15"/>
      <c r="Y15"/>
      <c r="Z15"/>
    </row>
    <row r="16" spans="1:26" ht="52.5" customHeight="1" x14ac:dyDescent="0.25">
      <c r="A16" s="130" t="s">
        <v>8</v>
      </c>
      <c r="B16" s="130"/>
      <c r="C16" s="130" t="str">
        <f>CONCATENATE((IF(OR(E9="",E9="NA"),"",E9)),", ",(IF(OR(A17="",A17="NA"),"",A17)),".",(IF(OR(C17="",C17="NA"),"",C17)),", near ",(IF(OR(C22="",C22="NA"),"",C22)),", ",(IF(OR(C19="",C19="NA"),"",C19)),", ",(IF(OR(C18="",C18="NA"),"",C18)),", ",(IF(OR(G19="",G19="NA"),"",G19)),", ",(IF(OR(C20="",C20="NA"),"",C20)),", ",(IF(OR(C21="",C21="NA"),"",C21)),", ",(IF(OR(G20="",G20="NA"),"",G20))," - ",(IF(OR(G21="",G21="NA"),"",G21)),".")</f>
        <v>Tigon Elite, CTS No.828/84 to 828/93, Redevelopement of " Bldg No. 46, Subhash Nagar Sagar CHS Ltd.  ", near Satra Harmony, Principal Mandalecha Street, Subhash Nagar, Chembur, Chembur East, Kurla, Mumbai - 400071.</v>
      </c>
      <c r="D16" s="130"/>
      <c r="E16" s="130"/>
      <c r="F16" s="130"/>
      <c r="G16" s="130"/>
      <c r="H16" s="130"/>
      <c r="S16" s="57" t="s">
        <v>186</v>
      </c>
      <c r="T16" s="57" t="s">
        <v>194</v>
      </c>
      <c r="U16" s="57" t="s">
        <v>215</v>
      </c>
      <c r="V16" s="57" t="s">
        <v>201</v>
      </c>
      <c r="W16" s="57" t="s">
        <v>218</v>
      </c>
      <c r="X16"/>
      <c r="Y16"/>
      <c r="Z16"/>
    </row>
    <row r="17" spans="1:26" ht="32.25" customHeight="1" x14ac:dyDescent="0.25">
      <c r="A17" s="194" t="s">
        <v>179</v>
      </c>
      <c r="B17" s="194"/>
      <c r="C17" s="194" t="s">
        <v>424</v>
      </c>
      <c r="D17" s="194"/>
      <c r="E17" s="194"/>
      <c r="F17" s="194"/>
      <c r="G17" s="194"/>
      <c r="H17" s="194"/>
      <c r="S17" s="57" t="s">
        <v>187</v>
      </c>
      <c r="T17" s="57" t="s">
        <v>195</v>
      </c>
      <c r="U17" s="57" t="s">
        <v>175</v>
      </c>
      <c r="V17" s="57" t="s">
        <v>202</v>
      </c>
      <c r="W17" s="57" t="s">
        <v>219</v>
      </c>
      <c r="X17"/>
      <c r="Y17"/>
      <c r="Z17"/>
    </row>
    <row r="18" spans="1:26" ht="15.75" customHeight="1" x14ac:dyDescent="0.25">
      <c r="A18" s="195" t="s">
        <v>164</v>
      </c>
      <c r="B18" s="195"/>
      <c r="C18" s="195" t="s">
        <v>366</v>
      </c>
      <c r="D18" s="195"/>
      <c r="E18" s="195"/>
      <c r="F18" s="195"/>
      <c r="G18" s="195"/>
      <c r="H18" s="195"/>
      <c r="S18" s="57" t="s">
        <v>188</v>
      </c>
      <c r="T18" s="57" t="s">
        <v>193</v>
      </c>
      <c r="U18" s="57"/>
      <c r="V18" s="57" t="s">
        <v>203</v>
      </c>
      <c r="W18" s="57" t="s">
        <v>220</v>
      </c>
      <c r="X18"/>
      <c r="Y18"/>
      <c r="Z18"/>
    </row>
    <row r="19" spans="1:26" ht="34.5" customHeight="1" x14ac:dyDescent="0.25">
      <c r="A19" s="130" t="s">
        <v>9</v>
      </c>
      <c r="B19" s="130"/>
      <c r="C19" s="195" t="s">
        <v>368</v>
      </c>
      <c r="D19" s="195"/>
      <c r="E19" s="130" t="s">
        <v>69</v>
      </c>
      <c r="F19" s="130"/>
      <c r="G19" s="195" t="s">
        <v>365</v>
      </c>
      <c r="H19" s="195"/>
      <c r="S19" s="57" t="s">
        <v>189</v>
      </c>
      <c r="T19" s="57" t="s">
        <v>196</v>
      </c>
      <c r="U19" s="57"/>
      <c r="V19" s="57" t="s">
        <v>204</v>
      </c>
      <c r="W19" s="57" t="s">
        <v>221</v>
      </c>
      <c r="X19"/>
      <c r="Y19"/>
      <c r="Z19"/>
    </row>
    <row r="20" spans="1:26" x14ac:dyDescent="0.25">
      <c r="A20" s="140" t="s">
        <v>11</v>
      </c>
      <c r="B20" s="140"/>
      <c r="C20" s="195" t="s">
        <v>367</v>
      </c>
      <c r="D20" s="195"/>
      <c r="E20" s="130" t="s">
        <v>10</v>
      </c>
      <c r="F20" s="130"/>
      <c r="G20" s="196" t="s">
        <v>175</v>
      </c>
      <c r="H20" s="196"/>
      <c r="S20" s="57" t="s">
        <v>190</v>
      </c>
      <c r="T20" s="57" t="s">
        <v>197</v>
      </c>
      <c r="U20" s="57"/>
      <c r="V20" s="57" t="s">
        <v>205</v>
      </c>
      <c r="W20" s="57" t="s">
        <v>222</v>
      </c>
      <c r="X20"/>
      <c r="Y20"/>
      <c r="Z20"/>
    </row>
    <row r="21" spans="1:26" x14ac:dyDescent="0.25">
      <c r="A21" s="140" t="s">
        <v>70</v>
      </c>
      <c r="B21" s="140"/>
      <c r="C21" s="194" t="s">
        <v>215</v>
      </c>
      <c r="D21" s="194"/>
      <c r="E21" s="130" t="s">
        <v>12</v>
      </c>
      <c r="F21" s="130"/>
      <c r="G21" s="195">
        <v>400071</v>
      </c>
      <c r="H21" s="195"/>
      <c r="S21" s="57"/>
      <c r="T21" s="57"/>
      <c r="U21" s="57"/>
      <c r="V21" s="57" t="s">
        <v>206</v>
      </c>
      <c r="W21" s="57" t="s">
        <v>223</v>
      </c>
      <c r="X21"/>
      <c r="Y21"/>
      <c r="Z21"/>
    </row>
    <row r="22" spans="1:26" ht="32.25" customHeight="1" x14ac:dyDescent="0.25">
      <c r="A22" s="140" t="s">
        <v>121</v>
      </c>
      <c r="B22" s="140"/>
      <c r="C22" s="195" t="s">
        <v>369</v>
      </c>
      <c r="D22" s="195"/>
      <c r="E22" s="130" t="s">
        <v>13</v>
      </c>
      <c r="F22" s="130"/>
      <c r="G22" s="194" t="s">
        <v>372</v>
      </c>
      <c r="H22" s="194"/>
      <c r="S22" s="57"/>
      <c r="T22" s="57"/>
      <c r="U22" s="57"/>
      <c r="V22" s="57" t="s">
        <v>207</v>
      </c>
      <c r="W22" s="57" t="s">
        <v>224</v>
      </c>
      <c r="X22"/>
      <c r="Y22"/>
      <c r="Z22"/>
    </row>
    <row r="23" spans="1:26" ht="15" customHeight="1" x14ac:dyDescent="0.25">
      <c r="A23" s="130" t="s">
        <v>72</v>
      </c>
      <c r="B23" s="130"/>
      <c r="C23" s="130"/>
      <c r="D23" s="130"/>
      <c r="E23" s="183" t="s">
        <v>14</v>
      </c>
      <c r="F23" s="183"/>
      <c r="G23" s="183"/>
      <c r="H23" s="183"/>
      <c r="S23" s="57"/>
      <c r="T23" s="57"/>
      <c r="U23" s="57"/>
      <c r="V23" s="57" t="s">
        <v>208</v>
      </c>
      <c r="W23" s="57" t="s">
        <v>225</v>
      </c>
      <c r="X23"/>
      <c r="Y23"/>
      <c r="Z23"/>
    </row>
    <row r="24" spans="1:26" ht="18.75" customHeight="1" x14ac:dyDescent="0.25">
      <c r="A24" s="130"/>
      <c r="B24" s="130"/>
      <c r="C24" s="130"/>
      <c r="D24" s="130"/>
      <c r="E24" s="183"/>
      <c r="F24" s="183"/>
      <c r="G24" s="183"/>
      <c r="H24" s="183"/>
      <c r="S24" s="57"/>
      <c r="T24" s="57"/>
      <c r="U24" s="57"/>
      <c r="V24" s="57" t="s">
        <v>209</v>
      </c>
      <c r="W24" s="57" t="s">
        <v>226</v>
      </c>
      <c r="X24"/>
      <c r="Y24"/>
      <c r="Z24"/>
    </row>
    <row r="25" spans="1:26" ht="15" customHeight="1" x14ac:dyDescent="0.25">
      <c r="A25" s="130" t="s">
        <v>15</v>
      </c>
      <c r="B25" s="130"/>
      <c r="C25" s="130"/>
      <c r="D25" s="130"/>
      <c r="E25" s="195" t="s">
        <v>16</v>
      </c>
      <c r="F25" s="195"/>
      <c r="G25" s="195"/>
      <c r="H25" s="195"/>
      <c r="S25" s="57"/>
      <c r="T25" s="57"/>
      <c r="U25" s="57"/>
      <c r="V25" s="57" t="s">
        <v>210</v>
      </c>
      <c r="W25" s="57" t="s">
        <v>227</v>
      </c>
      <c r="X25"/>
      <c r="Y25"/>
      <c r="Z25"/>
    </row>
    <row r="26" spans="1:26" ht="15" customHeight="1" x14ac:dyDescent="0.25">
      <c r="A26" s="140" t="s">
        <v>17</v>
      </c>
      <c r="B26" s="140"/>
      <c r="C26" s="140"/>
      <c r="D26" s="140"/>
      <c r="E26" s="195" t="str">
        <f>IF(AND(G20="Mumbai"),"Upper Class","Middle Class")</f>
        <v>Upper Class</v>
      </c>
      <c r="F26" s="195"/>
      <c r="G26" s="195"/>
      <c r="H26" s="195"/>
      <c r="S26" s="57"/>
      <c r="T26" s="57"/>
      <c r="U26" s="57"/>
      <c r="V26" s="57" t="s">
        <v>211</v>
      </c>
      <c r="W26" s="57" t="s">
        <v>228</v>
      </c>
      <c r="X26"/>
      <c r="Y26"/>
      <c r="Z26"/>
    </row>
    <row r="27" spans="1:26" x14ac:dyDescent="0.25">
      <c r="A27" s="140" t="s">
        <v>18</v>
      </c>
      <c r="B27" s="140"/>
      <c r="C27" s="140"/>
      <c r="D27" s="140"/>
      <c r="E27" s="195" t="s">
        <v>19</v>
      </c>
      <c r="F27" s="195"/>
      <c r="G27" s="195"/>
      <c r="H27" s="195"/>
      <c r="S27" s="57"/>
      <c r="T27" s="57"/>
      <c r="U27" s="57"/>
      <c r="V27" s="57" t="s">
        <v>212</v>
      </c>
      <c r="W27" s="57" t="s">
        <v>229</v>
      </c>
      <c r="X27"/>
      <c r="Y27"/>
      <c r="Z27"/>
    </row>
    <row r="28" spans="1:26" ht="15.75" customHeight="1" x14ac:dyDescent="0.25">
      <c r="A28" s="140" t="s">
        <v>20</v>
      </c>
      <c r="B28" s="140"/>
      <c r="C28" s="140"/>
      <c r="D28" s="140"/>
      <c r="E28" s="195" t="str">
        <f>IF(AND(G20="Mumbai"),"Developed","Developing")</f>
        <v>Developed</v>
      </c>
      <c r="F28" s="195"/>
      <c r="G28" s="195"/>
      <c r="H28" s="195"/>
    </row>
    <row r="29" spans="1:26" x14ac:dyDescent="0.25">
      <c r="A29" s="140" t="s">
        <v>21</v>
      </c>
      <c r="B29" s="140"/>
      <c r="C29" s="140"/>
      <c r="D29" s="140"/>
      <c r="E29" s="195" t="s">
        <v>22</v>
      </c>
      <c r="F29" s="195"/>
      <c r="G29" s="195"/>
      <c r="H29" s="195"/>
    </row>
    <row r="30" spans="1:26" ht="15.75" customHeight="1" x14ac:dyDescent="0.25">
      <c r="A30" s="140" t="s">
        <v>77</v>
      </c>
      <c r="B30" s="140"/>
      <c r="C30" s="140"/>
      <c r="D30" s="140"/>
      <c r="E30" s="195" t="s">
        <v>78</v>
      </c>
      <c r="F30" s="195"/>
      <c r="G30" s="195"/>
      <c r="H30" s="195"/>
    </row>
    <row r="31" spans="1:26" ht="15" customHeight="1" x14ac:dyDescent="0.25">
      <c r="A31" s="140" t="s">
        <v>29</v>
      </c>
      <c r="B31" s="140"/>
      <c r="C31" s="140"/>
      <c r="D31" s="140"/>
      <c r="E31" s="19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95"/>
      <c r="G31" s="195"/>
      <c r="H31" s="195"/>
    </row>
    <row r="32" spans="1:26" ht="15.75" customHeight="1" x14ac:dyDescent="0.25">
      <c r="A32" s="140" t="s">
        <v>89</v>
      </c>
      <c r="B32" s="140"/>
      <c r="C32" s="140"/>
      <c r="D32" s="140"/>
      <c r="E32" s="195" t="s">
        <v>30</v>
      </c>
      <c r="F32" s="195"/>
      <c r="G32" s="195"/>
      <c r="H32" s="195"/>
    </row>
    <row r="33" spans="1:19" s="22" customFormat="1" x14ac:dyDescent="0.25">
      <c r="A33" s="204" t="s">
        <v>90</v>
      </c>
      <c r="B33" s="204"/>
      <c r="C33" s="201" t="s">
        <v>176</v>
      </c>
      <c r="D33" s="202"/>
      <c r="E33" s="203"/>
      <c r="F33" s="201" t="s">
        <v>28</v>
      </c>
      <c r="G33" s="202"/>
      <c r="H33" s="203"/>
      <c r="S33" s="22" t="e">
        <f ca="1">OFFSET($S$13,1,MATCH($G20,$S$13:$W$13,0)-1,15,1)</f>
        <v>#VALUE!</v>
      </c>
    </row>
    <row r="34" spans="1:19" s="22" customFormat="1" x14ac:dyDescent="0.25">
      <c r="A34" s="197" t="s">
        <v>23</v>
      </c>
      <c r="B34" s="197" t="s">
        <v>27</v>
      </c>
      <c r="C34" s="198" t="s">
        <v>374</v>
      </c>
      <c r="D34" s="199"/>
      <c r="E34" s="200"/>
      <c r="F34" s="198" t="s">
        <v>379</v>
      </c>
      <c r="G34" s="199"/>
      <c r="H34" s="200"/>
    </row>
    <row r="35" spans="1:19" x14ac:dyDescent="0.25">
      <c r="A35" s="197" t="s">
        <v>24</v>
      </c>
      <c r="B35" s="197" t="s">
        <v>27</v>
      </c>
      <c r="C35" s="198" t="s">
        <v>375</v>
      </c>
      <c r="D35" s="199"/>
      <c r="E35" s="200"/>
      <c r="F35" s="198" t="s">
        <v>378</v>
      </c>
      <c r="G35" s="199"/>
      <c r="H35" s="200"/>
    </row>
    <row r="36" spans="1:19" s="22" customFormat="1" x14ac:dyDescent="0.25">
      <c r="A36" s="197" t="s">
        <v>26</v>
      </c>
      <c r="B36" s="197" t="s">
        <v>27</v>
      </c>
      <c r="C36" s="198" t="s">
        <v>373</v>
      </c>
      <c r="D36" s="199"/>
      <c r="E36" s="200"/>
      <c r="F36" s="198" t="s">
        <v>377</v>
      </c>
      <c r="G36" s="199"/>
      <c r="H36" s="200"/>
    </row>
    <row r="37" spans="1:19" x14ac:dyDescent="0.25">
      <c r="A37" s="197" t="s">
        <v>25</v>
      </c>
      <c r="B37" s="197" t="s">
        <v>27</v>
      </c>
      <c r="C37" s="198" t="s">
        <v>374</v>
      </c>
      <c r="D37" s="199"/>
      <c r="E37" s="200"/>
      <c r="F37" s="198" t="s">
        <v>376</v>
      </c>
      <c r="G37" s="199"/>
      <c r="H37" s="200"/>
    </row>
    <row r="38" spans="1:19" x14ac:dyDescent="0.25">
      <c r="A38" s="140" t="s">
        <v>284</v>
      </c>
      <c r="B38" s="140"/>
      <c r="C38" s="140"/>
      <c r="D38" s="140"/>
      <c r="E38" s="140"/>
      <c r="F38" s="140"/>
      <c r="G38" s="140"/>
      <c r="H38" s="140"/>
    </row>
    <row r="39" spans="1:19" ht="15.75" customHeight="1" x14ac:dyDescent="0.25">
      <c r="A39" s="140" t="s">
        <v>167</v>
      </c>
      <c r="B39" s="140"/>
      <c r="C39" s="188" t="s">
        <v>370</v>
      </c>
      <c r="D39" s="188"/>
      <c r="E39" s="188"/>
      <c r="F39" s="188"/>
      <c r="G39" s="188"/>
      <c r="H39" s="188"/>
    </row>
    <row r="40" spans="1:19" x14ac:dyDescent="0.25">
      <c r="A40" s="140" t="s">
        <v>163</v>
      </c>
      <c r="B40" s="140"/>
      <c r="C40" s="229" t="s">
        <v>371</v>
      </c>
      <c r="D40" s="195"/>
      <c r="E40" s="195"/>
      <c r="F40" s="195"/>
      <c r="G40" s="195"/>
      <c r="H40" s="195"/>
    </row>
    <row r="41" spans="1:19" x14ac:dyDescent="0.25">
      <c r="A41" s="188" t="s">
        <v>31</v>
      </c>
      <c r="B41" s="188"/>
      <c r="C41" s="188"/>
      <c r="D41" s="188"/>
      <c r="E41" s="188"/>
      <c r="F41" s="188"/>
      <c r="G41" s="188"/>
      <c r="H41" s="188"/>
    </row>
    <row r="42" spans="1:19" x14ac:dyDescent="0.25">
      <c r="A42" s="140" t="s">
        <v>32</v>
      </c>
      <c r="B42" s="140"/>
      <c r="C42" s="140"/>
      <c r="D42" s="140"/>
      <c r="E42" s="223">
        <v>891.45</v>
      </c>
      <c r="F42" s="223"/>
      <c r="G42" s="223"/>
      <c r="H42" s="223"/>
    </row>
    <row r="43" spans="1:19" x14ac:dyDescent="0.25">
      <c r="A43" s="140" t="s">
        <v>33</v>
      </c>
      <c r="B43" s="140"/>
      <c r="C43" s="140"/>
      <c r="D43" s="140"/>
      <c r="E43" s="205">
        <v>3</v>
      </c>
      <c r="F43" s="205"/>
      <c r="G43" s="205"/>
      <c r="H43" s="205"/>
    </row>
    <row r="44" spans="1:19" x14ac:dyDescent="0.25">
      <c r="A44" s="140" t="s">
        <v>34</v>
      </c>
      <c r="B44" s="140"/>
      <c r="C44" s="140"/>
      <c r="D44" s="140"/>
      <c r="E44" s="205">
        <f>E46/E42-E43</f>
        <v>4.6082001233944689</v>
      </c>
      <c r="F44" s="205"/>
      <c r="G44" s="205"/>
      <c r="H44" s="205"/>
    </row>
    <row r="45" spans="1:19" x14ac:dyDescent="0.25">
      <c r="A45" s="140" t="s">
        <v>35</v>
      </c>
      <c r="B45" s="140"/>
      <c r="C45" s="140"/>
      <c r="D45" s="140"/>
      <c r="E45" s="205">
        <f>E43+E44</f>
        <v>7.6082001233944689</v>
      </c>
      <c r="F45" s="205"/>
      <c r="G45" s="205"/>
      <c r="H45" s="205"/>
    </row>
    <row r="46" spans="1:19" x14ac:dyDescent="0.25">
      <c r="A46" s="140" t="s">
        <v>88</v>
      </c>
      <c r="B46" s="140"/>
      <c r="C46" s="140"/>
      <c r="D46" s="140"/>
      <c r="E46" s="206">
        <v>6782.33</v>
      </c>
      <c r="F46" s="206"/>
      <c r="G46" s="206"/>
      <c r="H46" s="206"/>
    </row>
    <row r="47" spans="1:19" x14ac:dyDescent="0.25">
      <c r="A47" s="183" t="s">
        <v>36</v>
      </c>
      <c r="B47" s="183"/>
      <c r="C47" s="183"/>
      <c r="D47" s="183"/>
      <c r="E47" s="151" t="s">
        <v>120</v>
      </c>
      <c r="F47" s="151"/>
      <c r="G47" s="151"/>
      <c r="H47" s="151"/>
    </row>
    <row r="48" spans="1:19" x14ac:dyDescent="0.25">
      <c r="A48" s="188" t="s">
        <v>37</v>
      </c>
      <c r="B48" s="188"/>
      <c r="C48" s="188"/>
      <c r="D48" s="188"/>
      <c r="E48" s="188"/>
      <c r="F48" s="188"/>
      <c r="G48" s="188"/>
      <c r="H48" s="188"/>
    </row>
    <row r="49" spans="1:24" ht="33.75" customHeight="1" x14ac:dyDescent="0.25">
      <c r="A49" s="160" t="s">
        <v>153</v>
      </c>
      <c r="B49" s="161"/>
      <c r="C49" s="213" t="s">
        <v>260</v>
      </c>
      <c r="D49" s="214"/>
      <c r="E49" s="214"/>
      <c r="F49" s="214"/>
      <c r="G49" s="214"/>
      <c r="H49" s="215"/>
      <c r="R49" t="s">
        <v>257</v>
      </c>
      <c r="S49" s="61" t="s">
        <v>175</v>
      </c>
      <c r="T49" s="61" t="s">
        <v>184</v>
      </c>
      <c r="U49" s="61" t="s">
        <v>198</v>
      </c>
      <c r="V49" s="61" t="s">
        <v>193</v>
      </c>
    </row>
    <row r="50" spans="1:24" ht="39" customHeight="1" x14ac:dyDescent="0.25">
      <c r="A50" s="160" t="s">
        <v>38</v>
      </c>
      <c r="B50" s="161"/>
      <c r="C50" s="160" t="s">
        <v>380</v>
      </c>
      <c r="D50" s="207"/>
      <c r="E50" s="161"/>
      <c r="F50" s="18" t="s">
        <v>39</v>
      </c>
      <c r="G50" s="158">
        <v>45596</v>
      </c>
      <c r="H50" s="159"/>
      <c r="R50"/>
      <c r="S50" s="61" t="s">
        <v>258</v>
      </c>
      <c r="T50" s="61" t="s">
        <v>263</v>
      </c>
      <c r="U50" s="61" t="s">
        <v>274</v>
      </c>
      <c r="V50" s="61" t="s">
        <v>279</v>
      </c>
    </row>
    <row r="51" spans="1:24" ht="39" customHeight="1" x14ac:dyDescent="0.25">
      <c r="A51" s="160" t="s">
        <v>40</v>
      </c>
      <c r="B51" s="161"/>
      <c r="C51" s="160" t="str">
        <f>C50</f>
        <v>MH/EE/(BP)/GM/MHADA-29/1131/2024/IOA/1/Amend</v>
      </c>
      <c r="D51" s="207"/>
      <c r="E51" s="161"/>
      <c r="F51" s="18" t="s">
        <v>39</v>
      </c>
      <c r="G51" s="158">
        <f>G50</f>
        <v>45596</v>
      </c>
      <c r="H51" s="159"/>
      <c r="R51"/>
      <c r="S51" s="61" t="s">
        <v>259</v>
      </c>
      <c r="T51" s="61" t="s">
        <v>264</v>
      </c>
      <c r="U51" s="61" t="s">
        <v>272</v>
      </c>
      <c r="V51" s="61" t="s">
        <v>280</v>
      </c>
    </row>
    <row r="52" spans="1:24" s="23" customFormat="1" ht="50.25" customHeight="1" x14ac:dyDescent="0.25">
      <c r="A52" s="225" t="s">
        <v>425</v>
      </c>
      <c r="B52" s="226"/>
      <c r="C52" s="160" t="s">
        <v>381</v>
      </c>
      <c r="D52" s="207"/>
      <c r="E52" s="161"/>
      <c r="F52" s="18" t="s">
        <v>426</v>
      </c>
      <c r="G52" s="158" t="s">
        <v>434</v>
      </c>
      <c r="H52" s="159"/>
      <c r="I52" s="22" t="str">
        <f ca="1">IF(G52&gt;EDATE(E3,-48),"NO REMARK","CC REMARK FOR CC")</f>
        <v>NO REMARK</v>
      </c>
      <c r="J52" s="92"/>
      <c r="R52"/>
      <c r="S52" s="61" t="s">
        <v>260</v>
      </c>
      <c r="T52" s="61" t="s">
        <v>265</v>
      </c>
      <c r="U52" s="61" t="s">
        <v>262</v>
      </c>
      <c r="V52" s="61" t="s">
        <v>281</v>
      </c>
    </row>
    <row r="53" spans="1:24" s="23" customFormat="1" ht="63.75" customHeight="1" x14ac:dyDescent="0.25">
      <c r="A53" s="227"/>
      <c r="B53" s="228"/>
      <c r="C53" s="160" t="s">
        <v>427</v>
      </c>
      <c r="D53" s="207"/>
      <c r="E53" s="207"/>
      <c r="F53" s="207"/>
      <c r="G53" s="207"/>
      <c r="H53" s="161"/>
      <c r="R53"/>
      <c r="S53" s="61" t="s">
        <v>261</v>
      </c>
      <c r="T53" s="61" t="s">
        <v>268</v>
      </c>
      <c r="U53" s="61" t="s">
        <v>275</v>
      </c>
      <c r="V53" s="83" t="s">
        <v>355</v>
      </c>
    </row>
    <row r="54" spans="1:24" s="23" customFormat="1" ht="50.25" customHeight="1" x14ac:dyDescent="0.25">
      <c r="A54" s="225" t="s">
        <v>425</v>
      </c>
      <c r="B54" s="226"/>
      <c r="C54" s="160" t="s">
        <v>435</v>
      </c>
      <c r="D54" s="207"/>
      <c r="E54" s="161"/>
      <c r="F54" s="18" t="s">
        <v>426</v>
      </c>
      <c r="G54" s="158" t="s">
        <v>436</v>
      </c>
      <c r="H54" s="159"/>
      <c r="I54" s="22" t="e">
        <f>IF(G54&gt;EDATE(E5,-48),"NO REMARK","CC REMARK FOR CC")</f>
        <v>#VALUE!</v>
      </c>
      <c r="J54" s="92"/>
      <c r="R54"/>
      <c r="S54" s="61" t="s">
        <v>260</v>
      </c>
      <c r="T54" s="61" t="s">
        <v>265</v>
      </c>
      <c r="U54" s="61" t="s">
        <v>262</v>
      </c>
      <c r="V54" s="61" t="s">
        <v>281</v>
      </c>
    </row>
    <row r="55" spans="1:24" s="23" customFormat="1" ht="37.5" customHeight="1" x14ac:dyDescent="0.25">
      <c r="A55" s="227"/>
      <c r="B55" s="228"/>
      <c r="C55" s="160" t="s">
        <v>437</v>
      </c>
      <c r="D55" s="207"/>
      <c r="E55" s="207"/>
      <c r="F55" s="207"/>
      <c r="G55" s="207"/>
      <c r="H55" s="161"/>
      <c r="R55"/>
      <c r="S55" s="61" t="s">
        <v>261</v>
      </c>
      <c r="T55" s="61" t="s">
        <v>268</v>
      </c>
      <c r="U55" s="61" t="s">
        <v>275</v>
      </c>
      <c r="V55" s="83" t="s">
        <v>355</v>
      </c>
    </row>
    <row r="56" spans="1:24" s="23" customFormat="1" x14ac:dyDescent="0.25">
      <c r="A56" s="154" t="s">
        <v>285</v>
      </c>
      <c r="B56" s="155"/>
      <c r="C56" s="160" t="s">
        <v>420</v>
      </c>
      <c r="D56" s="207"/>
      <c r="E56" s="161"/>
      <c r="F56" s="18" t="s">
        <v>39</v>
      </c>
      <c r="G56" s="158">
        <v>44726</v>
      </c>
      <c r="H56" s="159"/>
      <c r="K56" s="93" t="e">
        <f>EDATE(G52,-48)</f>
        <v>#VALUE!</v>
      </c>
      <c r="L56" s="23" t="str">
        <f ca="1">IF(G52&gt;EDATE(E3,-48),"NO REMARK","CC REMARK FOR CC")</f>
        <v>NO REMARK</v>
      </c>
      <c r="R56"/>
      <c r="S56" s="61" t="s">
        <v>260</v>
      </c>
      <c r="T56" s="61" t="s">
        <v>265</v>
      </c>
      <c r="U56" s="61" t="s">
        <v>262</v>
      </c>
      <c r="V56" s="61" t="s">
        <v>281</v>
      </c>
    </row>
    <row r="57" spans="1:24" s="23" customFormat="1" x14ac:dyDescent="0.25">
      <c r="A57" s="156"/>
      <c r="B57" s="157"/>
      <c r="C57" s="220" t="s">
        <v>421</v>
      </c>
      <c r="D57" s="221"/>
      <c r="E57" s="221"/>
      <c r="F57" s="221"/>
      <c r="G57" s="221"/>
      <c r="H57" s="222"/>
      <c r="R57"/>
      <c r="S57" s="61" t="s">
        <v>262</v>
      </c>
      <c r="T57" s="61" t="s">
        <v>266</v>
      </c>
      <c r="U57" s="61" t="s">
        <v>276</v>
      </c>
      <c r="V57" s="84"/>
      <c r="W57" s="21"/>
      <c r="X57" s="21"/>
    </row>
    <row r="58" spans="1:24" s="23" customFormat="1" ht="34.5" hidden="1" customHeight="1" x14ac:dyDescent="0.25">
      <c r="A58" s="216" t="s">
        <v>286</v>
      </c>
      <c r="B58" s="217"/>
      <c r="C58" s="160" t="str">
        <f>C57</f>
        <v>Stilt + 1st to 16th Floor (Height = 50.80m)</v>
      </c>
      <c r="D58" s="207"/>
      <c r="E58" s="161"/>
      <c r="F58" s="18" t="s">
        <v>39</v>
      </c>
      <c r="G58" s="158">
        <f>G57</f>
        <v>0</v>
      </c>
      <c r="H58" s="159"/>
      <c r="R58"/>
      <c r="S58" s="84"/>
      <c r="T58" s="61" t="s">
        <v>267</v>
      </c>
      <c r="U58" s="61" t="s">
        <v>277</v>
      </c>
      <c r="V58" s="84"/>
      <c r="W58" s="21"/>
      <c r="X58" s="21"/>
    </row>
    <row r="59" spans="1:24" s="23" customFormat="1" ht="41.25" hidden="1" customHeight="1" x14ac:dyDescent="0.25">
      <c r="A59" s="218"/>
      <c r="B59" s="219"/>
      <c r="C59" s="160"/>
      <c r="D59" s="207"/>
      <c r="E59" s="207"/>
      <c r="F59" s="207"/>
      <c r="G59" s="207"/>
      <c r="H59" s="161"/>
      <c r="R59"/>
      <c r="S59" s="84"/>
      <c r="T59" s="61" t="s">
        <v>269</v>
      </c>
      <c r="U59" s="61" t="s">
        <v>278</v>
      </c>
      <c r="V59" s="84"/>
      <c r="W59" s="21"/>
      <c r="X59" s="21"/>
    </row>
    <row r="60" spans="1:24" s="23" customFormat="1" ht="15.75" customHeight="1" x14ac:dyDescent="0.25">
      <c r="A60" s="154" t="s">
        <v>358</v>
      </c>
      <c r="B60" s="155"/>
      <c r="C60" s="160" t="s">
        <v>418</v>
      </c>
      <c r="D60" s="207"/>
      <c r="E60" s="161"/>
      <c r="F60" s="18" t="s">
        <v>39</v>
      </c>
      <c r="G60" s="158">
        <v>44491</v>
      </c>
      <c r="H60" s="159"/>
      <c r="R60"/>
      <c r="S60" s="84"/>
      <c r="T60" s="61" t="s">
        <v>270</v>
      </c>
      <c r="U60" s="84" t="s">
        <v>300</v>
      </c>
      <c r="V60" s="84"/>
      <c r="W60" s="21"/>
      <c r="X60" s="21"/>
    </row>
    <row r="61" spans="1:24" s="23" customFormat="1" ht="33.75" customHeight="1" x14ac:dyDescent="0.25">
      <c r="A61" s="156"/>
      <c r="B61" s="157"/>
      <c r="C61" s="130" t="s">
        <v>419</v>
      </c>
      <c r="D61" s="130"/>
      <c r="E61" s="130"/>
      <c r="F61" s="18" t="s">
        <v>359</v>
      </c>
      <c r="G61" s="158">
        <v>47412</v>
      </c>
      <c r="H61" s="159"/>
      <c r="R61"/>
      <c r="S61" s="84"/>
      <c r="T61" s="61" t="s">
        <v>271</v>
      </c>
      <c r="U61" s="84"/>
      <c r="V61" s="84"/>
      <c r="W61" s="21"/>
      <c r="X61" s="21"/>
    </row>
    <row r="62" spans="1:24" x14ac:dyDescent="0.25">
      <c r="A62" s="145" t="s">
        <v>41</v>
      </c>
      <c r="B62" s="146"/>
      <c r="C62" s="145" t="s">
        <v>102</v>
      </c>
      <c r="D62" s="147"/>
      <c r="E62" s="146"/>
      <c r="F62" s="45" t="s">
        <v>39</v>
      </c>
      <c r="G62" s="152" t="s">
        <v>27</v>
      </c>
      <c r="H62" s="153"/>
      <c r="R62"/>
      <c r="S62" s="84"/>
      <c r="T62" s="61" t="s">
        <v>273</v>
      </c>
      <c r="U62" s="84"/>
      <c r="V62" s="84"/>
    </row>
    <row r="63" spans="1:24" x14ac:dyDescent="0.25">
      <c r="A63" s="172" t="s">
        <v>43</v>
      </c>
      <c r="B63" s="172"/>
      <c r="C63" s="172"/>
      <c r="D63" s="172"/>
      <c r="E63" s="172"/>
      <c r="F63" s="172"/>
      <c r="G63" s="172"/>
      <c r="H63" s="172"/>
      <c r="S63" s="84"/>
      <c r="T63" s="61" t="s">
        <v>282</v>
      </c>
      <c r="U63" s="84"/>
      <c r="V63" s="84"/>
    </row>
    <row r="64" spans="1:24" x14ac:dyDescent="0.25">
      <c r="A64" s="130" t="s">
        <v>87</v>
      </c>
      <c r="B64" s="130"/>
      <c r="C64" s="130"/>
      <c r="D64" s="140">
        <f>E46</f>
        <v>6782.33</v>
      </c>
      <c r="E64" s="140"/>
      <c r="F64" s="140"/>
      <c r="G64" s="140"/>
      <c r="H64" s="140"/>
      <c r="R64"/>
    </row>
    <row r="65" spans="1:19" x14ac:dyDescent="0.25">
      <c r="A65" s="195" t="s">
        <v>44</v>
      </c>
      <c r="B65" s="183"/>
      <c r="C65" s="183"/>
      <c r="D65" s="151" t="s">
        <v>415</v>
      </c>
      <c r="E65" s="151"/>
      <c r="F65" s="151"/>
      <c r="G65" s="151"/>
      <c r="H65" s="151"/>
      <c r="I65" s="24"/>
      <c r="R65"/>
    </row>
    <row r="66" spans="1:19" x14ac:dyDescent="0.25">
      <c r="A66" s="210" t="s">
        <v>45</v>
      </c>
      <c r="B66" s="211"/>
      <c r="C66" s="212"/>
      <c r="D66" s="208" t="s">
        <v>382</v>
      </c>
      <c r="E66" s="209"/>
      <c r="F66" s="209"/>
      <c r="G66" s="209"/>
      <c r="H66" s="209"/>
      <c r="R66"/>
    </row>
    <row r="67" spans="1:19" ht="15.75" customHeight="1" x14ac:dyDescent="0.25">
      <c r="A67" s="210" t="s">
        <v>85</v>
      </c>
      <c r="B67" s="211"/>
      <c r="C67" s="211"/>
      <c r="D67" s="244" t="s">
        <v>382</v>
      </c>
      <c r="E67" s="245"/>
      <c r="F67" s="245"/>
      <c r="G67" s="245"/>
      <c r="H67" s="246"/>
      <c r="R67"/>
    </row>
    <row r="68" spans="1:19" ht="15.75" hidden="1" customHeight="1" x14ac:dyDescent="0.25">
      <c r="A68" s="240"/>
      <c r="B68" s="241"/>
      <c r="C68" s="241"/>
      <c r="D68" s="247" t="s">
        <v>301</v>
      </c>
      <c r="E68" s="248"/>
      <c r="F68" s="248"/>
      <c r="G68" s="248"/>
      <c r="H68" s="249"/>
      <c r="R68"/>
    </row>
    <row r="69" spans="1:19" ht="15.75" hidden="1" customHeight="1" x14ac:dyDescent="0.25">
      <c r="A69" s="242"/>
      <c r="B69" s="243"/>
      <c r="C69" s="243"/>
      <c r="D69" s="260" t="s">
        <v>171</v>
      </c>
      <c r="E69" s="261"/>
      <c r="F69" s="261"/>
      <c r="G69" s="261"/>
      <c r="H69" s="262"/>
      <c r="S69"/>
    </row>
    <row r="70" spans="1:19" ht="15.75" customHeight="1" x14ac:dyDescent="0.25">
      <c r="A70" s="140" t="s">
        <v>42</v>
      </c>
      <c r="B70" s="140"/>
      <c r="C70" s="140"/>
      <c r="D70" s="224" t="s">
        <v>383</v>
      </c>
      <c r="E70" s="224"/>
      <c r="F70" s="224"/>
      <c r="G70" s="224"/>
      <c r="H70" s="224"/>
      <c r="J70" s="25"/>
      <c r="K70" s="24"/>
      <c r="N70" s="24"/>
      <c r="S70"/>
    </row>
    <row r="71" spans="1:19" ht="15.75" customHeight="1" x14ac:dyDescent="0.25">
      <c r="A71" s="140" t="s">
        <v>83</v>
      </c>
      <c r="B71" s="140"/>
      <c r="C71" s="140"/>
      <c r="D71" s="239" t="str">
        <f>(IF(G62="NA","60 Years After Completion",IF(G62&lt;&gt;"NA",""&amp;60-ROUNDDOWN((E3-G62)/360,0)&amp;" Years"," ")))</f>
        <v>60 Years After Completion</v>
      </c>
      <c r="E71" s="239"/>
      <c r="F71" s="239"/>
      <c r="G71" s="239"/>
      <c r="H71" s="239"/>
      <c r="N71" s="24"/>
      <c r="S71"/>
    </row>
    <row r="72" spans="1:19" ht="15.75" customHeight="1" x14ac:dyDescent="0.25">
      <c r="A72" s="140" t="s">
        <v>84</v>
      </c>
      <c r="B72" s="140"/>
      <c r="C72" s="140"/>
      <c r="D72" s="130" t="s">
        <v>22</v>
      </c>
      <c r="E72" s="130"/>
      <c r="F72" s="130"/>
      <c r="G72" s="130"/>
      <c r="H72" s="130"/>
      <c r="J72" s="26"/>
      <c r="K72" s="26"/>
      <c r="S72"/>
    </row>
    <row r="73" spans="1:19" ht="31.5" customHeight="1" x14ac:dyDescent="0.25">
      <c r="A73" s="151" t="s">
        <v>385</v>
      </c>
      <c r="B73" s="151"/>
      <c r="C73" s="151"/>
      <c r="D73" s="195" t="s">
        <v>384</v>
      </c>
      <c r="E73" s="130"/>
      <c r="F73" s="130"/>
      <c r="G73" s="130"/>
      <c r="H73" s="130"/>
      <c r="I73" s="101" t="s">
        <v>386</v>
      </c>
      <c r="S73"/>
    </row>
    <row r="74" spans="1:19" x14ac:dyDescent="0.25">
      <c r="A74" s="130" t="s">
        <v>149</v>
      </c>
      <c r="B74" s="130"/>
      <c r="C74" s="130"/>
      <c r="D74" s="130" t="s">
        <v>27</v>
      </c>
      <c r="E74" s="130"/>
      <c r="F74" s="130"/>
      <c r="G74" s="130"/>
      <c r="H74" s="130"/>
      <c r="I74" s="27"/>
      <c r="J74" s="27"/>
      <c r="K74" s="27"/>
      <c r="L74" s="27"/>
      <c r="M74" s="27"/>
      <c r="N74" s="27"/>
    </row>
    <row r="75" spans="1:19" ht="15.75" customHeight="1" x14ac:dyDescent="0.25">
      <c r="A75" s="256" t="s">
        <v>82</v>
      </c>
      <c r="B75" s="256"/>
      <c r="C75" s="256"/>
      <c r="D75" s="131" t="str">
        <f ca="1">(IF(G81&gt;95%,"Nothing",IF(G81&gt;0%,"Cement, Aggregate, Steel, etc",IF(G81=0%,"Work not yet Started"))))</f>
        <v>Cement, Aggregate, Steel, etc</v>
      </c>
      <c r="E75" s="131"/>
      <c r="F75" s="131"/>
      <c r="G75" s="131"/>
      <c r="H75" s="131"/>
      <c r="J75" s="26"/>
      <c r="S75"/>
    </row>
    <row r="76" spans="1:19" ht="33.75" customHeight="1" thickBot="1" x14ac:dyDescent="0.3">
      <c r="A76" s="255" t="s">
        <v>115</v>
      </c>
      <c r="B76" s="255"/>
      <c r="C76" s="255"/>
      <c r="D76" s="131" t="str">
        <f ca="1">(IF(D75="Nothing","Yes",IF(D75="Cement, Aggregate, Steel, etc","Under Construction",IF(D75="Work not yet Started","Work not yet Started"))))</f>
        <v>Under Construction</v>
      </c>
      <c r="E76" s="131"/>
      <c r="F76" s="131" t="str">
        <f ca="1">(IF(D75="Nothing","Yes",IF(D75="Cement, Aggregate, Steel, etc","Under Construction",IF(D75="Work not yet Started","Work not yet Started"))))</f>
        <v>Under Construction</v>
      </c>
      <c r="G76" s="131"/>
      <c r="H76" s="131"/>
      <c r="S76"/>
    </row>
    <row r="77" spans="1:19" ht="15.75" customHeight="1" x14ac:dyDescent="0.25">
      <c r="A77" s="250" t="s">
        <v>139</v>
      </c>
      <c r="B77" s="251"/>
      <c r="C77" s="252" t="str">
        <f>D67</f>
        <v>Wing A &amp; B = G + 1st to 16th Floor</v>
      </c>
      <c r="D77" s="253"/>
      <c r="E77" s="253"/>
      <c r="F77" s="253"/>
      <c r="G77" s="253"/>
      <c r="H77" s="254"/>
      <c r="I77" s="49" t="str">
        <f ca="1">IF(D90=100%,"All work Completed. Possession granted to the Building.",IF(D89=100%,"All work Completed, Waiting for OC",I78&amp;""&amp;I79&amp;""&amp;J78&amp;""&amp;J77&amp;" "&amp;J79))</f>
        <v>Excavation, Plinth, RCC Slab, Brickwork, Internal Plaster Completed, External Plaster upto 13 Floor, Flooring upto 2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External Plaster upto 13 Floor, Flooring upto 2 Floor</v>
      </c>
      <c r="S77"/>
    </row>
    <row r="78" spans="1:19" x14ac:dyDescent="0.25">
      <c r="A78" s="16" t="s">
        <v>141</v>
      </c>
      <c r="B78" s="53">
        <f>IF(AND(ISNUMBER(SEARCH("1B",C77))),1,IF(AND(ISNUMBER(SEARCH("2B",C77))),2,IF(AND(ISNUMBER(SEARCH("3B",C77))),3,IF(AND(ISNUMBER(SEARCH("4B",C77))),4,IF(ISNUMBER(SEARCH("5B",C77)),5,0)))))</f>
        <v>0</v>
      </c>
      <c r="C78" s="47" t="s">
        <v>68</v>
      </c>
      <c r="D78" s="47">
        <v>1</v>
      </c>
      <c r="E78" s="47" t="s">
        <v>67</v>
      </c>
      <c r="F78" s="102">
        <v>0</v>
      </c>
      <c r="G78" s="48" t="s">
        <v>76</v>
      </c>
      <c r="H78" s="17">
        <f ca="1">--TRIM(RIGHT(SUBSTITUTE(LEFT(C77,_xlfn.AGGREGATE(16,6,FIND({0,1,2,3,4,5,6,7,8,9},C77,ROW(INDIRECT("1:"&amp;LEN(C77)))),1))," ",REPT(" ",LEN(C77))),LEN(C77)))</f>
        <v>16</v>
      </c>
      <c r="I78" s="51" t="str">
        <f ca="1">IF(D81=100%,"Excavation","")&amp;IF(D82=100%,", Plinth","")&amp;IF(D83=100%,", RCC Slab","")&amp;IF(D84=100%,", Brickwork","")&amp;IF(D85=100%,", Internal Plaster","")&amp;IF(D86=100%,", External Plaster","")&amp;IF(D87=100%,", Flooring","")&amp;IF(D88=100%,", Painting","")&amp;IF(D89=100%,", Building common Amenities","")</f>
        <v>Excavation, Plinth, RCC Slab, Brickwork, Internal Plaster</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3" customHeight="1" x14ac:dyDescent="0.25">
      <c r="A79" s="238" t="s">
        <v>86</v>
      </c>
      <c r="B79" s="192"/>
      <c r="C79" s="230" t="str">
        <f ca="1">I77</f>
        <v>Excavation, Plinth, RCC Slab, Brickwork, Internal Plaster Completed, External Plaster upto 13 Floor, Flooring upto 2 Floor Completed</v>
      </c>
      <c r="D79" s="230"/>
      <c r="E79" s="230"/>
      <c r="F79" s="230"/>
      <c r="G79" s="230"/>
      <c r="H79" s="231"/>
      <c r="I79" s="51" t="str">
        <f ca="1">IF(I78&lt;&gt;""," Completed","")</f>
        <v xml:space="preserve"> Completed</v>
      </c>
      <c r="J79" s="52" t="str">
        <f ca="1">IF(J77&lt;&gt;"","Completed","")</f>
        <v>Completed</v>
      </c>
      <c r="S79"/>
    </row>
    <row r="80" spans="1:19" ht="15.75" customHeight="1" x14ac:dyDescent="0.25">
      <c r="A80" s="132" t="s">
        <v>46</v>
      </c>
      <c r="B80" s="133"/>
      <c r="C80" s="43" t="s">
        <v>138</v>
      </c>
      <c r="D80" s="43" t="s">
        <v>79</v>
      </c>
      <c r="E80" s="133" t="s">
        <v>81</v>
      </c>
      <c r="F80" s="133"/>
      <c r="G80" s="133" t="s">
        <v>80</v>
      </c>
      <c r="H80" s="134"/>
      <c r="I80" s="13" t="s">
        <v>140</v>
      </c>
      <c r="J80" s="28">
        <f ca="1">H78*25%</f>
        <v>4</v>
      </c>
      <c r="S80"/>
    </row>
    <row r="81" spans="1:19" x14ac:dyDescent="0.25">
      <c r="A81" s="132" t="s">
        <v>127</v>
      </c>
      <c r="B81" s="133"/>
      <c r="C81" s="97">
        <f ca="1">J82</f>
        <v>16</v>
      </c>
      <c r="D81" s="19">
        <f ca="1">((100/H78)*C81)/100</f>
        <v>1</v>
      </c>
      <c r="E81" s="232">
        <f ca="1">(((C82/H78*10)+(40/(D78+F78+H78)*C83)+(7.5/(H78)*C84)+(7.5/(H78)*C85)+(10/H78*C86)+(10/H78*C87)+(5/H78*C88)+(5/H78*C89)+(5/H78*C90))/100)</f>
        <v>0.74375000000000002</v>
      </c>
      <c r="F81" s="257"/>
      <c r="G81" s="232">
        <f ca="1">((((C81/H78)*20)+((C82/H78)*25)+(30/(H78+F78+D78)*C83)+(5/H78*C84)+(5/H78*C85)+(5/H78*C86)+(5/H78*C87)+(0/H78*C88)+(0/H78*C89)+(5/H78*C90))/100)</f>
        <v>0.89687499999999998</v>
      </c>
      <c r="H81" s="233"/>
      <c r="I81" s="13" t="s">
        <v>97</v>
      </c>
      <c r="J81" s="29">
        <f ca="1">H78*50%</f>
        <v>8</v>
      </c>
    </row>
    <row r="82" spans="1:19" x14ac:dyDescent="0.25">
      <c r="A82" s="132" t="s">
        <v>47</v>
      </c>
      <c r="B82" s="133"/>
      <c r="C82" s="43">
        <f ca="1">J90</f>
        <v>16</v>
      </c>
      <c r="D82" s="19">
        <f ca="1">((100/H78)*C82)/100</f>
        <v>1</v>
      </c>
      <c r="E82" s="234"/>
      <c r="F82" s="258"/>
      <c r="G82" s="234"/>
      <c r="H82" s="235"/>
      <c r="I82" s="13" t="s">
        <v>98</v>
      </c>
      <c r="J82" s="29">
        <f ca="1">H78</f>
        <v>16</v>
      </c>
      <c r="S82"/>
    </row>
    <row r="83" spans="1:19" ht="15.75" customHeight="1" x14ac:dyDescent="0.25">
      <c r="A83" s="132" t="s">
        <v>128</v>
      </c>
      <c r="B83" s="133"/>
      <c r="C83" s="43">
        <v>17</v>
      </c>
      <c r="D83" s="19">
        <f ca="1">((100/(D78+F78+H78))*C83)/100</f>
        <v>1</v>
      </c>
      <c r="E83" s="234"/>
      <c r="F83" s="258"/>
      <c r="G83" s="234"/>
      <c r="H83" s="235"/>
      <c r="I83" s="13" t="s">
        <v>99</v>
      </c>
      <c r="J83" s="30">
        <f ca="1">(IF(B78&gt;1,(H78/(B78+2)),H78/4))</f>
        <v>4</v>
      </c>
      <c r="S83"/>
    </row>
    <row r="84" spans="1:19" ht="15.75" customHeight="1" x14ac:dyDescent="0.25">
      <c r="A84" s="132" t="s">
        <v>135</v>
      </c>
      <c r="B84" s="133" t="s">
        <v>129</v>
      </c>
      <c r="C84" s="43">
        <v>16</v>
      </c>
      <c r="D84" s="19">
        <f ca="1">((100/H78)*C84)/100</f>
        <v>1</v>
      </c>
      <c r="E84" s="234"/>
      <c r="F84" s="258"/>
      <c r="G84" s="234"/>
      <c r="H84" s="235"/>
      <c r="I84" s="13" t="s">
        <v>100</v>
      </c>
      <c r="J84" s="30">
        <f ca="1">(IF(B78&gt;1,(H78/(B78+2)+J83),H78/4+J83))</f>
        <v>8</v>
      </c>
    </row>
    <row r="85" spans="1:19" ht="15.75" customHeight="1" x14ac:dyDescent="0.25">
      <c r="A85" s="132" t="s">
        <v>136</v>
      </c>
      <c r="B85" s="133" t="s">
        <v>129</v>
      </c>
      <c r="C85" s="43">
        <v>16</v>
      </c>
      <c r="D85" s="19">
        <f ca="1">((100/H78)*C85)/100</f>
        <v>1</v>
      </c>
      <c r="E85" s="234"/>
      <c r="F85" s="258"/>
      <c r="G85" s="234"/>
      <c r="H85" s="235"/>
      <c r="I85" s="13" t="s">
        <v>147</v>
      </c>
      <c r="J85" s="30">
        <f>(IF(B78&gt;1,(H78/(B78+2)+J84),0))</f>
        <v>0</v>
      </c>
    </row>
    <row r="86" spans="1:19" ht="15" customHeight="1" x14ac:dyDescent="0.25">
      <c r="A86" s="132" t="s">
        <v>134</v>
      </c>
      <c r="B86" s="133" t="s">
        <v>131</v>
      </c>
      <c r="C86" s="65">
        <v>13</v>
      </c>
      <c r="D86" s="19">
        <f ca="1">((100/(H78))*C86)/100</f>
        <v>0.8125</v>
      </c>
      <c r="E86" s="234"/>
      <c r="F86" s="258"/>
      <c r="G86" s="234"/>
      <c r="H86" s="235"/>
      <c r="I86" s="13" t="s">
        <v>142</v>
      </c>
      <c r="J86" s="30">
        <f>(IF(B78&gt;2,(H78/(B78+2)+J85),0))</f>
        <v>0</v>
      </c>
    </row>
    <row r="87" spans="1:19" ht="15.75" customHeight="1" x14ac:dyDescent="0.25">
      <c r="A87" s="132" t="s">
        <v>130</v>
      </c>
      <c r="B87" s="133" t="s">
        <v>130</v>
      </c>
      <c r="C87" s="43">
        <v>2</v>
      </c>
      <c r="D87" s="19">
        <f ca="1">((100/H78)*C87)/100</f>
        <v>0.125</v>
      </c>
      <c r="E87" s="234"/>
      <c r="F87" s="258"/>
      <c r="G87" s="234"/>
      <c r="H87" s="235"/>
      <c r="I87" s="13" t="s">
        <v>143</v>
      </c>
      <c r="J87" s="31">
        <f>(IF(B78&gt;3,(H78/(B78+2)+J86),0))</f>
        <v>0</v>
      </c>
    </row>
    <row r="88" spans="1:19" ht="15.75" customHeight="1" x14ac:dyDescent="0.25">
      <c r="A88" s="132" t="s">
        <v>137</v>
      </c>
      <c r="B88" s="133"/>
      <c r="C88" s="43">
        <v>0</v>
      </c>
      <c r="D88" s="19">
        <f ca="1">((100/H78)*C88)/100</f>
        <v>0</v>
      </c>
      <c r="E88" s="234"/>
      <c r="F88" s="258"/>
      <c r="G88" s="234"/>
      <c r="H88" s="235"/>
      <c r="I88" s="13" t="s">
        <v>144</v>
      </c>
      <c r="J88" s="30">
        <f>(IF(B78&gt;4,(H78/(B78+2)+J87),0))</f>
        <v>0</v>
      </c>
    </row>
    <row r="89" spans="1:19" ht="15.75" customHeight="1" x14ac:dyDescent="0.25">
      <c r="A89" s="132" t="s">
        <v>132</v>
      </c>
      <c r="B89" s="133" t="s">
        <v>132</v>
      </c>
      <c r="C89" s="43">
        <v>0</v>
      </c>
      <c r="D89" s="19">
        <f ca="1">((100/(H78))*C89)/100</f>
        <v>0</v>
      </c>
      <c r="E89" s="234"/>
      <c r="F89" s="258"/>
      <c r="G89" s="234"/>
      <c r="H89" s="235"/>
      <c r="I89" s="13" t="s">
        <v>148</v>
      </c>
      <c r="J89" s="30">
        <f ca="1">(IF(B78=1,(H78/(B78+3)+J84),IF(B78=0,(H78/4+J84),IF(B78&gt;1,0))))</f>
        <v>12</v>
      </c>
    </row>
    <row r="90" spans="1:19" ht="16.5" thickBot="1" x14ac:dyDescent="0.3">
      <c r="A90" s="135" t="s">
        <v>133</v>
      </c>
      <c r="B90" s="136"/>
      <c r="C90" s="44">
        <v>0</v>
      </c>
      <c r="D90" s="20">
        <f ca="1">((100/(H78))*C90)/100</f>
        <v>0</v>
      </c>
      <c r="E90" s="236"/>
      <c r="F90" s="259"/>
      <c r="G90" s="236"/>
      <c r="H90" s="237"/>
      <c r="I90" s="15" t="s">
        <v>101</v>
      </c>
      <c r="J90" s="32">
        <f ca="1">(IF(B78&gt;1.5,(H78/(B78+2)+J84+MAX(0,J85-J84)+MAX(0,J86-J85)+MAX(0,J87-J86)+MAX(0,J88-J87)+MAX(0,J89-J88)),IF(B78=1,(H78/(B78+3)+J89),IF(B78=0,H78/4+J89))))</f>
        <v>16</v>
      </c>
    </row>
    <row r="91" spans="1:19" ht="15.75" hidden="1" customHeight="1" x14ac:dyDescent="0.25">
      <c r="A91" s="250" t="s">
        <v>139</v>
      </c>
      <c r="B91" s="251"/>
      <c r="C91" s="252" t="str">
        <f>D68</f>
        <v>B Wing = 1B + G + 1st to 19th Floor</v>
      </c>
      <c r="D91" s="253"/>
      <c r="E91" s="253"/>
      <c r="F91" s="253"/>
      <c r="G91" s="253"/>
      <c r="H91" s="254"/>
      <c r="I91" s="49" t="str">
        <f ca="1">IF(D104=100%,"All work Completed. Possession granted to the Building.",IF(D103=100%,"All work Completed, Waiting for OC",I92&amp;""&amp;I93&amp;""&amp;J92&amp;""&amp;J91&amp;" "&amp;J93))</f>
        <v xml:space="preserve">Excavation, Plinth Completed </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hidden="1" x14ac:dyDescent="0.25">
      <c r="A92" s="16" t="s">
        <v>141</v>
      </c>
      <c r="B92" s="54">
        <f>IF(AND(ISNUMBER(SEARCH("1B",C91))),1,IF(AND(ISNUMBER(SEARCH("2B",C91))),2,IF(AND(ISNUMBER(SEARCH("3B",C91))),3,IF(AND(ISNUMBER(SEARCH("4B",C91))),4,IF(ISNUMBER(SEARCH("5B",C91)),5,0)))))</f>
        <v>1</v>
      </c>
      <c r="C92" s="54" t="s">
        <v>68</v>
      </c>
      <c r="D92" s="54">
        <v>1</v>
      </c>
      <c r="E92" s="54" t="s">
        <v>67</v>
      </c>
      <c r="F92" s="14">
        <v>0</v>
      </c>
      <c r="G92" s="48" t="s">
        <v>76</v>
      </c>
      <c r="H92" s="17">
        <f ca="1">--TRIM(RIGHT(SUBSTITUTE(LEFT(C91,_xlfn.AGGREGATE(16,6,FIND({0,1,2,3,4,5,6,7,8,9},C91,ROW(INDIRECT("1:"&amp;LEN(C91)))),1))," ",REPT(" ",LEN(C91))),LEN(C91)))</f>
        <v>19</v>
      </c>
      <c r="I92" s="51" t="str">
        <f ca="1">IF(D95=100%,"Excavation","")&amp;IF(D96=100%,", Plinth","")&amp;IF(D97=100%,", RCC Slab","")&amp;IF(D98=100%,", Brickwork","")&amp;IF(D99=100%,", Internal Plaster","")&amp;IF(D100=100%,", External Plaster","")&amp;IF(D101=100%,", Flooring","")&amp;IF(D102=100%,", Painting","")&amp;IF(D103=100%,", Building common Amenities","")</f>
        <v>Excavation, Plinth</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6.75" hidden="1" customHeight="1" x14ac:dyDescent="0.25">
      <c r="A93" s="238" t="s">
        <v>86</v>
      </c>
      <c r="B93" s="192"/>
      <c r="C93" s="230" t="str">
        <f ca="1">I91</f>
        <v xml:space="preserve">Excavation, Plinth Completed </v>
      </c>
      <c r="D93" s="230"/>
      <c r="E93" s="230"/>
      <c r="F93" s="230"/>
      <c r="G93" s="230"/>
      <c r="H93" s="231"/>
      <c r="I93" s="51" t="str">
        <f ca="1">IF(I92&lt;&gt;""," Completed","")</f>
        <v xml:space="preserve"> Completed</v>
      </c>
      <c r="J93" s="52" t="str">
        <f ca="1">IF(J91&lt;&gt;"","Completed","")</f>
        <v/>
      </c>
      <c r="S93"/>
    </row>
    <row r="94" spans="1:19" ht="15.75" hidden="1" customHeight="1" x14ac:dyDescent="0.25">
      <c r="A94" s="132" t="s">
        <v>46</v>
      </c>
      <c r="B94" s="133"/>
      <c r="C94" s="86" t="s">
        <v>138</v>
      </c>
      <c r="D94" s="86" t="s">
        <v>79</v>
      </c>
      <c r="E94" s="133" t="s">
        <v>81</v>
      </c>
      <c r="F94" s="133"/>
      <c r="G94" s="133" t="s">
        <v>80</v>
      </c>
      <c r="H94" s="134"/>
      <c r="I94" s="13" t="s">
        <v>140</v>
      </c>
      <c r="J94" s="28">
        <f ca="1">H92*25%</f>
        <v>4.75</v>
      </c>
      <c r="S94"/>
    </row>
    <row r="95" spans="1:19" hidden="1" x14ac:dyDescent="0.25">
      <c r="A95" s="132" t="s">
        <v>127</v>
      </c>
      <c r="B95" s="133"/>
      <c r="C95" s="66">
        <f ca="1">J96</f>
        <v>19</v>
      </c>
      <c r="D95" s="19">
        <f ca="1">((100/H92)*C95)/100</f>
        <v>1</v>
      </c>
      <c r="E95" s="232">
        <f ca="1">(((C96/H92*10)+(40/(D92+F92+H92)*C97)+(7.5/(H92)*C98)+(7.5/(H92)*C99)+(10/H92*C100)+(10/H92*C101)+(5/H92*C102)+(5/H92*C103)+(5/H92*C104))/100)</f>
        <v>0.1</v>
      </c>
      <c r="F95" s="257"/>
      <c r="G95" s="232">
        <f ca="1">((((C95/H92)*20)+((C96/H92)*25)+(30/(H92+F92+D92)*C97)+(5/H92*C98)+(5/H92*C99)+(5/H92*C100)+(5/H92*C101)+(0/H92*C102)+(0/H92*C103)+(5/H92*C104))/100)</f>
        <v>0.45</v>
      </c>
      <c r="H95" s="233"/>
      <c r="I95" s="13" t="s">
        <v>97</v>
      </c>
      <c r="J95" s="29">
        <f ca="1">H92*50%</f>
        <v>9.5</v>
      </c>
    </row>
    <row r="96" spans="1:19" hidden="1" x14ac:dyDescent="0.25">
      <c r="A96" s="132" t="s">
        <v>47</v>
      </c>
      <c r="B96" s="133"/>
      <c r="C96" s="86">
        <f ca="1">J104</f>
        <v>19</v>
      </c>
      <c r="D96" s="19">
        <f ca="1">((100/H92)*C96)/100</f>
        <v>1</v>
      </c>
      <c r="E96" s="234"/>
      <c r="F96" s="258"/>
      <c r="G96" s="234"/>
      <c r="H96" s="235"/>
      <c r="I96" s="13" t="s">
        <v>98</v>
      </c>
      <c r="J96" s="29">
        <f ca="1">H92</f>
        <v>19</v>
      </c>
      <c r="S96"/>
    </row>
    <row r="97" spans="1:19" ht="15.75" hidden="1" customHeight="1" x14ac:dyDescent="0.25">
      <c r="A97" s="132" t="s">
        <v>128</v>
      </c>
      <c r="B97" s="133"/>
      <c r="C97" s="86">
        <v>0</v>
      </c>
      <c r="D97" s="19">
        <f ca="1">((100/(D92+F92+H92))*C97)/100</f>
        <v>0</v>
      </c>
      <c r="E97" s="234"/>
      <c r="F97" s="258"/>
      <c r="G97" s="234"/>
      <c r="H97" s="235"/>
      <c r="I97" s="13" t="s">
        <v>99</v>
      </c>
      <c r="J97" s="30">
        <f ca="1">(IF(B92&gt;1,(H92/(B92+2)),H92/4))</f>
        <v>4.75</v>
      </c>
      <c r="S97"/>
    </row>
    <row r="98" spans="1:19" ht="15.75" hidden="1" customHeight="1" x14ac:dyDescent="0.25">
      <c r="A98" s="132" t="s">
        <v>135</v>
      </c>
      <c r="B98" s="133" t="s">
        <v>129</v>
      </c>
      <c r="C98" s="86">
        <v>0</v>
      </c>
      <c r="D98" s="19">
        <f ca="1">((100/H92)*C98)/100</f>
        <v>0</v>
      </c>
      <c r="E98" s="234"/>
      <c r="F98" s="258"/>
      <c r="G98" s="234"/>
      <c r="H98" s="235"/>
      <c r="I98" s="13" t="s">
        <v>100</v>
      </c>
      <c r="J98" s="30">
        <f ca="1">(IF(B92&gt;1,(H92/(B92+2)+J97),H92/4+J97))</f>
        <v>9.5</v>
      </c>
    </row>
    <row r="99" spans="1:19" ht="15.75" hidden="1" customHeight="1" x14ac:dyDescent="0.25">
      <c r="A99" s="132" t="s">
        <v>136</v>
      </c>
      <c r="B99" s="133" t="s">
        <v>129</v>
      </c>
      <c r="C99" s="86">
        <v>0</v>
      </c>
      <c r="D99" s="19">
        <f ca="1">((100/H92)*C99)/100</f>
        <v>0</v>
      </c>
      <c r="E99" s="234"/>
      <c r="F99" s="258"/>
      <c r="G99" s="234"/>
      <c r="H99" s="235"/>
      <c r="I99" s="13" t="s">
        <v>147</v>
      </c>
      <c r="J99" s="30">
        <f>(IF(B92&gt;1,(H92/(B92+2)+J98),0))</f>
        <v>0</v>
      </c>
    </row>
    <row r="100" spans="1:19" ht="15" hidden="1" customHeight="1" x14ac:dyDescent="0.25">
      <c r="A100" s="132" t="s">
        <v>134</v>
      </c>
      <c r="B100" s="133" t="s">
        <v>131</v>
      </c>
      <c r="C100" s="86">
        <v>0</v>
      </c>
      <c r="D100" s="19">
        <f ca="1">((100/(H92))*C100)/100</f>
        <v>0</v>
      </c>
      <c r="E100" s="234"/>
      <c r="F100" s="258"/>
      <c r="G100" s="234"/>
      <c r="H100" s="235"/>
      <c r="I100" s="13" t="s">
        <v>142</v>
      </c>
      <c r="J100" s="30">
        <f>(IF(B92&gt;2,(H92/(B92+2)+J99),0))</f>
        <v>0</v>
      </c>
    </row>
    <row r="101" spans="1:19" ht="15.75" hidden="1" customHeight="1" x14ac:dyDescent="0.25">
      <c r="A101" s="132" t="s">
        <v>130</v>
      </c>
      <c r="B101" s="133" t="s">
        <v>130</v>
      </c>
      <c r="C101" s="86">
        <v>0</v>
      </c>
      <c r="D101" s="19">
        <f ca="1">((100/H92)*C101)/100</f>
        <v>0</v>
      </c>
      <c r="E101" s="234"/>
      <c r="F101" s="258"/>
      <c r="G101" s="234"/>
      <c r="H101" s="235"/>
      <c r="I101" s="13" t="s">
        <v>143</v>
      </c>
      <c r="J101" s="31">
        <f>(IF(B92&gt;3,(H92/(B92+2)+J100),0))</f>
        <v>0</v>
      </c>
    </row>
    <row r="102" spans="1:19" ht="15.75" hidden="1" customHeight="1" x14ac:dyDescent="0.25">
      <c r="A102" s="132" t="s">
        <v>137</v>
      </c>
      <c r="B102" s="133"/>
      <c r="C102" s="86">
        <v>0</v>
      </c>
      <c r="D102" s="19">
        <f ca="1">((100/H92)*C102)/100</f>
        <v>0</v>
      </c>
      <c r="E102" s="234"/>
      <c r="F102" s="258"/>
      <c r="G102" s="234"/>
      <c r="H102" s="235"/>
      <c r="I102" s="13" t="s">
        <v>144</v>
      </c>
      <c r="J102" s="30">
        <f>(IF(B92&gt;4,(H92/(B92+2)+J101),0))</f>
        <v>0</v>
      </c>
    </row>
    <row r="103" spans="1:19" ht="15.75" hidden="1" customHeight="1" x14ac:dyDescent="0.25">
      <c r="A103" s="132" t="s">
        <v>132</v>
      </c>
      <c r="B103" s="133" t="s">
        <v>132</v>
      </c>
      <c r="C103" s="86">
        <v>0</v>
      </c>
      <c r="D103" s="19">
        <f ca="1">((100/(H92))*C103)/100</f>
        <v>0</v>
      </c>
      <c r="E103" s="234"/>
      <c r="F103" s="258"/>
      <c r="G103" s="234"/>
      <c r="H103" s="235"/>
      <c r="I103" s="13" t="s">
        <v>148</v>
      </c>
      <c r="J103" s="30">
        <f ca="1">(IF(B92=1,(H92/(B92+3)+J98),IF(B92=0,(H92/4+J98),IF(B92&gt;1,0))))</f>
        <v>14.25</v>
      </c>
    </row>
    <row r="104" spans="1:19" ht="16.5" hidden="1" thickBot="1" x14ac:dyDescent="0.3">
      <c r="A104" s="135" t="s">
        <v>133</v>
      </c>
      <c r="B104" s="136"/>
      <c r="C104" s="85">
        <v>0</v>
      </c>
      <c r="D104" s="20">
        <f ca="1">((100/(H92))*C104)/100</f>
        <v>0</v>
      </c>
      <c r="E104" s="236"/>
      <c r="F104" s="259"/>
      <c r="G104" s="236"/>
      <c r="H104" s="237"/>
      <c r="I104" s="15" t="s">
        <v>101</v>
      </c>
      <c r="J104" s="32">
        <f ca="1">(IF(B92&gt;1.5,(H92/(B92+2)+J98+MAX(0,J99-J98)+MAX(0,J100-J99)+MAX(0,J101-J100)+MAX(0,J102-J101)+MAX(0,J103-J102)),IF(B92=1,(H92/(B92+3)+J103),IF(B92=0,H92/4+J103))))</f>
        <v>19</v>
      </c>
    </row>
    <row r="105" spans="1:19" ht="15.75" hidden="1" customHeight="1" x14ac:dyDescent="0.25">
      <c r="A105" s="250" t="s">
        <v>139</v>
      </c>
      <c r="B105" s="251"/>
      <c r="C105" s="252" t="str">
        <f>D69</f>
        <v>C Wing = 1B + G + 1st to 20th Floor</v>
      </c>
      <c r="D105" s="253"/>
      <c r="E105" s="253"/>
      <c r="F105" s="253"/>
      <c r="G105" s="253"/>
      <c r="H105" s="254"/>
      <c r="I105" s="49" t="str">
        <f ca="1">IF(D118=100%,"All work Completed. Possession granted to the Building.",IF(D117=100%,"All work Completed, Waiting for OC",I106&amp;""&amp;I107&amp;""&amp;J106&amp;""&amp;J105&amp;" "&amp;J107))</f>
        <v xml:space="preserve">Excavation, Plinth Completed </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25">
      <c r="A106" s="16" t="s">
        <v>141</v>
      </c>
      <c r="B106" s="54">
        <f>IF(AND(ISNUMBER(SEARCH("1B",C105))),1,IF(AND(ISNUMBER(SEARCH("2B",C105))),2,IF(AND(ISNUMBER(SEARCH("3B",C105))),3,IF(AND(ISNUMBER(SEARCH("4B",C105))),4,IF(ISNUMBER(SEARCH("5B",C105)),5,0)))))</f>
        <v>1</v>
      </c>
      <c r="C106" s="54" t="s">
        <v>68</v>
      </c>
      <c r="D106" s="54">
        <v>1</v>
      </c>
      <c r="E106" s="54" t="s">
        <v>67</v>
      </c>
      <c r="F106" s="14">
        <v>0</v>
      </c>
      <c r="G106" s="48" t="s">
        <v>76</v>
      </c>
      <c r="H106" s="17">
        <f ca="1">--TRIM(RIGHT(SUBSTITUTE(LEFT(C105,_xlfn.AGGREGATE(16,6,FIND({0,1,2,3,4,5,6,7,8,9},C105,ROW(INDIRECT("1:"&amp;LEN(C105)))),1))," ",REPT(" ",LEN(C105))),LEN(C105)))</f>
        <v>20</v>
      </c>
      <c r="I106" s="51" t="str">
        <f ca="1">IF(D109=100%,"Excavation","")&amp;IF(D110=100%,", Plinth","")&amp;IF(D111=100%,", RCC Slab","")&amp;IF(D112=100%,", Brickwork","")&amp;IF(D113=100%,", Internal Plaster","")&amp;IF(D114=100%,", External Plaster","")&amp;IF(D115=100%,", Flooring","")&amp;IF(D116=100%,", Painting","")&amp;IF(D117=100%,", Building common Amenities","")</f>
        <v>Excavation, Plinth</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25">
      <c r="A107" s="238" t="s">
        <v>86</v>
      </c>
      <c r="B107" s="192"/>
      <c r="C107" s="230" t="str">
        <f ca="1">I105</f>
        <v xml:space="preserve">Excavation, Plinth Completed </v>
      </c>
      <c r="D107" s="230"/>
      <c r="E107" s="230"/>
      <c r="F107" s="230"/>
      <c r="G107" s="230"/>
      <c r="H107" s="231"/>
      <c r="I107" s="51" t="str">
        <f ca="1">IF(I106&lt;&gt;""," Completed","")</f>
        <v xml:space="preserve"> Completed</v>
      </c>
      <c r="J107" s="52" t="str">
        <f ca="1">IF(J105&lt;&gt;"","Completed","")</f>
        <v/>
      </c>
      <c r="S107"/>
    </row>
    <row r="108" spans="1:19" ht="15.75" hidden="1" customHeight="1" x14ac:dyDescent="0.25">
      <c r="A108" s="132" t="s">
        <v>46</v>
      </c>
      <c r="B108" s="133"/>
      <c r="C108" s="86" t="s">
        <v>138</v>
      </c>
      <c r="D108" s="86" t="s">
        <v>79</v>
      </c>
      <c r="E108" s="133" t="s">
        <v>81</v>
      </c>
      <c r="F108" s="133"/>
      <c r="G108" s="133" t="s">
        <v>80</v>
      </c>
      <c r="H108" s="134"/>
      <c r="I108" s="13" t="s">
        <v>140</v>
      </c>
      <c r="J108" s="28">
        <f ca="1">H106*25%</f>
        <v>5</v>
      </c>
      <c r="S108"/>
    </row>
    <row r="109" spans="1:19" hidden="1" x14ac:dyDescent="0.25">
      <c r="A109" s="132" t="s">
        <v>127</v>
      </c>
      <c r="B109" s="133"/>
      <c r="C109" s="66">
        <f ca="1">J110</f>
        <v>20</v>
      </c>
      <c r="D109" s="19">
        <f ca="1">((100/H106)*C109)/100</f>
        <v>1</v>
      </c>
      <c r="E109" s="232">
        <f ca="1">(((C110/H106*10)+(40/(D106+F106+H106)*C111)+(7.5/(H106)*C112)+(7.5/(H106)*C113)+(10/H106*C114)+(10/H106*C115)+(5/H106*C116)+(5/H106*C117)+(5/H106*C118))/100)</f>
        <v>0.1</v>
      </c>
      <c r="F109" s="257"/>
      <c r="G109" s="232">
        <f ca="1">((((C109/H106)*20)+((C110/H106)*25)+(30/(H106+F106+D106)*C111)+(5/H106*C112)+(5/H106*C113)+(5/H106*C114)+(5/H106*C115)+(0/H106*C116)+(0/H106*C117)+(5/H106*C118))/100)</f>
        <v>0.45</v>
      </c>
      <c r="H109" s="233"/>
      <c r="I109" s="13" t="s">
        <v>97</v>
      </c>
      <c r="J109" s="29">
        <f ca="1">H106*50%</f>
        <v>10</v>
      </c>
    </row>
    <row r="110" spans="1:19" hidden="1" x14ac:dyDescent="0.25">
      <c r="A110" s="132" t="s">
        <v>47</v>
      </c>
      <c r="B110" s="133"/>
      <c r="C110" s="86">
        <f ca="1">J118</f>
        <v>20</v>
      </c>
      <c r="D110" s="19">
        <f ca="1">((100/H106)*C110)/100</f>
        <v>1</v>
      </c>
      <c r="E110" s="234"/>
      <c r="F110" s="258"/>
      <c r="G110" s="234"/>
      <c r="H110" s="235"/>
      <c r="I110" s="13" t="s">
        <v>98</v>
      </c>
      <c r="J110" s="29">
        <f ca="1">H106</f>
        <v>20</v>
      </c>
      <c r="S110"/>
    </row>
    <row r="111" spans="1:19" ht="15.75" hidden="1" customHeight="1" x14ac:dyDescent="0.25">
      <c r="A111" s="132" t="s">
        <v>128</v>
      </c>
      <c r="B111" s="133"/>
      <c r="C111" s="86">
        <v>0</v>
      </c>
      <c r="D111" s="19">
        <f ca="1">((100/(D106+F106+H106))*C111)/100</f>
        <v>0</v>
      </c>
      <c r="E111" s="234"/>
      <c r="F111" s="258"/>
      <c r="G111" s="234"/>
      <c r="H111" s="235"/>
      <c r="I111" s="13" t="s">
        <v>99</v>
      </c>
      <c r="J111" s="30">
        <f ca="1">(IF(B106&gt;1,(H106/(B106+2)),H106/4))</f>
        <v>5</v>
      </c>
      <c r="S111"/>
    </row>
    <row r="112" spans="1:19" ht="15.75" hidden="1" customHeight="1" x14ac:dyDescent="0.25">
      <c r="A112" s="132" t="s">
        <v>135</v>
      </c>
      <c r="B112" s="133" t="s">
        <v>129</v>
      </c>
      <c r="C112" s="86">
        <v>0</v>
      </c>
      <c r="D112" s="19">
        <f ca="1">((100/H106)*C112)/100</f>
        <v>0</v>
      </c>
      <c r="E112" s="234"/>
      <c r="F112" s="258"/>
      <c r="G112" s="234"/>
      <c r="H112" s="235"/>
      <c r="I112" s="13" t="s">
        <v>100</v>
      </c>
      <c r="J112" s="30">
        <f ca="1">(IF(B106&gt;1,(H106/(B106+2)+J111),H106/4+J111))</f>
        <v>10</v>
      </c>
    </row>
    <row r="113" spans="1:22" ht="15.75" hidden="1" customHeight="1" x14ac:dyDescent="0.25">
      <c r="A113" s="132" t="s">
        <v>136</v>
      </c>
      <c r="B113" s="133" t="s">
        <v>129</v>
      </c>
      <c r="C113" s="86">
        <v>0</v>
      </c>
      <c r="D113" s="19">
        <f ca="1">((100/H106)*C113)/100</f>
        <v>0</v>
      </c>
      <c r="E113" s="234"/>
      <c r="F113" s="258"/>
      <c r="G113" s="234"/>
      <c r="H113" s="235"/>
      <c r="I113" s="13" t="s">
        <v>147</v>
      </c>
      <c r="J113" s="30">
        <f>(IF(B106&gt;1,(H106/(B106+2)+J112),0))</f>
        <v>0</v>
      </c>
    </row>
    <row r="114" spans="1:22" ht="15" hidden="1" customHeight="1" x14ac:dyDescent="0.25">
      <c r="A114" s="132" t="s">
        <v>134</v>
      </c>
      <c r="B114" s="133" t="s">
        <v>131</v>
      </c>
      <c r="C114" s="86">
        <v>0</v>
      </c>
      <c r="D114" s="19">
        <f ca="1">((100/(H106))*C114)/100</f>
        <v>0</v>
      </c>
      <c r="E114" s="234"/>
      <c r="F114" s="258"/>
      <c r="G114" s="234"/>
      <c r="H114" s="235"/>
      <c r="I114" s="13" t="s">
        <v>142</v>
      </c>
      <c r="J114" s="30">
        <f>(IF(B106&gt;2,(H106/(B106+2)+J113),0))</f>
        <v>0</v>
      </c>
    </row>
    <row r="115" spans="1:22" ht="15.75" hidden="1" customHeight="1" x14ac:dyDescent="0.25">
      <c r="A115" s="132" t="s">
        <v>130</v>
      </c>
      <c r="B115" s="133" t="s">
        <v>130</v>
      </c>
      <c r="C115" s="86">
        <v>0</v>
      </c>
      <c r="D115" s="19">
        <f ca="1">((100/H106)*C115)/100</f>
        <v>0</v>
      </c>
      <c r="E115" s="234"/>
      <c r="F115" s="258"/>
      <c r="G115" s="234"/>
      <c r="H115" s="235"/>
      <c r="I115" s="13" t="s">
        <v>143</v>
      </c>
      <c r="J115" s="31">
        <f>(IF(B106&gt;3,(H106/(B106+2)+J114),0))</f>
        <v>0</v>
      </c>
    </row>
    <row r="116" spans="1:22" ht="15.75" hidden="1" customHeight="1" x14ac:dyDescent="0.25">
      <c r="A116" s="132" t="s">
        <v>137</v>
      </c>
      <c r="B116" s="133"/>
      <c r="C116" s="86">
        <v>0</v>
      </c>
      <c r="D116" s="19">
        <f ca="1">((100/H106)*C116)/100</f>
        <v>0</v>
      </c>
      <c r="E116" s="234"/>
      <c r="F116" s="258"/>
      <c r="G116" s="234"/>
      <c r="H116" s="235"/>
      <c r="I116" s="13" t="s">
        <v>144</v>
      </c>
      <c r="J116" s="30">
        <f>(IF(B106&gt;4,(H106/(B106+2)+J115),0))</f>
        <v>0</v>
      </c>
    </row>
    <row r="117" spans="1:22" ht="15.75" hidden="1" customHeight="1" x14ac:dyDescent="0.25">
      <c r="A117" s="132" t="s">
        <v>132</v>
      </c>
      <c r="B117" s="133" t="s">
        <v>132</v>
      </c>
      <c r="C117" s="86">
        <v>0</v>
      </c>
      <c r="D117" s="19">
        <f ca="1">((100/(H106))*C117)/100</f>
        <v>0</v>
      </c>
      <c r="E117" s="234"/>
      <c r="F117" s="258"/>
      <c r="G117" s="234"/>
      <c r="H117" s="235"/>
      <c r="I117" s="13" t="s">
        <v>148</v>
      </c>
      <c r="J117" s="30">
        <f ca="1">(IF(B106=1,(H106/(B106+3)+J112),IF(B106=0,(H106/4+J112),IF(B106&gt;1,0))))</f>
        <v>15</v>
      </c>
    </row>
    <row r="118" spans="1:22" ht="16.5" hidden="1" thickBot="1" x14ac:dyDescent="0.3">
      <c r="A118" s="135" t="s">
        <v>133</v>
      </c>
      <c r="B118" s="136"/>
      <c r="C118" s="85">
        <v>0</v>
      </c>
      <c r="D118" s="20">
        <f ca="1">((100/(H106))*C118)/100</f>
        <v>0</v>
      </c>
      <c r="E118" s="236"/>
      <c r="F118" s="259"/>
      <c r="G118" s="236"/>
      <c r="H118" s="237"/>
      <c r="I118" s="15" t="s">
        <v>101</v>
      </c>
      <c r="J118" s="32">
        <f ca="1">(IF(B106&gt;1.5,(H106/(B106+2)+J112+MAX(0,J113-J112)+MAX(0,J114-J113)+MAX(0,J115-J114)+MAX(0,J116-J115)+MAX(0,J117-J116)),IF(B106=1,(H106/(B106+3)+J117),IF(B106=0,H106/4+J117))))</f>
        <v>20</v>
      </c>
    </row>
    <row r="119" spans="1:22" x14ac:dyDescent="0.25">
      <c r="A119" s="273" t="s">
        <v>158</v>
      </c>
      <c r="B119" s="273"/>
      <c r="C119" s="273"/>
      <c r="D119" s="273"/>
      <c r="E119" s="273"/>
      <c r="F119" s="274" t="s">
        <v>162</v>
      </c>
      <c r="G119" s="274"/>
      <c r="H119" s="274"/>
      <c r="R119" t="s">
        <v>257</v>
      </c>
      <c r="S119" t="s">
        <v>175</v>
      </c>
      <c r="T119" t="s">
        <v>184</v>
      </c>
      <c r="U119" t="s">
        <v>198</v>
      </c>
      <c r="V119" t="s">
        <v>193</v>
      </c>
    </row>
    <row r="120" spans="1:22" x14ac:dyDescent="0.25">
      <c r="A120" s="140" t="s">
        <v>160</v>
      </c>
      <c r="B120" s="140"/>
      <c r="C120" s="140"/>
      <c r="D120" s="140"/>
      <c r="E120" s="140"/>
      <c r="F120" s="139">
        <v>17500</v>
      </c>
      <c r="G120" s="139"/>
      <c r="H120" s="139"/>
      <c r="J120" s="21" t="s">
        <v>429</v>
      </c>
      <c r="R120"/>
      <c r="S120">
        <v>800000</v>
      </c>
      <c r="T120">
        <v>150000</v>
      </c>
      <c r="U120">
        <v>100000</v>
      </c>
      <c r="V120">
        <v>100000</v>
      </c>
    </row>
    <row r="121" spans="1:22" x14ac:dyDescent="0.25">
      <c r="A121" s="140" t="s">
        <v>159</v>
      </c>
      <c r="B121" s="140"/>
      <c r="C121" s="140"/>
      <c r="D121" s="140"/>
      <c r="E121" s="140"/>
      <c r="F121" s="139">
        <v>25000</v>
      </c>
      <c r="G121" s="139"/>
      <c r="H121" s="139"/>
      <c r="R121"/>
      <c r="S121">
        <v>900000</v>
      </c>
      <c r="T121">
        <v>200000</v>
      </c>
      <c r="U121">
        <v>150000</v>
      </c>
      <c r="V121">
        <v>150000</v>
      </c>
    </row>
    <row r="122" spans="1:22" hidden="1" x14ac:dyDescent="0.25">
      <c r="A122" s="140" t="s">
        <v>161</v>
      </c>
      <c r="B122" s="140"/>
      <c r="C122" s="140"/>
      <c r="D122" s="140"/>
      <c r="E122" s="140"/>
      <c r="F122" s="139"/>
      <c r="G122" s="139"/>
      <c r="H122" s="139"/>
      <c r="R122"/>
      <c r="S122">
        <v>1000000</v>
      </c>
      <c r="T122">
        <v>250000</v>
      </c>
      <c r="U122">
        <v>200000</v>
      </c>
      <c r="V122">
        <v>200000</v>
      </c>
    </row>
    <row r="123" spans="1:22" s="33" customFormat="1" hidden="1" x14ac:dyDescent="0.25">
      <c r="A123" s="140" t="s">
        <v>178</v>
      </c>
      <c r="B123" s="140"/>
      <c r="C123" s="140"/>
      <c r="D123" s="140"/>
      <c r="E123" s="140"/>
      <c r="F123" s="139"/>
      <c r="G123" s="139"/>
      <c r="H123" s="139"/>
      <c r="R123"/>
      <c r="S123">
        <v>1100000</v>
      </c>
      <c r="T123">
        <v>300000</v>
      </c>
      <c r="U123">
        <v>250000</v>
      </c>
      <c r="V123" s="23">
        <v>250000</v>
      </c>
    </row>
    <row r="124" spans="1:22" s="33" customFormat="1" hidden="1" x14ac:dyDescent="0.25">
      <c r="A124" s="140" t="s">
        <v>91</v>
      </c>
      <c r="B124" s="140"/>
      <c r="C124" s="140"/>
      <c r="D124" s="140"/>
      <c r="E124" s="140"/>
      <c r="F124" s="139"/>
      <c r="G124" s="139"/>
      <c r="H124" s="139"/>
      <c r="R124"/>
      <c r="S124">
        <v>1200000</v>
      </c>
      <c r="T124">
        <v>350000</v>
      </c>
      <c r="U124">
        <v>300000</v>
      </c>
      <c r="V124">
        <v>300000</v>
      </c>
    </row>
    <row r="125" spans="1:22" s="33" customFormat="1" hidden="1" x14ac:dyDescent="0.25">
      <c r="A125" s="140" t="s">
        <v>92</v>
      </c>
      <c r="B125" s="140"/>
      <c r="C125" s="140"/>
      <c r="D125" s="140"/>
      <c r="E125" s="140"/>
      <c r="F125" s="139"/>
      <c r="G125" s="139"/>
      <c r="H125" s="139"/>
      <c r="R125"/>
      <c r="S125">
        <v>1300000</v>
      </c>
      <c r="T125">
        <v>400000</v>
      </c>
      <c r="U125">
        <v>350000</v>
      </c>
      <c r="V125" s="23">
        <v>400000</v>
      </c>
    </row>
    <row r="126" spans="1:22" s="33" customFormat="1" hidden="1" x14ac:dyDescent="0.25">
      <c r="A126" s="140" t="s">
        <v>93</v>
      </c>
      <c r="B126" s="140"/>
      <c r="C126" s="140"/>
      <c r="D126" s="140"/>
      <c r="E126" s="140"/>
      <c r="F126" s="139"/>
      <c r="G126" s="139"/>
      <c r="H126" s="139"/>
      <c r="R126"/>
      <c r="S126">
        <v>1400000</v>
      </c>
      <c r="T126">
        <v>500000</v>
      </c>
      <c r="U126">
        <v>400000</v>
      </c>
      <c r="V126"/>
    </row>
    <row r="127" spans="1:22" s="33" customFormat="1" hidden="1" x14ac:dyDescent="0.25">
      <c r="A127" s="140" t="s">
        <v>94</v>
      </c>
      <c r="B127" s="140"/>
      <c r="C127" s="140"/>
      <c r="D127" s="140"/>
      <c r="E127" s="140"/>
      <c r="F127" s="139"/>
      <c r="G127" s="139"/>
      <c r="H127" s="139"/>
      <c r="R127"/>
      <c r="S127">
        <v>1500000</v>
      </c>
      <c r="T127">
        <v>600000</v>
      </c>
      <c r="U127">
        <v>500000</v>
      </c>
      <c r="V127" s="23"/>
    </row>
    <row r="128" spans="1:22" s="33" customFormat="1" hidden="1" x14ac:dyDescent="0.25">
      <c r="A128" s="140" t="s">
        <v>95</v>
      </c>
      <c r="B128" s="140"/>
      <c r="C128" s="140"/>
      <c r="D128" s="140"/>
      <c r="E128" s="140"/>
      <c r="F128" s="139"/>
      <c r="G128" s="139"/>
      <c r="H128" s="139"/>
      <c r="R128"/>
      <c r="S128">
        <v>1600000</v>
      </c>
      <c r="T128">
        <v>700000</v>
      </c>
      <c r="U128">
        <v>600000</v>
      </c>
      <c r="V128"/>
    </row>
    <row r="129" spans="1:22" s="33" customFormat="1" hidden="1" x14ac:dyDescent="0.25">
      <c r="A129" s="140" t="s">
        <v>96</v>
      </c>
      <c r="B129" s="140"/>
      <c r="C129" s="140"/>
      <c r="D129" s="140"/>
      <c r="E129" s="140"/>
      <c r="F129" s="139"/>
      <c r="G129" s="139"/>
      <c r="H129" s="139"/>
      <c r="R129"/>
      <c r="S129">
        <v>1700000</v>
      </c>
      <c r="T129">
        <v>800000</v>
      </c>
      <c r="U129"/>
      <c r="V129" s="23"/>
    </row>
    <row r="130" spans="1:22" x14ac:dyDescent="0.25">
      <c r="A130" s="140" t="s">
        <v>48</v>
      </c>
      <c r="B130" s="140"/>
      <c r="C130" s="140"/>
      <c r="D130" s="140"/>
      <c r="E130" s="140"/>
      <c r="F130" s="139">
        <v>800000</v>
      </c>
      <c r="G130" s="139"/>
      <c r="H130" s="139"/>
      <c r="R130"/>
      <c r="S130">
        <v>1800000</v>
      </c>
      <c r="T130">
        <v>900000</v>
      </c>
      <c r="U130"/>
    </row>
    <row r="131" spans="1:22" s="34" customFormat="1" x14ac:dyDescent="0.25">
      <c r="A131" s="188" t="s">
        <v>49</v>
      </c>
      <c r="B131" s="188"/>
      <c r="C131" s="188"/>
      <c r="D131" s="188"/>
      <c r="E131" s="188"/>
      <c r="F131" s="139">
        <f>F120*0.8</f>
        <v>14000</v>
      </c>
      <c r="G131" s="139"/>
      <c r="H131" s="139"/>
      <c r="R131" s="21"/>
      <c r="S131" s="21"/>
      <c r="T131">
        <v>1000000</v>
      </c>
      <c r="U131"/>
      <c r="V131" s="21"/>
    </row>
    <row r="132" spans="1:22" s="35" customFormat="1" ht="15.75" customHeight="1" x14ac:dyDescent="0.25">
      <c r="A132" s="187" t="s">
        <v>71</v>
      </c>
      <c r="B132" s="187"/>
      <c r="C132" s="187"/>
      <c r="D132" s="187"/>
      <c r="E132" s="187"/>
      <c r="F132" s="187"/>
      <c r="G132" s="187"/>
      <c r="H132" s="187"/>
      <c r="R132"/>
      <c r="S132" s="21"/>
      <c r="T132"/>
      <c r="U132"/>
      <c r="V132" s="21"/>
    </row>
    <row r="133" spans="1:22" s="35" customFormat="1" ht="15.75" customHeight="1" x14ac:dyDescent="0.25">
      <c r="A133" s="144" t="s">
        <v>50</v>
      </c>
      <c r="B133" s="144"/>
      <c r="C133" s="150" t="s">
        <v>74</v>
      </c>
      <c r="D133" s="150"/>
      <c r="E133" s="148" t="s">
        <v>51</v>
      </c>
      <c r="F133" s="148"/>
      <c r="G133" s="144" t="s">
        <v>52</v>
      </c>
      <c r="H133" s="144"/>
      <c r="R133"/>
      <c r="S133" s="21"/>
      <c r="T133"/>
      <c r="U133" s="21"/>
      <c r="V133" s="21"/>
    </row>
    <row r="134" spans="1:22" s="35" customFormat="1" x14ac:dyDescent="0.25">
      <c r="A134" s="149" t="s">
        <v>397</v>
      </c>
      <c r="B134" s="149"/>
      <c r="C134" s="165">
        <f>COUNT(D149:D153)</f>
        <v>5</v>
      </c>
      <c r="D134" s="166"/>
      <c r="E134" s="165">
        <f t="shared" ref="E134" si="0">SUM(F149:F153)</f>
        <v>1276.8924167999999</v>
      </c>
      <c r="F134" s="166"/>
      <c r="G134" s="165">
        <f t="shared" ref="G134" si="1">SUM(H149:H153)</f>
        <v>1915.3386251999998</v>
      </c>
      <c r="H134" s="166"/>
      <c r="R134"/>
      <c r="S134" s="21"/>
      <c r="T134"/>
      <c r="U134" s="21"/>
      <c r="V134" s="21"/>
    </row>
    <row r="135" spans="1:22" s="35" customFormat="1" hidden="1" x14ac:dyDescent="0.25">
      <c r="A135" s="149"/>
      <c r="B135" s="149"/>
      <c r="C135" s="166"/>
      <c r="D135" s="166"/>
      <c r="E135" s="264"/>
      <c r="F135" s="264"/>
      <c r="G135" s="265"/>
      <c r="H135" s="265"/>
      <c r="R135"/>
      <c r="S135" s="21"/>
      <c r="T135"/>
      <c r="U135" s="21"/>
      <c r="V135" s="21"/>
    </row>
    <row r="136" spans="1:22" s="35" customFormat="1" x14ac:dyDescent="0.25">
      <c r="A136" s="187" t="s">
        <v>152</v>
      </c>
      <c r="B136" s="187"/>
      <c r="C136" s="266">
        <f>C134</f>
        <v>5</v>
      </c>
      <c r="D136" s="150"/>
      <c r="E136" s="266">
        <f t="shared" ref="E136" si="2">E134</f>
        <v>1276.8924167999999</v>
      </c>
      <c r="F136" s="150"/>
      <c r="G136" s="266">
        <f t="shared" ref="G136" si="3">G134</f>
        <v>1915.3386251999998</v>
      </c>
      <c r="H136" s="150"/>
      <c r="R136"/>
      <c r="S136" s="21"/>
      <c r="T136"/>
      <c r="U136" s="21"/>
      <c r="V136" s="21"/>
    </row>
    <row r="137" spans="1:22" s="35" customFormat="1" x14ac:dyDescent="0.25">
      <c r="A137" s="187" t="s">
        <v>66</v>
      </c>
      <c r="B137" s="187"/>
      <c r="C137" s="187"/>
      <c r="D137" s="187"/>
      <c r="E137" s="187"/>
      <c r="F137" s="187"/>
      <c r="G137" s="187"/>
      <c r="H137" s="187"/>
      <c r="T137"/>
    </row>
    <row r="138" spans="1:22" s="35" customFormat="1" ht="15.75" customHeight="1" x14ac:dyDescent="0.25">
      <c r="A138" s="144" t="s">
        <v>50</v>
      </c>
      <c r="B138" s="144"/>
      <c r="C138" s="150" t="s">
        <v>74</v>
      </c>
      <c r="D138" s="150"/>
      <c r="E138" s="148" t="s">
        <v>51</v>
      </c>
      <c r="F138" s="148"/>
      <c r="G138" s="144" t="s">
        <v>52</v>
      </c>
      <c r="H138" s="144"/>
      <c r="T138"/>
    </row>
    <row r="139" spans="1:22" s="35" customFormat="1" x14ac:dyDescent="0.25">
      <c r="A139" s="149" t="s">
        <v>398</v>
      </c>
      <c r="B139" s="149"/>
      <c r="C139" s="165">
        <f>COUNT(D159:D162)+COUNT(D164:D167)*7+COUNT(D169:D172)+COUNT(D175:D176)+COUNT(D179:D182)*2+COUNT(D184:D186)+COUNT(D188:D190)*2+COUNT(D192:D193)</f>
        <v>57</v>
      </c>
      <c r="D139" s="165"/>
      <c r="E139" s="165">
        <f t="shared" ref="E139" si="4">SUM(F159:F162)+SUM(F164:F167)*7+SUM(F169:F172)+SUM(F175:F176)+SUM(F179:F182)*2+SUM(F184:F186)+SUM(F188:F190)*2+SUM(F192:F193)</f>
        <v>32539.9508928</v>
      </c>
      <c r="F139" s="165"/>
      <c r="G139" s="165">
        <f t="shared" ref="G139" si="5">SUM(H159:H162)+SUM(H164:H167)*7+SUM(H169:H172)+SUM(H175:H176)+SUM(H179:H182)*2+SUM(H184:H186)+SUM(H188:H190)*2+SUM(H192:H193)</f>
        <v>48809.926339199999</v>
      </c>
      <c r="H139" s="165"/>
      <c r="T139"/>
    </row>
    <row r="140" spans="1:22" s="35" customFormat="1" x14ac:dyDescent="0.25">
      <c r="A140" s="149" t="s">
        <v>409</v>
      </c>
      <c r="B140" s="149"/>
      <c r="C140" s="165">
        <f>COUNT(D200:D201)+COUNT(D203:D205)*7+COUNT(D207:D209)+COUNT(D211:D213)+COUNT(D215:D217)*2+COUNT(D219:D221)+COUNT(D223:D225)*2+COUNT(D227:D229)</f>
        <v>47</v>
      </c>
      <c r="D140" s="165"/>
      <c r="E140" s="165">
        <f t="shared" ref="E140" si="6">SUM(F200:F201)+SUM(F203:F205)*7+SUM(F207:F209)+SUM(F211:F213)+SUM(F215:F217)*2+SUM(F219:F221)+SUM(F223:F225)*2+SUM(F227:F229)</f>
        <v>30458.998439999996</v>
      </c>
      <c r="F140" s="165"/>
      <c r="G140" s="165">
        <f t="shared" ref="G140" si="7">SUM(H200:H201)+SUM(H203:H205)*7+SUM(H207:H209)+SUM(H211:H213)+SUM(H215:H217)*2+SUM(H219:H221)+SUM(H223:H225)*2+SUM(H227:H229)</f>
        <v>45688.497660000001</v>
      </c>
      <c r="H140" s="165"/>
      <c r="T140"/>
    </row>
    <row r="141" spans="1:22" s="35" customFormat="1" ht="16.5" thickBot="1" x14ac:dyDescent="0.3">
      <c r="A141" s="263" t="s">
        <v>152</v>
      </c>
      <c r="B141" s="263"/>
      <c r="C141" s="167">
        <f>C139+C140</f>
        <v>104</v>
      </c>
      <c r="D141" s="168"/>
      <c r="E141" s="167">
        <f t="shared" ref="E141" si="8">E139+E140</f>
        <v>62998.949332799995</v>
      </c>
      <c r="F141" s="168"/>
      <c r="G141" s="167">
        <f t="shared" ref="G141" si="9">G139+G140</f>
        <v>94498.423999199993</v>
      </c>
      <c r="H141" s="168"/>
      <c r="I141" s="35">
        <f>6*4+7*10+5*2</f>
        <v>104</v>
      </c>
      <c r="T141"/>
    </row>
    <row r="142" spans="1:22" s="35" customFormat="1" ht="16.5" thickBot="1" x14ac:dyDescent="0.3">
      <c r="A142" s="177" t="s">
        <v>168</v>
      </c>
      <c r="B142" s="178"/>
      <c r="C142" s="272">
        <f>C136+C141</f>
        <v>109</v>
      </c>
      <c r="D142" s="272"/>
      <c r="E142" s="267">
        <f>E136+E141</f>
        <v>64275.841749599997</v>
      </c>
      <c r="F142" s="267"/>
      <c r="G142" s="270">
        <f>G136+G141</f>
        <v>96413.762624399998</v>
      </c>
      <c r="H142" s="271"/>
      <c r="T142"/>
    </row>
    <row r="143" spans="1:22" s="34" customFormat="1" x14ac:dyDescent="0.25">
      <c r="A143" s="176" t="s">
        <v>53</v>
      </c>
      <c r="B143" s="176"/>
      <c r="C143" s="176"/>
      <c r="D143" s="176"/>
      <c r="E143" s="176"/>
      <c r="F143" s="176"/>
      <c r="G143" s="176"/>
      <c r="H143" s="176"/>
      <c r="T143" s="35"/>
    </row>
    <row r="144" spans="1:22" x14ac:dyDescent="0.25">
      <c r="A144" s="143" t="s">
        <v>177</v>
      </c>
      <c r="B144" s="143"/>
      <c r="C144" s="143"/>
      <c r="D144" s="143"/>
      <c r="E144" s="143"/>
      <c r="F144" s="143"/>
      <c r="G144" s="143"/>
      <c r="H144" s="143"/>
      <c r="T144" s="35"/>
    </row>
    <row r="145" spans="1:20" ht="47.25" customHeight="1" x14ac:dyDescent="0.25">
      <c r="A145" s="181" t="s">
        <v>118</v>
      </c>
      <c r="B145" s="163" t="s">
        <v>180</v>
      </c>
      <c r="C145" s="181" t="s">
        <v>54</v>
      </c>
      <c r="D145" s="163" t="s">
        <v>236</v>
      </c>
      <c r="E145" s="268" t="s">
        <v>157</v>
      </c>
      <c r="F145" s="181" t="s">
        <v>55</v>
      </c>
      <c r="G145" s="179" t="s">
        <v>56</v>
      </c>
      <c r="H145" s="104" t="s">
        <v>150</v>
      </c>
      <c r="I145" s="96">
        <v>10.763999999999999</v>
      </c>
      <c r="T145" s="35"/>
    </row>
    <row r="146" spans="1:20" s="37" customFormat="1" x14ac:dyDescent="0.25">
      <c r="A146" s="182"/>
      <c r="B146" s="164"/>
      <c r="C146" s="182"/>
      <c r="D146" s="164"/>
      <c r="E146" s="269"/>
      <c r="F146" s="182"/>
      <c r="G146" s="180"/>
      <c r="H146" s="105">
        <v>0.5</v>
      </c>
      <c r="T146" s="35"/>
    </row>
    <row r="147" spans="1:20" s="95" customFormat="1" x14ac:dyDescent="0.25">
      <c r="A147" s="118" t="s">
        <v>389</v>
      </c>
      <c r="B147" s="119"/>
      <c r="C147" s="119"/>
      <c r="D147" s="119"/>
      <c r="E147" s="119"/>
      <c r="F147" s="119"/>
      <c r="G147" s="119"/>
      <c r="H147" s="120"/>
      <c r="J147" s="36"/>
      <c r="T147" s="35"/>
    </row>
    <row r="148" spans="1:20" s="37" customFormat="1" x14ac:dyDescent="0.25">
      <c r="A148" s="118" t="s">
        <v>416</v>
      </c>
      <c r="B148" s="119"/>
      <c r="C148" s="119"/>
      <c r="D148" s="119"/>
      <c r="E148" s="119"/>
      <c r="F148" s="119"/>
      <c r="G148" s="119"/>
      <c r="H148" s="120"/>
      <c r="J148" s="36"/>
      <c r="T148" s="35"/>
    </row>
    <row r="149" spans="1:20" s="37" customFormat="1" ht="15.75" customHeight="1" x14ac:dyDescent="0.25">
      <c r="A149" s="112">
        <v>1</v>
      </c>
      <c r="B149" s="113"/>
      <c r="C149" s="42" t="s">
        <v>390</v>
      </c>
      <c r="D149" s="96">
        <f>(4.07*2.51+3.07*2.33+0.9*1.5)*10.764</f>
        <v>201.48916320000001</v>
      </c>
      <c r="E149" s="42">
        <v>0</v>
      </c>
      <c r="F149" s="67">
        <f>D149+(IF(E149&lt;201,E149,IF(E149&lt;301,E149/2,E149/3)))</f>
        <v>201.48916320000001</v>
      </c>
      <c r="G149" s="68">
        <v>0</v>
      </c>
      <c r="H149" s="67">
        <f>(F149+(IF(G149&lt;101,G149,IF(G149&lt;201,G149/2,IF(G149&lt;=301,G149/3,G149/4)))))*(($H$146)+1)</f>
        <v>302.23374480000001</v>
      </c>
      <c r="I149" s="36"/>
      <c r="L149" s="114"/>
      <c r="M149" s="114"/>
      <c r="N149" s="36"/>
      <c r="T149" s="35"/>
    </row>
    <row r="150" spans="1:20" s="37" customFormat="1" ht="15.75" customHeight="1" x14ac:dyDescent="0.25">
      <c r="A150" s="112">
        <f>A149+1</f>
        <v>2</v>
      </c>
      <c r="B150" s="113"/>
      <c r="C150" s="96" t="s">
        <v>390</v>
      </c>
      <c r="D150" s="96">
        <f>(2.23*4.16+0.98*1.8)*10.764</f>
        <v>118.84317119999999</v>
      </c>
      <c r="E150" s="42">
        <v>0</v>
      </c>
      <c r="F150" s="67">
        <f>D150+(IF(E150&lt;201,E150,IF(E150&lt;301,E150/2,E150/3)))</f>
        <v>118.84317119999999</v>
      </c>
      <c r="G150" s="58">
        <v>0</v>
      </c>
      <c r="H150" s="67">
        <f>(F150+(IF(G150&lt;101,G150,IF(G150&lt;201,G150/2,IF(G150&lt;=301,G150/3,G150/4)))))*(($H$146)+1)</f>
        <v>178.26475679999999</v>
      </c>
      <c r="I150" s="36"/>
      <c r="L150" s="114"/>
      <c r="M150" s="114"/>
      <c r="N150" s="36"/>
      <c r="T150" s="34"/>
    </row>
    <row r="151" spans="1:20" s="37" customFormat="1" ht="15.75" customHeight="1" x14ac:dyDescent="0.25">
      <c r="A151" s="112">
        <f>A150+1</f>
        <v>3</v>
      </c>
      <c r="B151" s="113"/>
      <c r="C151" s="96" t="s">
        <v>390</v>
      </c>
      <c r="D151" s="96">
        <f>(3.3*9.78+6.8*3.09+2*1.65+1.03*1.75)*10.764</f>
        <v>628.49381399999982</v>
      </c>
      <c r="E151" s="42">
        <v>0</v>
      </c>
      <c r="F151" s="67">
        <f>D151+(IF(E151&lt;201,E151,IF(E151&lt;301,E151/2,E151/3)))</f>
        <v>628.49381399999982</v>
      </c>
      <c r="G151" s="58">
        <v>0</v>
      </c>
      <c r="H151" s="67">
        <f>(F151+(IF(G151&lt;101,G151,IF(G151&lt;201,G151/2,IF(G151&lt;=301,G151/3,G151/4)))))*(($H$146)+1)</f>
        <v>942.74072099999967</v>
      </c>
      <c r="I151" s="36"/>
      <c r="L151" s="114"/>
      <c r="M151" s="114"/>
      <c r="N151" s="36"/>
      <c r="T151" s="21"/>
    </row>
    <row r="152" spans="1:20" s="37" customFormat="1" ht="15.75" customHeight="1" x14ac:dyDescent="0.25">
      <c r="A152" s="112">
        <f>A151+1</f>
        <v>4</v>
      </c>
      <c r="B152" s="113"/>
      <c r="C152" s="96" t="s">
        <v>390</v>
      </c>
      <c r="D152" s="96">
        <f>(3.04*4.14)*10.764</f>
        <v>135.4713984</v>
      </c>
      <c r="E152" s="42">
        <v>0</v>
      </c>
      <c r="F152" s="67">
        <f>D152+(IF(E152&lt;201,E152,IF(E152&lt;301,E152/2,E152/3)))</f>
        <v>135.4713984</v>
      </c>
      <c r="G152" s="58">
        <v>0</v>
      </c>
      <c r="H152" s="67">
        <f>(F152+(IF(G152&lt;101,G152,IF(G152&lt;201,G152/2,IF(G152&lt;=301,G152/3,G152/4)))))*(($H$146)+1)</f>
        <v>203.2070976</v>
      </c>
      <c r="I152" s="36"/>
      <c r="L152" s="114"/>
      <c r="M152" s="114"/>
      <c r="N152" s="36"/>
      <c r="T152" s="21"/>
    </row>
    <row r="153" spans="1:20" s="95" customFormat="1" ht="15.75" customHeight="1" x14ac:dyDescent="0.25">
      <c r="A153" s="112">
        <f>A152+1</f>
        <v>5</v>
      </c>
      <c r="B153" s="113"/>
      <c r="C153" s="96" t="s">
        <v>390</v>
      </c>
      <c r="D153" s="96">
        <f>(5.2*2.6+3.15*0.87+1.36*1.2)*10.764</f>
        <v>192.59487000000001</v>
      </c>
      <c r="E153" s="96">
        <v>0</v>
      </c>
      <c r="F153" s="96">
        <f>D153+(IF(E153&lt;201,E153,IF(E153&lt;301,E153/2,E153/3)))</f>
        <v>192.59487000000001</v>
      </c>
      <c r="G153" s="96">
        <v>0</v>
      </c>
      <c r="H153" s="96">
        <f>(F153+(IF(G153&lt;101,G153,IF(G153&lt;201,G153/2,IF(G153&lt;=301,G153/3,G153/4)))))*(($H$146)+1)</f>
        <v>288.89230500000002</v>
      </c>
      <c r="I153" s="36"/>
      <c r="L153" s="114"/>
      <c r="M153" s="114"/>
      <c r="N153" s="36"/>
      <c r="T153" s="21"/>
    </row>
    <row r="154" spans="1:20" s="37" customFormat="1" x14ac:dyDescent="0.25">
      <c r="A154" s="112"/>
      <c r="B154" s="122"/>
      <c r="C154" s="122"/>
      <c r="D154" s="122"/>
      <c r="E154" s="122"/>
      <c r="F154" s="122"/>
      <c r="G154" s="122"/>
      <c r="H154" s="113"/>
      <c r="I154" s="36"/>
      <c r="N154" s="36"/>
    </row>
    <row r="155" spans="1:20" ht="47.25" customHeight="1" x14ac:dyDescent="0.25">
      <c r="A155" s="137" t="s">
        <v>119</v>
      </c>
      <c r="B155" s="163" t="s">
        <v>181</v>
      </c>
      <c r="C155" s="181" t="s">
        <v>54</v>
      </c>
      <c r="D155" s="163" t="s">
        <v>393</v>
      </c>
      <c r="E155" s="163" t="s">
        <v>394</v>
      </c>
      <c r="F155" s="181" t="s">
        <v>55</v>
      </c>
      <c r="G155" s="179" t="s">
        <v>56</v>
      </c>
      <c r="H155" s="104" t="s">
        <v>150</v>
      </c>
      <c r="I155" s="96">
        <v>10.763999999999999</v>
      </c>
      <c r="T155" s="37"/>
    </row>
    <row r="156" spans="1:20" s="37" customFormat="1" x14ac:dyDescent="0.25">
      <c r="A156" s="138"/>
      <c r="B156" s="164"/>
      <c r="C156" s="182"/>
      <c r="D156" s="164"/>
      <c r="E156" s="164"/>
      <c r="F156" s="182"/>
      <c r="G156" s="180"/>
      <c r="H156" s="105">
        <v>0.5</v>
      </c>
      <c r="I156" s="36"/>
    </row>
    <row r="157" spans="1:20" s="95" customFormat="1" x14ac:dyDescent="0.25">
      <c r="A157" s="118" t="s">
        <v>398</v>
      </c>
      <c r="B157" s="119"/>
      <c r="C157" s="119"/>
      <c r="D157" s="119"/>
      <c r="E157" s="119"/>
      <c r="F157" s="119"/>
      <c r="G157" s="119"/>
      <c r="H157" s="120"/>
      <c r="J157" s="36"/>
      <c r="T157" s="35"/>
    </row>
    <row r="158" spans="1:20" s="95" customFormat="1" x14ac:dyDescent="0.25">
      <c r="A158" s="118" t="s">
        <v>391</v>
      </c>
      <c r="B158" s="119"/>
      <c r="C158" s="119"/>
      <c r="D158" s="119"/>
      <c r="E158" s="119"/>
      <c r="F158" s="119"/>
      <c r="G158" s="119"/>
      <c r="H158" s="120"/>
      <c r="J158" s="36"/>
    </row>
    <row r="159" spans="1:20" s="95" customFormat="1" ht="15.75" customHeight="1" x14ac:dyDescent="0.25">
      <c r="A159" s="112">
        <v>1</v>
      </c>
      <c r="B159" s="113"/>
      <c r="C159" s="96" t="s">
        <v>392</v>
      </c>
      <c r="D159" s="96">
        <f>(65.41)*10.764</f>
        <v>704.07323999999994</v>
      </c>
      <c r="E159" s="96">
        <f>(3.5+2.48)*10.764</f>
        <v>64.368719999999996</v>
      </c>
      <c r="F159" s="96">
        <f>D159+E159</f>
        <v>768.44195999999988</v>
      </c>
      <c r="G159" s="96">
        <v>0</v>
      </c>
      <c r="H159" s="96">
        <f>F159*(($H$156)+1)+(IF(G159&lt;101,G159,IF(G159&lt;201,G159/2,IF(G159&lt;=301,G159/3,G159/4))))</f>
        <v>1152.6629399999997</v>
      </c>
      <c r="I159" s="36"/>
      <c r="L159" s="114"/>
      <c r="M159" s="114"/>
      <c r="N159" s="36"/>
    </row>
    <row r="160" spans="1:20" s="95" customFormat="1" ht="15.75" customHeight="1" x14ac:dyDescent="0.25">
      <c r="A160" s="112">
        <f>A159+1</f>
        <v>2</v>
      </c>
      <c r="B160" s="113"/>
      <c r="C160" s="96" t="s">
        <v>395</v>
      </c>
      <c r="D160" s="96">
        <f>(41.18)*10.764</f>
        <v>443.26151999999996</v>
      </c>
      <c r="E160" s="96">
        <v>0</v>
      </c>
      <c r="F160" s="96">
        <f>D160+E160</f>
        <v>443.26151999999996</v>
      </c>
      <c r="G160" s="96">
        <v>0</v>
      </c>
      <c r="H160" s="96">
        <f>F160*(($H$156)+1)+(IF(G160&lt;101,G160,IF(G160&lt;201,G160/2,IF(G160&lt;=301,G160/3,G160/4))))</f>
        <v>664.89227999999991</v>
      </c>
      <c r="I160" s="36"/>
      <c r="L160" s="114"/>
      <c r="M160" s="114"/>
      <c r="N160" s="36"/>
    </row>
    <row r="161" spans="1:20" s="95" customFormat="1" ht="15.75" customHeight="1" x14ac:dyDescent="0.25">
      <c r="A161" s="112">
        <f>6</f>
        <v>6</v>
      </c>
      <c r="B161" s="113"/>
      <c r="C161" s="96" t="s">
        <v>395</v>
      </c>
      <c r="D161" s="96">
        <f>(29.65)*10.764</f>
        <v>319.15259999999995</v>
      </c>
      <c r="E161" s="96">
        <v>0</v>
      </c>
      <c r="F161" s="96">
        <f t="shared" ref="F161:F162" si="10">D161+E161</f>
        <v>319.15259999999995</v>
      </c>
      <c r="G161" s="96">
        <v>0</v>
      </c>
      <c r="H161" s="96">
        <f t="shared" ref="H161:H162" si="11">F161*(($H$156)+1)+(IF(G161&lt;101,G161,IF(G161&lt;201,G161/2,IF(G161&lt;=301,G161/3,G161/4))))</f>
        <v>478.72889999999995</v>
      </c>
      <c r="I161" s="36"/>
      <c r="L161" s="114"/>
      <c r="M161" s="114"/>
      <c r="N161" s="36"/>
      <c r="T161" s="21"/>
    </row>
    <row r="162" spans="1:20" s="95" customFormat="1" ht="15.75" customHeight="1" x14ac:dyDescent="0.25">
      <c r="A162" s="112">
        <f t="shared" ref="A162" si="12">A161+1</f>
        <v>7</v>
      </c>
      <c r="B162" s="113"/>
      <c r="C162" s="96" t="s">
        <v>392</v>
      </c>
      <c r="D162" s="96">
        <f>(62.07)*10.764</f>
        <v>668.12147999999991</v>
      </c>
      <c r="E162" s="96">
        <f>(2.48*0.91)*10.764</f>
        <v>24.292195199999998</v>
      </c>
      <c r="F162" s="96">
        <f t="shared" si="10"/>
        <v>692.41367519999994</v>
      </c>
      <c r="G162" s="96">
        <v>0</v>
      </c>
      <c r="H162" s="96">
        <f t="shared" si="11"/>
        <v>1038.6205127999999</v>
      </c>
      <c r="I162" s="36"/>
      <c r="L162" s="114"/>
      <c r="M162" s="114"/>
      <c r="N162" s="36"/>
      <c r="T162" s="21"/>
    </row>
    <row r="163" spans="1:20" s="100" customFormat="1" x14ac:dyDescent="0.25">
      <c r="A163" s="118" t="s">
        <v>399</v>
      </c>
      <c r="B163" s="119"/>
      <c r="C163" s="119"/>
      <c r="D163" s="119"/>
      <c r="E163" s="119"/>
      <c r="F163" s="119"/>
      <c r="G163" s="119"/>
      <c r="H163" s="120"/>
      <c r="J163" s="36"/>
    </row>
    <row r="164" spans="1:20" s="100" customFormat="1" ht="15.75" customHeight="1" x14ac:dyDescent="0.25">
      <c r="A164" s="112">
        <v>1</v>
      </c>
      <c r="B164" s="113"/>
      <c r="C164" s="99" t="s">
        <v>392</v>
      </c>
      <c r="D164" s="99">
        <f>(65.41)*10.764</f>
        <v>704.07323999999994</v>
      </c>
      <c r="E164" s="99">
        <f>(3.5+2.48)*10.764</f>
        <v>64.368719999999996</v>
      </c>
      <c r="F164" s="99">
        <f>D164+E164</f>
        <v>768.44195999999988</v>
      </c>
      <c r="G164" s="99">
        <v>0</v>
      </c>
      <c r="H164" s="99">
        <f>F164*(($H$156)+1)+(IF(G164&lt;101,G164,IF(G164&lt;201,G164/2,IF(G164&lt;=301,G164/3,G164/4))))</f>
        <v>1152.6629399999997</v>
      </c>
      <c r="I164" s="36"/>
      <c r="L164" s="114"/>
      <c r="M164" s="114"/>
      <c r="N164" s="36"/>
    </row>
    <row r="165" spans="1:20" s="100" customFormat="1" ht="15.75" customHeight="1" x14ac:dyDescent="0.25">
      <c r="A165" s="112">
        <f>A164+1</f>
        <v>2</v>
      </c>
      <c r="B165" s="113"/>
      <c r="C165" s="99" t="s">
        <v>395</v>
      </c>
      <c r="D165" s="99">
        <f>(41.18)*10.764</f>
        <v>443.26151999999996</v>
      </c>
      <c r="E165" s="99">
        <v>0</v>
      </c>
      <c r="F165" s="99">
        <f>D165+E165</f>
        <v>443.26151999999996</v>
      </c>
      <c r="G165" s="99">
        <v>0</v>
      </c>
      <c r="H165" s="99">
        <f>F165*(($H$156)+1)+(IF(G165&lt;101,G165,IF(G165&lt;201,G165/2,IF(G165&lt;=301,G165/3,G165/4))))</f>
        <v>664.89227999999991</v>
      </c>
      <c r="I165" s="36"/>
      <c r="L165" s="114"/>
      <c r="M165" s="114"/>
      <c r="N165" s="36"/>
    </row>
    <row r="166" spans="1:20" s="100" customFormat="1" ht="15.75" customHeight="1" x14ac:dyDescent="0.25">
      <c r="A166" s="112">
        <f>6</f>
        <v>6</v>
      </c>
      <c r="B166" s="113"/>
      <c r="C166" s="99" t="s">
        <v>395</v>
      </c>
      <c r="D166" s="99">
        <f>(29.65)*10.764</f>
        <v>319.15259999999995</v>
      </c>
      <c r="E166" s="99">
        <v>0</v>
      </c>
      <c r="F166" s="99">
        <f>D166+E166</f>
        <v>319.15259999999995</v>
      </c>
      <c r="G166" s="99">
        <v>0</v>
      </c>
      <c r="H166" s="99">
        <f>F166*(($H$156)+1)+(IF(G166&lt;101,G166,IF(G166&lt;201,G166/2,IF(G166&lt;=301,G166/3,G166/4))))</f>
        <v>478.72889999999995</v>
      </c>
      <c r="I166" s="36"/>
      <c r="L166" s="114"/>
      <c r="M166" s="114"/>
      <c r="N166" s="36"/>
    </row>
    <row r="167" spans="1:20" s="100" customFormat="1" ht="15.75" customHeight="1" x14ac:dyDescent="0.25">
      <c r="A167" s="112">
        <f t="shared" ref="A167" si="13">A166+1</f>
        <v>7</v>
      </c>
      <c r="B167" s="113"/>
      <c r="C167" s="99" t="s">
        <v>392</v>
      </c>
      <c r="D167" s="99">
        <f>(62.07)*10.764</f>
        <v>668.12147999999991</v>
      </c>
      <c r="E167" s="99">
        <f>(2.48*0.91)*10.764</f>
        <v>24.292195199999998</v>
      </c>
      <c r="F167" s="99">
        <f>D167+E167</f>
        <v>692.41367519999994</v>
      </c>
      <c r="G167" s="99">
        <v>0</v>
      </c>
      <c r="H167" s="99">
        <f>F167*(($H$156)+1)+(IF(G167&lt;101,G167,IF(G167&lt;201,G167/2,IF(G167&lt;=301,G167/3,G167/4))))</f>
        <v>1038.6205127999999</v>
      </c>
      <c r="I167" s="36"/>
      <c r="L167" s="114"/>
      <c r="M167" s="114"/>
      <c r="N167" s="36"/>
      <c r="T167" s="21"/>
    </row>
    <row r="168" spans="1:20" s="100" customFormat="1" x14ac:dyDescent="0.25">
      <c r="A168" s="118" t="s">
        <v>400</v>
      </c>
      <c r="B168" s="119"/>
      <c r="C168" s="119"/>
      <c r="D168" s="119"/>
      <c r="E168" s="119"/>
      <c r="F168" s="119"/>
      <c r="G168" s="119"/>
      <c r="H168" s="120"/>
      <c r="J168" s="36"/>
    </row>
    <row r="169" spans="1:20" s="100" customFormat="1" ht="15.75" customHeight="1" x14ac:dyDescent="0.25">
      <c r="A169" s="112">
        <v>1</v>
      </c>
      <c r="B169" s="113"/>
      <c r="C169" s="99" t="s">
        <v>392</v>
      </c>
      <c r="D169" s="99">
        <f>(65.41)*10.764</f>
        <v>704.07323999999994</v>
      </c>
      <c r="E169" s="99">
        <f>(3.5+2.48)*10.764</f>
        <v>64.368719999999996</v>
      </c>
      <c r="F169" s="99">
        <f>D169+E169</f>
        <v>768.44195999999988</v>
      </c>
      <c r="G169" s="99">
        <v>0</v>
      </c>
      <c r="H169" s="99">
        <f>F169*(($H$156)+1)+(IF(G169&lt;101,G169,IF(G169&lt;201,G169/2,IF(G169&lt;=301,G169/3,G169/4))))</f>
        <v>1152.6629399999997</v>
      </c>
      <c r="I169" s="36"/>
      <c r="L169" s="114"/>
      <c r="M169" s="114"/>
      <c r="N169" s="36"/>
    </row>
    <row r="170" spans="1:20" s="100" customFormat="1" ht="15.75" customHeight="1" x14ac:dyDescent="0.25">
      <c r="A170" s="112">
        <f>A169+1</f>
        <v>2</v>
      </c>
      <c r="B170" s="113"/>
      <c r="C170" s="99" t="s">
        <v>395</v>
      </c>
      <c r="D170" s="99">
        <f>(41.18)*10.764</f>
        <v>443.26151999999996</v>
      </c>
      <c r="E170" s="99">
        <v>0</v>
      </c>
      <c r="F170" s="99">
        <f>D170+E170</f>
        <v>443.26151999999996</v>
      </c>
      <c r="G170" s="99">
        <v>0</v>
      </c>
      <c r="H170" s="99">
        <f>F170*(($H$156)+1)+(IF(G170&lt;101,G170,IF(G170&lt;201,G170/2,IF(G170&lt;=301,G170/3,G170/4))))</f>
        <v>664.89227999999991</v>
      </c>
      <c r="I170" s="36"/>
      <c r="L170" s="114"/>
      <c r="M170" s="114"/>
      <c r="N170" s="36"/>
    </row>
    <row r="171" spans="1:20" s="100" customFormat="1" ht="15.75" customHeight="1" x14ac:dyDescent="0.25">
      <c r="A171" s="112">
        <f>6</f>
        <v>6</v>
      </c>
      <c r="B171" s="113"/>
      <c r="C171" s="99" t="s">
        <v>395</v>
      </c>
      <c r="D171" s="99">
        <f>(29.65)*10.764</f>
        <v>319.15259999999995</v>
      </c>
      <c r="E171" s="99">
        <v>0</v>
      </c>
      <c r="F171" s="99">
        <f>D171+E171</f>
        <v>319.15259999999995</v>
      </c>
      <c r="G171" s="99">
        <v>0</v>
      </c>
      <c r="H171" s="99">
        <f>F171*(($H$156)+1)+(IF(G171&lt;101,G171,IF(G171&lt;201,G171/2,IF(G171&lt;=301,G171/3,G171/4))))</f>
        <v>478.72889999999995</v>
      </c>
      <c r="I171" s="36"/>
      <c r="L171" s="114"/>
      <c r="M171" s="114"/>
      <c r="N171" s="36"/>
    </row>
    <row r="172" spans="1:20" s="100" customFormat="1" ht="15.75" customHeight="1" x14ac:dyDescent="0.25">
      <c r="A172" s="112">
        <f t="shared" ref="A172" si="14">A171+1</f>
        <v>7</v>
      </c>
      <c r="B172" s="113"/>
      <c r="C172" s="99" t="s">
        <v>392</v>
      </c>
      <c r="D172" s="99">
        <f>(62.07)*10.764</f>
        <v>668.12147999999991</v>
      </c>
      <c r="E172" s="99">
        <f>(2.48*0.91)*10.764</f>
        <v>24.292195199999998</v>
      </c>
      <c r="F172" s="99">
        <f>D172+E172</f>
        <v>692.41367519999994</v>
      </c>
      <c r="G172" s="99">
        <v>0</v>
      </c>
      <c r="H172" s="99">
        <f>F172*(($H$156)+1)+(IF(G172&lt;101,G172,IF(G172&lt;201,G172/2,IF(G172&lt;=301,G172/3,G172/4))))</f>
        <v>1038.6205127999999</v>
      </c>
      <c r="I172" s="36"/>
      <c r="L172" s="114"/>
      <c r="M172" s="114"/>
      <c r="N172" s="36"/>
      <c r="T172" s="21"/>
    </row>
    <row r="173" spans="1:20" s="100" customFormat="1" x14ac:dyDescent="0.25">
      <c r="A173" s="118" t="s">
        <v>401</v>
      </c>
      <c r="B173" s="119"/>
      <c r="C173" s="119"/>
      <c r="D173" s="119"/>
      <c r="E173" s="119"/>
      <c r="F173" s="119"/>
      <c r="G173" s="119"/>
      <c r="H173" s="120"/>
      <c r="J173" s="36"/>
    </row>
    <row r="174" spans="1:20" s="100" customFormat="1" ht="15.75" customHeight="1" x14ac:dyDescent="0.25">
      <c r="A174" s="112">
        <v>1</v>
      </c>
      <c r="B174" s="113"/>
      <c r="C174" s="112" t="s">
        <v>402</v>
      </c>
      <c r="D174" s="122"/>
      <c r="E174" s="122"/>
      <c r="F174" s="122"/>
      <c r="G174" s="122"/>
      <c r="H174" s="113"/>
      <c r="I174" s="36"/>
      <c r="L174" s="114"/>
      <c r="M174" s="114"/>
      <c r="N174" s="36"/>
    </row>
    <row r="175" spans="1:20" s="100" customFormat="1" ht="15.75" customHeight="1" x14ac:dyDescent="0.25">
      <c r="A175" s="112">
        <f>A174+1</f>
        <v>2</v>
      </c>
      <c r="B175" s="113"/>
      <c r="C175" s="99" t="s">
        <v>395</v>
      </c>
      <c r="D175" s="99">
        <f>(41.18)*10.764</f>
        <v>443.26151999999996</v>
      </c>
      <c r="E175" s="99">
        <v>0</v>
      </c>
      <c r="F175" s="99">
        <f>D175+E175</f>
        <v>443.26151999999996</v>
      </c>
      <c r="G175" s="99">
        <v>0</v>
      </c>
      <c r="H175" s="99">
        <f>F175*(($H$156)+1)+(IF(G175&lt;101,G175,IF(G175&lt;201,G175/2,IF(G175&lt;=301,G175/3,G175/4))))</f>
        <v>664.89227999999991</v>
      </c>
      <c r="I175" s="36"/>
      <c r="L175" s="114"/>
      <c r="M175" s="114"/>
      <c r="N175" s="36"/>
    </row>
    <row r="176" spans="1:20" s="100" customFormat="1" ht="15.75" customHeight="1" x14ac:dyDescent="0.25">
      <c r="A176" s="112">
        <f>6</f>
        <v>6</v>
      </c>
      <c r="B176" s="113"/>
      <c r="C176" s="99" t="s">
        <v>395</v>
      </c>
      <c r="D176" s="99">
        <f>(29.65)*10.764</f>
        <v>319.15259999999995</v>
      </c>
      <c r="E176" s="99">
        <v>0</v>
      </c>
      <c r="F176" s="99">
        <f>D176+E176</f>
        <v>319.15259999999995</v>
      </c>
      <c r="G176" s="99">
        <v>0</v>
      </c>
      <c r="H176" s="99">
        <f>F176*(($H$156)+1)+(IF(G176&lt;101,G176,IF(G176&lt;201,G176/2,IF(G176&lt;=301,G176/3,G176/4))))</f>
        <v>478.72889999999995</v>
      </c>
      <c r="I176" s="36"/>
      <c r="L176" s="114"/>
      <c r="M176" s="114"/>
      <c r="N176" s="36"/>
    </row>
    <row r="177" spans="1:20" s="100" customFormat="1" ht="15.75" customHeight="1" x14ac:dyDescent="0.25">
      <c r="A177" s="112">
        <f t="shared" ref="A177" si="15">A176+1</f>
        <v>7</v>
      </c>
      <c r="B177" s="113"/>
      <c r="C177" s="112" t="s">
        <v>402</v>
      </c>
      <c r="D177" s="122"/>
      <c r="E177" s="122"/>
      <c r="F177" s="122"/>
      <c r="G177" s="122"/>
      <c r="H177" s="113"/>
      <c r="I177" s="36"/>
      <c r="L177" s="114"/>
      <c r="M177" s="114"/>
      <c r="N177" s="36"/>
      <c r="T177" s="21"/>
    </row>
    <row r="178" spans="1:20" s="100" customFormat="1" x14ac:dyDescent="0.25">
      <c r="A178" s="118" t="s">
        <v>403</v>
      </c>
      <c r="B178" s="119"/>
      <c r="C178" s="119"/>
      <c r="D178" s="119"/>
      <c r="E178" s="119"/>
      <c r="F178" s="119"/>
      <c r="G178" s="119"/>
      <c r="H178" s="120"/>
      <c r="J178" s="36"/>
    </row>
    <row r="179" spans="1:20" s="100" customFormat="1" ht="15.75" customHeight="1" x14ac:dyDescent="0.25">
      <c r="A179" s="112">
        <v>1</v>
      </c>
      <c r="B179" s="113"/>
      <c r="C179" s="99" t="s">
        <v>392</v>
      </c>
      <c r="D179" s="99">
        <f>(65.41)*10.764</f>
        <v>704.07323999999994</v>
      </c>
      <c r="E179" s="99">
        <f>(3.5+2.48)*10.764</f>
        <v>64.368719999999996</v>
      </c>
      <c r="F179" s="99">
        <f>D179+E179</f>
        <v>768.44195999999988</v>
      </c>
      <c r="G179" s="99">
        <v>0</v>
      </c>
      <c r="H179" s="99">
        <f>F179*(($H$156)+1)+(IF(G179&lt;101,G179,IF(G179&lt;201,G179/2,IF(G179&lt;=301,G179/3,G179/4))))</f>
        <v>1152.6629399999997</v>
      </c>
      <c r="I179" s="36"/>
      <c r="L179" s="114"/>
      <c r="M179" s="114"/>
      <c r="N179" s="36"/>
    </row>
    <row r="180" spans="1:20" s="100" customFormat="1" ht="15.75" customHeight="1" x14ac:dyDescent="0.25">
      <c r="A180" s="112">
        <f>A179+1</f>
        <v>2</v>
      </c>
      <c r="B180" s="113"/>
      <c r="C180" s="99" t="s">
        <v>395</v>
      </c>
      <c r="D180" s="99">
        <f>(41.18)*10.764</f>
        <v>443.26151999999996</v>
      </c>
      <c r="E180" s="99">
        <v>0</v>
      </c>
      <c r="F180" s="99">
        <f>D180+E180</f>
        <v>443.26151999999996</v>
      </c>
      <c r="G180" s="99">
        <v>0</v>
      </c>
      <c r="H180" s="99">
        <f>F180*(($H$156)+1)+(IF(G180&lt;101,G180,IF(G180&lt;201,G180/2,IF(G180&lt;=301,G180/3,G180/4))))</f>
        <v>664.89227999999991</v>
      </c>
      <c r="I180" s="36"/>
      <c r="L180" s="114"/>
      <c r="M180" s="114"/>
      <c r="N180" s="36"/>
    </row>
    <row r="181" spans="1:20" s="100" customFormat="1" ht="15.75" customHeight="1" x14ac:dyDescent="0.25">
      <c r="A181" s="112">
        <f>6</f>
        <v>6</v>
      </c>
      <c r="B181" s="113"/>
      <c r="C181" s="99" t="s">
        <v>395</v>
      </c>
      <c r="D181" s="99">
        <f>(29.65)*10.764</f>
        <v>319.15259999999995</v>
      </c>
      <c r="E181" s="99">
        <v>0</v>
      </c>
      <c r="F181" s="99">
        <f>D181+E181</f>
        <v>319.15259999999995</v>
      </c>
      <c r="G181" s="99">
        <v>0</v>
      </c>
      <c r="H181" s="99">
        <f>F181*(($H$156)+1)+(IF(G181&lt;101,G181,IF(G181&lt;201,G181/2,IF(G181&lt;=301,G181/3,G181/4))))</f>
        <v>478.72889999999995</v>
      </c>
      <c r="I181" s="36"/>
      <c r="L181" s="114"/>
      <c r="M181" s="114"/>
      <c r="N181" s="36"/>
    </row>
    <row r="182" spans="1:20" s="100" customFormat="1" ht="15.75" customHeight="1" x14ac:dyDescent="0.25">
      <c r="A182" s="112">
        <f t="shared" ref="A182" si="16">A181+1</f>
        <v>7</v>
      </c>
      <c r="B182" s="113"/>
      <c r="C182" s="99" t="s">
        <v>392</v>
      </c>
      <c r="D182" s="99">
        <f>(62.07)*10.764</f>
        <v>668.12147999999991</v>
      </c>
      <c r="E182" s="99">
        <f>(2.48*0.91)*10.764</f>
        <v>24.292195199999998</v>
      </c>
      <c r="F182" s="99">
        <f>D182+E182</f>
        <v>692.41367519999994</v>
      </c>
      <c r="G182" s="99">
        <v>0</v>
      </c>
      <c r="H182" s="99">
        <f>F182*(($H$156)+1)+(IF(G182&lt;101,G182,IF(G182&lt;201,G182/2,IF(G182&lt;=301,G182/3,G182/4))))</f>
        <v>1038.6205127999999</v>
      </c>
      <c r="I182" s="36"/>
      <c r="L182" s="114"/>
      <c r="M182" s="114"/>
      <c r="N182" s="36"/>
      <c r="T182" s="21"/>
    </row>
    <row r="183" spans="1:20" s="100" customFormat="1" x14ac:dyDescent="0.25">
      <c r="A183" s="118" t="s">
        <v>404</v>
      </c>
      <c r="B183" s="119"/>
      <c r="C183" s="119"/>
      <c r="D183" s="119"/>
      <c r="E183" s="119"/>
      <c r="F183" s="119"/>
      <c r="G183" s="119"/>
      <c r="H183" s="120"/>
      <c r="J183" s="36"/>
    </row>
    <row r="184" spans="1:20" s="100" customFormat="1" ht="15.75" customHeight="1" x14ac:dyDescent="0.25">
      <c r="A184" s="112">
        <v>1</v>
      </c>
      <c r="B184" s="113"/>
      <c r="C184" s="99" t="s">
        <v>407</v>
      </c>
      <c r="D184" s="99">
        <f>(89.25)*10.764</f>
        <v>960.6869999999999</v>
      </c>
      <c r="E184" s="99">
        <f>(3.5+2.48)*10.764</f>
        <v>64.368719999999996</v>
      </c>
      <c r="F184" s="99">
        <f>D184+E184</f>
        <v>1025.0557199999998</v>
      </c>
      <c r="G184" s="99">
        <v>0</v>
      </c>
      <c r="H184" s="99">
        <f>F184*(($H$156)+1)+(IF(G184&lt;101,G184,IF(G184&lt;201,G184/2,IF(G184&lt;=301,G184/3,G184/4))))</f>
        <v>1537.5835799999998</v>
      </c>
      <c r="I184" s="36"/>
      <c r="L184" s="114"/>
      <c r="M184" s="114"/>
      <c r="N184" s="36"/>
    </row>
    <row r="185" spans="1:20" s="100" customFormat="1" ht="15.75" customHeight="1" x14ac:dyDescent="0.25">
      <c r="A185" s="112">
        <f>6</f>
        <v>6</v>
      </c>
      <c r="B185" s="113"/>
      <c r="C185" s="99" t="s">
        <v>395</v>
      </c>
      <c r="D185" s="99">
        <f>(29.65)*10.764</f>
        <v>319.15259999999995</v>
      </c>
      <c r="E185" s="99">
        <v>0</v>
      </c>
      <c r="F185" s="99">
        <f>D185+E185</f>
        <v>319.15259999999995</v>
      </c>
      <c r="G185" s="99">
        <v>0</v>
      </c>
      <c r="H185" s="99">
        <f>F185*(($H$156)+1)+(IF(G185&lt;101,G185,IF(G185&lt;201,G185/2,IF(G185&lt;=301,G185/3,G185/4))))</f>
        <v>478.72889999999995</v>
      </c>
      <c r="I185" s="36"/>
      <c r="L185" s="114"/>
      <c r="M185" s="114"/>
      <c r="N185" s="36"/>
    </row>
    <row r="186" spans="1:20" s="100" customFormat="1" ht="15.75" customHeight="1" x14ac:dyDescent="0.25">
      <c r="A186" s="112">
        <f t="shared" ref="A186" si="17">A185+1</f>
        <v>7</v>
      </c>
      <c r="B186" s="113"/>
      <c r="C186" s="99" t="s">
        <v>392</v>
      </c>
      <c r="D186" s="99">
        <f>(62.07)*10.764</f>
        <v>668.12147999999991</v>
      </c>
      <c r="E186" s="99">
        <f>(2.48*0.91)*10.764</f>
        <v>24.292195199999998</v>
      </c>
      <c r="F186" s="99">
        <f>D186+E186</f>
        <v>692.41367519999994</v>
      </c>
      <c r="G186" s="99">
        <v>0</v>
      </c>
      <c r="H186" s="99">
        <f>F186*(($H$156)+1)+(IF(G186&lt;101,G186,IF(G186&lt;201,G186/2,IF(G186&lt;=301,G186/3,G186/4))))</f>
        <v>1038.6205127999999</v>
      </c>
      <c r="I186" s="36"/>
      <c r="L186" s="114"/>
      <c r="M186" s="114"/>
      <c r="N186" s="36"/>
      <c r="T186" s="21"/>
    </row>
    <row r="187" spans="1:20" s="100" customFormat="1" x14ac:dyDescent="0.25">
      <c r="A187" s="118" t="s">
        <v>405</v>
      </c>
      <c r="B187" s="119"/>
      <c r="C187" s="119"/>
      <c r="D187" s="119"/>
      <c r="E187" s="119"/>
      <c r="F187" s="119"/>
      <c r="G187" s="119"/>
      <c r="H187" s="120"/>
      <c r="J187" s="36"/>
    </row>
    <row r="188" spans="1:20" s="100" customFormat="1" ht="15.75" customHeight="1" x14ac:dyDescent="0.25">
      <c r="A188" s="112">
        <v>1</v>
      </c>
      <c r="B188" s="113"/>
      <c r="C188" s="99" t="s">
        <v>407</v>
      </c>
      <c r="D188" s="99">
        <f>(89.25)*10.764</f>
        <v>960.6869999999999</v>
      </c>
      <c r="E188" s="99">
        <f>(3.5+2.48)*10.764</f>
        <v>64.368719999999996</v>
      </c>
      <c r="F188" s="99">
        <f>D188+E188</f>
        <v>1025.0557199999998</v>
      </c>
      <c r="G188" s="99">
        <v>0</v>
      </c>
      <c r="H188" s="99">
        <f>F188*(($H$156)+1)+(IF(G188&lt;101,G188,IF(G188&lt;201,G188/2,IF(G188&lt;=301,G188/3,G188/4))))</f>
        <v>1537.5835799999998</v>
      </c>
      <c r="I188" s="36"/>
      <c r="L188" s="114"/>
      <c r="M188" s="114"/>
      <c r="N188" s="36"/>
    </row>
    <row r="189" spans="1:20" s="100" customFormat="1" ht="15.75" customHeight="1" x14ac:dyDescent="0.25">
      <c r="A189" s="112">
        <f>6</f>
        <v>6</v>
      </c>
      <c r="B189" s="113"/>
      <c r="C189" s="99" t="s">
        <v>395</v>
      </c>
      <c r="D189" s="99">
        <f>(29.65)*10.764</f>
        <v>319.15259999999995</v>
      </c>
      <c r="E189" s="99">
        <v>0</v>
      </c>
      <c r="F189" s="99">
        <f>D189+E189</f>
        <v>319.15259999999995</v>
      </c>
      <c r="G189" s="99">
        <v>0</v>
      </c>
      <c r="H189" s="99">
        <f>F189*(($H$156)+1)+(IF(G189&lt;101,G189,IF(G189&lt;201,G189/2,IF(G189&lt;=301,G189/3,G189/4))))</f>
        <v>478.72889999999995</v>
      </c>
      <c r="I189" s="36"/>
      <c r="L189" s="114"/>
      <c r="M189" s="114"/>
      <c r="N189" s="36"/>
    </row>
    <row r="190" spans="1:20" s="100" customFormat="1" ht="15.75" customHeight="1" x14ac:dyDescent="0.25">
      <c r="A190" s="112">
        <f t="shared" ref="A190" si="18">A189+1</f>
        <v>7</v>
      </c>
      <c r="B190" s="113"/>
      <c r="C190" s="99" t="s">
        <v>392</v>
      </c>
      <c r="D190" s="99">
        <f>(62.07)*10.764</f>
        <v>668.12147999999991</v>
      </c>
      <c r="E190" s="99">
        <f>(2.48*0.91)*10.764</f>
        <v>24.292195199999998</v>
      </c>
      <c r="F190" s="99">
        <f>D190+E190</f>
        <v>692.41367519999994</v>
      </c>
      <c r="G190" s="99">
        <v>0</v>
      </c>
      <c r="H190" s="99">
        <f>F190*(($H$156)+1)+(IF(G190&lt;101,G190,IF(G190&lt;201,G190/2,IF(G190&lt;=301,G190/3,G190/4))))</f>
        <v>1038.6205127999999</v>
      </c>
      <c r="I190" s="36"/>
      <c r="L190" s="114"/>
      <c r="M190" s="114"/>
      <c r="N190" s="36"/>
      <c r="T190" s="21"/>
    </row>
    <row r="191" spans="1:20" s="100" customFormat="1" x14ac:dyDescent="0.25">
      <c r="A191" s="118" t="s">
        <v>406</v>
      </c>
      <c r="B191" s="119"/>
      <c r="C191" s="119"/>
      <c r="D191" s="119"/>
      <c r="E191" s="119"/>
      <c r="F191" s="119"/>
      <c r="G191" s="119"/>
      <c r="H191" s="120"/>
      <c r="J191" s="36"/>
    </row>
    <row r="192" spans="1:20" s="100" customFormat="1" ht="15.75" customHeight="1" x14ac:dyDescent="0.25">
      <c r="A192" s="112">
        <v>1</v>
      </c>
      <c r="B192" s="113"/>
      <c r="C192" s="99" t="s">
        <v>392</v>
      </c>
      <c r="D192" s="99">
        <f>(65.41)*10.764</f>
        <v>704.07323999999994</v>
      </c>
      <c r="E192" s="99">
        <f>(3.5+2.48)*10.764</f>
        <v>64.368719999999996</v>
      </c>
      <c r="F192" s="99">
        <f>D192+E192</f>
        <v>768.44195999999988</v>
      </c>
      <c r="G192" s="99">
        <v>0</v>
      </c>
      <c r="H192" s="99">
        <f>F192*(($H$156)+1)+(IF(G192&lt;101,G192,IF(G192&lt;201,G192/2,IF(G192&lt;=301,G192/3,G192/4))))</f>
        <v>1152.6629399999997</v>
      </c>
      <c r="I192" s="36"/>
      <c r="L192" s="114"/>
      <c r="M192" s="114"/>
      <c r="N192" s="36"/>
    </row>
    <row r="193" spans="1:20" s="100" customFormat="1" ht="15.75" customHeight="1" x14ac:dyDescent="0.25">
      <c r="A193" s="112">
        <f>A192+1</f>
        <v>2</v>
      </c>
      <c r="B193" s="113"/>
      <c r="C193" s="99" t="s">
        <v>395</v>
      </c>
      <c r="D193" s="99">
        <f>(41.18)*10.764</f>
        <v>443.26151999999996</v>
      </c>
      <c r="E193" s="99">
        <v>0</v>
      </c>
      <c r="F193" s="99">
        <f>D193+E193</f>
        <v>443.26151999999996</v>
      </c>
      <c r="G193" s="99">
        <v>0</v>
      </c>
      <c r="H193" s="99">
        <f>F193*(($H$156)+1)+(IF(G193&lt;101,G193,IF(G193&lt;201,G193/2,IF(G193&lt;=301,G193/3,G193/4))))</f>
        <v>664.89227999999991</v>
      </c>
      <c r="I193" s="36"/>
      <c r="L193" s="114"/>
      <c r="M193" s="114"/>
      <c r="N193" s="36"/>
    </row>
    <row r="194" spans="1:20" s="100" customFormat="1" ht="15.75" customHeight="1" x14ac:dyDescent="0.25">
      <c r="A194" s="112">
        <f>6</f>
        <v>6</v>
      </c>
      <c r="B194" s="113"/>
      <c r="C194" s="123" t="s">
        <v>408</v>
      </c>
      <c r="D194" s="124"/>
      <c r="E194" s="124"/>
      <c r="F194" s="124"/>
      <c r="G194" s="124"/>
      <c r="H194" s="125"/>
      <c r="I194" s="36"/>
      <c r="L194" s="114"/>
      <c r="M194" s="114"/>
      <c r="N194" s="36"/>
    </row>
    <row r="195" spans="1:20" s="100" customFormat="1" ht="15.75" customHeight="1" x14ac:dyDescent="0.25">
      <c r="A195" s="112">
        <f t="shared" ref="A195" si="19">A194+1</f>
        <v>7</v>
      </c>
      <c r="B195" s="113"/>
      <c r="C195" s="126"/>
      <c r="D195" s="127"/>
      <c r="E195" s="127"/>
      <c r="F195" s="127"/>
      <c r="G195" s="127"/>
      <c r="H195" s="128"/>
      <c r="I195" s="36"/>
      <c r="L195" s="114"/>
      <c r="M195" s="114"/>
      <c r="N195" s="36"/>
      <c r="T195" s="21"/>
    </row>
    <row r="196" spans="1:20" s="100" customFormat="1" x14ac:dyDescent="0.25">
      <c r="A196" s="118" t="s">
        <v>409</v>
      </c>
      <c r="B196" s="119"/>
      <c r="C196" s="119"/>
      <c r="D196" s="119"/>
      <c r="E196" s="119"/>
      <c r="F196" s="119"/>
      <c r="G196" s="119"/>
      <c r="H196" s="120"/>
      <c r="J196" s="36"/>
    </row>
    <row r="197" spans="1:20" s="100" customFormat="1" x14ac:dyDescent="0.25">
      <c r="A197" s="118" t="s">
        <v>410</v>
      </c>
      <c r="B197" s="119"/>
      <c r="C197" s="119"/>
      <c r="D197" s="119"/>
      <c r="E197" s="119"/>
      <c r="F197" s="119"/>
      <c r="G197" s="119"/>
      <c r="H197" s="120"/>
      <c r="J197" s="36"/>
    </row>
    <row r="198" spans="1:20" s="100" customFormat="1" x14ac:dyDescent="0.25">
      <c r="A198" s="118" t="s">
        <v>411</v>
      </c>
      <c r="B198" s="119"/>
      <c r="C198" s="119"/>
      <c r="D198" s="119"/>
      <c r="E198" s="119"/>
      <c r="F198" s="119"/>
      <c r="G198" s="119"/>
      <c r="H198" s="120"/>
      <c r="J198" s="36"/>
    </row>
    <row r="199" spans="1:20" s="100" customFormat="1" ht="15.75" customHeight="1" x14ac:dyDescent="0.25">
      <c r="A199" s="112">
        <f>3</f>
        <v>3</v>
      </c>
      <c r="B199" s="113"/>
      <c r="C199" s="112" t="s">
        <v>396</v>
      </c>
      <c r="D199" s="122"/>
      <c r="E199" s="122"/>
      <c r="F199" s="122"/>
      <c r="G199" s="122"/>
      <c r="H199" s="113"/>
      <c r="I199" s="36"/>
      <c r="L199" s="114"/>
      <c r="M199" s="114"/>
      <c r="N199" s="36"/>
    </row>
    <row r="200" spans="1:20" s="100" customFormat="1" ht="15.75" customHeight="1" x14ac:dyDescent="0.25">
      <c r="A200" s="112">
        <f>A199+1</f>
        <v>4</v>
      </c>
      <c r="B200" s="113"/>
      <c r="C200" s="99" t="s">
        <v>392</v>
      </c>
      <c r="D200" s="99">
        <f>(54.45)*10.764</f>
        <v>586.09979999999996</v>
      </c>
      <c r="E200" s="99">
        <f>(0)*10.764</f>
        <v>0</v>
      </c>
      <c r="F200" s="99">
        <f>D200+E200</f>
        <v>586.09979999999996</v>
      </c>
      <c r="G200" s="99">
        <v>0</v>
      </c>
      <c r="H200" s="99">
        <f>F200*(($H$156)+1)+(IF(G200&lt;101,G200,IF(G200&lt;201,G200/2,IF(G200&lt;=301,G200/3,G200/4))))</f>
        <v>879.14969999999994</v>
      </c>
      <c r="I200" s="36"/>
      <c r="L200" s="114"/>
      <c r="M200" s="114"/>
      <c r="N200" s="36"/>
      <c r="T200" s="21"/>
    </row>
    <row r="201" spans="1:20" s="100" customFormat="1" ht="15.75" customHeight="1" x14ac:dyDescent="0.25">
      <c r="A201" s="112">
        <f>A200+1</f>
        <v>5</v>
      </c>
      <c r="B201" s="113"/>
      <c r="C201" s="99" t="s">
        <v>392</v>
      </c>
      <c r="D201" s="99">
        <f>(54.45)*10.764</f>
        <v>586.09979999999996</v>
      </c>
      <c r="E201" s="99">
        <v>0</v>
      </c>
      <c r="F201" s="99">
        <f>D201+E201</f>
        <v>586.09979999999996</v>
      </c>
      <c r="G201" s="99">
        <v>0</v>
      </c>
      <c r="H201" s="99">
        <f>F201*(($H$156)+1)+(IF(G201&lt;101,G201,IF(G201&lt;201,G201/2,IF(G201&lt;=301,G201/3,G201/4))))</f>
        <v>879.14969999999994</v>
      </c>
      <c r="I201" s="36"/>
      <c r="L201" s="114"/>
      <c r="M201" s="114"/>
      <c r="N201" s="36"/>
      <c r="T201" s="21"/>
    </row>
    <row r="202" spans="1:20" s="100" customFormat="1" ht="15.75" customHeight="1" x14ac:dyDescent="0.25">
      <c r="A202" s="118" t="s">
        <v>399</v>
      </c>
      <c r="B202" s="119"/>
      <c r="C202" s="119"/>
      <c r="D202" s="119"/>
      <c r="E202" s="119"/>
      <c r="F202" s="119"/>
      <c r="G202" s="119"/>
      <c r="H202" s="120"/>
      <c r="J202" s="36"/>
    </row>
    <row r="203" spans="1:20" s="100" customFormat="1" ht="15.75" customHeight="1" x14ac:dyDescent="0.25">
      <c r="A203" s="112">
        <v>3</v>
      </c>
      <c r="B203" s="113"/>
      <c r="C203" s="99" t="s">
        <v>392</v>
      </c>
      <c r="D203" s="99">
        <f>(58.46)*10.764</f>
        <v>629.26343999999995</v>
      </c>
      <c r="E203" s="99">
        <v>0</v>
      </c>
      <c r="F203" s="99">
        <f>D203+E203</f>
        <v>629.26343999999995</v>
      </c>
      <c r="G203" s="99">
        <v>0</v>
      </c>
      <c r="H203" s="99">
        <f>F203*(($H$156)+1)+(IF(G203&lt;101,G203,IF(G203&lt;201,G203/2,IF(G203&lt;=301,G203/3,G203/4))))</f>
        <v>943.89515999999992</v>
      </c>
      <c r="I203" s="36"/>
      <c r="L203" s="114"/>
      <c r="M203" s="114"/>
      <c r="N203" s="36"/>
    </row>
    <row r="204" spans="1:20" s="100" customFormat="1" ht="15.75" customHeight="1" x14ac:dyDescent="0.25">
      <c r="A204" s="112">
        <f>A203+1</f>
        <v>4</v>
      </c>
      <c r="B204" s="113"/>
      <c r="C204" s="99" t="s">
        <v>392</v>
      </c>
      <c r="D204" s="99">
        <f>(54.45)*10.764</f>
        <v>586.09979999999996</v>
      </c>
      <c r="E204" s="99">
        <v>0</v>
      </c>
      <c r="F204" s="99">
        <f>D204+E204</f>
        <v>586.09979999999996</v>
      </c>
      <c r="G204" s="99">
        <v>0</v>
      </c>
      <c r="H204" s="99">
        <f>F204*(($H$156)+1)+(IF(G204&lt;101,G204,IF(G204&lt;201,G204/2,IF(G204&lt;=301,G204/3,G204/4))))</f>
        <v>879.14969999999994</v>
      </c>
      <c r="I204" s="36"/>
      <c r="L204" s="114"/>
      <c r="M204" s="114"/>
      <c r="N204" s="36"/>
    </row>
    <row r="205" spans="1:20" s="100" customFormat="1" ht="15.75" customHeight="1" x14ac:dyDescent="0.25">
      <c r="A205" s="112">
        <f>A204+1</f>
        <v>5</v>
      </c>
      <c r="B205" s="113"/>
      <c r="C205" s="99" t="s">
        <v>392</v>
      </c>
      <c r="D205" s="99">
        <f>(54.45)*10.764</f>
        <v>586.09979999999996</v>
      </c>
      <c r="E205" s="99">
        <v>0</v>
      </c>
      <c r="F205" s="99">
        <f>D205+E205</f>
        <v>586.09979999999996</v>
      </c>
      <c r="G205" s="99">
        <v>0</v>
      </c>
      <c r="H205" s="99">
        <f>F205*(($H$156)+1)+(IF(G205&lt;101,G205,IF(G205&lt;201,G205/2,IF(G205&lt;=301,G205/3,G205/4))))</f>
        <v>879.14969999999994</v>
      </c>
      <c r="I205" s="36"/>
      <c r="L205" s="114"/>
      <c r="M205" s="114"/>
      <c r="N205" s="36"/>
    </row>
    <row r="206" spans="1:20" s="100" customFormat="1" ht="15.75" customHeight="1" x14ac:dyDescent="0.25">
      <c r="A206" s="118" t="s">
        <v>400</v>
      </c>
      <c r="B206" s="119"/>
      <c r="C206" s="119"/>
      <c r="D206" s="119"/>
      <c r="E206" s="119"/>
      <c r="F206" s="119"/>
      <c r="G206" s="119"/>
      <c r="H206" s="120"/>
      <c r="J206" s="36"/>
    </row>
    <row r="207" spans="1:20" s="100" customFormat="1" ht="15.75" customHeight="1" x14ac:dyDescent="0.25">
      <c r="A207" s="112">
        <v>3</v>
      </c>
      <c r="B207" s="113"/>
      <c r="C207" s="99" t="s">
        <v>392</v>
      </c>
      <c r="D207" s="99">
        <f>(58.46)*10.764</f>
        <v>629.26343999999995</v>
      </c>
      <c r="E207" s="99">
        <v>0</v>
      </c>
      <c r="F207" s="99">
        <f>D207+E207</f>
        <v>629.26343999999995</v>
      </c>
      <c r="G207" s="99">
        <v>0</v>
      </c>
      <c r="H207" s="99">
        <f>F207*(($H$156)+1)+(IF(G207&lt;101,G207,IF(G207&lt;201,G207/2,IF(G207&lt;=301,G207/3,G207/4))))</f>
        <v>943.89515999999992</v>
      </c>
      <c r="I207" s="36"/>
      <c r="L207" s="114"/>
      <c r="M207" s="114"/>
      <c r="N207" s="36"/>
    </row>
    <row r="208" spans="1:20" s="100" customFormat="1" ht="15.75" customHeight="1" x14ac:dyDescent="0.25">
      <c r="A208" s="112">
        <f>A207+1</f>
        <v>4</v>
      </c>
      <c r="B208" s="113"/>
      <c r="C208" s="99" t="s">
        <v>392</v>
      </c>
      <c r="D208" s="99">
        <f>(54.45)*10.764</f>
        <v>586.09979999999996</v>
      </c>
      <c r="E208" s="99">
        <v>0</v>
      </c>
      <c r="F208" s="99">
        <f>D208+E208</f>
        <v>586.09979999999996</v>
      </c>
      <c r="G208" s="99">
        <v>0</v>
      </c>
      <c r="H208" s="99">
        <f>F208*(($H$156)+1)+(IF(G208&lt;101,G208,IF(G208&lt;201,G208/2,IF(G208&lt;=301,G208/3,G208/4))))</f>
        <v>879.14969999999994</v>
      </c>
      <c r="I208" s="36"/>
      <c r="L208" s="114"/>
      <c r="M208" s="114"/>
      <c r="N208" s="36"/>
    </row>
    <row r="209" spans="1:14" s="100" customFormat="1" ht="15.75" customHeight="1" x14ac:dyDescent="0.25">
      <c r="A209" s="112">
        <f>A208+1</f>
        <v>5</v>
      </c>
      <c r="B209" s="113"/>
      <c r="C209" s="99" t="s">
        <v>392</v>
      </c>
      <c r="D209" s="99">
        <f>(54.45)*10.764</f>
        <v>586.09979999999996</v>
      </c>
      <c r="E209" s="99">
        <v>0</v>
      </c>
      <c r="F209" s="99">
        <f>D209+E209</f>
        <v>586.09979999999996</v>
      </c>
      <c r="G209" s="99">
        <v>0</v>
      </c>
      <c r="H209" s="99">
        <f>F209*(($H$156)+1)+(IF(G209&lt;101,G209,IF(G209&lt;201,G209/2,IF(G209&lt;=301,G209/3,G209/4))))</f>
        <v>879.14969999999994</v>
      </c>
      <c r="I209" s="36"/>
      <c r="L209" s="114"/>
      <c r="M209" s="114"/>
      <c r="N209" s="36"/>
    </row>
    <row r="210" spans="1:14" s="100" customFormat="1" x14ac:dyDescent="0.25">
      <c r="A210" s="118" t="s">
        <v>412</v>
      </c>
      <c r="B210" s="119"/>
      <c r="C210" s="119"/>
      <c r="D210" s="119"/>
      <c r="E210" s="119"/>
      <c r="F210" s="119"/>
      <c r="G210" s="119"/>
      <c r="H210" s="120"/>
      <c r="J210" s="36"/>
    </row>
    <row r="211" spans="1:14" s="100" customFormat="1" ht="15.75" customHeight="1" x14ac:dyDescent="0.25">
      <c r="A211" s="112">
        <v>3</v>
      </c>
      <c r="B211" s="113"/>
      <c r="C211" s="99" t="s">
        <v>392</v>
      </c>
      <c r="D211" s="99">
        <f>(55.47)*10.764</f>
        <v>597.07907999999998</v>
      </c>
      <c r="E211" s="99">
        <f>(6.04+2.31)*10.764</f>
        <v>89.87939999999999</v>
      </c>
      <c r="F211" s="99">
        <f>D211+E211</f>
        <v>686.95848000000001</v>
      </c>
      <c r="G211" s="99">
        <v>0</v>
      </c>
      <c r="H211" s="99">
        <f>F211*(($H$156)+1)+(IF(G211&lt;101,G211,IF(G211&lt;201,G211/2,IF(G211&lt;=301,G211/3,G211/4))))</f>
        <v>1030.4377199999999</v>
      </c>
      <c r="I211" s="36"/>
      <c r="L211" s="114"/>
      <c r="M211" s="114"/>
      <c r="N211" s="36"/>
    </row>
    <row r="212" spans="1:14" s="100" customFormat="1" ht="15.75" customHeight="1" x14ac:dyDescent="0.25">
      <c r="A212" s="112">
        <f>A211+1</f>
        <v>4</v>
      </c>
      <c r="B212" s="113"/>
      <c r="C212" s="99" t="s">
        <v>392</v>
      </c>
      <c r="D212" s="99">
        <f>(54.45)*10.764</f>
        <v>586.09979999999996</v>
      </c>
      <c r="E212" s="99">
        <v>0</v>
      </c>
      <c r="F212" s="99">
        <f>D212+E212</f>
        <v>586.09979999999996</v>
      </c>
      <c r="G212" s="99">
        <v>0</v>
      </c>
      <c r="H212" s="99">
        <f>F212*(($H$156)+1)+(IF(G212&lt;101,G212,IF(G212&lt;201,G212/2,IF(G212&lt;=301,G212/3,G212/4))))</f>
        <v>879.14969999999994</v>
      </c>
      <c r="I212" s="36"/>
      <c r="L212" s="114"/>
      <c r="M212" s="114"/>
      <c r="N212" s="36"/>
    </row>
    <row r="213" spans="1:14" s="100" customFormat="1" ht="15.75" customHeight="1" x14ac:dyDescent="0.25">
      <c r="A213" s="112">
        <f>A212+1</f>
        <v>5</v>
      </c>
      <c r="B213" s="113"/>
      <c r="C213" s="99" t="s">
        <v>392</v>
      </c>
      <c r="D213" s="99">
        <f>(54.45)*10.764</f>
        <v>586.09979999999996</v>
      </c>
      <c r="E213" s="99">
        <v>0</v>
      </c>
      <c r="F213" s="99">
        <f>D213+E213</f>
        <v>586.09979999999996</v>
      </c>
      <c r="G213" s="99">
        <v>0</v>
      </c>
      <c r="H213" s="99">
        <f>F213*(($H$156)+1)+(IF(G213&lt;101,G213,IF(G213&lt;201,G213/2,IF(G213&lt;=301,G213/3,G213/4))))</f>
        <v>879.14969999999994</v>
      </c>
      <c r="I213" s="36"/>
      <c r="L213" s="114"/>
      <c r="M213" s="114"/>
      <c r="N213" s="36"/>
    </row>
    <row r="214" spans="1:14" s="100" customFormat="1" ht="15.75" customHeight="1" x14ac:dyDescent="0.25">
      <c r="A214" s="118" t="s">
        <v>403</v>
      </c>
      <c r="B214" s="119"/>
      <c r="C214" s="119"/>
      <c r="D214" s="119"/>
      <c r="E214" s="119"/>
      <c r="F214" s="119"/>
      <c r="G214" s="119"/>
      <c r="H214" s="120"/>
      <c r="J214" s="36"/>
    </row>
    <row r="215" spans="1:14" s="100" customFormat="1" ht="15.75" customHeight="1" x14ac:dyDescent="0.25">
      <c r="A215" s="112">
        <v>3</v>
      </c>
      <c r="B215" s="113"/>
      <c r="C215" s="99" t="s">
        <v>392</v>
      </c>
      <c r="D215" s="99">
        <f>(57.64)*10.764</f>
        <v>620.43696</v>
      </c>
      <c r="E215" s="99">
        <f>(2.31)*10.764</f>
        <v>24.864839999999997</v>
      </c>
      <c r="F215" s="99">
        <f>D215+E215</f>
        <v>645.30179999999996</v>
      </c>
      <c r="G215" s="99">
        <v>0</v>
      </c>
      <c r="H215" s="99">
        <f>F215*(($H$156)+1)+(IF(G215&lt;101,G215,IF(G215&lt;201,G215/2,IF(G215&lt;=301,G215/3,G215/4))))</f>
        <v>967.95269999999994</v>
      </c>
      <c r="I215" s="36"/>
      <c r="L215" s="114"/>
      <c r="M215" s="114"/>
      <c r="N215" s="36"/>
    </row>
    <row r="216" spans="1:14" s="100" customFormat="1" ht="15.75" customHeight="1" x14ac:dyDescent="0.25">
      <c r="A216" s="112">
        <f>A215+1</f>
        <v>4</v>
      </c>
      <c r="B216" s="113"/>
      <c r="C216" s="99" t="s">
        <v>392</v>
      </c>
      <c r="D216" s="99">
        <f>(64.14)*10.764</f>
        <v>690.40296000000001</v>
      </c>
      <c r="E216" s="99">
        <f>(2.99)*10.764</f>
        <v>32.184359999999998</v>
      </c>
      <c r="F216" s="99">
        <f>D216+E216</f>
        <v>722.58731999999998</v>
      </c>
      <c r="G216" s="99">
        <v>0</v>
      </c>
      <c r="H216" s="99">
        <f>F216*(($H$156)+1)+(IF(G216&lt;101,G216,IF(G216&lt;201,G216/2,IF(G216&lt;=301,G216/3,G216/4))))</f>
        <v>1083.8809799999999</v>
      </c>
      <c r="I216" s="36"/>
      <c r="L216" s="114"/>
      <c r="M216" s="114"/>
      <c r="N216" s="36"/>
    </row>
    <row r="217" spans="1:14" s="100" customFormat="1" ht="15.75" customHeight="1" x14ac:dyDescent="0.25">
      <c r="A217" s="112">
        <f>A216+1</f>
        <v>5</v>
      </c>
      <c r="B217" s="113"/>
      <c r="C217" s="99" t="s">
        <v>392</v>
      </c>
      <c r="D217" s="99">
        <f>(64.14)*10.764</f>
        <v>690.40296000000001</v>
      </c>
      <c r="E217" s="99">
        <f>(2.99)*10.764</f>
        <v>32.184359999999998</v>
      </c>
      <c r="F217" s="99">
        <f>D217+E217</f>
        <v>722.58731999999998</v>
      </c>
      <c r="G217" s="99">
        <v>0</v>
      </c>
      <c r="H217" s="99">
        <f>F217*(($H$156)+1)+(IF(G217&lt;101,G217,IF(G217&lt;201,G217/2,IF(G217&lt;=301,G217/3,G217/4))))</f>
        <v>1083.8809799999999</v>
      </c>
      <c r="I217" s="36"/>
      <c r="L217" s="114"/>
      <c r="M217" s="114"/>
      <c r="N217" s="36"/>
    </row>
    <row r="218" spans="1:14" s="100" customFormat="1" ht="15.75" customHeight="1" x14ac:dyDescent="0.25">
      <c r="A218" s="118" t="s">
        <v>404</v>
      </c>
      <c r="B218" s="119"/>
      <c r="C218" s="119"/>
      <c r="D218" s="119"/>
      <c r="E218" s="119"/>
      <c r="F218" s="119"/>
      <c r="G218" s="119"/>
      <c r="H218" s="120"/>
      <c r="J218" s="36"/>
    </row>
    <row r="219" spans="1:14" s="100" customFormat="1" ht="15.75" customHeight="1" x14ac:dyDescent="0.25">
      <c r="A219" s="112">
        <v>3</v>
      </c>
      <c r="B219" s="113"/>
      <c r="C219" s="99" t="s">
        <v>407</v>
      </c>
      <c r="D219" s="99">
        <f>(73.65)*10.764</f>
        <v>792.76859999999999</v>
      </c>
      <c r="E219" s="99">
        <f>(3.14+2.31)*10.764</f>
        <v>58.663799999999995</v>
      </c>
      <c r="F219" s="99">
        <f>D219+E219</f>
        <v>851.43240000000003</v>
      </c>
      <c r="G219" s="99">
        <v>0</v>
      </c>
      <c r="H219" s="99">
        <f>F219*(($H$156)+1)+(IF(G219&lt;101,G219,IF(G219&lt;201,G219/2,IF(G219&lt;=301,G219/3,G219/4))))</f>
        <v>1277.1486</v>
      </c>
      <c r="I219" s="36"/>
      <c r="L219" s="114"/>
      <c r="M219" s="114"/>
      <c r="N219" s="36"/>
    </row>
    <row r="220" spans="1:14" s="100" customFormat="1" ht="15.75" customHeight="1" x14ac:dyDescent="0.25">
      <c r="A220" s="112">
        <f>A219+1</f>
        <v>4</v>
      </c>
      <c r="B220" s="113"/>
      <c r="C220" s="99" t="s">
        <v>392</v>
      </c>
      <c r="D220" s="99">
        <f>(64.14)*10.764</f>
        <v>690.40296000000001</v>
      </c>
      <c r="E220" s="99">
        <f>(2.99)*10.764</f>
        <v>32.184359999999998</v>
      </c>
      <c r="F220" s="99">
        <f>D220+E220</f>
        <v>722.58731999999998</v>
      </c>
      <c r="G220" s="99">
        <v>0</v>
      </c>
      <c r="H220" s="99">
        <f>F220*(($H$156)+1)+(IF(G220&lt;101,G220,IF(G220&lt;201,G220/2,IF(G220&lt;=301,G220/3,G220/4))))</f>
        <v>1083.8809799999999</v>
      </c>
      <c r="I220" s="36"/>
      <c r="L220" s="114"/>
      <c r="M220" s="114"/>
      <c r="N220" s="36"/>
    </row>
    <row r="221" spans="1:14" s="100" customFormat="1" ht="15.75" customHeight="1" x14ac:dyDescent="0.25">
      <c r="A221" s="112">
        <f>A220+1</f>
        <v>5</v>
      </c>
      <c r="B221" s="113"/>
      <c r="C221" s="99" t="s">
        <v>392</v>
      </c>
      <c r="D221" s="99">
        <f>(64.14)*10.764</f>
        <v>690.40296000000001</v>
      </c>
      <c r="E221" s="99">
        <f>(2.99)*10.764</f>
        <v>32.184359999999998</v>
      </c>
      <c r="F221" s="99">
        <f>D221+E221</f>
        <v>722.58731999999998</v>
      </c>
      <c r="G221" s="99">
        <v>0</v>
      </c>
      <c r="H221" s="99">
        <f>F221*(($H$156)+1)+(IF(G221&lt;101,G221,IF(G221&lt;201,G221/2,IF(G221&lt;=301,G221/3,G221/4))))</f>
        <v>1083.8809799999999</v>
      </c>
      <c r="I221" s="36"/>
      <c r="L221" s="114"/>
      <c r="M221" s="114"/>
      <c r="N221" s="36"/>
    </row>
    <row r="222" spans="1:14" s="100" customFormat="1" ht="15.75" customHeight="1" x14ac:dyDescent="0.25">
      <c r="A222" s="118" t="s">
        <v>405</v>
      </c>
      <c r="B222" s="119"/>
      <c r="C222" s="119"/>
      <c r="D222" s="119"/>
      <c r="E222" s="119"/>
      <c r="F222" s="119"/>
      <c r="G222" s="119"/>
      <c r="H222" s="120"/>
      <c r="J222" s="36"/>
    </row>
    <row r="223" spans="1:14" s="100" customFormat="1" ht="15.75" customHeight="1" x14ac:dyDescent="0.25">
      <c r="A223" s="112">
        <v>3</v>
      </c>
      <c r="B223" s="113"/>
      <c r="C223" s="99" t="s">
        <v>407</v>
      </c>
      <c r="D223" s="99">
        <f>(73.65)*10.764</f>
        <v>792.76859999999999</v>
      </c>
      <c r="E223" s="99">
        <f>(3.14+2.31)*10.764</f>
        <v>58.663799999999995</v>
      </c>
      <c r="F223" s="99">
        <f>D223+E223</f>
        <v>851.43240000000003</v>
      </c>
      <c r="G223" s="99">
        <v>0</v>
      </c>
      <c r="H223" s="99">
        <f>F223*(($H$156)+1)+(IF(G223&lt;101,G223,IF(G223&lt;201,G223/2,IF(G223&lt;=301,G223/3,G223/4))))</f>
        <v>1277.1486</v>
      </c>
      <c r="I223" s="36"/>
      <c r="L223" s="114"/>
      <c r="M223" s="114"/>
      <c r="N223" s="36"/>
    </row>
    <row r="224" spans="1:14" s="100" customFormat="1" ht="15.75" customHeight="1" x14ac:dyDescent="0.25">
      <c r="A224" s="112">
        <f>A223+1</f>
        <v>4</v>
      </c>
      <c r="B224" s="113"/>
      <c r="C224" s="99" t="s">
        <v>392</v>
      </c>
      <c r="D224" s="99">
        <f>(64.14)*10.764</f>
        <v>690.40296000000001</v>
      </c>
      <c r="E224" s="99">
        <f>(2.99)*10.764</f>
        <v>32.184359999999998</v>
      </c>
      <c r="F224" s="99">
        <f>D224+E224</f>
        <v>722.58731999999998</v>
      </c>
      <c r="G224" s="99">
        <v>0</v>
      </c>
      <c r="H224" s="99">
        <f>F224*(($H$156)+1)+(IF(G224&lt;101,G224,IF(G224&lt;201,G224/2,IF(G224&lt;=301,G224/3,G224/4))))</f>
        <v>1083.8809799999999</v>
      </c>
      <c r="I224" s="36"/>
      <c r="L224" s="114"/>
      <c r="M224" s="114"/>
      <c r="N224" s="36"/>
    </row>
    <row r="225" spans="1:20" s="100" customFormat="1" ht="15.75" customHeight="1" x14ac:dyDescent="0.25">
      <c r="A225" s="112">
        <f>A224+1</f>
        <v>5</v>
      </c>
      <c r="B225" s="113"/>
      <c r="C225" s="99" t="s">
        <v>392</v>
      </c>
      <c r="D225" s="99">
        <f>(64.14)*10.764</f>
        <v>690.40296000000001</v>
      </c>
      <c r="E225" s="99">
        <f>(2.99)*10.764</f>
        <v>32.184359999999998</v>
      </c>
      <c r="F225" s="99">
        <f>D225+E225</f>
        <v>722.58731999999998</v>
      </c>
      <c r="G225" s="99">
        <v>0</v>
      </c>
      <c r="H225" s="99">
        <f>F225*(($H$156)+1)+(IF(G225&lt;101,G225,IF(G225&lt;201,G225/2,IF(G225&lt;=301,G225/3,G225/4))))</f>
        <v>1083.8809799999999</v>
      </c>
      <c r="I225" s="36"/>
      <c r="L225" s="114"/>
      <c r="M225" s="114"/>
      <c r="N225" s="36"/>
    </row>
    <row r="226" spans="1:20" s="100" customFormat="1" ht="15.75" customHeight="1" x14ac:dyDescent="0.25">
      <c r="A226" s="118" t="s">
        <v>406</v>
      </c>
      <c r="B226" s="119"/>
      <c r="C226" s="119"/>
      <c r="D226" s="119"/>
      <c r="E226" s="119"/>
      <c r="F226" s="119"/>
      <c r="G226" s="119"/>
      <c r="H226" s="120"/>
      <c r="J226" s="36"/>
    </row>
    <row r="227" spans="1:20" s="100" customFormat="1" ht="15.75" customHeight="1" x14ac:dyDescent="0.25">
      <c r="A227" s="112">
        <v>3</v>
      </c>
      <c r="B227" s="113"/>
      <c r="C227" s="99" t="s">
        <v>395</v>
      </c>
      <c r="D227" s="99">
        <f>(44.14)*10.764</f>
        <v>475.12295999999998</v>
      </c>
      <c r="E227" s="99">
        <f>(2.31)*10.764</f>
        <v>24.864839999999997</v>
      </c>
      <c r="F227" s="99">
        <f>D227+E227</f>
        <v>499.98779999999999</v>
      </c>
      <c r="G227" s="99">
        <v>0</v>
      </c>
      <c r="H227" s="99">
        <f>F227*(($H$156)+1)+(IF(G227&lt;101,G227,IF(G227&lt;201,G227/2,IF(G227&lt;=301,G227/3,G227/4))))</f>
        <v>749.98170000000005</v>
      </c>
      <c r="I227" s="36"/>
      <c r="L227" s="114"/>
      <c r="M227" s="114"/>
      <c r="N227" s="36"/>
    </row>
    <row r="228" spans="1:20" s="100" customFormat="1" ht="15.75" customHeight="1" x14ac:dyDescent="0.25">
      <c r="A228" s="112">
        <f>A227+1</f>
        <v>4</v>
      </c>
      <c r="B228" s="113"/>
      <c r="C228" s="99" t="s">
        <v>392</v>
      </c>
      <c r="D228" s="99">
        <f>(64.14)*10.764</f>
        <v>690.40296000000001</v>
      </c>
      <c r="E228" s="99">
        <f>(2.99)*10.764</f>
        <v>32.184359999999998</v>
      </c>
      <c r="F228" s="99">
        <f>D228+E228</f>
        <v>722.58731999999998</v>
      </c>
      <c r="G228" s="99">
        <v>0</v>
      </c>
      <c r="H228" s="99">
        <f>F228*(($H$156)+1)+(IF(G228&lt;101,G228,IF(G228&lt;201,G228/2,IF(G228&lt;=301,G228/3,G228/4))))</f>
        <v>1083.8809799999999</v>
      </c>
      <c r="I228" s="36"/>
      <c r="L228" s="114"/>
      <c r="M228" s="114"/>
      <c r="N228" s="36"/>
    </row>
    <row r="229" spans="1:20" s="100" customFormat="1" ht="15.75" customHeight="1" x14ac:dyDescent="0.25">
      <c r="A229" s="112">
        <f>A228+1</f>
        <v>5</v>
      </c>
      <c r="B229" s="113"/>
      <c r="C229" s="99" t="s">
        <v>392</v>
      </c>
      <c r="D229" s="99">
        <f>(64.14)*10.764</f>
        <v>690.40296000000001</v>
      </c>
      <c r="E229" s="99">
        <f>(2.99)*10.764</f>
        <v>32.184359999999998</v>
      </c>
      <c r="F229" s="99">
        <f>D229+E229</f>
        <v>722.58731999999998</v>
      </c>
      <c r="G229" s="99">
        <v>0</v>
      </c>
      <c r="H229" s="99">
        <f>F229*(($H$156)+1)+(IF(G229&lt;101,G229,IF(G229&lt;201,G229/2,IF(G229&lt;=301,G229/3,G229/4))))</f>
        <v>1083.8809799999999</v>
      </c>
      <c r="I229" s="36"/>
      <c r="L229" s="114"/>
      <c r="M229" s="114"/>
      <c r="N229" s="36"/>
    </row>
    <row r="230" spans="1:20" s="37" customFormat="1" hidden="1" x14ac:dyDescent="0.25">
      <c r="A230" s="118" t="s">
        <v>116</v>
      </c>
      <c r="B230" s="119"/>
      <c r="C230" s="119"/>
      <c r="D230" s="119"/>
      <c r="E230" s="119"/>
      <c r="F230" s="119"/>
      <c r="G230" s="119"/>
      <c r="H230" s="120"/>
      <c r="J230" s="36"/>
    </row>
    <row r="231" spans="1:20" s="37" customFormat="1" ht="15.75" hidden="1" customHeight="1" x14ac:dyDescent="0.25">
      <c r="A231" s="112">
        <v>1</v>
      </c>
      <c r="B231" s="113"/>
      <c r="C231" s="42"/>
      <c r="D231" s="42"/>
      <c r="E231" s="42">
        <v>0</v>
      </c>
      <c r="F231" s="42">
        <f>D231+E231</f>
        <v>0</v>
      </c>
      <c r="G231" s="58">
        <v>0</v>
      </c>
      <c r="H231" s="58">
        <f>F231*(($H$156)+1)+(IF(G231&lt;101,G231,IF(G231&lt;201,G231/2,IF(G231&lt;=301,G231/3,G231/4))))</f>
        <v>0</v>
      </c>
      <c r="I231" s="36"/>
      <c r="L231" s="114"/>
      <c r="M231" s="114"/>
      <c r="N231" s="36"/>
    </row>
    <row r="232" spans="1:20" s="37" customFormat="1" ht="15.75" hidden="1" customHeight="1" x14ac:dyDescent="0.25">
      <c r="A232" s="112">
        <f>A231+1</f>
        <v>2</v>
      </c>
      <c r="B232" s="113"/>
      <c r="C232" s="42"/>
      <c r="D232" s="42"/>
      <c r="E232" s="42">
        <v>0</v>
      </c>
      <c r="F232" s="58">
        <f>D232+E232</f>
        <v>0</v>
      </c>
      <c r="G232" s="58">
        <v>0</v>
      </c>
      <c r="H232" s="58">
        <f>F232*(($H$156)+1)+(IF(G232&lt;101,G232,IF(G232&lt;201,G232/2,IF(G232&lt;=301,G232/3,G232/4))))</f>
        <v>0</v>
      </c>
      <c r="I232" s="36"/>
      <c r="L232" s="114"/>
      <c r="M232" s="114"/>
      <c r="N232" s="36"/>
    </row>
    <row r="233" spans="1:20" s="37" customFormat="1" ht="15.75" hidden="1" customHeight="1" x14ac:dyDescent="0.25">
      <c r="A233" s="112">
        <f>A232+1</f>
        <v>3</v>
      </c>
      <c r="B233" s="113"/>
      <c r="C233" s="42"/>
      <c r="D233" s="42"/>
      <c r="E233" s="42">
        <v>0</v>
      </c>
      <c r="F233" s="58">
        <f>D233+E233</f>
        <v>0</v>
      </c>
      <c r="G233" s="58">
        <v>0</v>
      </c>
      <c r="H233" s="58">
        <f>F233*(($H$156)+1)+(IF(G233&lt;101,G233,IF(G233&lt;201,G233/2,IF(G233&lt;=301,G233/3,G233/4))))</f>
        <v>0</v>
      </c>
      <c r="I233" s="36"/>
      <c r="L233" s="114"/>
      <c r="M233" s="114"/>
      <c r="N233" s="36"/>
    </row>
    <row r="234" spans="1:20" s="37" customFormat="1" ht="15.75" hidden="1" customHeight="1" x14ac:dyDescent="0.25">
      <c r="A234" s="112">
        <f>A233+1</f>
        <v>4</v>
      </c>
      <c r="B234" s="113"/>
      <c r="C234" s="42"/>
      <c r="D234" s="42"/>
      <c r="E234" s="42">
        <v>0</v>
      </c>
      <c r="F234" s="58">
        <f>D234+E234</f>
        <v>0</v>
      </c>
      <c r="G234" s="58">
        <v>0</v>
      </c>
      <c r="H234" s="58">
        <f>F234*(($H$156)+1)+(IF(G234&lt;101,G234,IF(G234&lt;201,G234/2,IF(G234&lt;=301,G234/3,G234/4))))</f>
        <v>0</v>
      </c>
      <c r="I234" s="36"/>
      <c r="L234" s="114"/>
      <c r="M234" s="114"/>
      <c r="N234" s="36"/>
      <c r="T234" s="21"/>
    </row>
    <row r="235" spans="1:20" s="95" customFormat="1" ht="15.75" hidden="1" customHeight="1" x14ac:dyDescent="0.25">
      <c r="A235" s="112">
        <f t="shared" ref="A235:A237" si="20">A234+1</f>
        <v>5</v>
      </c>
      <c r="B235" s="113"/>
      <c r="C235" s="96"/>
      <c r="D235" s="96"/>
      <c r="E235" s="96">
        <v>0</v>
      </c>
      <c r="F235" s="96">
        <f t="shared" ref="F235:F237" si="21">D235+E235</f>
        <v>0</v>
      </c>
      <c r="G235" s="96">
        <v>0</v>
      </c>
      <c r="H235" s="96">
        <f t="shared" ref="H235:H237" si="22">F235*(($H$156)+1)+(IF(G235&lt;101,G235,IF(G235&lt;201,G235/2,IF(G235&lt;=301,G235/3,G235/4))))</f>
        <v>0</v>
      </c>
      <c r="I235" s="36"/>
      <c r="L235" s="114"/>
      <c r="M235" s="114"/>
      <c r="N235" s="36"/>
      <c r="T235" s="21"/>
    </row>
    <row r="236" spans="1:20" s="95" customFormat="1" ht="15.75" hidden="1" customHeight="1" x14ac:dyDescent="0.25">
      <c r="A236" s="112">
        <f t="shared" si="20"/>
        <v>6</v>
      </c>
      <c r="B236" s="113"/>
      <c r="C236" s="96"/>
      <c r="D236" s="96"/>
      <c r="E236" s="96">
        <v>0</v>
      </c>
      <c r="F236" s="96">
        <f t="shared" si="21"/>
        <v>0</v>
      </c>
      <c r="G236" s="96">
        <v>0</v>
      </c>
      <c r="H236" s="96">
        <f t="shared" si="22"/>
        <v>0</v>
      </c>
      <c r="I236" s="36"/>
      <c r="L236" s="114"/>
      <c r="M236" s="114"/>
      <c r="N236" s="36"/>
      <c r="T236" s="21"/>
    </row>
    <row r="237" spans="1:20" s="95" customFormat="1" ht="15.75" hidden="1" customHeight="1" x14ac:dyDescent="0.25">
      <c r="A237" s="112">
        <f t="shared" si="20"/>
        <v>7</v>
      </c>
      <c r="B237" s="113"/>
      <c r="C237" s="96"/>
      <c r="D237" s="96"/>
      <c r="E237" s="96">
        <v>0</v>
      </c>
      <c r="F237" s="96">
        <f t="shared" si="21"/>
        <v>0</v>
      </c>
      <c r="G237" s="96">
        <v>0</v>
      </c>
      <c r="H237" s="96">
        <f t="shared" si="22"/>
        <v>0</v>
      </c>
      <c r="I237" s="36"/>
      <c r="L237" s="114"/>
      <c r="M237" s="114"/>
      <c r="N237" s="36"/>
      <c r="T237" s="21"/>
    </row>
    <row r="238" spans="1:20" s="100" customFormat="1" hidden="1" x14ac:dyDescent="0.25">
      <c r="A238" s="118" t="s">
        <v>116</v>
      </c>
      <c r="B238" s="119"/>
      <c r="C238" s="119"/>
      <c r="D238" s="119"/>
      <c r="E238" s="119"/>
      <c r="F238" s="119"/>
      <c r="G238" s="119"/>
      <c r="H238" s="120"/>
      <c r="J238" s="36"/>
    </row>
    <row r="239" spans="1:20" s="100" customFormat="1" ht="15.75" hidden="1" customHeight="1" x14ac:dyDescent="0.25">
      <c r="A239" s="112">
        <f>3</f>
        <v>3</v>
      </c>
      <c r="B239" s="113"/>
      <c r="C239" s="112" t="s">
        <v>396</v>
      </c>
      <c r="D239" s="122"/>
      <c r="E239" s="122"/>
      <c r="F239" s="122"/>
      <c r="G239" s="122"/>
      <c r="H239" s="113"/>
      <c r="I239" s="36"/>
      <c r="L239" s="114"/>
      <c r="M239" s="114"/>
      <c r="N239" s="36"/>
    </row>
    <row r="240" spans="1:20" s="100" customFormat="1" ht="15.75" hidden="1" customHeight="1" x14ac:dyDescent="0.25">
      <c r="A240" s="112">
        <f>A239+1</f>
        <v>4</v>
      </c>
      <c r="B240" s="113"/>
      <c r="C240" s="99" t="s">
        <v>392</v>
      </c>
      <c r="D240" s="99">
        <f>(54.45)*10.764</f>
        <v>586.09979999999996</v>
      </c>
      <c r="E240" s="99">
        <f>(0)*10.764</f>
        <v>0</v>
      </c>
      <c r="F240" s="99">
        <f>D240+E240</f>
        <v>586.09979999999996</v>
      </c>
      <c r="G240" s="99">
        <v>0</v>
      </c>
      <c r="H240" s="99">
        <f>F240*(($H$156)+1)+(IF(G240&lt;101,G240,IF(G240&lt;201,G240/2,IF(G240&lt;=301,G240/3,G240/4))))</f>
        <v>879.14969999999994</v>
      </c>
      <c r="I240" s="36"/>
      <c r="L240" s="114"/>
      <c r="M240" s="114"/>
      <c r="N240" s="36"/>
      <c r="T240" s="21"/>
    </row>
    <row r="241" spans="1:20" s="100" customFormat="1" ht="15.75" hidden="1" customHeight="1" x14ac:dyDescent="0.25">
      <c r="A241" s="112">
        <f>A240+1</f>
        <v>5</v>
      </c>
      <c r="B241" s="113"/>
      <c r="C241" s="99" t="s">
        <v>392</v>
      </c>
      <c r="D241" s="99">
        <f>(54.45)*10.764</f>
        <v>586.09979999999996</v>
      </c>
      <c r="E241" s="99">
        <v>0</v>
      </c>
      <c r="F241" s="99">
        <f>D241+E241</f>
        <v>586.09979999999996</v>
      </c>
      <c r="G241" s="99">
        <v>0</v>
      </c>
      <c r="H241" s="99">
        <f>F241*(($H$156)+1)+(IF(G241&lt;101,G241,IF(G241&lt;201,G241/2,IF(G241&lt;=301,G241/3,G241/4))))</f>
        <v>879.14969999999994</v>
      </c>
      <c r="I241" s="36"/>
      <c r="L241" s="114"/>
      <c r="M241" s="114"/>
      <c r="N241" s="36"/>
      <c r="T241" s="21"/>
    </row>
    <row r="242" spans="1:20" s="37" customFormat="1" hidden="1" x14ac:dyDescent="0.25">
      <c r="A242" s="189" t="s">
        <v>117</v>
      </c>
      <c r="B242" s="189"/>
      <c r="C242" s="189"/>
      <c r="D242" s="189"/>
      <c r="E242" s="189"/>
      <c r="F242" s="189"/>
      <c r="G242" s="189"/>
      <c r="H242" s="189"/>
      <c r="I242" s="36"/>
      <c r="L242" s="114"/>
      <c r="M242" s="114"/>
    </row>
    <row r="243" spans="1:20" s="37" customFormat="1" hidden="1" x14ac:dyDescent="0.25">
      <c r="A243" s="121">
        <f>LEFT(A242,SUM(LEN(A242)-LEN(SUBSTITUTE(A242,{"0","1","2","3","4","5","6","7","8","9"},""))))*100+1</f>
        <v>201</v>
      </c>
      <c r="B243" s="121"/>
      <c r="C243" s="42"/>
      <c r="D243" s="42"/>
      <c r="E243" s="58">
        <v>0</v>
      </c>
      <c r="F243" s="58">
        <f>D243+E243</f>
        <v>0</v>
      </c>
      <c r="G243" s="58">
        <v>0</v>
      </c>
      <c r="H243" s="58">
        <f>F243*(($H$156)+1)+(IF(G243&lt;101,G243,IF(G243&lt;201,G243/2,IF(G243&lt;=301,G243/3,G243/4))))</f>
        <v>0</v>
      </c>
      <c r="I243" s="36"/>
      <c r="N243" s="36"/>
    </row>
    <row r="244" spans="1:20" s="37" customFormat="1" hidden="1" x14ac:dyDescent="0.25">
      <c r="A244" s="121">
        <f>A243+1</f>
        <v>202</v>
      </c>
      <c r="B244" s="121"/>
      <c r="C244" s="42"/>
      <c r="D244" s="42"/>
      <c r="E244" s="58">
        <v>0</v>
      </c>
      <c r="F244" s="58">
        <f>D244+E244</f>
        <v>0</v>
      </c>
      <c r="G244" s="58">
        <v>0</v>
      </c>
      <c r="H244" s="58">
        <f>F244*(($H$156)+1)+(IF(G244&lt;101,G244,IF(G244&lt;201,G244/2,IF(G244&lt;=301,G244/3,G244/4))))</f>
        <v>0</v>
      </c>
      <c r="I244" s="36"/>
      <c r="N244" s="36"/>
    </row>
    <row r="245" spans="1:20" s="37" customFormat="1" hidden="1" x14ac:dyDescent="0.25">
      <c r="A245" s="121">
        <f>A244+1</f>
        <v>203</v>
      </c>
      <c r="B245" s="121"/>
      <c r="C245" s="42"/>
      <c r="D245" s="42"/>
      <c r="E245" s="58">
        <v>0</v>
      </c>
      <c r="F245" s="58">
        <f>D245+E245</f>
        <v>0</v>
      </c>
      <c r="G245" s="58">
        <v>0</v>
      </c>
      <c r="H245" s="58">
        <f>F245*(($H$156)+1)+(IF(G245&lt;101,G245,IF(G245&lt;201,G245/2,IF(G245&lt;=301,G245/3,G245/4))))</f>
        <v>0</v>
      </c>
      <c r="I245" s="36"/>
      <c r="N245" s="36"/>
    </row>
    <row r="246" spans="1:20" s="37" customFormat="1" hidden="1" x14ac:dyDescent="0.25">
      <c r="A246" s="121">
        <f>A245+1</f>
        <v>204</v>
      </c>
      <c r="B246" s="121"/>
      <c r="C246" s="42"/>
      <c r="D246" s="42"/>
      <c r="E246" s="58">
        <v>0</v>
      </c>
      <c r="F246" s="58">
        <f>D246+E246</f>
        <v>0</v>
      </c>
      <c r="G246" s="58">
        <v>0</v>
      </c>
      <c r="H246" s="58">
        <f>F246*(($H$156)+1)+(IF(G246&lt;101,G246,IF(G246&lt;201,G246/2,IF(G246&lt;=301,G246/3,G246/4))))</f>
        <v>0</v>
      </c>
      <c r="I246" s="36"/>
      <c r="N246" s="36"/>
    </row>
    <row r="247" spans="1:20" s="37" customFormat="1" hidden="1" x14ac:dyDescent="0.25">
      <c r="A247" s="121">
        <f>A246+1</f>
        <v>205</v>
      </c>
      <c r="B247" s="121"/>
      <c r="C247" s="42"/>
      <c r="D247" s="42"/>
      <c r="E247" s="58">
        <v>0</v>
      </c>
      <c r="F247" s="58">
        <f>D247+E247</f>
        <v>0</v>
      </c>
      <c r="G247" s="58">
        <v>0</v>
      </c>
      <c r="H247" s="58">
        <f>F247*(($H$156)+1)+(IF(G247&lt;101,G247,IF(G247&lt;201,G247/2,IF(G247&lt;=301,G247/3,G247/4))))</f>
        <v>0</v>
      </c>
      <c r="I247" s="36"/>
      <c r="N247" s="36"/>
    </row>
    <row r="248" spans="1:20" s="37" customFormat="1" ht="15.75" hidden="1" customHeight="1" x14ac:dyDescent="0.25">
      <c r="A248" s="118" t="s">
        <v>151</v>
      </c>
      <c r="B248" s="119"/>
      <c r="C248" s="119"/>
      <c r="D248" s="119"/>
      <c r="E248" s="119"/>
      <c r="F248" s="119"/>
      <c r="G248" s="119"/>
      <c r="H248" s="120"/>
      <c r="I248" s="36"/>
    </row>
    <row r="249" spans="1:20" s="37" customFormat="1" ht="15.75" hidden="1" customHeight="1" x14ac:dyDescent="0.25">
      <c r="A249" s="112"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10^ROW(INDIRECT("1:"&amp;LEN((LEFT(A248,SUM(LEN(A248)-LEN(SUBSTITUTE(A248,{"0","1","2"},""))))))))/10))*100+1&amp;""&amp;"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",LEN(A248))),LEN(A248)))))))/10))*100+1</f>
        <v>301 ,.., 1501</v>
      </c>
      <c r="B249" s="113"/>
      <c r="C249" s="42"/>
      <c r="D249" s="42"/>
      <c r="E249" s="58">
        <v>0</v>
      </c>
      <c r="F249" s="58">
        <f>D249+E249</f>
        <v>0</v>
      </c>
      <c r="G249" s="58">
        <v>0</v>
      </c>
      <c r="H249" s="58">
        <f>F249*(($H$156)+1)+(IF(G249&lt;101,G249,IF(G249&lt;201,G249/2,IF(G249&lt;=301,G249/3,G249/4))))</f>
        <v>0</v>
      </c>
      <c r="I249" s="36"/>
    </row>
    <row r="250" spans="1:20" s="37" customFormat="1" ht="15.75" hidden="1" customHeight="1" x14ac:dyDescent="0.25">
      <c r="A250" s="112"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302 ,.., 1502</v>
      </c>
      <c r="B250" s="113"/>
      <c r="C250" s="42"/>
      <c r="D250" s="42"/>
      <c r="E250" s="58">
        <v>0</v>
      </c>
      <c r="F250" s="58">
        <f>D250+E250</f>
        <v>0</v>
      </c>
      <c r="G250" s="58">
        <v>0</v>
      </c>
      <c r="H250" s="58">
        <f>F250*(($H$156)+1)+(IF(G250&lt;101,G250,IF(G250&lt;201,G250/2,IF(G250&lt;=301,G250/3,G250/4))))</f>
        <v>0</v>
      </c>
      <c r="I250" s="36"/>
    </row>
    <row r="251" spans="1:20" s="37" customFormat="1" ht="15.75" hidden="1" customHeight="1" x14ac:dyDescent="0.25">
      <c r="A251" s="112"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303 ,.., 1503</v>
      </c>
      <c r="B251" s="113"/>
      <c r="C251" s="42"/>
      <c r="D251" s="42"/>
      <c r="E251" s="58">
        <v>0</v>
      </c>
      <c r="F251" s="58">
        <f>D251+E251</f>
        <v>0</v>
      </c>
      <c r="G251" s="58">
        <v>0</v>
      </c>
      <c r="H251" s="58">
        <f>F251*(($H$156)+1)+(IF(G251&lt;101,G251,IF(G251&lt;201,G251/2,IF(G251&lt;=301,G251/3,G251/4))))</f>
        <v>0</v>
      </c>
      <c r="I251" s="36"/>
    </row>
    <row r="252" spans="1:20" s="37" customFormat="1" ht="15.75" hidden="1" customHeight="1" x14ac:dyDescent="0.25">
      <c r="A252" s="112"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304 ,.., 1504</v>
      </c>
      <c r="B252" s="113"/>
      <c r="C252" s="42"/>
      <c r="D252" s="42"/>
      <c r="E252" s="58">
        <v>0</v>
      </c>
      <c r="F252" s="58">
        <f>D252+E252</f>
        <v>0</v>
      </c>
      <c r="G252" s="58">
        <v>0</v>
      </c>
      <c r="H252" s="58">
        <f>F252*(($H$156)+1)+(IF(G252&lt;101,G252,IF(G252&lt;201,G252/2,IF(G252&lt;=301,G252/3,G252/4))))</f>
        <v>0</v>
      </c>
      <c r="I252" s="36"/>
    </row>
    <row r="253" spans="1:20" s="37" customFormat="1" ht="15.75" hidden="1" customHeight="1" x14ac:dyDescent="0.25">
      <c r="A253" s="112"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305 ,.., 1505</v>
      </c>
      <c r="B253" s="113"/>
      <c r="C253" s="42"/>
      <c r="D253" s="42"/>
      <c r="E253" s="58">
        <v>0</v>
      </c>
      <c r="F253" s="58">
        <f>D253+E253</f>
        <v>0</v>
      </c>
      <c r="G253" s="58">
        <v>0</v>
      </c>
      <c r="H253" s="58">
        <f>F253*(($H$156)+1)+(IF(G253&lt;101,G253,IF(G253&lt;201,G253/2,IF(G253&lt;=301,G253/3,G253/4))))</f>
        <v>0</v>
      </c>
      <c r="I253" s="36"/>
    </row>
    <row r="254" spans="1:20" s="37" customFormat="1" hidden="1" x14ac:dyDescent="0.25">
      <c r="A254" s="118" t="s">
        <v>145</v>
      </c>
      <c r="B254" s="119"/>
      <c r="C254" s="119"/>
      <c r="D254" s="119"/>
      <c r="E254" s="119"/>
      <c r="F254" s="119"/>
      <c r="G254" s="119"/>
      <c r="H254" s="120"/>
      <c r="I254" s="36"/>
    </row>
    <row r="255" spans="1:20" s="37" customFormat="1" ht="15.75" hidden="1" customHeight="1" x14ac:dyDescent="0.25">
      <c r="A255" s="112"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10^ROW(INDIRECT("1:"&amp;LEN((LEFT(A254,SUM(LEN(A254)-LEN(SUBSTITUTE(A254,{"0","1","2"},""))))))))/10))*100+1&amp;""&amp;"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",LEN(A254))),LEN(A254)))))))/10))*100+1</f>
        <v>201 to 501</v>
      </c>
      <c r="B255" s="113"/>
      <c r="C255" s="42"/>
      <c r="D255" s="42"/>
      <c r="E255" s="58">
        <v>0</v>
      </c>
      <c r="F255" s="58">
        <f>D255+E255</f>
        <v>0</v>
      </c>
      <c r="G255" s="58">
        <v>0</v>
      </c>
      <c r="H255" s="58">
        <f>F255*(($H$156)+1)+(IF(G255&lt;101,G255,IF(G255&lt;201,G255/2,IF(G255&lt;=301,G255/3,G255/4))))</f>
        <v>0</v>
      </c>
      <c r="I255" s="36"/>
    </row>
    <row r="256" spans="1:20" s="37" customFormat="1" ht="15.75" hidden="1" customHeight="1" x14ac:dyDescent="0.25">
      <c r="A256" s="112"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202 to 502</v>
      </c>
      <c r="B256" s="113"/>
      <c r="C256" s="42"/>
      <c r="D256" s="42"/>
      <c r="E256" s="58">
        <v>0</v>
      </c>
      <c r="F256" s="58">
        <f>D256+E256</f>
        <v>0</v>
      </c>
      <c r="G256" s="58">
        <v>0</v>
      </c>
      <c r="H256" s="58">
        <f>F256*(($H$156)+1)+(IF(G256&lt;101,G256,IF(G256&lt;201,G256/2,IF(G256&lt;=301,G256/3,G256/4))))</f>
        <v>0</v>
      </c>
      <c r="I256" s="36"/>
    </row>
    <row r="257" spans="1:20" s="37" customFormat="1" ht="15.75" hidden="1" customHeight="1" x14ac:dyDescent="0.25">
      <c r="A257" s="112"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203 to 503</v>
      </c>
      <c r="B257" s="113"/>
      <c r="C257" s="42"/>
      <c r="D257" s="42"/>
      <c r="E257" s="58">
        <v>0</v>
      </c>
      <c r="F257" s="58">
        <f>D257+E257</f>
        <v>0</v>
      </c>
      <c r="G257" s="58">
        <v>0</v>
      </c>
      <c r="H257" s="58">
        <f>F257*(($H$156)+1)+(IF(G257&lt;101,G257,IF(G257&lt;201,G257/2,IF(G257&lt;=301,G257/3,G257/4))))</f>
        <v>0</v>
      </c>
      <c r="I257" s="36"/>
    </row>
    <row r="258" spans="1:20" s="37" customFormat="1" ht="15.75" hidden="1" customHeight="1" x14ac:dyDescent="0.25">
      <c r="A258" s="112"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204 to 504</v>
      </c>
      <c r="B258" s="113"/>
      <c r="C258" s="42"/>
      <c r="D258" s="42"/>
      <c r="E258" s="58">
        <v>0</v>
      </c>
      <c r="F258" s="58">
        <f>D258+E258</f>
        <v>0</v>
      </c>
      <c r="G258" s="58">
        <v>0</v>
      </c>
      <c r="H258" s="58">
        <f>F258*(($H$156)+1)+(IF(G258&lt;101,G258,IF(G258&lt;201,G258/2,IF(G258&lt;=301,G258/3,G258/4))))</f>
        <v>0</v>
      </c>
      <c r="I258" s="36"/>
    </row>
    <row r="259" spans="1:20" s="37" customFormat="1" ht="15.75" hidden="1" customHeight="1" x14ac:dyDescent="0.25">
      <c r="A259" s="112"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205 to 505</v>
      </c>
      <c r="B259" s="113"/>
      <c r="C259" s="42"/>
      <c r="D259" s="42"/>
      <c r="E259" s="58">
        <v>0</v>
      </c>
      <c r="F259" s="58">
        <f>D259+E259</f>
        <v>0</v>
      </c>
      <c r="G259" s="58">
        <v>0</v>
      </c>
      <c r="H259" s="58">
        <f>F259*(($H$156)+1)+(IF(G259&lt;101,G259,IF(G259&lt;201,G259/2,IF(G259&lt;=301,G259/3,G259/4))))</f>
        <v>0</v>
      </c>
      <c r="I259" s="36"/>
    </row>
    <row r="260" spans="1:20" s="37" customFormat="1" hidden="1" x14ac:dyDescent="0.25">
      <c r="A260" s="118" t="s">
        <v>146</v>
      </c>
      <c r="B260" s="119"/>
      <c r="C260" s="119"/>
      <c r="D260" s="119"/>
      <c r="E260" s="119"/>
      <c r="F260" s="119"/>
      <c r="G260" s="119"/>
      <c r="H260" s="120"/>
      <c r="I260" s="36"/>
    </row>
    <row r="261" spans="1:20" s="37" customFormat="1" ht="15.75" hidden="1" customHeight="1" x14ac:dyDescent="0.25">
      <c r="A261" s="112"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10^ROW(INDIRECT("1:"&amp;LEN((LEFT(A260,SUM(LEN(A260)-LEN(SUBSTITUTE(A260,{"0","1","2"},""))))))))/10))*100+1&amp;""&amp;" &amp;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201 &amp; 501</v>
      </c>
      <c r="B261" s="113"/>
      <c r="C261" s="42"/>
      <c r="D261" s="42"/>
      <c r="E261" s="58">
        <v>0</v>
      </c>
      <c r="F261" s="58">
        <f>D261+E261</f>
        <v>0</v>
      </c>
      <c r="G261" s="58">
        <v>0</v>
      </c>
      <c r="H261" s="58">
        <f>F261*(($H$156)+1)+(IF(G261&lt;101,G261,IF(G261&lt;201,G261/2,IF(G261&lt;=301,G261/3,G261/4))))</f>
        <v>0</v>
      </c>
      <c r="I261" s="36"/>
    </row>
    <row r="262" spans="1:20" s="37" customFormat="1" ht="15.75" hidden="1" customHeight="1" x14ac:dyDescent="0.25">
      <c r="A262" s="112"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202 &amp; 502</v>
      </c>
      <c r="B262" s="113"/>
      <c r="C262" s="42"/>
      <c r="D262" s="42"/>
      <c r="E262" s="58">
        <v>0</v>
      </c>
      <c r="F262" s="58">
        <f>D262+E262</f>
        <v>0</v>
      </c>
      <c r="G262" s="58">
        <v>0</v>
      </c>
      <c r="H262" s="58">
        <f>F262*(($H$156)+1)+(IF(G262&lt;101,G262,IF(G262&lt;201,G262/2,IF(G262&lt;=301,G262/3,G262/4))))</f>
        <v>0</v>
      </c>
      <c r="I262" s="36"/>
    </row>
    <row r="263" spans="1:20" s="37" customFormat="1" ht="15.75" hidden="1" customHeight="1" x14ac:dyDescent="0.25">
      <c r="A263" s="112"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203 &amp; 503</v>
      </c>
      <c r="B263" s="113"/>
      <c r="C263" s="42"/>
      <c r="D263" s="42"/>
      <c r="E263" s="58">
        <v>0</v>
      </c>
      <c r="F263" s="58">
        <f>D263+E263</f>
        <v>0</v>
      </c>
      <c r="G263" s="58">
        <v>0</v>
      </c>
      <c r="H263" s="58">
        <f>F263*(($H$156)+1)+(IF(G263&lt;101,G263,IF(G263&lt;201,G263/2,IF(G263&lt;=301,G263/3,G263/4))))</f>
        <v>0</v>
      </c>
      <c r="I263" s="36"/>
    </row>
    <row r="264" spans="1:20" s="37" customFormat="1" ht="15.75" hidden="1" customHeight="1" x14ac:dyDescent="0.25">
      <c r="A264" s="112"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204 &amp; 504</v>
      </c>
      <c r="B264" s="113"/>
      <c r="C264" s="42"/>
      <c r="D264" s="42"/>
      <c r="E264" s="58">
        <v>0</v>
      </c>
      <c r="F264" s="58">
        <f>D264+E264</f>
        <v>0</v>
      </c>
      <c r="G264" s="58">
        <v>0</v>
      </c>
      <c r="H264" s="58">
        <f>F264*(($H$156)+1)+(IF(G264&lt;101,G264,IF(G264&lt;201,G264/2,IF(G264&lt;=301,G264/3,G264/4))))</f>
        <v>0</v>
      </c>
      <c r="I264" s="36"/>
    </row>
    <row r="265" spans="1:20" s="37" customFormat="1" ht="15.75" hidden="1" customHeight="1" x14ac:dyDescent="0.25">
      <c r="A265" s="112"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205 &amp; 505</v>
      </c>
      <c r="B265" s="113"/>
      <c r="C265" s="42"/>
      <c r="D265" s="42"/>
      <c r="E265" s="58">
        <v>0</v>
      </c>
      <c r="F265" s="58">
        <f>D265+E265</f>
        <v>0</v>
      </c>
      <c r="G265" s="58">
        <v>0</v>
      </c>
      <c r="H265" s="58">
        <f>F265*(($H$156)+1)+(IF(G265&lt;101,G265,IF(G265&lt;201,G265/2,IF(G265&lt;=301,G265/3,G265/4))))</f>
        <v>0</v>
      </c>
      <c r="I265" s="36"/>
    </row>
    <row r="266" spans="1:20" s="35" customFormat="1" x14ac:dyDescent="0.25">
      <c r="A266" s="129" t="s">
        <v>64</v>
      </c>
      <c r="B266" s="129"/>
      <c r="C266" s="129"/>
      <c r="D266" s="129"/>
      <c r="E266" s="129"/>
      <c r="F266" s="129"/>
      <c r="G266" s="129"/>
      <c r="H266" s="129"/>
      <c r="T266" s="37"/>
    </row>
    <row r="267" spans="1:20" s="35" customFormat="1" x14ac:dyDescent="0.25">
      <c r="A267" s="46" t="s">
        <v>155</v>
      </c>
      <c r="B267" s="169" t="s">
        <v>433</v>
      </c>
      <c r="C267" s="170"/>
      <c r="D267" s="170"/>
      <c r="E267" s="170"/>
      <c r="F267" s="170"/>
      <c r="G267" s="170"/>
      <c r="H267" s="171"/>
      <c r="T267" s="37"/>
    </row>
    <row r="268" spans="1:20" s="35" customFormat="1" x14ac:dyDescent="0.25">
      <c r="A268" s="46" t="s">
        <v>155</v>
      </c>
      <c r="B268" s="109" t="str">
        <f>(IF(H155="Saleable area Loading :","We have considered Saleable area of Flats as per our Calculation.","We considered Saleable area of Flat as per Builder area Sheet."))</f>
        <v>We have considered Saleable area of Flats as per our Calculation.</v>
      </c>
      <c r="C268" s="110"/>
      <c r="D268" s="110"/>
      <c r="E268" s="110"/>
      <c r="F268" s="110"/>
      <c r="G268" s="110"/>
      <c r="H268" s="111"/>
      <c r="T268" s="37"/>
    </row>
    <row r="269" spans="1:20" s="35" customFormat="1" x14ac:dyDescent="0.25">
      <c r="A269" s="46" t="s">
        <v>155</v>
      </c>
      <c r="B269" s="169" t="str">
        <f>(IF(H145="Saleable area Loading :","We have considered Saleable area of Commercial as per our Calculation.","We considered Saleable area of Commercial as per Builder area Sheet."))</f>
        <v>We have considered Saleable area of Commercial as per our Calculation.</v>
      </c>
      <c r="C269" s="170"/>
      <c r="D269" s="170"/>
      <c r="E269" s="170"/>
      <c r="F269" s="170"/>
      <c r="G269" s="170"/>
      <c r="H269" s="171"/>
      <c r="T269" s="37"/>
    </row>
    <row r="270" spans="1:20" s="35" customFormat="1" x14ac:dyDescent="0.25">
      <c r="A270" s="46" t="s">
        <v>155</v>
      </c>
      <c r="B270" s="173" t="s">
        <v>122</v>
      </c>
      <c r="C270" s="174"/>
      <c r="D270" s="174"/>
      <c r="E270" s="174"/>
      <c r="F270" s="174"/>
      <c r="G270" s="174"/>
      <c r="H270" s="175"/>
      <c r="T270" s="37"/>
    </row>
    <row r="271" spans="1:20" s="35" customFormat="1" x14ac:dyDescent="0.25">
      <c r="A271" s="46" t="s">
        <v>155</v>
      </c>
      <c r="B271" s="169" t="s">
        <v>413</v>
      </c>
      <c r="C271" s="170"/>
      <c r="D271" s="170"/>
      <c r="E271" s="170"/>
      <c r="F271" s="170"/>
      <c r="G271" s="170"/>
      <c r="H271" s="171"/>
      <c r="T271" s="37"/>
    </row>
    <row r="272" spans="1:20" s="35" customFormat="1" x14ac:dyDescent="0.25">
      <c r="A272" s="46" t="s">
        <v>155</v>
      </c>
      <c r="B272" s="173" t="s">
        <v>154</v>
      </c>
      <c r="C272" s="174"/>
      <c r="D272" s="174"/>
      <c r="E272" s="174"/>
      <c r="F272" s="174"/>
      <c r="G272" s="174"/>
      <c r="H272" s="175"/>
    </row>
    <row r="273" spans="1:20" s="35" customFormat="1" x14ac:dyDescent="0.25">
      <c r="A273" s="46" t="s">
        <v>155</v>
      </c>
      <c r="B273" s="173" t="s">
        <v>123</v>
      </c>
      <c r="C273" s="174"/>
      <c r="D273" s="174"/>
      <c r="E273" s="174"/>
      <c r="F273" s="174"/>
      <c r="G273" s="174"/>
      <c r="H273" s="175"/>
    </row>
    <row r="274" spans="1:20" s="35" customFormat="1" ht="34.5" customHeight="1" x14ac:dyDescent="0.25">
      <c r="A274" s="46" t="s">
        <v>155</v>
      </c>
      <c r="B274" s="169" t="s">
        <v>156</v>
      </c>
      <c r="C274" s="170"/>
      <c r="D274" s="170"/>
      <c r="E274" s="170"/>
      <c r="F274" s="170"/>
      <c r="G274" s="170"/>
      <c r="H274" s="171"/>
    </row>
    <row r="275" spans="1:20" s="35" customFormat="1" x14ac:dyDescent="0.25">
      <c r="A275" s="46" t="s">
        <v>155</v>
      </c>
      <c r="B275" s="173" t="s">
        <v>124</v>
      </c>
      <c r="C275" s="174"/>
      <c r="D275" s="174"/>
      <c r="E275" s="174"/>
      <c r="F275" s="174"/>
      <c r="G275" s="174"/>
      <c r="H275" s="175"/>
    </row>
    <row r="276" spans="1:20" s="35" customFormat="1" ht="32.25" customHeight="1" x14ac:dyDescent="0.25">
      <c r="A276" s="55" t="s">
        <v>155</v>
      </c>
      <c r="B276" s="169" t="s">
        <v>182</v>
      </c>
      <c r="C276" s="170"/>
      <c r="D276" s="170"/>
      <c r="E276" s="170"/>
      <c r="F276" s="170"/>
      <c r="G276" s="170"/>
      <c r="H276" s="171"/>
    </row>
    <row r="277" spans="1:20" s="35" customFormat="1" hidden="1" x14ac:dyDescent="0.25">
      <c r="A277" s="59" t="s">
        <v>155</v>
      </c>
      <c r="B277" s="115" t="s">
        <v>414</v>
      </c>
      <c r="C277" s="116"/>
      <c r="D277" s="116"/>
      <c r="E277" s="116"/>
      <c r="F277" s="116"/>
      <c r="G277" s="116"/>
      <c r="H277" s="117"/>
    </row>
    <row r="278" spans="1:20" s="35" customFormat="1" hidden="1" x14ac:dyDescent="0.25">
      <c r="A278" s="90" t="s">
        <v>155</v>
      </c>
      <c r="B278" s="115" t="s">
        <v>356</v>
      </c>
      <c r="C278" s="116"/>
      <c r="D278" s="116"/>
      <c r="E278" s="116"/>
      <c r="F278" s="116"/>
      <c r="G278" s="116"/>
      <c r="H278" s="117"/>
    </row>
    <row r="279" spans="1:20" s="35" customFormat="1" hidden="1" x14ac:dyDescent="0.25">
      <c r="A279" s="90" t="s">
        <v>155</v>
      </c>
      <c r="B279" s="115" t="str">
        <f ca="1">IF(G52&gt;EDATE(E3,-48),"NO REMARK FOR CC","REMARK FOR CC")</f>
        <v>NO REMARK FOR CC</v>
      </c>
      <c r="C279" s="116"/>
      <c r="D279" s="116"/>
      <c r="E279" s="116"/>
      <c r="F279" s="116"/>
      <c r="G279" s="116"/>
      <c r="H279" s="117"/>
    </row>
    <row r="280" spans="1:20" s="35" customFormat="1" ht="81.75" hidden="1" customHeight="1" x14ac:dyDescent="0.25">
      <c r="A280" s="91" t="s">
        <v>155</v>
      </c>
      <c r="B280" s="115" t="s">
        <v>357</v>
      </c>
      <c r="C280" s="116"/>
      <c r="D280" s="116"/>
      <c r="E280" s="116"/>
      <c r="F280" s="116"/>
      <c r="G280" s="116"/>
      <c r="H280" s="117"/>
    </row>
    <row r="281" spans="1:20" s="35" customFormat="1" hidden="1" x14ac:dyDescent="0.25">
      <c r="A281" s="98" t="s">
        <v>155</v>
      </c>
      <c r="B281" s="115" t="s">
        <v>417</v>
      </c>
      <c r="C281" s="116"/>
      <c r="D281" s="116"/>
      <c r="E281" s="116"/>
      <c r="F281" s="116"/>
      <c r="G281" s="116"/>
      <c r="H281" s="117"/>
    </row>
    <row r="282" spans="1:20" s="35" customFormat="1" x14ac:dyDescent="0.25">
      <c r="A282" s="98" t="s">
        <v>155</v>
      </c>
      <c r="B282" s="109" t="s">
        <v>428</v>
      </c>
      <c r="C282" s="110"/>
      <c r="D282" s="110"/>
      <c r="E282" s="110"/>
      <c r="F282" s="110"/>
      <c r="G282" s="110"/>
      <c r="H282" s="111"/>
    </row>
    <row r="283" spans="1:20" s="35" customFormat="1" x14ac:dyDescent="0.25">
      <c r="A283" s="106" t="s">
        <v>155</v>
      </c>
      <c r="B283" s="109" t="s">
        <v>430</v>
      </c>
      <c r="C283" s="110"/>
      <c r="D283" s="110"/>
      <c r="E283" s="110"/>
      <c r="F283" s="110"/>
      <c r="G283" s="110"/>
      <c r="H283" s="111"/>
    </row>
    <row r="284" spans="1:20" s="35" customFormat="1" x14ac:dyDescent="0.25">
      <c r="A284" s="108" t="s">
        <v>155</v>
      </c>
      <c r="B284" s="109" t="s">
        <v>438</v>
      </c>
      <c r="C284" s="110"/>
      <c r="D284" s="110"/>
      <c r="E284" s="110"/>
      <c r="F284" s="110"/>
      <c r="G284" s="110"/>
      <c r="H284" s="111"/>
    </row>
    <row r="285" spans="1:20" s="35" customFormat="1" x14ac:dyDescent="0.25">
      <c r="A285" s="107" t="s">
        <v>155</v>
      </c>
      <c r="B285" s="109" t="s">
        <v>439</v>
      </c>
      <c r="C285" s="110"/>
      <c r="D285" s="110"/>
      <c r="E285" s="110"/>
      <c r="F285" s="110"/>
      <c r="G285" s="110"/>
      <c r="H285" s="111"/>
    </row>
    <row r="286" spans="1:20" x14ac:dyDescent="0.25">
      <c r="A286" s="172" t="s">
        <v>57</v>
      </c>
      <c r="B286" s="172"/>
      <c r="C286" s="172"/>
      <c r="D286" s="172"/>
      <c r="E286" s="172"/>
      <c r="F286" s="172"/>
      <c r="G286" s="172"/>
      <c r="H286" s="172"/>
      <c r="T286" s="35"/>
    </row>
    <row r="287" spans="1:20" x14ac:dyDescent="0.25">
      <c r="A287" s="140" t="s">
        <v>58</v>
      </c>
      <c r="B287" s="140"/>
      <c r="C287" s="140"/>
      <c r="D287" s="140"/>
      <c r="E287" s="140"/>
      <c r="F287" s="140"/>
      <c r="G287" s="140"/>
      <c r="H287" s="140"/>
      <c r="T287" s="35"/>
    </row>
    <row r="288" spans="1:20" ht="15.75" customHeight="1" x14ac:dyDescent="0.25">
      <c r="A288" s="162" t="s">
        <v>59</v>
      </c>
      <c r="B288" s="162"/>
      <c r="C288" s="162"/>
      <c r="D288" s="162"/>
      <c r="E288" s="162"/>
      <c r="F288" s="162"/>
      <c r="G288" s="162"/>
      <c r="H288" s="162"/>
      <c r="T288" s="35"/>
    </row>
    <row r="289" spans="1:20" x14ac:dyDescent="0.25">
      <c r="A289" s="140" t="s">
        <v>60</v>
      </c>
      <c r="B289" s="140"/>
      <c r="C289" s="140"/>
      <c r="D289" s="140"/>
      <c r="E289" s="140"/>
      <c r="F289" s="140"/>
      <c r="G289" s="140"/>
      <c r="H289" s="140"/>
      <c r="T289" s="35"/>
    </row>
    <row r="290" spans="1:20" x14ac:dyDescent="0.25">
      <c r="A290" s="140" t="s">
        <v>61</v>
      </c>
      <c r="B290" s="140"/>
      <c r="C290" s="140"/>
      <c r="D290" s="140"/>
      <c r="E290" s="140"/>
      <c r="F290" s="140"/>
      <c r="G290" s="140"/>
      <c r="H290" s="140"/>
      <c r="T290" s="35"/>
    </row>
    <row r="291" spans="1:20" x14ac:dyDescent="0.25">
      <c r="A291" s="140" t="s">
        <v>125</v>
      </c>
      <c r="B291" s="140"/>
      <c r="C291" s="140"/>
      <c r="D291" s="140"/>
      <c r="E291" s="140"/>
      <c r="F291" s="140"/>
      <c r="G291" s="140"/>
      <c r="H291" s="140"/>
      <c r="T291" s="35"/>
    </row>
    <row r="292" spans="1:20" ht="33.950000000000003" customHeight="1" x14ac:dyDescent="0.25">
      <c r="A292" s="130" t="s">
        <v>126</v>
      </c>
      <c r="B292" s="130"/>
      <c r="C292" s="130"/>
      <c r="D292" s="130"/>
      <c r="E292" s="130"/>
      <c r="F292" s="130"/>
      <c r="G292" s="130"/>
      <c r="H292" s="130"/>
    </row>
    <row r="293" spans="1:20" x14ac:dyDescent="0.25">
      <c r="A293" s="185" t="s">
        <v>73</v>
      </c>
      <c r="B293" s="185"/>
      <c r="C293" s="185" t="s">
        <v>431</v>
      </c>
      <c r="D293" s="185"/>
      <c r="E293" s="185" t="s">
        <v>103</v>
      </c>
      <c r="F293" s="185"/>
      <c r="G293" s="186" t="s">
        <v>432</v>
      </c>
      <c r="H293" s="186"/>
    </row>
    <row r="294" spans="1:20" x14ac:dyDescent="0.25">
      <c r="A294" s="184" t="s">
        <v>75</v>
      </c>
      <c r="B294" s="184"/>
      <c r="C294" s="184"/>
      <c r="D294" s="184"/>
      <c r="E294" s="184"/>
      <c r="F294" s="184"/>
      <c r="G294" s="184"/>
      <c r="H294" s="184"/>
    </row>
    <row r="295" spans="1:20" x14ac:dyDescent="0.25">
      <c r="A295" s="184"/>
      <c r="B295" s="184"/>
      <c r="C295" s="184"/>
      <c r="D295" s="184"/>
      <c r="E295" s="184"/>
      <c r="F295" s="184"/>
      <c r="G295" s="184"/>
      <c r="H295" s="184"/>
    </row>
    <row r="296" spans="1:20" x14ac:dyDescent="0.25">
      <c r="A296" s="184"/>
      <c r="B296" s="184"/>
      <c r="C296" s="184"/>
      <c r="D296" s="184"/>
      <c r="E296" s="184"/>
      <c r="F296" s="184"/>
      <c r="G296" s="184"/>
      <c r="H296" s="184"/>
    </row>
    <row r="297" spans="1:20" x14ac:dyDescent="0.25">
      <c r="A297" s="184"/>
      <c r="B297" s="184"/>
      <c r="C297" s="184"/>
      <c r="D297" s="184"/>
      <c r="E297" s="184"/>
      <c r="F297" s="184"/>
      <c r="G297" s="184"/>
      <c r="H297" s="184"/>
    </row>
    <row r="298" spans="1:20" x14ac:dyDescent="0.25">
      <c r="A298" s="38" t="s">
        <v>62</v>
      </c>
      <c r="B298" s="39"/>
      <c r="C298" s="39"/>
      <c r="D298" s="38" t="str">
        <f>E9</f>
        <v>Tigon Elite</v>
      </c>
      <c r="F298" s="39"/>
      <c r="G298" s="39"/>
      <c r="H298" s="39"/>
    </row>
    <row r="299" spans="1:20" x14ac:dyDescent="0.25">
      <c r="A299" s="39"/>
      <c r="B299" s="39"/>
      <c r="C299" s="39"/>
      <c r="D299" s="39"/>
      <c r="E299" s="39"/>
      <c r="F299" s="39"/>
      <c r="G299" s="39"/>
      <c r="H299" s="39"/>
    </row>
    <row r="300" spans="1:20" x14ac:dyDescent="0.25">
      <c r="A300" s="39"/>
      <c r="B300" s="39"/>
      <c r="C300" s="39"/>
      <c r="D300" s="39"/>
      <c r="E300" s="39"/>
      <c r="F300" s="39"/>
      <c r="G300" s="39"/>
      <c r="H300" s="39"/>
    </row>
    <row r="301" spans="1:20" ht="15" customHeight="1" x14ac:dyDescent="0.25"/>
    <row r="341" spans="1:1" x14ac:dyDescent="0.25">
      <c r="A341" s="41" t="s">
        <v>165</v>
      </c>
    </row>
    <row r="384" spans="1:1" x14ac:dyDescent="0.25">
      <c r="A384" s="41" t="s">
        <v>63</v>
      </c>
    </row>
  </sheetData>
  <mergeCells count="521">
    <mergeCell ref="B284:H284"/>
    <mergeCell ref="A82:B82"/>
    <mergeCell ref="B283:H283"/>
    <mergeCell ref="L237:M237"/>
    <mergeCell ref="A158:H158"/>
    <mergeCell ref="A159:B159"/>
    <mergeCell ref="L159:M159"/>
    <mergeCell ref="A160:B160"/>
    <mergeCell ref="L160:M160"/>
    <mergeCell ref="A161:B161"/>
    <mergeCell ref="L161:M161"/>
    <mergeCell ref="A162:B162"/>
    <mergeCell ref="L162:M162"/>
    <mergeCell ref="L167:M167"/>
    <mergeCell ref="A168:H168"/>
    <mergeCell ref="A169:B169"/>
    <mergeCell ref="L169:M169"/>
    <mergeCell ref="A170:B170"/>
    <mergeCell ref="L170:M170"/>
    <mergeCell ref="A171:B171"/>
    <mergeCell ref="A235:B235"/>
    <mergeCell ref="L235:M235"/>
    <mergeCell ref="A236:B236"/>
    <mergeCell ref="L236:M236"/>
    <mergeCell ref="L234:M234"/>
    <mergeCell ref="G94:H94"/>
    <mergeCell ref="L152:M152"/>
    <mergeCell ref="L151:M151"/>
    <mergeCell ref="L150:M150"/>
    <mergeCell ref="L149:M149"/>
    <mergeCell ref="A88:B88"/>
    <mergeCell ref="A120:E120"/>
    <mergeCell ref="A91:B91"/>
    <mergeCell ref="C91:H91"/>
    <mergeCell ref="A95:B95"/>
    <mergeCell ref="G142:H142"/>
    <mergeCell ref="C142:D142"/>
    <mergeCell ref="A102:B102"/>
    <mergeCell ref="A103:B103"/>
    <mergeCell ref="A122:E122"/>
    <mergeCell ref="A119:E119"/>
    <mergeCell ref="F123:H123"/>
    <mergeCell ref="A123:E123"/>
    <mergeCell ref="F119:H119"/>
    <mergeCell ref="A116:B116"/>
    <mergeCell ref="A117:B117"/>
    <mergeCell ref="A147:H147"/>
    <mergeCell ref="B280:H280"/>
    <mergeCell ref="A118:B118"/>
    <mergeCell ref="C145:C146"/>
    <mergeCell ref="B155:B156"/>
    <mergeCell ref="B269:H269"/>
    <mergeCell ref="A94:B94"/>
    <mergeCell ref="E94:F94"/>
    <mergeCell ref="E95:F104"/>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3:B113"/>
    <mergeCell ref="A114:B114"/>
    <mergeCell ref="A115:B115"/>
    <mergeCell ref="B277:H277"/>
    <mergeCell ref="A124:E124"/>
    <mergeCell ref="A141:B141"/>
    <mergeCell ref="E141:F141"/>
    <mergeCell ref="A129:E129"/>
    <mergeCell ref="G141:H141"/>
    <mergeCell ref="C135:D135"/>
    <mergeCell ref="E135:F135"/>
    <mergeCell ref="G135:H135"/>
    <mergeCell ref="A136:B136"/>
    <mergeCell ref="C136:D136"/>
    <mergeCell ref="E136:F136"/>
    <mergeCell ref="G136:H136"/>
    <mergeCell ref="A140:B140"/>
    <mergeCell ref="C140:D140"/>
    <mergeCell ref="E140:F140"/>
    <mergeCell ref="E142:F142"/>
    <mergeCell ref="B275:H275"/>
    <mergeCell ref="B273:H273"/>
    <mergeCell ref="C139:D139"/>
    <mergeCell ref="E139:F139"/>
    <mergeCell ref="G139:H139"/>
    <mergeCell ref="A148:H148"/>
    <mergeCell ref="E145:E146"/>
    <mergeCell ref="A153:B153"/>
    <mergeCell ref="L153:M153"/>
    <mergeCell ref="A157:H157"/>
    <mergeCell ref="A67:C69"/>
    <mergeCell ref="D67:H67"/>
    <mergeCell ref="D68:H68"/>
    <mergeCell ref="A79:B79"/>
    <mergeCell ref="A77:B77"/>
    <mergeCell ref="C77:H77"/>
    <mergeCell ref="A72:C72"/>
    <mergeCell ref="D72:H72"/>
    <mergeCell ref="C79:H79"/>
    <mergeCell ref="A73:C73"/>
    <mergeCell ref="D73:H73"/>
    <mergeCell ref="A76:C76"/>
    <mergeCell ref="D76:H76"/>
    <mergeCell ref="A75:C75"/>
    <mergeCell ref="A83:B83"/>
    <mergeCell ref="E81:F90"/>
    <mergeCell ref="G81:H90"/>
    <mergeCell ref="A100:B100"/>
    <mergeCell ref="E80:F80"/>
    <mergeCell ref="A87:B87"/>
    <mergeCell ref="D69:H69"/>
    <mergeCell ref="A40:B40"/>
    <mergeCell ref="C40:H40"/>
    <mergeCell ref="F145:F146"/>
    <mergeCell ref="C134:D134"/>
    <mergeCell ref="E134:F134"/>
    <mergeCell ref="B145:B146"/>
    <mergeCell ref="A145:A146"/>
    <mergeCell ref="C155:C156"/>
    <mergeCell ref="G155:G156"/>
    <mergeCell ref="C93:H93"/>
    <mergeCell ref="A96:B96"/>
    <mergeCell ref="A97:B97"/>
    <mergeCell ref="G95:H104"/>
    <mergeCell ref="A98:B98"/>
    <mergeCell ref="F121:H121"/>
    <mergeCell ref="A121:E121"/>
    <mergeCell ref="D145:D146"/>
    <mergeCell ref="G140:H140"/>
    <mergeCell ref="A93:B93"/>
    <mergeCell ref="A80:B80"/>
    <mergeCell ref="A46:D46"/>
    <mergeCell ref="A47:D47"/>
    <mergeCell ref="D71:H71"/>
    <mergeCell ref="E44:H44"/>
    <mergeCell ref="A38:H38"/>
    <mergeCell ref="A37:B37"/>
    <mergeCell ref="C37:E37"/>
    <mergeCell ref="A42:D42"/>
    <mergeCell ref="E42:H42"/>
    <mergeCell ref="A41:H41"/>
    <mergeCell ref="A70:C70"/>
    <mergeCell ref="A71:C71"/>
    <mergeCell ref="D70:H70"/>
    <mergeCell ref="F37:H37"/>
    <mergeCell ref="C51:E51"/>
    <mergeCell ref="C50:E50"/>
    <mergeCell ref="G50:H50"/>
    <mergeCell ref="A51:B51"/>
    <mergeCell ref="G58:H58"/>
    <mergeCell ref="A60:B61"/>
    <mergeCell ref="C60:E60"/>
    <mergeCell ref="G60:H60"/>
    <mergeCell ref="G51:H51"/>
    <mergeCell ref="A52:B53"/>
    <mergeCell ref="A39:B39"/>
    <mergeCell ref="C39:H39"/>
    <mergeCell ref="A65:C65"/>
    <mergeCell ref="C56:E56"/>
    <mergeCell ref="E45:H45"/>
    <mergeCell ref="E46:H46"/>
    <mergeCell ref="E47:H47"/>
    <mergeCell ref="C59:H59"/>
    <mergeCell ref="A48:H48"/>
    <mergeCell ref="D66:H66"/>
    <mergeCell ref="A66:C66"/>
    <mergeCell ref="A45:D45"/>
    <mergeCell ref="A49:B49"/>
    <mergeCell ref="C49:H49"/>
    <mergeCell ref="G52:H52"/>
    <mergeCell ref="A63:H63"/>
    <mergeCell ref="A64:C64"/>
    <mergeCell ref="A58:B59"/>
    <mergeCell ref="C58:E58"/>
    <mergeCell ref="G61:H61"/>
    <mergeCell ref="C53:H53"/>
    <mergeCell ref="C57:H57"/>
    <mergeCell ref="C52:E52"/>
    <mergeCell ref="A54:B55"/>
    <mergeCell ref="C54:E54"/>
    <mergeCell ref="G54:H54"/>
    <mergeCell ref="C55:H55"/>
    <mergeCell ref="A44:D44"/>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43:H43"/>
    <mergeCell ref="A43:D43"/>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12:D12"/>
    <mergeCell ref="E12:H12"/>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7:B17"/>
    <mergeCell ref="A14:D14"/>
    <mergeCell ref="A19:B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F124:H124"/>
    <mergeCell ref="A231:B231"/>
    <mergeCell ref="A152:B152"/>
    <mergeCell ref="A294:H297"/>
    <mergeCell ref="A293:B293"/>
    <mergeCell ref="E293:F293"/>
    <mergeCell ref="C293:D293"/>
    <mergeCell ref="G293:H293"/>
    <mergeCell ref="A132:H132"/>
    <mergeCell ref="A130:E130"/>
    <mergeCell ref="F130:H130"/>
    <mergeCell ref="A131:E131"/>
    <mergeCell ref="F131:H131"/>
    <mergeCell ref="A242:H242"/>
    <mergeCell ref="A139:B139"/>
    <mergeCell ref="A251:B251"/>
    <mergeCell ref="A134:B134"/>
    <mergeCell ref="A289:H289"/>
    <mergeCell ref="A137:H137"/>
    <mergeCell ref="A292:H292"/>
    <mergeCell ref="A290:H290"/>
    <mergeCell ref="A286:H286"/>
    <mergeCell ref="G138:H138"/>
    <mergeCell ref="B272:H272"/>
    <mergeCell ref="A154:H154"/>
    <mergeCell ref="E138:F138"/>
    <mergeCell ref="A143:H143"/>
    <mergeCell ref="A249:B249"/>
    <mergeCell ref="A149:B149"/>
    <mergeCell ref="B276:H276"/>
    <mergeCell ref="A142:B142"/>
    <mergeCell ref="A253:B253"/>
    <mergeCell ref="A234:B234"/>
    <mergeCell ref="B274:H274"/>
    <mergeCell ref="G145:G146"/>
    <mergeCell ref="A256:B256"/>
    <mergeCell ref="A264:B264"/>
    <mergeCell ref="B267:H267"/>
    <mergeCell ref="B268:H268"/>
    <mergeCell ref="B270:H270"/>
    <mergeCell ref="A237:B237"/>
    <mergeCell ref="B278:H278"/>
    <mergeCell ref="F155:F156"/>
    <mergeCell ref="A184:B184"/>
    <mergeCell ref="A195:B195"/>
    <mergeCell ref="A291:H291"/>
    <mergeCell ref="A288:H288"/>
    <mergeCell ref="A243:B243"/>
    <mergeCell ref="A138:B138"/>
    <mergeCell ref="D155:D156"/>
    <mergeCell ref="E155:E156"/>
    <mergeCell ref="A99:B99"/>
    <mergeCell ref="A101:B101"/>
    <mergeCell ref="F120:H120"/>
    <mergeCell ref="G134:H134"/>
    <mergeCell ref="A104:B104"/>
    <mergeCell ref="F126:H126"/>
    <mergeCell ref="C133:D133"/>
    <mergeCell ref="C141:D141"/>
    <mergeCell ref="A230:H230"/>
    <mergeCell ref="A252:B252"/>
    <mergeCell ref="B271:H271"/>
    <mergeCell ref="A261:B261"/>
    <mergeCell ref="A262:B262"/>
    <mergeCell ref="A265:B265"/>
    <mergeCell ref="A151:B151"/>
    <mergeCell ref="A125:E125"/>
    <mergeCell ref="A287:H287"/>
    <mergeCell ref="B279:H279"/>
    <mergeCell ref="I15:P15"/>
    <mergeCell ref="F129:H129"/>
    <mergeCell ref="F127:H127"/>
    <mergeCell ref="A250:B250"/>
    <mergeCell ref="A144:H144"/>
    <mergeCell ref="G133:H133"/>
    <mergeCell ref="A128:E128"/>
    <mergeCell ref="A150:B150"/>
    <mergeCell ref="A62:B62"/>
    <mergeCell ref="C62:E62"/>
    <mergeCell ref="D64:H64"/>
    <mergeCell ref="F128:H128"/>
    <mergeCell ref="E133:F133"/>
    <mergeCell ref="A133:B133"/>
    <mergeCell ref="A135:B135"/>
    <mergeCell ref="C138:D138"/>
    <mergeCell ref="D74:H74"/>
    <mergeCell ref="D65:H65"/>
    <mergeCell ref="G62:H62"/>
    <mergeCell ref="A56:B57"/>
    <mergeCell ref="C61:E61"/>
    <mergeCell ref="G56:H56"/>
    <mergeCell ref="A86:B86"/>
    <mergeCell ref="A50:B50"/>
    <mergeCell ref="A266:H266"/>
    <mergeCell ref="A258:B258"/>
    <mergeCell ref="A259:B259"/>
    <mergeCell ref="A254:H254"/>
    <mergeCell ref="A248:H248"/>
    <mergeCell ref="A263:B263"/>
    <mergeCell ref="A260:H260"/>
    <mergeCell ref="A74:C74"/>
    <mergeCell ref="D75:H75"/>
    <mergeCell ref="A81:B81"/>
    <mergeCell ref="G80:H80"/>
    <mergeCell ref="A89:B89"/>
    <mergeCell ref="A90:B90"/>
    <mergeCell ref="A85:B85"/>
    <mergeCell ref="A84:B84"/>
    <mergeCell ref="A238:H238"/>
    <mergeCell ref="A179:B179"/>
    <mergeCell ref="A155:A156"/>
    <mergeCell ref="F125:H125"/>
    <mergeCell ref="A127:E127"/>
    <mergeCell ref="F122:H122"/>
    <mergeCell ref="A126:E126"/>
    <mergeCell ref="A191:H191"/>
    <mergeCell ref="A192:B192"/>
    <mergeCell ref="L180:M180"/>
    <mergeCell ref="A239:B239"/>
    <mergeCell ref="C239:H239"/>
    <mergeCell ref="L239:M239"/>
    <mergeCell ref="A163:H163"/>
    <mergeCell ref="A164:B164"/>
    <mergeCell ref="L164:M164"/>
    <mergeCell ref="A165:B165"/>
    <mergeCell ref="L165:M165"/>
    <mergeCell ref="A166:B166"/>
    <mergeCell ref="L166:M166"/>
    <mergeCell ref="A167:B167"/>
    <mergeCell ref="A189:B189"/>
    <mergeCell ref="L189:M189"/>
    <mergeCell ref="A190:B190"/>
    <mergeCell ref="L190:M190"/>
    <mergeCell ref="A178:H178"/>
    <mergeCell ref="A181:B181"/>
    <mergeCell ref="L181:M181"/>
    <mergeCell ref="A182:B182"/>
    <mergeCell ref="L182:M182"/>
    <mergeCell ref="A183:H183"/>
    <mergeCell ref="L171:M171"/>
    <mergeCell ref="A172:B172"/>
    <mergeCell ref="L172:M172"/>
    <mergeCell ref="A187:H187"/>
    <mergeCell ref="A188:B188"/>
    <mergeCell ref="L188:M188"/>
    <mergeCell ref="L185:M185"/>
    <mergeCell ref="A186:B186"/>
    <mergeCell ref="L186:M186"/>
    <mergeCell ref="A173:H173"/>
    <mergeCell ref="A174:B174"/>
    <mergeCell ref="L174:M174"/>
    <mergeCell ref="A175:B175"/>
    <mergeCell ref="L175:M175"/>
    <mergeCell ref="A176:B176"/>
    <mergeCell ref="L176:M176"/>
    <mergeCell ref="A177:B177"/>
    <mergeCell ref="L177:M177"/>
    <mergeCell ref="C174:H174"/>
    <mergeCell ref="C177:H177"/>
    <mergeCell ref="L184:M184"/>
    <mergeCell ref="A185:B185"/>
    <mergeCell ref="L179:M179"/>
    <mergeCell ref="A180:B180"/>
    <mergeCell ref="L192:M192"/>
    <mergeCell ref="A193:B193"/>
    <mergeCell ref="L193:M193"/>
    <mergeCell ref="A194:B194"/>
    <mergeCell ref="L194:M194"/>
    <mergeCell ref="L195:M195"/>
    <mergeCell ref="C194:H195"/>
    <mergeCell ref="A196:H196"/>
    <mergeCell ref="A198:H198"/>
    <mergeCell ref="A199:B199"/>
    <mergeCell ref="C199:H199"/>
    <mergeCell ref="L199:M199"/>
    <mergeCell ref="A200:B200"/>
    <mergeCell ref="L200:M200"/>
    <mergeCell ref="A201:B201"/>
    <mergeCell ref="L201:M201"/>
    <mergeCell ref="A197:H197"/>
    <mergeCell ref="A202:H202"/>
    <mergeCell ref="A203:B203"/>
    <mergeCell ref="L203:M203"/>
    <mergeCell ref="A204:B204"/>
    <mergeCell ref="L204:M204"/>
    <mergeCell ref="A205:B205"/>
    <mergeCell ref="L205:M205"/>
    <mergeCell ref="A214:H214"/>
    <mergeCell ref="A215:B215"/>
    <mergeCell ref="L215:M215"/>
    <mergeCell ref="A216:B216"/>
    <mergeCell ref="L216:M216"/>
    <mergeCell ref="A217:B217"/>
    <mergeCell ref="L217:M217"/>
    <mergeCell ref="A206:H206"/>
    <mergeCell ref="A207:B207"/>
    <mergeCell ref="L207:M207"/>
    <mergeCell ref="A208:B208"/>
    <mergeCell ref="L208:M208"/>
    <mergeCell ref="A209:B209"/>
    <mergeCell ref="L209:M209"/>
    <mergeCell ref="A210:H210"/>
    <mergeCell ref="A211:B211"/>
    <mergeCell ref="L211:M211"/>
    <mergeCell ref="A212:B212"/>
    <mergeCell ref="L212:M212"/>
    <mergeCell ref="A213:B213"/>
    <mergeCell ref="L213:M213"/>
    <mergeCell ref="A255:B255"/>
    <mergeCell ref="A218:H218"/>
    <mergeCell ref="A219:B219"/>
    <mergeCell ref="L219:M219"/>
    <mergeCell ref="A220:B220"/>
    <mergeCell ref="L220:M220"/>
    <mergeCell ref="A221:B221"/>
    <mergeCell ref="L221:M221"/>
    <mergeCell ref="A222:H222"/>
    <mergeCell ref="A223:B223"/>
    <mergeCell ref="L223:M223"/>
    <mergeCell ref="A232:B232"/>
    <mergeCell ref="L232:M232"/>
    <mergeCell ref="A233:B233"/>
    <mergeCell ref="L233:M233"/>
    <mergeCell ref="L231:M231"/>
    <mergeCell ref="B285:H285"/>
    <mergeCell ref="A229:B229"/>
    <mergeCell ref="L229:M229"/>
    <mergeCell ref="B282:H282"/>
    <mergeCell ref="B281:H281"/>
    <mergeCell ref="A224:B224"/>
    <mergeCell ref="L224:M224"/>
    <mergeCell ref="A225:B225"/>
    <mergeCell ref="L225:M225"/>
    <mergeCell ref="A226:H226"/>
    <mergeCell ref="A227:B227"/>
    <mergeCell ref="L227:M227"/>
    <mergeCell ref="A228:B228"/>
    <mergeCell ref="L228:M228"/>
    <mergeCell ref="A240:B240"/>
    <mergeCell ref="L240:M240"/>
    <mergeCell ref="A241:B241"/>
    <mergeCell ref="L241:M241"/>
    <mergeCell ref="A257:B257"/>
    <mergeCell ref="A246:B246"/>
    <mergeCell ref="L242:M242"/>
    <mergeCell ref="A247:B247"/>
    <mergeCell ref="A244:B244"/>
    <mergeCell ref="A245:B245"/>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93:H293">
      <formula1>"Kunal Kadam,Pranita Mhatre,Shruti Fule,Pooja Kawale,Gaurav Panchal,Shruti Tathare, Hitakshi Mhatre, Sachin Sawant"</formula1>
    </dataValidation>
    <dataValidation type="list" allowBlank="1" showInputMessage="1" showErrorMessage="1" sqref="F119:H119">
      <formula1>"On Saleable Area,On Builtup Area,On Carpet Area,On Plot Area"</formula1>
    </dataValidation>
    <dataValidation type="list" allowBlank="1" showInputMessage="1" showErrorMessage="1" sqref="F130:H130">
      <formula1>OFFSET($S$119,1,MATCH($G20,$S$119:$W$119,0)-1,15,1)</formula1>
    </dataValidation>
    <dataValidation type="list" allowBlank="1" showInputMessage="1" showErrorMessage="1" sqref="B145:B146">
      <formula1>"Shop No. (Sale Plan),Sale / Rehab,Sale / Mhada"</formula1>
    </dataValidation>
    <dataValidation type="list" allowBlank="1" showInputMessage="1" showErrorMessage="1" sqref="B155:B15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area,Balcony Area + Dry Yard Area,Chajja Area,Cornice Area,AP Area,WS Area"</formula1>
    </dataValidation>
    <dataValidation type="list" allowBlank="1" showInputMessage="1" showErrorMessage="1" sqref="H146 H15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5 H155">
      <formula1>"Saleable area Loading :,Builder Saleable Area"</formula1>
    </dataValidation>
    <dataValidation type="list" allowBlank="1" showInputMessage="1" showErrorMessage="1" sqref="D145:D146 D155:D156">
      <formula1>"Carpet area,RERA Carpet area"</formula1>
    </dataValidation>
  </dataValidations>
  <hyperlinks>
    <hyperlink ref="C40" r:id="rId1"/>
    <hyperlink ref="I73" r:id="rId2" location="showModal" display="https://www.99acres.com/tigon-elite-subhash-nagar-central-mumbai-npxid-r399442?nn_source=Performance&amp;nn_account=google_cmt_projects&amp;nn_campaign=13742860051_124430417716_614690945708&amp;nn_medium=13742860051_124430417716_614690945708&amp;nn_adtype=g_&amp;nn_keyword=&amp;nn_placement=&amp;gad_source=1&amp;gclid=EAIaIQobChMI1cnb7N2kigMVKQ97Bx2AbzQLEAAYASAAEgL6UfD_BwE#showModal"/>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42" max="16383" man="1"/>
    <brk id="297" max="16383" man="1"/>
    <brk id="340" max="16383" man="1"/>
    <brk id="38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5" t="s">
        <v>104</v>
      </c>
      <c r="C3" s="275"/>
      <c r="D3" s="275"/>
      <c r="E3" s="275"/>
      <c r="F3" s="275"/>
      <c r="G3" s="275"/>
      <c r="H3" s="275"/>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6"/>
      <c r="C4" s="56" t="s">
        <v>10</v>
      </c>
      <c r="D4" s="57" t="s">
        <v>183</v>
      </c>
      <c r="E4" s="57" t="s">
        <v>193</v>
      </c>
      <c r="F4" s="57" t="s">
        <v>175</v>
      </c>
      <c r="G4" s="57" t="s">
        <v>198</v>
      </c>
      <c r="H4" s="57" t="s">
        <v>216</v>
      </c>
      <c r="J4" t="s">
        <v>198</v>
      </c>
      <c r="K4" t="s">
        <v>214</v>
      </c>
    </row>
    <row r="5" spans="2:11" x14ac:dyDescent="0.25">
      <c r="B5" s="56"/>
      <c r="C5" s="56"/>
      <c r="D5" s="57" t="s">
        <v>184</v>
      </c>
      <c r="E5" s="57" t="s">
        <v>191</v>
      </c>
      <c r="F5" s="57" t="s">
        <v>213</v>
      </c>
      <c r="G5" s="57" t="s">
        <v>199</v>
      </c>
      <c r="H5" s="57" t="s">
        <v>217</v>
      </c>
    </row>
    <row r="6" spans="2:11" x14ac:dyDescent="0.25">
      <c r="B6" s="56"/>
      <c r="C6" s="56"/>
      <c r="D6" s="57" t="s">
        <v>185</v>
      </c>
      <c r="E6" s="57" t="s">
        <v>192</v>
      </c>
      <c r="F6" s="57" t="s">
        <v>214</v>
      </c>
      <c r="G6" s="57" t="s">
        <v>200</v>
      </c>
      <c r="H6" s="57" t="s">
        <v>230</v>
      </c>
    </row>
    <row r="7" spans="2:11" x14ac:dyDescent="0.25">
      <c r="B7" s="56"/>
      <c r="C7" s="56"/>
      <c r="D7" s="57" t="s">
        <v>186</v>
      </c>
      <c r="E7" s="57" t="s">
        <v>194</v>
      </c>
      <c r="F7" s="57" t="s">
        <v>215</v>
      </c>
      <c r="G7" s="57" t="s">
        <v>201</v>
      </c>
      <c r="H7" s="57" t="s">
        <v>218</v>
      </c>
    </row>
    <row r="8" spans="2:11" x14ac:dyDescent="0.25">
      <c r="B8" s="56"/>
      <c r="C8" s="56"/>
      <c r="D8" s="57" t="s">
        <v>187</v>
      </c>
      <c r="E8" s="57" t="s">
        <v>195</v>
      </c>
      <c r="F8" s="57"/>
      <c r="G8" s="57" t="s">
        <v>202</v>
      </c>
      <c r="H8" s="57" t="s">
        <v>219</v>
      </c>
    </row>
    <row r="9" spans="2:11" x14ac:dyDescent="0.25">
      <c r="B9" s="56"/>
      <c r="C9" s="56"/>
      <c r="D9" s="57" t="s">
        <v>188</v>
      </c>
      <c r="E9" s="57" t="s">
        <v>193</v>
      </c>
      <c r="F9" s="57"/>
      <c r="G9" s="57" t="s">
        <v>203</v>
      </c>
      <c r="H9" s="57" t="s">
        <v>220</v>
      </c>
    </row>
    <row r="10" spans="2:11" x14ac:dyDescent="0.25">
      <c r="B10" s="56"/>
      <c r="C10" s="56"/>
      <c r="D10" s="57" t="s">
        <v>189</v>
      </c>
      <c r="E10" s="57" t="s">
        <v>196</v>
      </c>
      <c r="F10" s="57"/>
      <c r="G10" s="57" t="s">
        <v>204</v>
      </c>
      <c r="H10" s="57" t="s">
        <v>221</v>
      </c>
    </row>
    <row r="11" spans="2:11" x14ac:dyDescent="0.25">
      <c r="B11" s="56"/>
      <c r="C11" s="56"/>
      <c r="D11" s="57" t="s">
        <v>190</v>
      </c>
      <c r="E11" s="57" t="s">
        <v>197</v>
      </c>
      <c r="F11" s="57"/>
      <c r="G11" s="57" t="s">
        <v>205</v>
      </c>
      <c r="H11" s="57" t="s">
        <v>222</v>
      </c>
    </row>
    <row r="12" spans="2:11" x14ac:dyDescent="0.25">
      <c r="B12" s="56"/>
      <c r="C12" s="56"/>
      <c r="D12" s="57"/>
      <c r="E12" s="57"/>
      <c r="F12" s="57"/>
      <c r="G12" s="57" t="s">
        <v>206</v>
      </c>
      <c r="H12" s="57" t="s">
        <v>223</v>
      </c>
    </row>
    <row r="13" spans="2:11" x14ac:dyDescent="0.25">
      <c r="B13" s="56"/>
      <c r="C13" s="56"/>
      <c r="D13" s="57"/>
      <c r="E13" s="57"/>
      <c r="F13" s="57"/>
      <c r="G13" s="57" t="s">
        <v>207</v>
      </c>
      <c r="H13" s="57" t="s">
        <v>224</v>
      </c>
    </row>
    <row r="14" spans="2:11" x14ac:dyDescent="0.25">
      <c r="B14" s="56"/>
      <c r="C14" s="56"/>
      <c r="D14" s="57"/>
      <c r="E14" s="57"/>
      <c r="F14" s="57"/>
      <c r="G14" s="57" t="s">
        <v>208</v>
      </c>
      <c r="H14" s="57" t="s">
        <v>225</v>
      </c>
    </row>
    <row r="15" spans="2:11" x14ac:dyDescent="0.25">
      <c r="B15" s="56"/>
      <c r="C15" s="56"/>
      <c r="D15" s="57"/>
      <c r="E15" s="57"/>
      <c r="F15" s="57"/>
      <c r="G15" s="57" t="s">
        <v>209</v>
      </c>
      <c r="H15" s="57" t="s">
        <v>226</v>
      </c>
    </row>
    <row r="16" spans="2:11" x14ac:dyDescent="0.25">
      <c r="B16" s="56"/>
      <c r="C16" s="56"/>
      <c r="D16" s="57"/>
      <c r="E16" s="57"/>
      <c r="F16" s="57"/>
      <c r="G16" s="57" t="s">
        <v>210</v>
      </c>
      <c r="H16" s="57" t="s">
        <v>227</v>
      </c>
    </row>
    <row r="17" spans="2:8" x14ac:dyDescent="0.25">
      <c r="B17" s="56"/>
      <c r="C17" s="56"/>
      <c r="D17" s="57"/>
      <c r="E17" s="57"/>
      <c r="F17" s="57"/>
      <c r="G17" s="57" t="s">
        <v>211</v>
      </c>
      <c r="H17" s="57" t="s">
        <v>228</v>
      </c>
    </row>
    <row r="18" spans="2:8" x14ac:dyDescent="0.25">
      <c r="B18" s="56"/>
      <c r="C18" s="56"/>
      <c r="D18" s="57"/>
      <c r="E18" s="57"/>
      <c r="F18" s="57"/>
      <c r="G18" s="57" t="s">
        <v>212</v>
      </c>
      <c r="H18" s="57" t="s">
        <v>229</v>
      </c>
    </row>
    <row r="24" spans="2:8" x14ac:dyDescent="0.25">
      <c r="C24" t="s">
        <v>172</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172</v>
      </c>
    </row>
    <row r="33" spans="3:11" x14ac:dyDescent="0.25">
      <c r="J33">
        <v>1</v>
      </c>
      <c r="K33">
        <v>2</v>
      </c>
    </row>
    <row r="34" spans="3:11" x14ac:dyDescent="0.25">
      <c r="C34" s="60" t="s">
        <v>240</v>
      </c>
      <c r="D34" s="57" t="s">
        <v>238</v>
      </c>
      <c r="E34" s="57" t="s">
        <v>243</v>
      </c>
      <c r="F34" s="57" t="s">
        <v>241</v>
      </c>
      <c r="G34" s="57" t="s">
        <v>242</v>
      </c>
      <c r="H34" s="57" t="s">
        <v>244</v>
      </c>
      <c r="J34" t="s">
        <v>198</v>
      </c>
      <c r="K34" t="s">
        <v>214</v>
      </c>
    </row>
    <row r="35" spans="3:11" x14ac:dyDescent="0.25">
      <c r="C35" s="56" t="s">
        <v>239</v>
      </c>
      <c r="D35" s="57" t="s">
        <v>173</v>
      </c>
      <c r="E35" s="57" t="s">
        <v>248</v>
      </c>
      <c r="F35" s="57" t="s">
        <v>250</v>
      </c>
      <c r="G35" s="57" t="s">
        <v>252</v>
      </c>
      <c r="H35" s="57"/>
    </row>
    <row r="36" spans="3:11" x14ac:dyDescent="0.25">
      <c r="C36" s="56"/>
      <c r="D36" s="57" t="s">
        <v>245</v>
      </c>
      <c r="E36" s="57" t="s">
        <v>249</v>
      </c>
      <c r="F36" s="57" t="s">
        <v>251</v>
      </c>
      <c r="G36" s="57" t="s">
        <v>253</v>
      </c>
      <c r="H36" s="57"/>
    </row>
    <row r="37" spans="3:11" x14ac:dyDescent="0.25">
      <c r="C37" s="56"/>
      <c r="D37" s="57" t="s">
        <v>246</v>
      </c>
      <c r="E37" s="57"/>
      <c r="F37" s="57"/>
      <c r="G37" s="57" t="s">
        <v>254</v>
      </c>
      <c r="H37" s="57"/>
    </row>
    <row r="38" spans="3:11" x14ac:dyDescent="0.25">
      <c r="C38" s="56"/>
      <c r="D38" s="57" t="s">
        <v>247</v>
      </c>
      <c r="E38" s="57"/>
      <c r="F38" s="57"/>
      <c r="G38" s="57" t="s">
        <v>254</v>
      </c>
      <c r="H38" s="57"/>
    </row>
    <row r="39" spans="3:11" x14ac:dyDescent="0.25">
      <c r="C39" s="56"/>
      <c r="D39" s="57"/>
      <c r="E39" s="57"/>
      <c r="F39" s="57"/>
      <c r="G39" s="57" t="s">
        <v>255</v>
      </c>
      <c r="H39" s="57"/>
    </row>
    <row r="40" spans="3:11" x14ac:dyDescent="0.25">
      <c r="C40" s="56"/>
      <c r="D40" s="57"/>
      <c r="E40" s="57"/>
      <c r="F40" s="57"/>
      <c r="G40" s="57" t="s">
        <v>256</v>
      </c>
      <c r="H40" s="57"/>
    </row>
    <row r="41" spans="3:11" x14ac:dyDescent="0.25">
      <c r="C41" s="56"/>
      <c r="D41" s="57"/>
      <c r="E41" s="57"/>
      <c r="F41" s="57"/>
      <c r="G41" s="57"/>
      <c r="H41" s="57"/>
    </row>
    <row r="43" spans="3:11" x14ac:dyDescent="0.25">
      <c r="C43" t="s">
        <v>257</v>
      </c>
    </row>
    <row r="44" spans="3:11" x14ac:dyDescent="0.25">
      <c r="C44" t="s">
        <v>175</v>
      </c>
      <c r="D44" t="s">
        <v>258</v>
      </c>
    </row>
    <row r="45" spans="3:11" x14ac:dyDescent="0.25">
      <c r="D45" t="s">
        <v>259</v>
      </c>
    </row>
    <row r="46" spans="3:11" x14ac:dyDescent="0.25">
      <c r="D46" t="s">
        <v>260</v>
      </c>
    </row>
    <row r="47" spans="3:11" x14ac:dyDescent="0.25">
      <c r="D47" t="s">
        <v>261</v>
      </c>
    </row>
    <row r="48" spans="3:11" x14ac:dyDescent="0.25">
      <c r="D48" t="s">
        <v>262</v>
      </c>
    </row>
    <row r="49" spans="3:4" x14ac:dyDescent="0.25">
      <c r="C49" t="s">
        <v>183</v>
      </c>
      <c r="D49" t="s">
        <v>263</v>
      </c>
    </row>
    <row r="50" spans="3:4" x14ac:dyDescent="0.25">
      <c r="D50" t="s">
        <v>264</v>
      </c>
    </row>
    <row r="51" spans="3:4" x14ac:dyDescent="0.25">
      <c r="D51" t="s">
        <v>265</v>
      </c>
    </row>
    <row r="52" spans="3:4" x14ac:dyDescent="0.25">
      <c r="D52" t="s">
        <v>268</v>
      </c>
    </row>
    <row r="53" spans="3:4" x14ac:dyDescent="0.25">
      <c r="D53" t="s">
        <v>266</v>
      </c>
    </row>
    <row r="54" spans="3:4" x14ac:dyDescent="0.25">
      <c r="D54" t="s">
        <v>267</v>
      </c>
    </row>
    <row r="55" spans="3:4" x14ac:dyDescent="0.25">
      <c r="D55" t="s">
        <v>269</v>
      </c>
    </row>
    <row r="56" spans="3:4" x14ac:dyDescent="0.25">
      <c r="D56" t="s">
        <v>270</v>
      </c>
    </row>
    <row r="57" spans="3:4" x14ac:dyDescent="0.25">
      <c r="D57" t="s">
        <v>271</v>
      </c>
    </row>
    <row r="58" spans="3:4" x14ac:dyDescent="0.25">
      <c r="D58" t="s">
        <v>273</v>
      </c>
    </row>
    <row r="59" spans="3:4" x14ac:dyDescent="0.25">
      <c r="D59" t="s">
        <v>282</v>
      </c>
    </row>
    <row r="60" spans="3:4" x14ac:dyDescent="0.25">
      <c r="C60" t="s">
        <v>198</v>
      </c>
      <c r="D60" t="s">
        <v>274</v>
      </c>
    </row>
    <row r="61" spans="3:4" x14ac:dyDescent="0.25">
      <c r="D61" t="s">
        <v>272</v>
      </c>
    </row>
    <row r="62" spans="3:4" x14ac:dyDescent="0.25">
      <c r="D62" t="s">
        <v>262</v>
      </c>
    </row>
    <row r="63" spans="3:4" x14ac:dyDescent="0.25">
      <c r="D63" t="s">
        <v>275</v>
      </c>
    </row>
    <row r="64" spans="3:4" x14ac:dyDescent="0.25">
      <c r="D64" t="s">
        <v>276</v>
      </c>
    </row>
    <row r="65" spans="3:4" x14ac:dyDescent="0.25">
      <c r="D65" t="s">
        <v>277</v>
      </c>
    </row>
    <row r="66" spans="3:4" x14ac:dyDescent="0.25">
      <c r="D66" t="s">
        <v>278</v>
      </c>
    </row>
    <row r="67" spans="3:4" x14ac:dyDescent="0.25">
      <c r="C67" t="s">
        <v>193</v>
      </c>
      <c r="D67" t="s">
        <v>279</v>
      </c>
    </row>
    <row r="68" spans="3:4" x14ac:dyDescent="0.25">
      <c r="D68" t="s">
        <v>280</v>
      </c>
    </row>
    <row r="69" spans="3:4" x14ac:dyDescent="0.25">
      <c r="D69" t="s">
        <v>281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61">
        <v>1</v>
      </c>
      <c r="C2" s="64" t="s">
        <v>287</v>
      </c>
    </row>
    <row r="3" spans="2:3" x14ac:dyDescent="0.25">
      <c r="B3" s="61">
        <v>2</v>
      </c>
      <c r="C3" s="62" t="s">
        <v>288</v>
      </c>
    </row>
    <row r="4" spans="2:3" x14ac:dyDescent="0.25">
      <c r="B4" s="61">
        <v>3</v>
      </c>
      <c r="C4" s="63" t="s">
        <v>289</v>
      </c>
    </row>
    <row r="5" spans="2:3" x14ac:dyDescent="0.25">
      <c r="B5" s="61">
        <v>4</v>
      </c>
      <c r="C5" s="62" t="s">
        <v>290</v>
      </c>
    </row>
    <row r="6" spans="2:3" x14ac:dyDescent="0.25">
      <c r="B6" s="61">
        <v>5</v>
      </c>
      <c r="C6" s="63" t="s">
        <v>291</v>
      </c>
    </row>
    <row r="7" spans="2:3" ht="30" x14ac:dyDescent="0.25">
      <c r="B7" s="61">
        <v>6</v>
      </c>
      <c r="C7" s="62" t="s">
        <v>292</v>
      </c>
    </row>
    <row r="8" spans="2:3" ht="75" x14ac:dyDescent="0.25">
      <c r="B8" s="61">
        <v>7</v>
      </c>
      <c r="C8" s="62" t="s">
        <v>293</v>
      </c>
    </row>
    <row r="9" spans="2:3" x14ac:dyDescent="0.25">
      <c r="B9" s="61">
        <v>8</v>
      </c>
      <c r="C9" s="63" t="s">
        <v>294</v>
      </c>
    </row>
    <row r="10" spans="2:3" x14ac:dyDescent="0.25">
      <c r="B10" s="61">
        <v>9</v>
      </c>
      <c r="C10" s="63" t="s">
        <v>295</v>
      </c>
    </row>
    <row r="11" spans="2:3" x14ac:dyDescent="0.25">
      <c r="B11" s="61">
        <v>10</v>
      </c>
      <c r="C11" s="63" t="s">
        <v>296</v>
      </c>
    </row>
    <row r="12" spans="2:3" x14ac:dyDescent="0.25">
      <c r="B12" s="61">
        <v>11</v>
      </c>
      <c r="C12" s="63" t="s">
        <v>297</v>
      </c>
    </row>
    <row r="13" spans="2:3" x14ac:dyDescent="0.25">
      <c r="B13" s="61">
        <v>12</v>
      </c>
      <c r="C13" s="63" t="s">
        <v>298</v>
      </c>
    </row>
    <row r="14" spans="2:3" x14ac:dyDescent="0.25">
      <c r="B14" s="61">
        <v>13</v>
      </c>
      <c r="C14" s="63" t="s">
        <v>299</v>
      </c>
    </row>
    <row r="15" spans="2:3" x14ac:dyDescent="0.25">
      <c r="B15" s="61">
        <v>14</v>
      </c>
      <c r="C15" s="63" t="s">
        <v>289</v>
      </c>
    </row>
    <row r="16" spans="2:3" x14ac:dyDescent="0.25">
      <c r="B16" s="61">
        <v>15</v>
      </c>
      <c r="C16" s="63" t="s">
        <v>302</v>
      </c>
    </row>
    <row r="17" spans="2:3" x14ac:dyDescent="0.25">
      <c r="B17" s="88">
        <v>16</v>
      </c>
      <c r="C17" s="71" t="s">
        <v>303</v>
      </c>
    </row>
    <row r="18" spans="2:3" x14ac:dyDescent="0.25">
      <c r="B18" s="70">
        <v>17</v>
      </c>
      <c r="C18" s="71" t="s">
        <v>304</v>
      </c>
    </row>
    <row r="19" spans="2:3" x14ac:dyDescent="0.25">
      <c r="B19" s="69">
        <v>18</v>
      </c>
      <c r="C19" s="61" t="s">
        <v>305</v>
      </c>
    </row>
    <row r="20" spans="2:3" x14ac:dyDescent="0.25">
      <c r="B20" s="70">
        <v>19</v>
      </c>
      <c r="C20" s="61" t="s">
        <v>341</v>
      </c>
    </row>
    <row r="21" spans="2:3" x14ac:dyDescent="0.25">
      <c r="B21" s="72">
        <v>20</v>
      </c>
      <c r="C21" s="61" t="s">
        <v>306</v>
      </c>
    </row>
    <row r="22" spans="2:3" x14ac:dyDescent="0.25">
      <c r="B22" s="70">
        <v>21</v>
      </c>
      <c r="C22" s="61" t="s">
        <v>305</v>
      </c>
    </row>
    <row r="23" spans="2:3" s="80" customFormat="1" ht="29.25" customHeight="1" x14ac:dyDescent="0.25">
      <c r="B23" s="79">
        <v>22</v>
      </c>
      <c r="C23" s="64" t="s">
        <v>333</v>
      </c>
    </row>
    <row r="24" spans="2:3" s="80" customFormat="1" ht="30.75" customHeight="1" x14ac:dyDescent="0.25">
      <c r="B24" s="81">
        <v>23</v>
      </c>
      <c r="C24" s="64" t="s">
        <v>334</v>
      </c>
    </row>
    <row r="25" spans="2:3" x14ac:dyDescent="0.25">
      <c r="B25" s="72">
        <v>24</v>
      </c>
      <c r="C25" s="61" t="s">
        <v>337</v>
      </c>
    </row>
    <row r="26" spans="2:3" x14ac:dyDescent="0.25">
      <c r="B26" s="70">
        <v>25</v>
      </c>
      <c r="C26" s="61" t="s">
        <v>335</v>
      </c>
    </row>
    <row r="27" spans="2:3" x14ac:dyDescent="0.25">
      <c r="B27" s="81">
        <v>26</v>
      </c>
      <c r="C27" s="72" t="s">
        <v>336</v>
      </c>
    </row>
    <row r="28" spans="2:3" x14ac:dyDescent="0.25">
      <c r="B28" s="82">
        <v>27</v>
      </c>
      <c r="C28" s="61" t="s">
        <v>338</v>
      </c>
    </row>
    <row r="29" spans="2:3" ht="60" x14ac:dyDescent="0.25">
      <c r="B29" s="87">
        <v>28</v>
      </c>
      <c r="C29" s="62" t="s">
        <v>339</v>
      </c>
    </row>
    <row r="30" spans="2:3" x14ac:dyDescent="0.25">
      <c r="B30" s="81">
        <v>29</v>
      </c>
      <c r="C30" s="61" t="s">
        <v>340</v>
      </c>
    </row>
    <row r="31" spans="2:3" ht="30" x14ac:dyDescent="0.25">
      <c r="B31" s="89">
        <v>30</v>
      </c>
      <c r="C31" s="62" t="s">
        <v>342</v>
      </c>
    </row>
    <row r="32" spans="2:3" x14ac:dyDescent="0.25">
      <c r="B32" s="81">
        <v>31</v>
      </c>
      <c r="C32" s="61" t="s">
        <v>343</v>
      </c>
    </row>
    <row r="33" spans="2:3" x14ac:dyDescent="0.25">
      <c r="B33" s="81">
        <v>32</v>
      </c>
      <c r="C33" s="61" t="s">
        <v>344</v>
      </c>
    </row>
    <row r="34" spans="2:3" ht="36.75" customHeight="1" x14ac:dyDescent="0.25">
      <c r="B34" s="89">
        <v>33</v>
      </c>
      <c r="C34" s="71" t="s">
        <v>345</v>
      </c>
    </row>
    <row r="35" spans="2:3" x14ac:dyDescent="0.25">
      <c r="B35" s="94">
        <v>34</v>
      </c>
      <c r="C35" s="61" t="s">
        <v>354</v>
      </c>
    </row>
    <row r="36" spans="2:3" ht="60" x14ac:dyDescent="0.25">
      <c r="B36" s="79">
        <v>35</v>
      </c>
      <c r="C36" s="62" t="s">
        <v>357</v>
      </c>
    </row>
    <row r="37" spans="2:3" x14ac:dyDescent="0.25">
      <c r="B37" s="61"/>
      <c r="C37" s="61"/>
    </row>
    <row r="38" spans="2:3" x14ac:dyDescent="0.25">
      <c r="B38" s="61"/>
      <c r="C38" s="61"/>
    </row>
    <row r="39" spans="2:3" x14ac:dyDescent="0.25">
      <c r="B39" s="61"/>
      <c r="C39" s="61"/>
    </row>
    <row r="40" spans="2:3" x14ac:dyDescent="0.25">
      <c r="B40" s="61"/>
      <c r="C40" s="61"/>
    </row>
    <row r="41" spans="2:3" x14ac:dyDescent="0.25">
      <c r="B41" s="61"/>
      <c r="C41" s="61"/>
    </row>
    <row r="42" spans="2:3" x14ac:dyDescent="0.25">
      <c r="B42" s="61"/>
      <c r="C42" s="61"/>
    </row>
    <row r="43" spans="2:3" x14ac:dyDescent="0.25">
      <c r="B43" s="61"/>
      <c r="C43" s="61"/>
    </row>
    <row r="44" spans="2:3" x14ac:dyDescent="0.25">
      <c r="B44" s="61"/>
      <c r="C44" s="6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6"/>
    <col min="2" max="2" width="12.28515625" style="56" customWidth="1"/>
    <col min="3" max="16384" width="9.140625" style="56"/>
  </cols>
  <sheetData>
    <row r="2" spans="1:12" x14ac:dyDescent="0.25">
      <c r="B2" s="73" t="s">
        <v>307</v>
      </c>
      <c r="C2" s="276"/>
      <c r="D2" s="276"/>
    </row>
    <row r="3" spans="1:12" x14ac:dyDescent="0.25">
      <c r="D3" s="74"/>
      <c r="E3" s="74"/>
      <c r="F3" s="74"/>
      <c r="G3" s="74"/>
      <c r="H3" s="74"/>
      <c r="I3" s="74"/>
    </row>
    <row r="4" spans="1:12" x14ac:dyDescent="0.25">
      <c r="A4" s="73" t="s">
        <v>65</v>
      </c>
      <c r="B4" s="75" t="s">
        <v>308</v>
      </c>
      <c r="C4" s="277" t="s">
        <v>309</v>
      </c>
      <c r="D4" s="277"/>
      <c r="E4" s="277"/>
      <c r="F4" s="75"/>
      <c r="G4" s="278" t="s">
        <v>310</v>
      </c>
      <c r="H4" s="278"/>
      <c r="I4" s="278"/>
      <c r="J4" s="279" t="s">
        <v>311</v>
      </c>
      <c r="K4" s="279"/>
      <c r="L4" s="279"/>
    </row>
    <row r="5" spans="1:12" x14ac:dyDescent="0.25">
      <c r="A5" s="73"/>
      <c r="B5" s="75"/>
      <c r="C5" s="75" t="s">
        <v>312</v>
      </c>
      <c r="D5" s="75" t="s">
        <v>313</v>
      </c>
      <c r="E5" s="75" t="s">
        <v>314</v>
      </c>
      <c r="F5" s="75"/>
      <c r="G5" s="75" t="s">
        <v>312</v>
      </c>
      <c r="H5" s="75" t="s">
        <v>313</v>
      </c>
      <c r="I5" s="75" t="s">
        <v>314</v>
      </c>
      <c r="J5" s="75" t="s">
        <v>312</v>
      </c>
      <c r="K5" s="75" t="s">
        <v>313</v>
      </c>
      <c r="L5" s="75" t="s">
        <v>314</v>
      </c>
    </row>
    <row r="6" spans="1:12" x14ac:dyDescent="0.25">
      <c r="B6" s="57" t="s">
        <v>315</v>
      </c>
      <c r="C6" s="57"/>
      <c r="D6" s="57"/>
      <c r="E6" s="57">
        <f>C6*D6</f>
        <v>0</v>
      </c>
      <c r="F6" s="57" t="s">
        <v>332</v>
      </c>
      <c r="G6" s="57"/>
      <c r="H6" s="57"/>
      <c r="I6" s="57">
        <f>G6*H6</f>
        <v>0</v>
      </c>
      <c r="J6" s="57"/>
      <c r="K6" s="57"/>
      <c r="L6" s="57">
        <f>J6*K6</f>
        <v>0</v>
      </c>
    </row>
    <row r="7" spans="1:12" x14ac:dyDescent="0.25">
      <c r="B7" s="57"/>
      <c r="C7" s="57"/>
      <c r="D7" s="57"/>
      <c r="E7" s="57">
        <f t="shared" ref="E7:E41" si="0">C7*D7</f>
        <v>0</v>
      </c>
      <c r="F7" s="57" t="s">
        <v>332</v>
      </c>
      <c r="G7" s="57"/>
      <c r="H7" s="57"/>
      <c r="I7" s="57">
        <f t="shared" ref="I7:I35" si="1">G7*H7</f>
        <v>0</v>
      </c>
      <c r="J7" s="57"/>
      <c r="K7" s="57"/>
      <c r="L7" s="57">
        <f t="shared" ref="L7:L35" si="2">J7*K7</f>
        <v>0</v>
      </c>
    </row>
    <row r="8" spans="1:12" x14ac:dyDescent="0.25">
      <c r="B8" s="57"/>
      <c r="C8" s="57"/>
      <c r="D8" s="57"/>
      <c r="E8" s="57">
        <f t="shared" si="0"/>
        <v>0</v>
      </c>
      <c r="F8" s="57"/>
      <c r="G8" s="57"/>
      <c r="H8" s="57"/>
      <c r="I8" s="57">
        <f t="shared" si="1"/>
        <v>0</v>
      </c>
      <c r="J8" s="57"/>
      <c r="K8" s="57"/>
      <c r="L8" s="57">
        <f t="shared" si="2"/>
        <v>0</v>
      </c>
    </row>
    <row r="9" spans="1:12" x14ac:dyDescent="0.25">
      <c r="B9" s="57"/>
      <c r="C9" s="57"/>
      <c r="D9" s="57"/>
      <c r="E9" s="57">
        <f t="shared" si="0"/>
        <v>0</v>
      </c>
      <c r="F9" s="57" t="s">
        <v>316</v>
      </c>
      <c r="G9" s="57"/>
      <c r="H9" s="57"/>
      <c r="I9" s="57">
        <f t="shared" si="1"/>
        <v>0</v>
      </c>
      <c r="J9" s="57"/>
      <c r="K9" s="57"/>
      <c r="L9" s="57">
        <f t="shared" si="2"/>
        <v>0</v>
      </c>
    </row>
    <row r="10" spans="1:12" x14ac:dyDescent="0.25">
      <c r="B10" s="57" t="s">
        <v>317</v>
      </c>
      <c r="C10" s="57"/>
      <c r="D10" s="57"/>
      <c r="E10" s="57">
        <f t="shared" si="0"/>
        <v>0</v>
      </c>
      <c r="F10" s="57" t="s">
        <v>316</v>
      </c>
      <c r="G10" s="57"/>
      <c r="H10" s="57"/>
      <c r="I10" s="57">
        <f t="shared" si="1"/>
        <v>0</v>
      </c>
      <c r="J10" s="57"/>
      <c r="K10" s="57"/>
      <c r="L10" s="57">
        <f t="shared" si="2"/>
        <v>0</v>
      </c>
    </row>
    <row r="11" spans="1:12" x14ac:dyDescent="0.25">
      <c r="B11" s="57"/>
      <c r="C11" s="57"/>
      <c r="D11" s="57"/>
      <c r="E11" s="57">
        <f t="shared" si="0"/>
        <v>0</v>
      </c>
      <c r="F11" s="57" t="s">
        <v>318</v>
      </c>
      <c r="G11" s="57"/>
      <c r="H11" s="57"/>
      <c r="I11" s="57">
        <f t="shared" si="1"/>
        <v>0</v>
      </c>
      <c r="J11" s="57"/>
      <c r="K11" s="57"/>
      <c r="L11" s="57">
        <f t="shared" si="2"/>
        <v>0</v>
      </c>
    </row>
    <row r="12" spans="1:12" x14ac:dyDescent="0.25">
      <c r="B12" s="57"/>
      <c r="C12" s="57"/>
      <c r="D12" s="57"/>
      <c r="E12" s="57">
        <f t="shared" si="0"/>
        <v>0</v>
      </c>
      <c r="F12" s="57"/>
      <c r="G12" s="57"/>
      <c r="H12" s="57"/>
      <c r="I12" s="57">
        <f t="shared" si="1"/>
        <v>0</v>
      </c>
      <c r="J12" s="57"/>
      <c r="K12" s="57"/>
      <c r="L12" s="57">
        <f t="shared" si="2"/>
        <v>0</v>
      </c>
    </row>
    <row r="13" spans="1:12" x14ac:dyDescent="0.25">
      <c r="B13" s="57"/>
      <c r="C13" s="57"/>
      <c r="D13" s="57"/>
      <c r="E13" s="57">
        <f t="shared" si="0"/>
        <v>0</v>
      </c>
      <c r="F13" s="57"/>
      <c r="G13" s="57"/>
      <c r="H13" s="57"/>
      <c r="I13" s="57">
        <f t="shared" si="1"/>
        <v>0</v>
      </c>
      <c r="J13" s="57"/>
      <c r="K13" s="57"/>
      <c r="L13" s="57">
        <f t="shared" si="2"/>
        <v>0</v>
      </c>
    </row>
    <row r="14" spans="1:12" x14ac:dyDescent="0.25">
      <c r="B14" s="57" t="s">
        <v>319</v>
      </c>
      <c r="C14" s="57"/>
      <c r="D14" s="57"/>
      <c r="E14" s="57">
        <f t="shared" si="0"/>
        <v>0</v>
      </c>
      <c r="F14" s="57" t="s">
        <v>316</v>
      </c>
      <c r="G14" s="57"/>
      <c r="H14" s="57"/>
      <c r="I14" s="57">
        <f t="shared" si="1"/>
        <v>0</v>
      </c>
      <c r="J14" s="57"/>
      <c r="K14" s="57"/>
      <c r="L14" s="57">
        <f t="shared" si="2"/>
        <v>0</v>
      </c>
    </row>
    <row r="15" spans="1:12" x14ac:dyDescent="0.25">
      <c r="B15" s="57"/>
      <c r="C15" s="57"/>
      <c r="D15" s="57"/>
      <c r="E15" s="57">
        <f t="shared" si="0"/>
        <v>0</v>
      </c>
      <c r="F15" s="57" t="s">
        <v>318</v>
      </c>
      <c r="G15" s="57"/>
      <c r="H15" s="57"/>
      <c r="I15" s="57">
        <f t="shared" si="1"/>
        <v>0</v>
      </c>
      <c r="J15" s="57"/>
      <c r="K15" s="57"/>
      <c r="L15" s="57">
        <f t="shared" si="2"/>
        <v>0</v>
      </c>
    </row>
    <row r="16" spans="1:12" x14ac:dyDescent="0.25">
      <c r="B16" s="57"/>
      <c r="C16" s="57"/>
      <c r="D16" s="57"/>
      <c r="E16" s="57">
        <f t="shared" si="0"/>
        <v>0</v>
      </c>
      <c r="F16" s="57"/>
      <c r="G16" s="57"/>
      <c r="H16" s="57"/>
      <c r="I16" s="57">
        <f t="shared" si="1"/>
        <v>0</v>
      </c>
      <c r="J16" s="57"/>
      <c r="K16" s="57"/>
      <c r="L16" s="57">
        <f t="shared" si="2"/>
        <v>0</v>
      </c>
    </row>
    <row r="17" spans="2:12" x14ac:dyDescent="0.25">
      <c r="B17" s="57"/>
      <c r="C17" s="57"/>
      <c r="D17" s="57"/>
      <c r="E17" s="57">
        <f t="shared" si="0"/>
        <v>0</v>
      </c>
      <c r="F17" s="57"/>
      <c r="G17" s="57"/>
      <c r="H17" s="57"/>
      <c r="I17" s="57">
        <f t="shared" si="1"/>
        <v>0</v>
      </c>
      <c r="J17" s="57"/>
      <c r="K17" s="57"/>
      <c r="L17" s="57">
        <f t="shared" si="2"/>
        <v>0</v>
      </c>
    </row>
    <row r="18" spans="2:12" x14ac:dyDescent="0.25">
      <c r="B18" s="57" t="s">
        <v>320</v>
      </c>
      <c r="C18" s="57"/>
      <c r="D18" s="57"/>
      <c r="E18" s="57">
        <f t="shared" si="0"/>
        <v>0</v>
      </c>
      <c r="F18" s="57" t="s">
        <v>316</v>
      </c>
      <c r="G18" s="57"/>
      <c r="H18" s="57"/>
      <c r="I18" s="57">
        <f t="shared" si="1"/>
        <v>0</v>
      </c>
      <c r="J18" s="57"/>
      <c r="K18" s="57"/>
      <c r="L18" s="57">
        <f t="shared" si="2"/>
        <v>0</v>
      </c>
    </row>
    <row r="19" spans="2:12" x14ac:dyDescent="0.25">
      <c r="B19" s="57"/>
      <c r="C19" s="57"/>
      <c r="D19" s="57"/>
      <c r="E19" s="57">
        <f t="shared" si="0"/>
        <v>0</v>
      </c>
      <c r="F19" s="57" t="s">
        <v>318</v>
      </c>
      <c r="G19" s="57"/>
      <c r="H19" s="57"/>
      <c r="I19" s="57">
        <f t="shared" si="1"/>
        <v>0</v>
      </c>
      <c r="J19" s="57"/>
      <c r="K19" s="57"/>
      <c r="L19" s="57">
        <f t="shared" si="2"/>
        <v>0</v>
      </c>
    </row>
    <row r="20" spans="2:12" x14ac:dyDescent="0.25">
      <c r="B20" s="57"/>
      <c r="C20" s="57"/>
      <c r="D20" s="57"/>
      <c r="E20" s="57">
        <f t="shared" si="0"/>
        <v>0</v>
      </c>
      <c r="F20" s="57"/>
      <c r="G20" s="57"/>
      <c r="H20" s="57"/>
      <c r="I20" s="57">
        <f t="shared" si="1"/>
        <v>0</v>
      </c>
      <c r="J20" s="57"/>
      <c r="K20" s="57"/>
      <c r="L20" s="57">
        <f t="shared" si="2"/>
        <v>0</v>
      </c>
    </row>
    <row r="21" spans="2:12" x14ac:dyDescent="0.25">
      <c r="B21" s="57" t="s">
        <v>321</v>
      </c>
      <c r="C21" s="57"/>
      <c r="D21" s="57"/>
      <c r="E21" s="57">
        <f t="shared" si="0"/>
        <v>0</v>
      </c>
      <c r="F21" s="57" t="s">
        <v>316</v>
      </c>
      <c r="G21" s="57"/>
      <c r="H21" s="57"/>
      <c r="I21" s="57">
        <f t="shared" si="1"/>
        <v>0</v>
      </c>
      <c r="J21" s="57"/>
      <c r="K21" s="57"/>
      <c r="L21" s="57">
        <f t="shared" si="2"/>
        <v>0</v>
      </c>
    </row>
    <row r="22" spans="2:12" x14ac:dyDescent="0.25">
      <c r="B22" s="57"/>
      <c r="C22" s="57"/>
      <c r="D22" s="57"/>
      <c r="E22" s="57">
        <f t="shared" si="0"/>
        <v>0</v>
      </c>
      <c r="F22" s="57" t="s">
        <v>318</v>
      </c>
      <c r="G22" s="57"/>
      <c r="H22" s="57"/>
      <c r="I22" s="57">
        <f t="shared" si="1"/>
        <v>0</v>
      </c>
      <c r="J22" s="57"/>
      <c r="K22" s="57"/>
      <c r="L22" s="57">
        <f t="shared" si="2"/>
        <v>0</v>
      </c>
    </row>
    <row r="23" spans="2:12" x14ac:dyDescent="0.25">
      <c r="B23" s="57"/>
      <c r="C23" s="57"/>
      <c r="D23" s="57"/>
      <c r="E23" s="57">
        <f t="shared" si="0"/>
        <v>0</v>
      </c>
      <c r="F23" s="57"/>
      <c r="G23" s="57"/>
      <c r="H23" s="57"/>
      <c r="I23" s="57">
        <f t="shared" si="1"/>
        <v>0</v>
      </c>
      <c r="J23" s="57"/>
      <c r="K23" s="57"/>
      <c r="L23" s="57">
        <f t="shared" si="2"/>
        <v>0</v>
      </c>
    </row>
    <row r="24" spans="2:12" x14ac:dyDescent="0.25">
      <c r="B24" s="57" t="s">
        <v>322</v>
      </c>
      <c r="C24" s="57"/>
      <c r="D24" s="57"/>
      <c r="E24" s="57">
        <f t="shared" si="0"/>
        <v>0</v>
      </c>
      <c r="F24" s="57" t="s">
        <v>323</v>
      </c>
      <c r="G24" s="57"/>
      <c r="H24" s="57"/>
      <c r="I24" s="57">
        <f t="shared" si="1"/>
        <v>0</v>
      </c>
      <c r="J24" s="57"/>
      <c r="K24" s="57"/>
      <c r="L24" s="57">
        <f t="shared" si="2"/>
        <v>0</v>
      </c>
    </row>
    <row r="25" spans="2:12" x14ac:dyDescent="0.25">
      <c r="B25" s="57"/>
      <c r="C25" s="57"/>
      <c r="D25" s="57"/>
      <c r="E25" s="57">
        <f>C25*D25</f>
        <v>0</v>
      </c>
      <c r="F25" s="57" t="s">
        <v>323</v>
      </c>
      <c r="G25" s="57"/>
      <c r="H25" s="57"/>
      <c r="I25" s="57">
        <f>G25*H25</f>
        <v>0</v>
      </c>
      <c r="J25" s="57"/>
      <c r="K25" s="57"/>
      <c r="L25" s="57">
        <f>J25*K25</f>
        <v>0</v>
      </c>
    </row>
    <row r="26" spans="2:12" x14ac:dyDescent="0.25">
      <c r="B26" s="57"/>
      <c r="C26" s="57"/>
      <c r="D26" s="57"/>
      <c r="E26" s="57">
        <f>C26*D26</f>
        <v>0</v>
      </c>
      <c r="F26" s="57" t="s">
        <v>323</v>
      </c>
      <c r="G26" s="57"/>
      <c r="H26" s="57"/>
      <c r="I26" s="57">
        <f>G26*H26</f>
        <v>0</v>
      </c>
      <c r="J26" s="57"/>
      <c r="K26" s="57"/>
      <c r="L26" s="57">
        <f>J26*K26</f>
        <v>0</v>
      </c>
    </row>
    <row r="27" spans="2:12" x14ac:dyDescent="0.25">
      <c r="B27" s="57"/>
      <c r="C27" s="57"/>
      <c r="D27" s="57"/>
      <c r="E27" s="57">
        <f>C27*D27</f>
        <v>0</v>
      </c>
      <c r="F27" s="57" t="s">
        <v>323</v>
      </c>
      <c r="G27" s="57"/>
      <c r="H27" s="57"/>
      <c r="I27" s="57">
        <f>G27*H27</f>
        <v>0</v>
      </c>
      <c r="J27" s="57"/>
      <c r="K27" s="57"/>
      <c r="L27" s="57">
        <f>J27*K27</f>
        <v>0</v>
      </c>
    </row>
    <row r="28" spans="2:12" x14ac:dyDescent="0.25">
      <c r="B28" s="57" t="s">
        <v>324</v>
      </c>
      <c r="C28" s="57"/>
      <c r="D28" s="57"/>
      <c r="E28" s="57">
        <f t="shared" si="0"/>
        <v>0</v>
      </c>
      <c r="F28" s="57" t="s">
        <v>323</v>
      </c>
      <c r="G28" s="57"/>
      <c r="H28" s="57"/>
      <c r="I28" s="57">
        <f t="shared" si="1"/>
        <v>0</v>
      </c>
      <c r="J28" s="57"/>
      <c r="K28" s="57"/>
      <c r="L28" s="57">
        <f t="shared" si="2"/>
        <v>0</v>
      </c>
    </row>
    <row r="29" spans="2:12" x14ac:dyDescent="0.25">
      <c r="B29" s="57" t="s">
        <v>325</v>
      </c>
      <c r="C29" s="57"/>
      <c r="D29" s="57"/>
      <c r="E29" s="57">
        <f t="shared" si="0"/>
        <v>0</v>
      </c>
      <c r="F29" s="57" t="s">
        <v>323</v>
      </c>
      <c r="G29" s="57"/>
      <c r="H29" s="57"/>
      <c r="I29" s="57">
        <f t="shared" si="1"/>
        <v>0</v>
      </c>
      <c r="J29" s="57"/>
      <c r="K29" s="57"/>
      <c r="L29" s="57">
        <f t="shared" si="2"/>
        <v>0</v>
      </c>
    </row>
    <row r="30" spans="2:12" x14ac:dyDescent="0.25">
      <c r="B30" s="57" t="s">
        <v>329</v>
      </c>
      <c r="C30" s="57"/>
      <c r="D30" s="57"/>
      <c r="E30" s="57">
        <f t="shared" si="0"/>
        <v>0</v>
      </c>
      <c r="F30" s="57"/>
      <c r="G30" s="57"/>
      <c r="H30" s="57"/>
      <c r="I30" s="57">
        <f t="shared" si="1"/>
        <v>0</v>
      </c>
      <c r="J30" s="57"/>
      <c r="K30" s="57"/>
      <c r="L30" s="57">
        <f t="shared" si="2"/>
        <v>0</v>
      </c>
    </row>
    <row r="31" spans="2:12" x14ac:dyDescent="0.25">
      <c r="B31" s="57"/>
      <c r="C31" s="57"/>
      <c r="D31" s="57"/>
      <c r="E31" s="57">
        <f>C31*D31</f>
        <v>0</v>
      </c>
      <c r="F31" s="57"/>
      <c r="G31" s="57"/>
      <c r="H31" s="57"/>
      <c r="I31" s="57">
        <f>G31*H31</f>
        <v>0</v>
      </c>
      <c r="J31" s="57"/>
      <c r="K31" s="57"/>
      <c r="L31" s="57">
        <f>J31*K31</f>
        <v>0</v>
      </c>
    </row>
    <row r="32" spans="2:12" x14ac:dyDescent="0.25">
      <c r="B32" s="57"/>
      <c r="C32" s="57"/>
      <c r="D32" s="57"/>
      <c r="E32" s="57">
        <f>C32*D32</f>
        <v>0</v>
      </c>
      <c r="F32" s="57"/>
      <c r="G32" s="57"/>
      <c r="H32" s="57"/>
      <c r="I32" s="57">
        <f>G32*H32</f>
        <v>0</v>
      </c>
      <c r="J32" s="57"/>
      <c r="K32" s="57"/>
      <c r="L32" s="57">
        <f>J32*K32</f>
        <v>0</v>
      </c>
    </row>
    <row r="33" spans="2:12" x14ac:dyDescent="0.25">
      <c r="B33" s="57" t="s">
        <v>326</v>
      </c>
      <c r="C33" s="57"/>
      <c r="D33" s="57"/>
      <c r="E33" s="57">
        <f t="shared" si="0"/>
        <v>0</v>
      </c>
      <c r="F33" s="57"/>
      <c r="G33" s="57"/>
      <c r="H33" s="57"/>
      <c r="I33" s="57">
        <f t="shared" si="1"/>
        <v>0</v>
      </c>
      <c r="J33" s="57"/>
      <c r="K33" s="57"/>
      <c r="L33" s="57">
        <f t="shared" si="2"/>
        <v>0</v>
      </c>
    </row>
    <row r="34" spans="2:12" x14ac:dyDescent="0.25">
      <c r="B34" s="57" t="s">
        <v>330</v>
      </c>
      <c r="C34" s="57"/>
      <c r="D34" s="57"/>
      <c r="E34" s="57">
        <f t="shared" si="0"/>
        <v>0</v>
      </c>
      <c r="F34" s="57"/>
      <c r="G34" s="57"/>
      <c r="H34" s="57"/>
      <c r="I34" s="57">
        <f t="shared" si="1"/>
        <v>0</v>
      </c>
      <c r="J34" s="57"/>
      <c r="K34" s="57"/>
      <c r="L34" s="57">
        <f t="shared" si="2"/>
        <v>0</v>
      </c>
    </row>
    <row r="35" spans="2:12" x14ac:dyDescent="0.25">
      <c r="B35" s="57" t="s">
        <v>327</v>
      </c>
      <c r="C35" s="57"/>
      <c r="D35" s="57"/>
      <c r="E35" s="57">
        <f t="shared" si="0"/>
        <v>0</v>
      </c>
      <c r="F35" s="57"/>
      <c r="G35" s="57"/>
      <c r="H35" s="57"/>
      <c r="I35" s="57">
        <f t="shared" si="1"/>
        <v>0</v>
      </c>
      <c r="J35" s="57"/>
      <c r="K35" s="57"/>
      <c r="L35" s="57">
        <f t="shared" si="2"/>
        <v>0</v>
      </c>
    </row>
    <row r="36" spans="2:12" x14ac:dyDescent="0.25">
      <c r="B36" s="57" t="s">
        <v>328</v>
      </c>
      <c r="C36" s="57"/>
      <c r="D36" s="57"/>
      <c r="E36" s="57">
        <f t="shared" si="0"/>
        <v>0</v>
      </c>
      <c r="F36" s="57"/>
      <c r="G36" s="57"/>
      <c r="H36" s="57"/>
      <c r="I36" s="57">
        <f t="shared" ref="I36:I41" si="3">G36*H36</f>
        <v>0</v>
      </c>
      <c r="J36" s="57"/>
      <c r="K36" s="57"/>
      <c r="L36" s="57">
        <f t="shared" ref="L36:L41" si="4">J36*K36</f>
        <v>0</v>
      </c>
    </row>
    <row r="37" spans="2:12" x14ac:dyDescent="0.25">
      <c r="B37" s="57"/>
      <c r="C37" s="57"/>
      <c r="D37" s="57"/>
      <c r="E37" s="57">
        <f>C37*D37</f>
        <v>0</v>
      </c>
      <c r="F37" s="57"/>
      <c r="G37" s="57"/>
      <c r="H37" s="57"/>
      <c r="I37" s="57">
        <f t="shared" si="3"/>
        <v>0</v>
      </c>
      <c r="J37" s="57"/>
      <c r="K37" s="57"/>
      <c r="L37" s="57">
        <f t="shared" si="4"/>
        <v>0</v>
      </c>
    </row>
    <row r="38" spans="2:12" x14ac:dyDescent="0.25">
      <c r="B38" s="57" t="s">
        <v>331</v>
      </c>
      <c r="C38" s="57"/>
      <c r="D38" s="57"/>
      <c r="E38" s="57">
        <f>C38*D38</f>
        <v>0</v>
      </c>
      <c r="F38" s="57"/>
      <c r="G38" s="57"/>
      <c r="H38" s="57"/>
      <c r="I38" s="57">
        <f t="shared" si="3"/>
        <v>0</v>
      </c>
      <c r="J38" s="57"/>
      <c r="K38" s="57"/>
      <c r="L38" s="57">
        <f t="shared" si="4"/>
        <v>0</v>
      </c>
    </row>
    <row r="39" spans="2:12" x14ac:dyDescent="0.25">
      <c r="B39" s="57"/>
      <c r="C39" s="57"/>
      <c r="D39" s="57"/>
      <c r="E39" s="57">
        <f t="shared" si="0"/>
        <v>0</v>
      </c>
      <c r="F39" s="57"/>
      <c r="G39" s="57"/>
      <c r="H39" s="57"/>
      <c r="I39" s="57">
        <f t="shared" si="3"/>
        <v>0</v>
      </c>
      <c r="J39" s="57"/>
      <c r="K39" s="57"/>
      <c r="L39" s="57">
        <f t="shared" si="4"/>
        <v>0</v>
      </c>
    </row>
    <row r="40" spans="2:12" x14ac:dyDescent="0.25">
      <c r="B40" s="57"/>
      <c r="C40" s="57"/>
      <c r="D40" s="57"/>
      <c r="E40" s="57">
        <f t="shared" si="0"/>
        <v>0</v>
      </c>
      <c r="F40" s="57"/>
      <c r="G40" s="57"/>
      <c r="H40" s="57"/>
      <c r="I40" s="57">
        <f t="shared" si="3"/>
        <v>0</v>
      </c>
      <c r="J40" s="57"/>
      <c r="K40" s="57"/>
      <c r="L40" s="57">
        <f t="shared" si="4"/>
        <v>0</v>
      </c>
    </row>
    <row r="41" spans="2:12" x14ac:dyDescent="0.25">
      <c r="B41" s="57"/>
      <c r="C41" s="57"/>
      <c r="D41" s="57"/>
      <c r="E41" s="57">
        <f t="shared" si="0"/>
        <v>0</v>
      </c>
      <c r="F41" s="57"/>
      <c r="G41" s="57"/>
      <c r="H41" s="57"/>
      <c r="I41" s="57">
        <f t="shared" si="3"/>
        <v>0</v>
      </c>
      <c r="J41" s="57"/>
      <c r="K41" s="57"/>
      <c r="L41" s="57">
        <f t="shared" si="4"/>
        <v>0</v>
      </c>
    </row>
    <row r="42" spans="2:12" x14ac:dyDescent="0.25">
      <c r="B42" s="57" t="s">
        <v>152</v>
      </c>
      <c r="C42" s="57"/>
      <c r="D42" s="57">
        <f>E42*10.764</f>
        <v>0</v>
      </c>
      <c r="E42" s="78">
        <f>SUM(E6:E41)</f>
        <v>0</v>
      </c>
      <c r="F42" s="57"/>
      <c r="G42" s="57"/>
      <c r="H42" s="57">
        <f>I42*10.764</f>
        <v>0</v>
      </c>
      <c r="I42" s="77">
        <f>SUM(I6:I41)</f>
        <v>0</v>
      </c>
      <c r="J42" s="57"/>
      <c r="K42" s="57">
        <f>L42*10.764</f>
        <v>0</v>
      </c>
      <c r="L42" s="76">
        <f>SUM(L6:L41)</f>
        <v>0</v>
      </c>
    </row>
    <row r="44" spans="2:12" x14ac:dyDescent="0.25">
      <c r="D44" s="56">
        <f>D42+H42</f>
        <v>0</v>
      </c>
      <c r="E44" s="5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2025-06-07T09:52:53Z</cp:lastPrinted>
  <dcterms:created xsi:type="dcterms:W3CDTF">2019-07-16T09:29:46Z</dcterms:created>
  <dcterms:modified xsi:type="dcterms:W3CDTF">2025-09-17T18:50:48Z</dcterms:modified>
</cp:coreProperties>
</file>