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ne 25\Axis\"/>
    </mc:Choice>
  </mc:AlternateContent>
  <xr:revisionPtr revIDLastSave="0" documentId="13_ncr:1_{CB69E129-306E-4C6E-8AD3-AA9E6B4748A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  <sheet name="Wing 1 area" sheetId="6" r:id="rId4"/>
  </sheets>
  <definedNames>
    <definedName name="_xlnm.Print_Area" localSheetId="0">Report!$A$1:$H$395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3" i="1" l="1"/>
  <c r="C99" i="1" l="1"/>
  <c r="K61" i="1"/>
  <c r="L61" i="1" s="1"/>
  <c r="D241" i="1"/>
  <c r="F241" i="1" s="1"/>
  <c r="D242" i="1"/>
  <c r="F242" i="1" s="1"/>
  <c r="D239" i="1"/>
  <c r="F239" i="1" s="1"/>
  <c r="D237" i="1"/>
  <c r="F237" i="1" s="1"/>
  <c r="D236" i="1"/>
  <c r="F236" i="1" s="1"/>
  <c r="D235" i="1"/>
  <c r="F235" i="1" s="1"/>
  <c r="D234" i="1"/>
  <c r="F234" i="1" s="1"/>
  <c r="D230" i="1"/>
  <c r="F230" i="1" s="1"/>
  <c r="D229" i="1"/>
  <c r="F229" i="1" s="1"/>
  <c r="D225" i="1"/>
  <c r="F225" i="1" s="1"/>
  <c r="D224" i="1"/>
  <c r="G239" i="1"/>
  <c r="I237" i="1"/>
  <c r="I236" i="1"/>
  <c r="G234" i="1"/>
  <c r="A230" i="1"/>
  <c r="A231" i="1" s="1"/>
  <c r="A232" i="1" s="1"/>
  <c r="G229" i="1"/>
  <c r="I225" i="1"/>
  <c r="J224" i="1"/>
  <c r="I224" i="1"/>
  <c r="G224" i="1"/>
  <c r="A235" i="1"/>
  <c r="F224" i="1" l="1"/>
  <c r="G137" i="1" s="1"/>
  <c r="C137" i="1"/>
  <c r="E137" i="1"/>
  <c r="C92" i="1"/>
  <c r="C78" i="1"/>
  <c r="A236" i="1"/>
  <c r="E157" i="1" l="1"/>
  <c r="E156" i="1"/>
  <c r="D162" i="1"/>
  <c r="D161" i="1"/>
  <c r="D160" i="1"/>
  <c r="D158" i="1"/>
  <c r="D157" i="1"/>
  <c r="D156" i="1"/>
  <c r="D154" i="1"/>
  <c r="D153" i="1"/>
  <c r="D152" i="1"/>
  <c r="M54" i="6"/>
  <c r="J54" i="6"/>
  <c r="F54" i="6"/>
  <c r="M53" i="6"/>
  <c r="J53" i="6"/>
  <c r="F53" i="6"/>
  <c r="M52" i="6"/>
  <c r="J52" i="6"/>
  <c r="F52" i="6"/>
  <c r="M51" i="6"/>
  <c r="J51" i="6"/>
  <c r="F51" i="6"/>
  <c r="M50" i="6"/>
  <c r="J50" i="6"/>
  <c r="F50" i="6"/>
  <c r="M49" i="6"/>
  <c r="J49" i="6"/>
  <c r="F49" i="6"/>
  <c r="M48" i="6"/>
  <c r="J48" i="6"/>
  <c r="F48" i="6"/>
  <c r="M47" i="6"/>
  <c r="J47" i="6"/>
  <c r="F47" i="6"/>
  <c r="M46" i="6"/>
  <c r="J46" i="6"/>
  <c r="F46" i="6"/>
  <c r="M45" i="6"/>
  <c r="J45" i="6"/>
  <c r="F45" i="6"/>
  <c r="M44" i="6"/>
  <c r="J44" i="6"/>
  <c r="F44" i="6"/>
  <c r="M43" i="6"/>
  <c r="J43" i="6"/>
  <c r="F43" i="6"/>
  <c r="M42" i="6"/>
  <c r="J42" i="6"/>
  <c r="F42" i="6"/>
  <c r="M41" i="6"/>
  <c r="J41" i="6"/>
  <c r="F41" i="6"/>
  <c r="M40" i="6"/>
  <c r="J40" i="6"/>
  <c r="F40" i="6"/>
  <c r="M39" i="6"/>
  <c r="J39" i="6"/>
  <c r="F39" i="6"/>
  <c r="M38" i="6"/>
  <c r="J38" i="6"/>
  <c r="F38" i="6"/>
  <c r="M37" i="6"/>
  <c r="J37" i="6"/>
  <c r="F37" i="6"/>
  <c r="M36" i="6"/>
  <c r="J36" i="6"/>
  <c r="F36" i="6"/>
  <c r="M35" i="6"/>
  <c r="J35" i="6"/>
  <c r="F35" i="6"/>
  <c r="M34" i="6"/>
  <c r="J34" i="6"/>
  <c r="F34" i="6"/>
  <c r="M33" i="6"/>
  <c r="J33" i="6"/>
  <c r="F33" i="6"/>
  <c r="M32" i="6"/>
  <c r="J32" i="6"/>
  <c r="F32" i="6"/>
  <c r="M31" i="6"/>
  <c r="J31" i="6"/>
  <c r="F31" i="6"/>
  <c r="M30" i="6"/>
  <c r="J30" i="6"/>
  <c r="F30" i="6"/>
  <c r="M29" i="6"/>
  <c r="J29" i="6"/>
  <c r="F29" i="6"/>
  <c r="M28" i="6"/>
  <c r="J28" i="6"/>
  <c r="F28" i="6"/>
  <c r="M27" i="6"/>
  <c r="J27" i="6"/>
  <c r="F27" i="6"/>
  <c r="M26" i="6"/>
  <c r="J26" i="6"/>
  <c r="F26" i="6"/>
  <c r="M25" i="6"/>
  <c r="J25" i="6"/>
  <c r="F25" i="6"/>
  <c r="M24" i="6"/>
  <c r="J24" i="6"/>
  <c r="F24" i="6"/>
  <c r="M23" i="6"/>
  <c r="J23" i="6"/>
  <c r="F23" i="6"/>
  <c r="M22" i="6"/>
  <c r="J22" i="6"/>
  <c r="F22" i="6"/>
  <c r="M21" i="6"/>
  <c r="J21" i="6"/>
  <c r="F21" i="6"/>
  <c r="M20" i="6"/>
  <c r="J20" i="6"/>
  <c r="F20" i="6"/>
  <c r="M19" i="6"/>
  <c r="J19" i="6"/>
  <c r="F19" i="6"/>
  <c r="M18" i="6"/>
  <c r="J18" i="6"/>
  <c r="F18" i="6"/>
  <c r="M17" i="6"/>
  <c r="J17" i="6"/>
  <c r="F17" i="6"/>
  <c r="M16" i="6"/>
  <c r="J16" i="6"/>
  <c r="F16" i="6"/>
  <c r="M15" i="6"/>
  <c r="J15" i="6"/>
  <c r="F15" i="6"/>
  <c r="M14" i="6"/>
  <c r="J14" i="6"/>
  <c r="F14" i="6"/>
  <c r="M13" i="6"/>
  <c r="J13" i="6"/>
  <c r="F13" i="6"/>
  <c r="M12" i="6"/>
  <c r="J12" i="6"/>
  <c r="F12" i="6"/>
  <c r="M11" i="6"/>
  <c r="J11" i="6"/>
  <c r="F11" i="6"/>
  <c r="M10" i="6"/>
  <c r="J10" i="6"/>
  <c r="F10" i="6"/>
  <c r="M9" i="6"/>
  <c r="J9" i="6"/>
  <c r="F9" i="6"/>
  <c r="M8" i="6"/>
  <c r="J8" i="6"/>
  <c r="F8" i="6"/>
  <c r="M7" i="6"/>
  <c r="J7" i="6"/>
  <c r="F7" i="6"/>
  <c r="M6" i="6"/>
  <c r="J6" i="6"/>
  <c r="F6" i="6"/>
  <c r="M5" i="6"/>
  <c r="J5" i="6"/>
  <c r="F5" i="6"/>
  <c r="B5" i="6"/>
  <c r="B6" i="6" s="1"/>
  <c r="B7" i="6" s="1"/>
  <c r="A184" i="1"/>
  <c r="A237" i="1"/>
  <c r="C135" i="1" l="1"/>
  <c r="M55" i="6"/>
  <c r="L55" i="6" s="1"/>
  <c r="E135" i="1"/>
  <c r="J55" i="6"/>
  <c r="I55" i="6" s="1"/>
  <c r="F55" i="6"/>
  <c r="E55" i="6" s="1"/>
  <c r="A185" i="1"/>
  <c r="E56" i="6" l="1"/>
  <c r="G160" i="1"/>
  <c r="G156" i="1"/>
  <c r="G152" i="1"/>
  <c r="F154" i="1"/>
  <c r="F153" i="1"/>
  <c r="F152" i="1"/>
  <c r="F158" i="1"/>
  <c r="F157" i="1"/>
  <c r="F156" i="1"/>
  <c r="I162" i="1"/>
  <c r="F162" i="1"/>
  <c r="F161" i="1"/>
  <c r="F160" i="1"/>
  <c r="C85" i="1"/>
  <c r="D58" i="1"/>
  <c r="A186" i="1"/>
  <c r="G135" i="1" l="1"/>
  <c r="I215" i="1"/>
  <c r="J169" i="1"/>
  <c r="A187" i="1"/>
  <c r="D176" i="1" l="1"/>
  <c r="I205" i="1"/>
  <c r="I203" i="1"/>
  <c r="I200" i="1"/>
  <c r="I198" i="1"/>
  <c r="I197" i="1"/>
  <c r="I194" i="1"/>
  <c r="I187" i="1"/>
  <c r="I186" i="1"/>
  <c r="I185" i="1"/>
  <c r="I174" i="1"/>
  <c r="I170" i="1"/>
  <c r="I169" i="1"/>
  <c r="D213" i="1"/>
  <c r="D208" i="1"/>
  <c r="D205" i="1"/>
  <c r="D203" i="1"/>
  <c r="D200" i="1"/>
  <c r="D197" i="1"/>
  <c r="D195" i="1"/>
  <c r="D194" i="1"/>
  <c r="D192" i="1"/>
  <c r="K198" i="1" s="1"/>
  <c r="D191" i="1"/>
  <c r="D190" i="1"/>
  <c r="D188" i="1"/>
  <c r="D187" i="1"/>
  <c r="D186" i="1"/>
  <c r="D185" i="1"/>
  <c r="D184" i="1"/>
  <c r="D183" i="1"/>
  <c r="D181" i="1"/>
  <c r="D177" i="1"/>
  <c r="D174" i="1"/>
  <c r="D170" i="1"/>
  <c r="D169" i="1"/>
  <c r="D210" i="1"/>
  <c r="D211" i="1"/>
  <c r="D209" i="1"/>
  <c r="D201" i="1"/>
  <c r="D198" i="1"/>
  <c r="E7" i="1"/>
  <c r="A188" i="1"/>
  <c r="E136" i="1" l="1"/>
  <c r="E138" i="1" s="1"/>
  <c r="I44" i="1"/>
  <c r="F213" i="1" l="1"/>
  <c r="F211" i="1"/>
  <c r="F209" i="1"/>
  <c r="F208" i="1"/>
  <c r="A210" i="1"/>
  <c r="F197" i="1"/>
  <c r="F200" i="1"/>
  <c r="A205" i="1"/>
  <c r="C136" i="1"/>
  <c r="C138" i="1" s="1"/>
  <c r="F194" i="1" l="1"/>
  <c r="F195" i="1"/>
  <c r="F192" i="1"/>
  <c r="F191" i="1"/>
  <c r="G190" i="1"/>
  <c r="F190" i="1"/>
  <c r="F188" i="1"/>
  <c r="F187" i="1"/>
  <c r="F181" i="1"/>
  <c r="F177" i="1"/>
  <c r="F176" i="1"/>
  <c r="A177" i="1"/>
  <c r="A178" i="1" s="1"/>
  <c r="A179" i="1" s="1"/>
  <c r="A180" i="1" s="1"/>
  <c r="A181" i="1" s="1"/>
  <c r="G176" i="1"/>
  <c r="F174" i="1"/>
  <c r="I42" i="1" l="1"/>
  <c r="Z12" i="1" l="1"/>
  <c r="I14" i="1"/>
  <c r="F183" i="1" l="1"/>
  <c r="F169" i="1"/>
  <c r="E43" i="1" l="1"/>
  <c r="E44" i="1" s="1"/>
  <c r="C15" i="1" l="1"/>
  <c r="E30" i="1" l="1"/>
  <c r="F184" i="1" l="1"/>
  <c r="F185" i="1"/>
  <c r="F186" i="1"/>
  <c r="G183" i="1"/>
  <c r="F127" i="1" l="1"/>
  <c r="F170" i="1" l="1"/>
  <c r="B246" i="1" l="1"/>
  <c r="F210" i="1" l="1"/>
  <c r="F205" i="1"/>
  <c r="F203" i="1"/>
  <c r="F201" i="1"/>
  <c r="F198" i="1"/>
  <c r="G136" i="1" l="1"/>
  <c r="G138" i="1" s="1"/>
  <c r="B24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0" i="1"/>
  <c r="G213" i="1"/>
  <c r="G208" i="1"/>
  <c r="G203" i="1"/>
  <c r="G197" i="1"/>
  <c r="A199" i="1"/>
  <c r="A200" i="1" s="1"/>
  <c r="A201" i="1" s="1"/>
  <c r="G169" i="1"/>
  <c r="C71" i="1"/>
  <c r="B72" i="1" s="1"/>
  <c r="G52" i="1"/>
  <c r="E27" i="1"/>
  <c r="E25" i="1"/>
  <c r="E3" i="1"/>
  <c r="D65" i="1" l="1"/>
  <c r="H72" i="1"/>
  <c r="D84" i="1" l="1"/>
  <c r="D82" i="1"/>
  <c r="D81" i="1"/>
  <c r="D78" i="1"/>
  <c r="D80" i="1"/>
  <c r="J77" i="1"/>
  <c r="D83" i="1"/>
  <c r="J71" i="1"/>
  <c r="J73" i="1" s="1"/>
  <c r="D79" i="1"/>
  <c r="J75" i="1"/>
  <c r="J76" i="1"/>
  <c r="C75" i="1" s="1"/>
  <c r="J74" i="1"/>
  <c r="D77" i="1"/>
  <c r="B100" i="1" l="1"/>
  <c r="J78" i="1"/>
  <c r="J83" i="1" s="1"/>
  <c r="D75" i="1"/>
  <c r="J79" i="1"/>
  <c r="J80" i="1" s="1"/>
  <c r="J81" i="1" s="1"/>
  <c r="J82" i="1" s="1"/>
  <c r="H100" i="1"/>
  <c r="D109" i="1" l="1"/>
  <c r="D112" i="1"/>
  <c r="D106" i="1"/>
  <c r="J102" i="1"/>
  <c r="J103" i="1"/>
  <c r="D111" i="1"/>
  <c r="D105" i="1"/>
  <c r="D110" i="1"/>
  <c r="J104" i="1"/>
  <c r="C103" i="1" s="1"/>
  <c r="J99" i="1"/>
  <c r="J101" i="1" s="1"/>
  <c r="D107" i="1"/>
  <c r="D108" i="1"/>
  <c r="J109" i="1"/>
  <c r="J107" i="1"/>
  <c r="J105" i="1"/>
  <c r="J110" i="1"/>
  <c r="J108" i="1"/>
  <c r="J84" i="1"/>
  <c r="J106" i="1" l="1"/>
  <c r="J111" i="1" s="1"/>
  <c r="J112" i="1" s="1"/>
  <c r="C104" i="1"/>
  <c r="E103" i="1" s="1"/>
  <c r="D103" i="1"/>
  <c r="C76" i="1"/>
  <c r="G75" i="1" s="1"/>
  <c r="D69" i="1" s="1"/>
  <c r="G103" i="1" l="1"/>
  <c r="D104" i="1"/>
  <c r="I100" i="1" s="1"/>
  <c r="I101" i="1" s="1"/>
  <c r="J100" i="1"/>
  <c r="E75" i="1"/>
  <c r="J72" i="1"/>
  <c r="D76" i="1"/>
  <c r="I72" i="1" s="1"/>
  <c r="I73" i="1" s="1"/>
  <c r="D70" i="1"/>
  <c r="F70" i="1"/>
  <c r="I99" i="1" l="1"/>
  <c r="C101" i="1" s="1"/>
  <c r="I71" i="1"/>
  <c r="C73" i="1" s="1"/>
  <c r="B86" i="1"/>
  <c r="H86" i="1"/>
  <c r="J88" i="1" l="1"/>
  <c r="D97" i="1"/>
  <c r="J90" i="1"/>
  <c r="C89" i="1" s="1"/>
  <c r="D89" i="1" s="1"/>
  <c r="D96" i="1"/>
  <c r="D94" i="1"/>
  <c r="D98" i="1"/>
  <c r="D92" i="1"/>
  <c r="D91" i="1"/>
  <c r="D95" i="1"/>
  <c r="J89" i="1"/>
  <c r="J85" i="1"/>
  <c r="J87" i="1" s="1"/>
  <c r="D93" i="1"/>
  <c r="J96" i="1"/>
  <c r="J93" i="1"/>
  <c r="J91" i="1"/>
  <c r="J92" i="1" s="1"/>
  <c r="J95" i="1"/>
  <c r="J94" i="1"/>
  <c r="J97" i="1" l="1"/>
  <c r="J98" i="1" s="1"/>
  <c r="C90" i="1" s="1"/>
  <c r="G89" i="1" s="1"/>
  <c r="J86" i="1" l="1"/>
  <c r="E89" i="1"/>
  <c r="D90" i="1"/>
  <c r="I86" i="1" s="1"/>
  <c r="I87" i="1" l="1"/>
  <c r="I85" i="1" s="1"/>
  <c r="C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<sst xmlns="http://schemas.openxmlformats.org/spreadsheetml/2006/main" count="674" uniqueCount="383">
  <si>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</si>
  <si>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</si>
  <si>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</si>
  <si>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</si>
  <si>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</si>
  <si>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</si>
  <si>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</si>
  <si>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</si>
  <si>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</si>
  <si>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</si>
  <si>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</si>
  <si>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</si>
  <si>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</si>
  <si>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</si>
  <si>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</si>
  <si>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</si>
  <si>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</si>
  <si>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</si>
  <si>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</si>
  <si>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</si>
  <si>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</si>
  <si>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</si>
  <si>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</si>
  <si>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</si>
  <si>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</si>
  <si>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</si>
  <si>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</si>
  <si>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</si>
  <si>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</si>
  <si>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</si>
  <si>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</si>
  <si>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</si>
  <si>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</si>
  <si>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</si>
  <si>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</si>
  <si>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</si>
  <si>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</si>
  <si>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</si>
  <si>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</si>
  <si>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</si>
  <si>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</si>
  <si>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</si>
  <si>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</si>
  <si>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</si>
  <si>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</si>
  <si>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</si>
  <si>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</si>
  <si>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</si>
  <si>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</si>
  <si>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</si>
  <si>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</si>
  <si>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</si>
  <si>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</si>
  <si>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</si>
  <si>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</si>
  <si>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</si>
  <si>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</si>
  <si>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</si>
  <si>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</si>
  <si>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</si>
  <si>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</si>
  <si>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</si>
  <si>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</si>
  <si>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</si>
  <si>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</si>
  <si>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</si>
  <si>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</si>
  <si>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</si>
  <si>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</si>
  <si>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</si>
  <si>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</si>
  <si>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</si>
  <si>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</si>
  <si>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</si>
  <si>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</si>
  <si>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</si>
  <si>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</si>
  <si>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</si>
  <si>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</si>
  <si>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</si>
  <si>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</si>
  <si>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</si>
  <si>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</si>
  <si>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</si>
  <si>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</si>
  <si>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</si>
  <si>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</si>
  <si>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</si>
  <si>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</si>
  <si>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</si>
  <si>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</si>
  <si>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</si>
  <si>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</si>
  <si>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</si>
  <si>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</si>
  <si>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</si>
  <si>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</si>
  <si>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</si>
  <si>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</si>
  <si>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</si>
  <si>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</si>
  <si>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</si>
  <si>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</si>
  <si>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</si>
  <si>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</si>
  <si>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</si>
  <si>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</si>
  <si>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</si>
  <si>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</si>
  <si>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</si>
  <si>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</si>
  <si>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</si>
  <si>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</si>
  <si>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</si>
  <si>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</si>
  <si>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</si>
  <si>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</si>
  <si>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</si>
  <si>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</si>
  <si>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</si>
  <si>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</si>
  <si>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</si>
  <si>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</si>
  <si>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</si>
  <si>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</si>
  <si>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</si>
  <si>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</si>
  <si>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</si>
  <si>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</si>
  <si>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</si>
  <si>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</si>
  <si>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</si>
  <si>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</si>
  <si>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</si>
  <si>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</si>
  <si>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</si>
  <si>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</si>
  <si>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</si>
  <si>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</si>
  <si>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</si>
  <si>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</si>
  <si>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</si>
  <si>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</si>
  <si>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</si>
  <si>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</si>
  <si>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</si>
  <si>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</si>
  <si>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</si>
  <si>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</si>
  <si>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</si>
  <si>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</si>
  <si>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</si>
  <si>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</si>
  <si>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</si>
  <si>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</si>
  <si>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</si>
  <si>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</si>
  <si>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</si>
  <si>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</si>
  <si>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</si>
  <si>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</si>
  <si>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</si>
  <si>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</si>
  <si>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</si>
  <si>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</si>
  <si>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</si>
  <si>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</si>
  <si>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</si>
  <si>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</si>
  <si>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</si>
  <si>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</si>
  <si>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</si>
  <si>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</si>
  <si>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</si>
  <si>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</si>
  <si>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</si>
  <si>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</si>
  <si>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</si>
  <si>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</si>
  <si>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</si>
  <si>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</si>
  <si>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</si>
  <si>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</si>
  <si>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</si>
  <si>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</si>
  <si>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</si>
  <si>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</si>
  <si>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</si>
  <si>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</si>
  <si>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</si>
  <si>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</si>
  <si>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</si>
  <si>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</si>
  <si>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</si>
  <si>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</si>
  <si>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</si>
  <si>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</si>
  <si>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</si>
  <si>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</si>
  <si>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</si>
  <si>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</si>
  <si>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</si>
  <si>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</si>
  <si>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</si>
  <si>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</si>
  <si>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</si>
  <si>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</si>
  <si>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</si>
  <si>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</si>
  <si>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</si>
  <si>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</si>
  <si>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</si>
  <si>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</si>
  <si>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</si>
  <si>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</si>
  <si>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</si>
  <si>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</si>
  <si>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</si>
  <si>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</si>
  <si>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</si>
  <si>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</si>
  <si>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</si>
  <si>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</si>
  <si>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</si>
  <si>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</si>
  <si>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</si>
  <si>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</si>
  <si>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Thane</t>
  </si>
  <si>
    <t>Approved Plans, CC &amp; Cost Sheet.</t>
  </si>
  <si>
    <t>Locality/Village</t>
  </si>
  <si>
    <t>Raymond Limited</t>
  </si>
  <si>
    <t xml:space="preserve">Mr. Mayur 7700023042 </t>
  </si>
  <si>
    <t>Tower C Wing 2</t>
  </si>
  <si>
    <t>Panchpakhadi</t>
  </si>
  <si>
    <t>Raymond Realty Road</t>
  </si>
  <si>
    <t>Thane West</t>
  </si>
  <si>
    <t>Raymond Head Office</t>
  </si>
  <si>
    <t>30.00 M. Wide Road</t>
  </si>
  <si>
    <t>Other Plot</t>
  </si>
  <si>
    <t>Thane Municipal Corporation (TMC)</t>
  </si>
  <si>
    <t>S04/0189/22TMC/TD-DP/TPS4437/23</t>
  </si>
  <si>
    <t>S04/0189/22TMC/TDD4437/23</t>
  </si>
  <si>
    <t>As per RERA - 25/12/2028</t>
  </si>
  <si>
    <t>Basement Floor For Parking</t>
  </si>
  <si>
    <t>3BHK</t>
  </si>
  <si>
    <t>4BHK</t>
  </si>
  <si>
    <t>Multipurpose Hall</t>
  </si>
  <si>
    <t>Gymnassium</t>
  </si>
  <si>
    <t>2nd, 4th to 7th, 9th to 12th, 14th to 17th, 19th to 21st, 23rd to 26th, 28th to 31st &amp; 33rd to 36th Floor</t>
  </si>
  <si>
    <t>3rd, 8th, 13th, 18th, 22nd, 27th &amp; 32nd Floor (Part Refuge Area)</t>
  </si>
  <si>
    <t>Refuge area</t>
  </si>
  <si>
    <t>3rd &amp; 4th Podium Floor For Parking</t>
  </si>
  <si>
    <t>1st Floor For Residenital</t>
  </si>
  <si>
    <t xml:space="preserve">Details of Residential in Building   </t>
  </si>
  <si>
    <t>Multipurpose Hall Below</t>
  </si>
  <si>
    <t>Gymnassium Below</t>
  </si>
  <si>
    <t>37th Floor (Part Refuge Area)</t>
  </si>
  <si>
    <t>5.5BHK</t>
  </si>
  <si>
    <t>-</t>
  </si>
  <si>
    <t>38th Floor</t>
  </si>
  <si>
    <t>5BHK</t>
  </si>
  <si>
    <t>39th Floor</t>
  </si>
  <si>
    <t>7BHK Duplex with 40th Floor</t>
  </si>
  <si>
    <t>6BHK Duplex with 38th Floor</t>
  </si>
  <si>
    <t>40th Floor</t>
  </si>
  <si>
    <t>7BHK Duplex with 39th Floor</t>
  </si>
  <si>
    <t>6BHK Duplex with 39th Floor</t>
  </si>
  <si>
    <t>6BHK Duplex with 37th Floor</t>
  </si>
  <si>
    <t>We considered Gross carpet area = Net carpet + Deck Area.</t>
  </si>
  <si>
    <t>6BHK Duplex with 40th Floor</t>
  </si>
  <si>
    <t>19.210281,72.966589</t>
  </si>
  <si>
    <t>https://goo.gl/maps/XmvEdLyJ9L3S8zy77</t>
  </si>
  <si>
    <t>Internal Road</t>
  </si>
  <si>
    <t xml:space="preserve">Houses </t>
  </si>
  <si>
    <t>Ajay Songare</t>
  </si>
  <si>
    <t>Club House, Swimming Pool, Party Lawn, Athletic court, Outdoor Fitness area, Kids Play area, Yoga Garden, etc.</t>
  </si>
  <si>
    <t>https://www.raymondrealtythane.com/addressbygs/?utm_source=google&amp;utm_medium=cpc&amp;utm_campaign=Raymond%20Addressbygs%20Thane&amp;utm_term=raymond%20gs%20tower&amp;utm_Physical_Location=9300430&amp;utm_Targetid=kwd-2172169665119&amp;utm_Target=&amp;utm_Placement=&amp;utm_Adposition=&amp;tm=tt&amp;gclid=CjwKCAjwjOunBhB4EiwA94JWsD-KZQJMnDhmk4qsnONTALVA4yYKcrgzLrPZLcdmGlhzGGdA0O1OHhoClQwQAvD_BwE&amp;aaid=adaZKZkxUMdXz#gallery</t>
  </si>
  <si>
    <t xml:space="preserve">Remark regarding commercial </t>
  </si>
  <si>
    <t>J K Gram</t>
  </si>
  <si>
    <t>Stilt/ 5th Podium Floor For Residential ( Part Multipurpose Hall &amp; Gymnassium)</t>
  </si>
  <si>
    <t>3.60KM from Thane Railway Station</t>
  </si>
  <si>
    <t>We have not considered commercial area because Shop No. 1 to 25 located on 1st podium floor, 1st to 4th podium floors are common for whole project (i.e. Wing 1 to 4 ). For Wing 2 perticular Shop No. does not bifurcated.</t>
  </si>
  <si>
    <t>Mr. Mayur 7700023042</t>
  </si>
  <si>
    <t>Lower Gr. Floor For Parking</t>
  </si>
  <si>
    <t>Upper Gr./1st &amp; 2nd Podium Floor For Commercial &amp; Parking</t>
  </si>
  <si>
    <t>S01</t>
  </si>
  <si>
    <t>S02</t>
  </si>
  <si>
    <t>S03</t>
  </si>
  <si>
    <t>S04</t>
  </si>
  <si>
    <t>S05</t>
  </si>
  <si>
    <t>S06</t>
  </si>
  <si>
    <t>301 ,.., 3201</t>
  </si>
  <si>
    <t>302 ,.., 3202</t>
  </si>
  <si>
    <t>303 ,.., 3203</t>
  </si>
  <si>
    <t>304 ,.., 3204</t>
  </si>
  <si>
    <t>305 ,.., 3205</t>
  </si>
  <si>
    <t>306 ,.., 3206</t>
  </si>
  <si>
    <t>201 ,.., 3601</t>
  </si>
  <si>
    <t>65, 66, 118/1, 118/2, 119/A/1/A, 119/A/1/B, 119/A/2, 119-B, 120/1/3, 131/A1, 131/B, 132/2, 133/A, 133/B &amp; 138/1/A</t>
  </si>
  <si>
    <t>Survey No</t>
  </si>
  <si>
    <t>We have not considered commercial area because Shop No. 1 to 25 are located on the 1st podium floor, and the 1st to 4th podium floors are common for the whole project (i.e., Wing 1 to 4). For Wing 2 particular shop number bifurcation is not provided.</t>
  </si>
  <si>
    <t>Wing 1 = B + LG. + UG/P1 + P2 to P4 + Stilt/Podium Top Floor + 1st to 18th + Service Floor + 19th to 35th Floor
Wing 2 = B + LG. + UG/P1 + P2 to P4 + Stilt/Podium Top Floor + 1st to 19th + Service Floor + 20th to 40th Floor</t>
  </si>
  <si>
    <t>2nd, 7th, 12th, 17th, 21st, 26th &amp; 31st Floor (Part Refuge Area)</t>
  </si>
  <si>
    <t>3rd, 8th, 13th, 18th, 22nd, 27th &amp; 32nd Floor (Part Terrace Area)</t>
  </si>
  <si>
    <t>4th to 6th, 9th to 11th, 14th to 16th, 19th to 20th, 23rd to 25th, 28th to 30th &amp; 33rd to 35th Floor</t>
  </si>
  <si>
    <t xml:space="preserve">Floor No </t>
  </si>
  <si>
    <t>Discription</t>
  </si>
  <si>
    <t>Carpet</t>
  </si>
  <si>
    <t>Fungible</t>
  </si>
  <si>
    <t>Terrace</t>
  </si>
  <si>
    <t>L</t>
  </si>
  <si>
    <t>W</t>
  </si>
  <si>
    <t>A</t>
  </si>
  <si>
    <t>Living</t>
  </si>
  <si>
    <t>CB</t>
  </si>
  <si>
    <t>FB</t>
  </si>
  <si>
    <t>Planter</t>
  </si>
  <si>
    <t>Pass</t>
  </si>
  <si>
    <t>Balcony</t>
  </si>
  <si>
    <t>Dining</t>
  </si>
  <si>
    <t>Niche</t>
  </si>
  <si>
    <t>Toilet1</t>
  </si>
  <si>
    <t>FRG Niche</t>
  </si>
  <si>
    <t>Bed2</t>
  </si>
  <si>
    <t>pass</t>
  </si>
  <si>
    <t>Toilet2</t>
  </si>
  <si>
    <t>Bed3</t>
  </si>
  <si>
    <t>Toilet3</t>
  </si>
  <si>
    <t>Bed4</t>
  </si>
  <si>
    <t>toilet4</t>
  </si>
  <si>
    <t>DB</t>
  </si>
  <si>
    <t>toilet5</t>
  </si>
  <si>
    <t>Flower Bed</t>
  </si>
  <si>
    <t>FSP</t>
  </si>
  <si>
    <t>Refuge</t>
  </si>
  <si>
    <t>Wing 1 Flat No. 1</t>
  </si>
  <si>
    <t>Fover</t>
  </si>
  <si>
    <t>kitchen</t>
  </si>
  <si>
    <t>servant</t>
  </si>
  <si>
    <t>bed</t>
  </si>
  <si>
    <t>toilet</t>
  </si>
  <si>
    <t>bed 2</t>
  </si>
  <si>
    <t>bed 3</t>
  </si>
  <si>
    <t>Dressing</t>
  </si>
  <si>
    <t>bed 4</t>
  </si>
  <si>
    <t>Passage</t>
  </si>
  <si>
    <t>deck</t>
  </si>
  <si>
    <t>Dry yard</t>
  </si>
  <si>
    <t>Service SLAB</t>
  </si>
  <si>
    <t xml:space="preserve">We have updated revised plans &amp; CC of Wing 1 (Except podium top &amp; 1st Floor) (on 28/12/2023).
</t>
  </si>
  <si>
    <t>Construction work is in process at the time of visit. Internal photographs was not allowed.</t>
  </si>
  <si>
    <t>Kunal Kadam</t>
  </si>
  <si>
    <t>The Address By GS Tower C &amp; E and Invictus</t>
  </si>
  <si>
    <t>Wing 1 - P51700052012
Wing 2 - P51700052008
Wing 4 - P51700077861</t>
  </si>
  <si>
    <t>03 Wings</t>
  </si>
  <si>
    <t xml:space="preserve">Approved Floor plan No.
Tower C and Invictus  </t>
  </si>
  <si>
    <t>Approved Floor plan No.
Tower E</t>
  </si>
  <si>
    <t xml:space="preserve">Commencement-CC No
Valid Up to: </t>
  </si>
  <si>
    <t>Wing 4 = B + LG. + UG/P1 + P2 to P4 + St/Podium Top + 1st to 19th + Service Floor + 20th to 38th Floor</t>
  </si>
  <si>
    <t>TMCB/TDD/0160/[P/C]/2024/AutoDCR</t>
  </si>
  <si>
    <t>Stilt Floor For Residential and Amenties</t>
  </si>
  <si>
    <t>Amenties</t>
  </si>
  <si>
    <t>Amenties Below</t>
  </si>
  <si>
    <t>3rd, 8th, 13th, 18th, 22nd, 27th, 32nd &amp; 37th Floor (Part Refuge Area)</t>
  </si>
  <si>
    <t>Service Floor is between 19th and 20th Floor</t>
  </si>
  <si>
    <t xml:space="preserve">We have updated revised plans &amp; CC of Wing 4 (on 19/03/2025).
</t>
  </si>
  <si>
    <t>Wing 1 (Invictus)</t>
  </si>
  <si>
    <t>Wing 2 (Tower C)</t>
  </si>
  <si>
    <t>Wing 4 (Tower E)</t>
  </si>
  <si>
    <t>Wing 1 = Invictus By GS 
Wing 2 = The Address By GS Tower C
Wing 4 = The Address By GS Tower E</t>
  </si>
  <si>
    <t xml:space="preserve">Construction details:
Invictus By GS </t>
  </si>
  <si>
    <t>Construction details:
Tower C</t>
  </si>
  <si>
    <r>
      <rPr>
        <b/>
        <sz val="12"/>
        <rFont val="Times New Roman"/>
        <family val="1"/>
      </rPr>
      <t>Wing 1</t>
    </r>
    <r>
      <rPr>
        <sz val="12"/>
        <rFont val="Times New Roman"/>
        <family val="1"/>
      </rPr>
      <t xml:space="preserve"> = B + LG. + UG/P1 + P2 to P4 + St/Podium Top + 1st to 18th + Service Floor + 19th to 35th Floor
</t>
    </r>
    <r>
      <rPr>
        <b/>
        <sz val="12"/>
        <rFont val="Times New Roman"/>
        <family val="1"/>
      </rPr>
      <t>Wing 2</t>
    </r>
    <r>
      <rPr>
        <sz val="12"/>
        <rFont val="Times New Roman"/>
        <family val="1"/>
      </rPr>
      <t xml:space="preserve"> = B + LG. + UG/P1 + P2 to P4 + St/Podium Top + 1st to 19th + Service Floor + 20th to 40th Floor
</t>
    </r>
    <r>
      <rPr>
        <b/>
        <sz val="12"/>
        <rFont val="Times New Roman"/>
        <family val="1"/>
      </rPr>
      <t>Wing 4</t>
    </r>
    <r>
      <rPr>
        <sz val="12"/>
        <rFont val="Times New Roman"/>
        <family val="1"/>
      </rPr>
      <t xml:space="preserve"> = B + LG. + UG/P1 + P2 to P4 + St/Podium Top + 1st to 19th + Service Floor + 20th to 38th Floor</t>
    </r>
  </si>
  <si>
    <r>
      <rPr>
        <b/>
        <sz val="12"/>
        <rFont val="Times New Roman"/>
        <family val="1"/>
      </rPr>
      <t>Wing 1</t>
    </r>
    <r>
      <rPr>
        <sz val="12"/>
        <rFont val="Times New Roman"/>
        <family val="1"/>
      </rPr>
      <t xml:space="preserve"> = 1B + LG. + UG/P1 + P2 to P4 + St/Podium Top + 1st to 18th + Service Floor + 19th to 35th Floor</t>
    </r>
  </si>
  <si>
    <r>
      <rPr>
        <b/>
        <sz val="12"/>
        <rFont val="Times New Roman"/>
        <family val="1"/>
      </rPr>
      <t>Wing 2</t>
    </r>
    <r>
      <rPr>
        <sz val="12"/>
        <rFont val="Times New Roman"/>
        <family val="1"/>
      </rPr>
      <t xml:space="preserve"> = 1B + LG. + UG/P1 + P2 to P4 + St/Podium Top + 1st to 19th + Service Floor + 20th to 40th Floor</t>
    </r>
  </si>
  <si>
    <r>
      <rPr>
        <b/>
        <sz val="12"/>
        <rFont val="Times New Roman"/>
        <family val="1"/>
      </rPr>
      <t>Wing 4</t>
    </r>
    <r>
      <rPr>
        <sz val="12"/>
        <rFont val="Times New Roman"/>
        <family val="1"/>
      </rPr>
      <t xml:space="preserve"> = 1B + LG. + UG/P1 + P2 to P4 + St/Podium Top + 1st to 19th + Service Floor + 20th to 52nd Floor</t>
    </r>
  </si>
  <si>
    <t>Construction details:
Tower E</t>
  </si>
  <si>
    <t>Tower E Wing 4</t>
  </si>
  <si>
    <t>Invictus Wing 1</t>
  </si>
  <si>
    <t>2nd, 4th to 7th, 9th to 12th, 14th to 17th, 19th to 21st, 
23rd to 26th, 28th to 31st &amp; 33rd to 36th &amp; 38th Floor</t>
  </si>
  <si>
    <t>Flats - 466</t>
  </si>
  <si>
    <t>Floor Rise Rate from 4th Floor</t>
  </si>
  <si>
    <t>Recommended Rates / Other charges of the Property have been revised on 27/03/2025.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</si>
</sst>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0" xfId="1" applyNumberFormat="1" applyFont="1"/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/>
    <xf numFmtId="0" fontId="7" fillId="0" borderId="0" xfId="1" applyFont="1" applyAlignment="1">
      <alignment vertical="center"/>
    </xf>
    <xf numFmtId="0" fontId="26" fillId="0" borderId="0" xfId="10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7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3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/>
    <xf numFmtId="0" fontId="29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2" fillId="0" borderId="8" xfId="0" applyNumberFormat="1" applyFont="1" applyBorder="1" applyAlignment="1" applyProtection="1">
      <alignment horizontal="center" vertical="top" wrapText="1"/>
      <protection locked="0"/>
    </xf>
    <xf numFmtId="1" fontId="12" fillId="0" borderId="9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231588</xdr:colOff>
      <xdr:row>355</xdr:row>
      <xdr:rowOff>16566</xdr:rowOff>
    </xdr:from>
    <xdr:to>
      <xdr:col>6</xdr:col>
      <xdr:colOff>569088</xdr:colOff>
      <xdr:row>375</xdr:row>
      <xdr:rowOff>173937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1566" y="59982653"/>
          <a:ext cx="4793544" cy="41330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476251</xdr:colOff>
      <xdr:row>376</xdr:row>
      <xdr:rowOff>90335</xdr:rowOff>
    </xdr:from>
    <xdr:to>
      <xdr:col>7</xdr:col>
      <xdr:colOff>312421</xdr:colOff>
      <xdr:row>393</xdr:row>
      <xdr:rowOff>144780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234293AF-3AEE-EF02-6AF0-C8A3DFF5E95E}"/>
            </a:ext>
          </a:extLst>
        </xdr:cNvPr>
        <xdr:cNvGrpSpPr/>
      </xdr:nvGrpSpPr>
      <xdr:grpSpPr>
        <a:xfrm>
          <a:off x="476251" y="83087375"/>
          <a:ext cx="5665470" cy="3422485"/>
          <a:chOff x="476250" y="82439675"/>
          <a:chExt cx="5702781" cy="3742176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76250" y="82439675"/>
            <a:ext cx="5702781" cy="37421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1608108" y="83209010"/>
            <a:ext cx="80010" cy="1374747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1608108" y="84583757"/>
            <a:ext cx="1489710" cy="158115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H="1">
            <a:off x="3036858" y="84757112"/>
            <a:ext cx="83820" cy="546966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3044478" y="85270220"/>
            <a:ext cx="537210" cy="40005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V="1">
            <a:off x="3574068" y="84839690"/>
            <a:ext cx="53340" cy="82296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3589308" y="84854930"/>
            <a:ext cx="701040" cy="3048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4261773" y="84870170"/>
            <a:ext cx="81915" cy="256512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4338117" y="85141922"/>
            <a:ext cx="432291" cy="3048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1688118" y="83209010"/>
            <a:ext cx="1792407" cy="85689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H="1">
            <a:off x="3443595" y="83294699"/>
            <a:ext cx="36930" cy="43053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3443595" y="83724294"/>
            <a:ext cx="1524933" cy="8285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>
            <a:off x="4770408" y="83824792"/>
            <a:ext cx="182880" cy="135523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247650</xdr:colOff>
      <xdr:row>313</xdr:row>
      <xdr:rowOff>19055</xdr:rowOff>
    </xdr:from>
    <xdr:to>
      <xdr:col>7</xdr:col>
      <xdr:colOff>312521</xdr:colOff>
      <xdr:row>338</xdr:row>
      <xdr:rowOff>75687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47650" y="70534535"/>
          <a:ext cx="5894171" cy="5009632"/>
          <a:chOff x="247650" y="71606233"/>
          <a:chExt cx="5725442" cy="5159573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7650" y="71606233"/>
            <a:ext cx="5725442" cy="514205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3442607" y="72332850"/>
            <a:ext cx="1658476" cy="669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800" b="1">
                <a:solidFill>
                  <a:schemeClr val="tx1"/>
                </a:solidFill>
              </a:rPr>
              <a:t>Wing 1 </a:t>
            </a:r>
          </a:p>
          <a:p>
            <a:r>
              <a:rPr lang="en-IN" sz="1800" b="1">
                <a:solidFill>
                  <a:schemeClr val="tx1"/>
                </a:solidFill>
              </a:rPr>
              <a:t>Invictus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971550" y="72664864"/>
            <a:ext cx="1375138" cy="669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800" b="1">
                <a:solidFill>
                  <a:schemeClr val="tx1"/>
                </a:solidFill>
              </a:rPr>
              <a:t>Wing 2</a:t>
            </a:r>
          </a:p>
          <a:p>
            <a:r>
              <a:rPr lang="en-IN" sz="1800" b="1">
                <a:solidFill>
                  <a:schemeClr val="tx1"/>
                </a:solidFill>
              </a:rPr>
              <a:t>Tower C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847725" y="75423032"/>
            <a:ext cx="1508462" cy="669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800" b="1">
                <a:solidFill>
                  <a:schemeClr val="tx1"/>
                </a:solidFill>
              </a:rPr>
              <a:t>Wing 3</a:t>
            </a:r>
          </a:p>
          <a:p>
            <a:r>
              <a:rPr lang="en-IN" sz="1800" b="1">
                <a:solidFill>
                  <a:schemeClr val="tx1"/>
                </a:solidFill>
              </a:rPr>
              <a:t>Tower D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633107" y="76096586"/>
            <a:ext cx="1268520" cy="6692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800" b="1">
                <a:solidFill>
                  <a:schemeClr val="tx1"/>
                </a:solidFill>
              </a:rPr>
              <a:t>Wing 4</a:t>
            </a:r>
          </a:p>
          <a:p>
            <a:r>
              <a:rPr lang="en-IN" sz="1800" b="1">
                <a:solidFill>
                  <a:schemeClr val="tx1"/>
                </a:solidFill>
              </a:rPr>
              <a:t>Tower E</a:t>
            </a:r>
          </a:p>
        </xdr:txBody>
      </xdr:sp>
    </xdr:grpSp>
    <xdr:clientData/>
  </xdr:twoCellAnchor>
  <xdr:twoCellAnchor>
    <xdr:from>
      <xdr:col>8</xdr:col>
      <xdr:colOff>986790</xdr:colOff>
      <xdr:row>270</xdr:row>
      <xdr:rowOff>47625</xdr:rowOff>
    </xdr:from>
    <xdr:to>
      <xdr:col>16</xdr:col>
      <xdr:colOff>600945</xdr:colOff>
      <xdr:row>299</xdr:row>
      <xdr:rowOff>148378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39990" y="62051565"/>
          <a:ext cx="6304515" cy="5838613"/>
          <a:chOff x="133350" y="61950600"/>
          <a:chExt cx="6152115" cy="5891953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61950600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49020" y="61950600"/>
            <a:ext cx="383644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64962553"/>
            <a:ext cx="383644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27715" y="64962553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133350" y="61950600"/>
            <a:ext cx="577846" cy="267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/>
              <a:t>Wing</a:t>
            </a:r>
            <a:r>
              <a:rPr lang="en-IN" sz="1100" b="1" baseline="0"/>
              <a:t> 1</a:t>
            </a:r>
            <a:endParaRPr lang="en-IN" sz="1100" b="1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3372945" y="62264925"/>
            <a:ext cx="694230" cy="267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1"/>
              <a:t>Wing</a:t>
            </a:r>
            <a:r>
              <a:rPr lang="en-IN" sz="1100" b="1" baseline="0"/>
              <a:t> 2</a:t>
            </a:r>
            <a:endParaRPr lang="en-IN" sz="1100" b="1"/>
          </a:p>
        </xdr:txBody>
      </xdr:sp>
    </xdr:grpSp>
    <xdr:clientData/>
  </xdr:twoCellAnchor>
  <xdr:twoCellAnchor>
    <xdr:from>
      <xdr:col>0</xdr:col>
      <xdr:colOff>274320</xdr:colOff>
      <xdr:row>271</xdr:row>
      <xdr:rowOff>30480</xdr:rowOff>
    </xdr:from>
    <xdr:to>
      <xdr:col>7</xdr:col>
      <xdr:colOff>426956</xdr:colOff>
      <xdr:row>304</xdr:row>
      <xdr:rowOff>37534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30F60ED-A7F0-41A7-776F-8032F974657E}"/>
            </a:ext>
          </a:extLst>
        </xdr:cNvPr>
        <xdr:cNvGrpSpPr/>
      </xdr:nvGrpSpPr>
      <xdr:grpSpPr>
        <a:xfrm>
          <a:off x="274320" y="62232540"/>
          <a:ext cx="5981936" cy="6537394"/>
          <a:chOff x="327064" y="287383"/>
          <a:chExt cx="5981936" cy="653739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FDD29DB-28F0-0E2C-E7CC-0C498EC5B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000" y="287383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3B500AF-2043-B60C-8BB8-8F37E8FC1F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64" y="287383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A990038-298C-4E09-6B37-6FBB8483ABD8}"/>
              </a:ext>
            </a:extLst>
          </xdr:cNvPr>
          <xdr:cNvGrpSpPr/>
        </xdr:nvGrpSpPr>
        <xdr:grpSpPr>
          <a:xfrm>
            <a:off x="503318" y="4304777"/>
            <a:ext cx="5466856" cy="2520000"/>
            <a:chOff x="503318" y="4304777"/>
            <a:chExt cx="5466856" cy="252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937E5FC-AD47-7F64-FF0F-596552D059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82143" y="430477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C5E13BCD-C3AB-819B-0C86-9E99D24840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03318" y="4304777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" name="TextBox 15">
            <a:extLst>
              <a:ext uri="{FF2B5EF4-FFF2-40B4-BE49-F238E27FC236}">
                <a16:creationId xmlns:a16="http://schemas.microsoft.com/office/drawing/2014/main" id="{73A64996-5088-A629-3635-FB480AF81699}"/>
              </a:ext>
            </a:extLst>
          </xdr:cNvPr>
          <xdr:cNvSpPr txBox="1"/>
        </xdr:nvSpPr>
        <xdr:spPr>
          <a:xfrm>
            <a:off x="3646675" y="501525"/>
            <a:ext cx="85311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2</a:t>
            </a:r>
          </a:p>
        </xdr:txBody>
      </xdr:sp>
      <xdr:sp macro="" textlink="">
        <xdr:nvSpPr>
          <xdr:cNvPr id="8" name="TextBox 16">
            <a:extLst>
              <a:ext uri="{FF2B5EF4-FFF2-40B4-BE49-F238E27FC236}">
                <a16:creationId xmlns:a16="http://schemas.microsoft.com/office/drawing/2014/main" id="{34272941-9B86-CED2-CA8F-D9E60FD9F69A}"/>
              </a:ext>
            </a:extLst>
          </xdr:cNvPr>
          <xdr:cNvSpPr txBox="1"/>
        </xdr:nvSpPr>
        <xdr:spPr>
          <a:xfrm>
            <a:off x="1619794" y="533791"/>
            <a:ext cx="85311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mvEdLyJ9L3S8zy7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54"/>
  <sheetViews>
    <sheetView tabSelected="1" view="pageBreakPreview" zoomScaleNormal="100" zoomScaleSheetLayoutView="100" workbookViewId="0">
      <selection activeCell="K6" sqref="K6"/>
    </sheetView>
  </sheetViews>
  <sheetFormatPr defaultColWidth="9.109375" defaultRowHeight="15.6" x14ac:dyDescent="0.3"/>
  <cols>
    <col min="1" max="1" width="11.44140625" style="36" customWidth="1"/>
    <col min="2" max="2" width="12" style="36" customWidth="1"/>
    <col min="3" max="3" width="12.6640625" style="36" customWidth="1"/>
    <col min="4" max="4" width="14.109375" style="36" customWidth="1"/>
    <col min="5" max="6" width="11.6640625" style="36" customWidth="1"/>
    <col min="7" max="7" width="11.44140625" style="36" customWidth="1"/>
    <col min="8" max="8" width="10.5546875" style="36" customWidth="1"/>
    <col min="9" max="9" width="17.44140625" style="17" customWidth="1"/>
    <col min="10" max="10" width="11.44140625" style="17" customWidth="1"/>
    <col min="11" max="12" width="11.33203125" style="17" bestFit="1" customWidth="1"/>
    <col min="13" max="13" width="11.88671875" style="17" customWidth="1"/>
    <col min="14" max="14" width="12.5546875" style="17" customWidth="1"/>
    <col min="15" max="15" width="9.88671875" style="17" customWidth="1"/>
    <col min="16" max="16" width="11.6640625" style="17" customWidth="1"/>
    <col min="17" max="247" width="9.109375" style="17"/>
    <col min="248" max="248" width="8.6640625" style="17" customWidth="1"/>
    <col min="249" max="249" width="9.88671875" style="17" customWidth="1"/>
    <col min="250" max="250" width="14.44140625" style="17" customWidth="1"/>
    <col min="251" max="251" width="7.33203125" style="17" customWidth="1"/>
    <col min="252" max="252" width="5.5546875" style="17" customWidth="1"/>
    <col min="253" max="253" width="9" style="17" customWidth="1"/>
    <col min="254" max="255" width="9.88671875" style="17" customWidth="1"/>
    <col min="256" max="256" width="11.109375" style="17" customWidth="1"/>
    <col min="257" max="257" width="2.88671875" style="17" customWidth="1"/>
    <col min="258" max="258" width="3.5546875" style="17" customWidth="1"/>
    <col min="259" max="503" width="9.109375" style="17"/>
    <col min="504" max="504" width="8.6640625" style="17" customWidth="1"/>
    <col min="505" max="505" width="9.88671875" style="17" customWidth="1"/>
    <col min="506" max="506" width="14.44140625" style="17" customWidth="1"/>
    <col min="507" max="507" width="7.33203125" style="17" customWidth="1"/>
    <col min="508" max="508" width="5.5546875" style="17" customWidth="1"/>
    <col min="509" max="509" width="9" style="17" customWidth="1"/>
    <col min="510" max="511" width="9.88671875" style="17" customWidth="1"/>
    <col min="512" max="512" width="11.109375" style="17" customWidth="1"/>
    <col min="513" max="513" width="2.88671875" style="17" customWidth="1"/>
    <col min="514" max="514" width="3.5546875" style="17" customWidth="1"/>
    <col min="515" max="759" width="9.109375" style="17"/>
    <col min="760" max="760" width="8.6640625" style="17" customWidth="1"/>
    <col min="761" max="761" width="9.88671875" style="17" customWidth="1"/>
    <col min="762" max="762" width="14.44140625" style="17" customWidth="1"/>
    <col min="763" max="763" width="7.33203125" style="17" customWidth="1"/>
    <col min="764" max="764" width="5.5546875" style="17" customWidth="1"/>
    <col min="765" max="765" width="9" style="17" customWidth="1"/>
    <col min="766" max="767" width="9.88671875" style="17" customWidth="1"/>
    <col min="768" max="768" width="11.109375" style="17" customWidth="1"/>
    <col min="769" max="769" width="2.88671875" style="17" customWidth="1"/>
    <col min="770" max="770" width="3.5546875" style="17" customWidth="1"/>
    <col min="771" max="1015" width="9.109375" style="17"/>
    <col min="1016" max="1016" width="8.6640625" style="17" customWidth="1"/>
    <col min="1017" max="1017" width="9.88671875" style="17" customWidth="1"/>
    <col min="1018" max="1018" width="14.44140625" style="17" customWidth="1"/>
    <col min="1019" max="1019" width="7.33203125" style="17" customWidth="1"/>
    <col min="1020" max="1020" width="5.5546875" style="17" customWidth="1"/>
    <col min="1021" max="1021" width="9" style="17" customWidth="1"/>
    <col min="1022" max="1023" width="9.88671875" style="17" customWidth="1"/>
    <col min="1024" max="1024" width="11.109375" style="17" customWidth="1"/>
    <col min="1025" max="1025" width="2.88671875" style="17" customWidth="1"/>
    <col min="1026" max="1026" width="3.5546875" style="17" customWidth="1"/>
    <col min="1027" max="1271" width="9.109375" style="17"/>
    <col min="1272" max="1272" width="8.6640625" style="17" customWidth="1"/>
    <col min="1273" max="1273" width="9.88671875" style="17" customWidth="1"/>
    <col min="1274" max="1274" width="14.44140625" style="17" customWidth="1"/>
    <col min="1275" max="1275" width="7.33203125" style="17" customWidth="1"/>
    <col min="1276" max="1276" width="5.5546875" style="17" customWidth="1"/>
    <col min="1277" max="1277" width="9" style="17" customWidth="1"/>
    <col min="1278" max="1279" width="9.88671875" style="17" customWidth="1"/>
    <col min="1280" max="1280" width="11.109375" style="17" customWidth="1"/>
    <col min="1281" max="1281" width="2.88671875" style="17" customWidth="1"/>
    <col min="1282" max="1282" width="3.5546875" style="17" customWidth="1"/>
    <col min="1283" max="1527" width="9.109375" style="17"/>
    <col min="1528" max="1528" width="8.6640625" style="17" customWidth="1"/>
    <col min="1529" max="1529" width="9.88671875" style="17" customWidth="1"/>
    <col min="1530" max="1530" width="14.44140625" style="17" customWidth="1"/>
    <col min="1531" max="1531" width="7.33203125" style="17" customWidth="1"/>
    <col min="1532" max="1532" width="5.5546875" style="17" customWidth="1"/>
    <col min="1533" max="1533" width="9" style="17" customWidth="1"/>
    <col min="1534" max="1535" width="9.88671875" style="17" customWidth="1"/>
    <col min="1536" max="1536" width="11.109375" style="17" customWidth="1"/>
    <col min="1537" max="1537" width="2.88671875" style="17" customWidth="1"/>
    <col min="1538" max="1538" width="3.5546875" style="17" customWidth="1"/>
    <col min="1539" max="1783" width="9.109375" style="17"/>
    <col min="1784" max="1784" width="8.6640625" style="17" customWidth="1"/>
    <col min="1785" max="1785" width="9.88671875" style="17" customWidth="1"/>
    <col min="1786" max="1786" width="14.44140625" style="17" customWidth="1"/>
    <col min="1787" max="1787" width="7.33203125" style="17" customWidth="1"/>
    <col min="1788" max="1788" width="5.5546875" style="17" customWidth="1"/>
    <col min="1789" max="1789" width="9" style="17" customWidth="1"/>
    <col min="1790" max="1791" width="9.88671875" style="17" customWidth="1"/>
    <col min="1792" max="1792" width="11.109375" style="17" customWidth="1"/>
    <col min="1793" max="1793" width="2.88671875" style="17" customWidth="1"/>
    <col min="1794" max="1794" width="3.5546875" style="17" customWidth="1"/>
    <col min="1795" max="2039" width="9.109375" style="17"/>
    <col min="2040" max="2040" width="8.6640625" style="17" customWidth="1"/>
    <col min="2041" max="2041" width="9.88671875" style="17" customWidth="1"/>
    <col min="2042" max="2042" width="14.44140625" style="17" customWidth="1"/>
    <col min="2043" max="2043" width="7.33203125" style="17" customWidth="1"/>
    <col min="2044" max="2044" width="5.5546875" style="17" customWidth="1"/>
    <col min="2045" max="2045" width="9" style="17" customWidth="1"/>
    <col min="2046" max="2047" width="9.88671875" style="17" customWidth="1"/>
    <col min="2048" max="2048" width="11.109375" style="17" customWidth="1"/>
    <col min="2049" max="2049" width="2.88671875" style="17" customWidth="1"/>
    <col min="2050" max="2050" width="3.5546875" style="17" customWidth="1"/>
    <col min="2051" max="2295" width="9.109375" style="17"/>
    <col min="2296" max="2296" width="8.6640625" style="17" customWidth="1"/>
    <col min="2297" max="2297" width="9.88671875" style="17" customWidth="1"/>
    <col min="2298" max="2298" width="14.44140625" style="17" customWidth="1"/>
    <col min="2299" max="2299" width="7.33203125" style="17" customWidth="1"/>
    <col min="2300" max="2300" width="5.5546875" style="17" customWidth="1"/>
    <col min="2301" max="2301" width="9" style="17" customWidth="1"/>
    <col min="2302" max="2303" width="9.88671875" style="17" customWidth="1"/>
    <col min="2304" max="2304" width="11.109375" style="17" customWidth="1"/>
    <col min="2305" max="2305" width="2.88671875" style="17" customWidth="1"/>
    <col min="2306" max="2306" width="3.5546875" style="17" customWidth="1"/>
    <col min="2307" max="2551" width="9.109375" style="17"/>
    <col min="2552" max="2552" width="8.6640625" style="17" customWidth="1"/>
    <col min="2553" max="2553" width="9.88671875" style="17" customWidth="1"/>
    <col min="2554" max="2554" width="14.44140625" style="17" customWidth="1"/>
    <col min="2555" max="2555" width="7.33203125" style="17" customWidth="1"/>
    <col min="2556" max="2556" width="5.5546875" style="17" customWidth="1"/>
    <col min="2557" max="2557" width="9" style="17" customWidth="1"/>
    <col min="2558" max="2559" width="9.88671875" style="17" customWidth="1"/>
    <col min="2560" max="2560" width="11.109375" style="17" customWidth="1"/>
    <col min="2561" max="2561" width="2.88671875" style="17" customWidth="1"/>
    <col min="2562" max="2562" width="3.5546875" style="17" customWidth="1"/>
    <col min="2563" max="2807" width="9.109375" style="17"/>
    <col min="2808" max="2808" width="8.6640625" style="17" customWidth="1"/>
    <col min="2809" max="2809" width="9.88671875" style="17" customWidth="1"/>
    <col min="2810" max="2810" width="14.44140625" style="17" customWidth="1"/>
    <col min="2811" max="2811" width="7.33203125" style="17" customWidth="1"/>
    <col min="2812" max="2812" width="5.5546875" style="17" customWidth="1"/>
    <col min="2813" max="2813" width="9" style="17" customWidth="1"/>
    <col min="2814" max="2815" width="9.88671875" style="17" customWidth="1"/>
    <col min="2816" max="2816" width="11.109375" style="17" customWidth="1"/>
    <col min="2817" max="2817" width="2.88671875" style="17" customWidth="1"/>
    <col min="2818" max="2818" width="3.5546875" style="17" customWidth="1"/>
    <col min="2819" max="3063" width="9.109375" style="17"/>
    <col min="3064" max="3064" width="8.6640625" style="17" customWidth="1"/>
    <col min="3065" max="3065" width="9.88671875" style="17" customWidth="1"/>
    <col min="3066" max="3066" width="14.44140625" style="17" customWidth="1"/>
    <col min="3067" max="3067" width="7.33203125" style="17" customWidth="1"/>
    <col min="3068" max="3068" width="5.5546875" style="17" customWidth="1"/>
    <col min="3069" max="3069" width="9" style="17" customWidth="1"/>
    <col min="3070" max="3071" width="9.88671875" style="17" customWidth="1"/>
    <col min="3072" max="3072" width="11.109375" style="17" customWidth="1"/>
    <col min="3073" max="3073" width="2.88671875" style="17" customWidth="1"/>
    <col min="3074" max="3074" width="3.5546875" style="17" customWidth="1"/>
    <col min="3075" max="3319" width="9.109375" style="17"/>
    <col min="3320" max="3320" width="8.6640625" style="17" customWidth="1"/>
    <col min="3321" max="3321" width="9.88671875" style="17" customWidth="1"/>
    <col min="3322" max="3322" width="14.44140625" style="17" customWidth="1"/>
    <col min="3323" max="3323" width="7.33203125" style="17" customWidth="1"/>
    <col min="3324" max="3324" width="5.5546875" style="17" customWidth="1"/>
    <col min="3325" max="3325" width="9" style="17" customWidth="1"/>
    <col min="3326" max="3327" width="9.88671875" style="17" customWidth="1"/>
    <col min="3328" max="3328" width="11.109375" style="17" customWidth="1"/>
    <col min="3329" max="3329" width="2.88671875" style="17" customWidth="1"/>
    <col min="3330" max="3330" width="3.5546875" style="17" customWidth="1"/>
    <col min="3331" max="3575" width="9.109375" style="17"/>
    <col min="3576" max="3576" width="8.6640625" style="17" customWidth="1"/>
    <col min="3577" max="3577" width="9.88671875" style="17" customWidth="1"/>
    <col min="3578" max="3578" width="14.44140625" style="17" customWidth="1"/>
    <col min="3579" max="3579" width="7.33203125" style="17" customWidth="1"/>
    <col min="3580" max="3580" width="5.5546875" style="17" customWidth="1"/>
    <col min="3581" max="3581" width="9" style="17" customWidth="1"/>
    <col min="3582" max="3583" width="9.88671875" style="17" customWidth="1"/>
    <col min="3584" max="3584" width="11.109375" style="17" customWidth="1"/>
    <col min="3585" max="3585" width="2.88671875" style="17" customWidth="1"/>
    <col min="3586" max="3586" width="3.5546875" style="17" customWidth="1"/>
    <col min="3587" max="3831" width="9.109375" style="17"/>
    <col min="3832" max="3832" width="8.6640625" style="17" customWidth="1"/>
    <col min="3833" max="3833" width="9.88671875" style="17" customWidth="1"/>
    <col min="3834" max="3834" width="14.44140625" style="17" customWidth="1"/>
    <col min="3835" max="3835" width="7.33203125" style="17" customWidth="1"/>
    <col min="3836" max="3836" width="5.5546875" style="17" customWidth="1"/>
    <col min="3837" max="3837" width="9" style="17" customWidth="1"/>
    <col min="3838" max="3839" width="9.88671875" style="17" customWidth="1"/>
    <col min="3840" max="3840" width="11.109375" style="17" customWidth="1"/>
    <col min="3841" max="3841" width="2.88671875" style="17" customWidth="1"/>
    <col min="3842" max="3842" width="3.5546875" style="17" customWidth="1"/>
    <col min="3843" max="4087" width="9.109375" style="17"/>
    <col min="4088" max="4088" width="8.6640625" style="17" customWidth="1"/>
    <col min="4089" max="4089" width="9.88671875" style="17" customWidth="1"/>
    <col min="4090" max="4090" width="14.44140625" style="17" customWidth="1"/>
    <col min="4091" max="4091" width="7.33203125" style="17" customWidth="1"/>
    <col min="4092" max="4092" width="5.5546875" style="17" customWidth="1"/>
    <col min="4093" max="4093" width="9" style="17" customWidth="1"/>
    <col min="4094" max="4095" width="9.88671875" style="17" customWidth="1"/>
    <col min="4096" max="4096" width="11.109375" style="17" customWidth="1"/>
    <col min="4097" max="4097" width="2.88671875" style="17" customWidth="1"/>
    <col min="4098" max="4098" width="3.5546875" style="17" customWidth="1"/>
    <col min="4099" max="4343" width="9.109375" style="17"/>
    <col min="4344" max="4344" width="8.6640625" style="17" customWidth="1"/>
    <col min="4345" max="4345" width="9.88671875" style="17" customWidth="1"/>
    <col min="4346" max="4346" width="14.44140625" style="17" customWidth="1"/>
    <col min="4347" max="4347" width="7.33203125" style="17" customWidth="1"/>
    <col min="4348" max="4348" width="5.5546875" style="17" customWidth="1"/>
    <col min="4349" max="4349" width="9" style="17" customWidth="1"/>
    <col min="4350" max="4351" width="9.88671875" style="17" customWidth="1"/>
    <col min="4352" max="4352" width="11.109375" style="17" customWidth="1"/>
    <col min="4353" max="4353" width="2.88671875" style="17" customWidth="1"/>
    <col min="4354" max="4354" width="3.5546875" style="17" customWidth="1"/>
    <col min="4355" max="4599" width="9.109375" style="17"/>
    <col min="4600" max="4600" width="8.6640625" style="17" customWidth="1"/>
    <col min="4601" max="4601" width="9.88671875" style="17" customWidth="1"/>
    <col min="4602" max="4602" width="14.44140625" style="17" customWidth="1"/>
    <col min="4603" max="4603" width="7.33203125" style="17" customWidth="1"/>
    <col min="4604" max="4604" width="5.5546875" style="17" customWidth="1"/>
    <col min="4605" max="4605" width="9" style="17" customWidth="1"/>
    <col min="4606" max="4607" width="9.88671875" style="17" customWidth="1"/>
    <col min="4608" max="4608" width="11.109375" style="17" customWidth="1"/>
    <col min="4609" max="4609" width="2.88671875" style="17" customWidth="1"/>
    <col min="4610" max="4610" width="3.5546875" style="17" customWidth="1"/>
    <col min="4611" max="4855" width="9.109375" style="17"/>
    <col min="4856" max="4856" width="8.6640625" style="17" customWidth="1"/>
    <col min="4857" max="4857" width="9.88671875" style="17" customWidth="1"/>
    <col min="4858" max="4858" width="14.44140625" style="17" customWidth="1"/>
    <col min="4859" max="4859" width="7.33203125" style="17" customWidth="1"/>
    <col min="4860" max="4860" width="5.5546875" style="17" customWidth="1"/>
    <col min="4861" max="4861" width="9" style="17" customWidth="1"/>
    <col min="4862" max="4863" width="9.88671875" style="17" customWidth="1"/>
    <col min="4864" max="4864" width="11.109375" style="17" customWidth="1"/>
    <col min="4865" max="4865" width="2.88671875" style="17" customWidth="1"/>
    <col min="4866" max="4866" width="3.5546875" style="17" customWidth="1"/>
    <col min="4867" max="5111" width="9.109375" style="17"/>
    <col min="5112" max="5112" width="8.6640625" style="17" customWidth="1"/>
    <col min="5113" max="5113" width="9.88671875" style="17" customWidth="1"/>
    <col min="5114" max="5114" width="14.44140625" style="17" customWidth="1"/>
    <col min="5115" max="5115" width="7.33203125" style="17" customWidth="1"/>
    <col min="5116" max="5116" width="5.5546875" style="17" customWidth="1"/>
    <col min="5117" max="5117" width="9" style="17" customWidth="1"/>
    <col min="5118" max="5119" width="9.88671875" style="17" customWidth="1"/>
    <col min="5120" max="5120" width="11.109375" style="17" customWidth="1"/>
    <col min="5121" max="5121" width="2.88671875" style="17" customWidth="1"/>
    <col min="5122" max="5122" width="3.5546875" style="17" customWidth="1"/>
    <col min="5123" max="5367" width="9.109375" style="17"/>
    <col min="5368" max="5368" width="8.6640625" style="17" customWidth="1"/>
    <col min="5369" max="5369" width="9.88671875" style="17" customWidth="1"/>
    <col min="5370" max="5370" width="14.44140625" style="17" customWidth="1"/>
    <col min="5371" max="5371" width="7.33203125" style="17" customWidth="1"/>
    <col min="5372" max="5372" width="5.5546875" style="17" customWidth="1"/>
    <col min="5373" max="5373" width="9" style="17" customWidth="1"/>
    <col min="5374" max="5375" width="9.88671875" style="17" customWidth="1"/>
    <col min="5376" max="5376" width="11.109375" style="17" customWidth="1"/>
    <col min="5377" max="5377" width="2.88671875" style="17" customWidth="1"/>
    <col min="5378" max="5378" width="3.5546875" style="17" customWidth="1"/>
    <col min="5379" max="5623" width="9.109375" style="17"/>
    <col min="5624" max="5624" width="8.6640625" style="17" customWidth="1"/>
    <col min="5625" max="5625" width="9.88671875" style="17" customWidth="1"/>
    <col min="5626" max="5626" width="14.44140625" style="17" customWidth="1"/>
    <col min="5627" max="5627" width="7.33203125" style="17" customWidth="1"/>
    <col min="5628" max="5628" width="5.5546875" style="17" customWidth="1"/>
    <col min="5629" max="5629" width="9" style="17" customWidth="1"/>
    <col min="5630" max="5631" width="9.88671875" style="17" customWidth="1"/>
    <col min="5632" max="5632" width="11.109375" style="17" customWidth="1"/>
    <col min="5633" max="5633" width="2.88671875" style="17" customWidth="1"/>
    <col min="5634" max="5634" width="3.5546875" style="17" customWidth="1"/>
    <col min="5635" max="5879" width="9.109375" style="17"/>
    <col min="5880" max="5880" width="8.6640625" style="17" customWidth="1"/>
    <col min="5881" max="5881" width="9.88671875" style="17" customWidth="1"/>
    <col min="5882" max="5882" width="14.44140625" style="17" customWidth="1"/>
    <col min="5883" max="5883" width="7.33203125" style="17" customWidth="1"/>
    <col min="5884" max="5884" width="5.5546875" style="17" customWidth="1"/>
    <col min="5885" max="5885" width="9" style="17" customWidth="1"/>
    <col min="5886" max="5887" width="9.88671875" style="17" customWidth="1"/>
    <col min="5888" max="5888" width="11.109375" style="17" customWidth="1"/>
    <col min="5889" max="5889" width="2.88671875" style="17" customWidth="1"/>
    <col min="5890" max="5890" width="3.5546875" style="17" customWidth="1"/>
    <col min="5891" max="6135" width="9.109375" style="17"/>
    <col min="6136" max="6136" width="8.6640625" style="17" customWidth="1"/>
    <col min="6137" max="6137" width="9.88671875" style="17" customWidth="1"/>
    <col min="6138" max="6138" width="14.44140625" style="17" customWidth="1"/>
    <col min="6139" max="6139" width="7.33203125" style="17" customWidth="1"/>
    <col min="6140" max="6140" width="5.5546875" style="17" customWidth="1"/>
    <col min="6141" max="6141" width="9" style="17" customWidth="1"/>
    <col min="6142" max="6143" width="9.88671875" style="17" customWidth="1"/>
    <col min="6144" max="6144" width="11.109375" style="17" customWidth="1"/>
    <col min="6145" max="6145" width="2.88671875" style="17" customWidth="1"/>
    <col min="6146" max="6146" width="3.5546875" style="17" customWidth="1"/>
    <col min="6147" max="6391" width="9.109375" style="17"/>
    <col min="6392" max="6392" width="8.6640625" style="17" customWidth="1"/>
    <col min="6393" max="6393" width="9.88671875" style="17" customWidth="1"/>
    <col min="6394" max="6394" width="14.44140625" style="17" customWidth="1"/>
    <col min="6395" max="6395" width="7.33203125" style="17" customWidth="1"/>
    <col min="6396" max="6396" width="5.5546875" style="17" customWidth="1"/>
    <col min="6397" max="6397" width="9" style="17" customWidth="1"/>
    <col min="6398" max="6399" width="9.88671875" style="17" customWidth="1"/>
    <col min="6400" max="6400" width="11.109375" style="17" customWidth="1"/>
    <col min="6401" max="6401" width="2.88671875" style="17" customWidth="1"/>
    <col min="6402" max="6402" width="3.5546875" style="17" customWidth="1"/>
    <col min="6403" max="6647" width="9.109375" style="17"/>
    <col min="6648" max="6648" width="8.6640625" style="17" customWidth="1"/>
    <col min="6649" max="6649" width="9.88671875" style="17" customWidth="1"/>
    <col min="6650" max="6650" width="14.44140625" style="17" customWidth="1"/>
    <col min="6651" max="6651" width="7.33203125" style="17" customWidth="1"/>
    <col min="6652" max="6652" width="5.5546875" style="17" customWidth="1"/>
    <col min="6653" max="6653" width="9" style="17" customWidth="1"/>
    <col min="6654" max="6655" width="9.88671875" style="17" customWidth="1"/>
    <col min="6656" max="6656" width="11.109375" style="17" customWidth="1"/>
    <col min="6657" max="6657" width="2.88671875" style="17" customWidth="1"/>
    <col min="6658" max="6658" width="3.5546875" style="17" customWidth="1"/>
    <col min="6659" max="6903" width="9.109375" style="17"/>
    <col min="6904" max="6904" width="8.6640625" style="17" customWidth="1"/>
    <col min="6905" max="6905" width="9.88671875" style="17" customWidth="1"/>
    <col min="6906" max="6906" width="14.44140625" style="17" customWidth="1"/>
    <col min="6907" max="6907" width="7.33203125" style="17" customWidth="1"/>
    <col min="6908" max="6908" width="5.5546875" style="17" customWidth="1"/>
    <col min="6909" max="6909" width="9" style="17" customWidth="1"/>
    <col min="6910" max="6911" width="9.88671875" style="17" customWidth="1"/>
    <col min="6912" max="6912" width="11.109375" style="17" customWidth="1"/>
    <col min="6913" max="6913" width="2.88671875" style="17" customWidth="1"/>
    <col min="6914" max="6914" width="3.5546875" style="17" customWidth="1"/>
    <col min="6915" max="7159" width="9.109375" style="17"/>
    <col min="7160" max="7160" width="8.6640625" style="17" customWidth="1"/>
    <col min="7161" max="7161" width="9.88671875" style="17" customWidth="1"/>
    <col min="7162" max="7162" width="14.44140625" style="17" customWidth="1"/>
    <col min="7163" max="7163" width="7.33203125" style="17" customWidth="1"/>
    <col min="7164" max="7164" width="5.5546875" style="17" customWidth="1"/>
    <col min="7165" max="7165" width="9" style="17" customWidth="1"/>
    <col min="7166" max="7167" width="9.88671875" style="17" customWidth="1"/>
    <col min="7168" max="7168" width="11.109375" style="17" customWidth="1"/>
    <col min="7169" max="7169" width="2.88671875" style="17" customWidth="1"/>
    <col min="7170" max="7170" width="3.5546875" style="17" customWidth="1"/>
    <col min="7171" max="7415" width="9.109375" style="17"/>
    <col min="7416" max="7416" width="8.6640625" style="17" customWidth="1"/>
    <col min="7417" max="7417" width="9.88671875" style="17" customWidth="1"/>
    <col min="7418" max="7418" width="14.44140625" style="17" customWidth="1"/>
    <col min="7419" max="7419" width="7.33203125" style="17" customWidth="1"/>
    <col min="7420" max="7420" width="5.5546875" style="17" customWidth="1"/>
    <col min="7421" max="7421" width="9" style="17" customWidth="1"/>
    <col min="7422" max="7423" width="9.88671875" style="17" customWidth="1"/>
    <col min="7424" max="7424" width="11.109375" style="17" customWidth="1"/>
    <col min="7425" max="7425" width="2.88671875" style="17" customWidth="1"/>
    <col min="7426" max="7426" width="3.5546875" style="17" customWidth="1"/>
    <col min="7427" max="7671" width="9.109375" style="17"/>
    <col min="7672" max="7672" width="8.6640625" style="17" customWidth="1"/>
    <col min="7673" max="7673" width="9.88671875" style="17" customWidth="1"/>
    <col min="7674" max="7674" width="14.44140625" style="17" customWidth="1"/>
    <col min="7675" max="7675" width="7.33203125" style="17" customWidth="1"/>
    <col min="7676" max="7676" width="5.5546875" style="17" customWidth="1"/>
    <col min="7677" max="7677" width="9" style="17" customWidth="1"/>
    <col min="7678" max="7679" width="9.88671875" style="17" customWidth="1"/>
    <col min="7680" max="7680" width="11.109375" style="17" customWidth="1"/>
    <col min="7681" max="7681" width="2.88671875" style="17" customWidth="1"/>
    <col min="7682" max="7682" width="3.5546875" style="17" customWidth="1"/>
    <col min="7683" max="7927" width="9.109375" style="17"/>
    <col min="7928" max="7928" width="8.6640625" style="17" customWidth="1"/>
    <col min="7929" max="7929" width="9.88671875" style="17" customWidth="1"/>
    <col min="7930" max="7930" width="14.44140625" style="17" customWidth="1"/>
    <col min="7931" max="7931" width="7.33203125" style="17" customWidth="1"/>
    <col min="7932" max="7932" width="5.5546875" style="17" customWidth="1"/>
    <col min="7933" max="7933" width="9" style="17" customWidth="1"/>
    <col min="7934" max="7935" width="9.88671875" style="17" customWidth="1"/>
    <col min="7936" max="7936" width="11.109375" style="17" customWidth="1"/>
    <col min="7937" max="7937" width="2.88671875" style="17" customWidth="1"/>
    <col min="7938" max="7938" width="3.5546875" style="17" customWidth="1"/>
    <col min="7939" max="8183" width="9.109375" style="17"/>
    <col min="8184" max="8184" width="8.6640625" style="17" customWidth="1"/>
    <col min="8185" max="8185" width="9.88671875" style="17" customWidth="1"/>
    <col min="8186" max="8186" width="14.44140625" style="17" customWidth="1"/>
    <col min="8187" max="8187" width="7.33203125" style="17" customWidth="1"/>
    <col min="8188" max="8188" width="5.5546875" style="17" customWidth="1"/>
    <col min="8189" max="8189" width="9" style="17" customWidth="1"/>
    <col min="8190" max="8191" width="9.88671875" style="17" customWidth="1"/>
    <col min="8192" max="8192" width="11.109375" style="17" customWidth="1"/>
    <col min="8193" max="8193" width="2.88671875" style="17" customWidth="1"/>
    <col min="8194" max="8194" width="3.5546875" style="17" customWidth="1"/>
    <col min="8195" max="8439" width="9.109375" style="17"/>
    <col min="8440" max="8440" width="8.6640625" style="17" customWidth="1"/>
    <col min="8441" max="8441" width="9.88671875" style="17" customWidth="1"/>
    <col min="8442" max="8442" width="14.44140625" style="17" customWidth="1"/>
    <col min="8443" max="8443" width="7.33203125" style="17" customWidth="1"/>
    <col min="8444" max="8444" width="5.5546875" style="17" customWidth="1"/>
    <col min="8445" max="8445" width="9" style="17" customWidth="1"/>
    <col min="8446" max="8447" width="9.88671875" style="17" customWidth="1"/>
    <col min="8448" max="8448" width="11.109375" style="17" customWidth="1"/>
    <col min="8449" max="8449" width="2.88671875" style="17" customWidth="1"/>
    <col min="8450" max="8450" width="3.5546875" style="17" customWidth="1"/>
    <col min="8451" max="8695" width="9.109375" style="17"/>
    <col min="8696" max="8696" width="8.6640625" style="17" customWidth="1"/>
    <col min="8697" max="8697" width="9.88671875" style="17" customWidth="1"/>
    <col min="8698" max="8698" width="14.44140625" style="17" customWidth="1"/>
    <col min="8699" max="8699" width="7.33203125" style="17" customWidth="1"/>
    <col min="8700" max="8700" width="5.5546875" style="17" customWidth="1"/>
    <col min="8701" max="8701" width="9" style="17" customWidth="1"/>
    <col min="8702" max="8703" width="9.88671875" style="17" customWidth="1"/>
    <col min="8704" max="8704" width="11.109375" style="17" customWidth="1"/>
    <col min="8705" max="8705" width="2.88671875" style="17" customWidth="1"/>
    <col min="8706" max="8706" width="3.5546875" style="17" customWidth="1"/>
    <col min="8707" max="8951" width="9.109375" style="17"/>
    <col min="8952" max="8952" width="8.6640625" style="17" customWidth="1"/>
    <col min="8953" max="8953" width="9.88671875" style="17" customWidth="1"/>
    <col min="8954" max="8954" width="14.44140625" style="17" customWidth="1"/>
    <col min="8955" max="8955" width="7.33203125" style="17" customWidth="1"/>
    <col min="8956" max="8956" width="5.5546875" style="17" customWidth="1"/>
    <col min="8957" max="8957" width="9" style="17" customWidth="1"/>
    <col min="8958" max="8959" width="9.88671875" style="17" customWidth="1"/>
    <col min="8960" max="8960" width="11.109375" style="17" customWidth="1"/>
    <col min="8961" max="8961" width="2.88671875" style="17" customWidth="1"/>
    <col min="8962" max="8962" width="3.5546875" style="17" customWidth="1"/>
    <col min="8963" max="9207" width="9.109375" style="17"/>
    <col min="9208" max="9208" width="8.6640625" style="17" customWidth="1"/>
    <col min="9209" max="9209" width="9.88671875" style="17" customWidth="1"/>
    <col min="9210" max="9210" width="14.44140625" style="17" customWidth="1"/>
    <col min="9211" max="9211" width="7.33203125" style="17" customWidth="1"/>
    <col min="9212" max="9212" width="5.5546875" style="17" customWidth="1"/>
    <col min="9213" max="9213" width="9" style="17" customWidth="1"/>
    <col min="9214" max="9215" width="9.88671875" style="17" customWidth="1"/>
    <col min="9216" max="9216" width="11.109375" style="17" customWidth="1"/>
    <col min="9217" max="9217" width="2.88671875" style="17" customWidth="1"/>
    <col min="9218" max="9218" width="3.5546875" style="17" customWidth="1"/>
    <col min="9219" max="9463" width="9.109375" style="17"/>
    <col min="9464" max="9464" width="8.6640625" style="17" customWidth="1"/>
    <col min="9465" max="9465" width="9.88671875" style="17" customWidth="1"/>
    <col min="9466" max="9466" width="14.44140625" style="17" customWidth="1"/>
    <col min="9467" max="9467" width="7.33203125" style="17" customWidth="1"/>
    <col min="9468" max="9468" width="5.5546875" style="17" customWidth="1"/>
    <col min="9469" max="9469" width="9" style="17" customWidth="1"/>
    <col min="9470" max="9471" width="9.88671875" style="17" customWidth="1"/>
    <col min="9472" max="9472" width="11.109375" style="17" customWidth="1"/>
    <col min="9473" max="9473" width="2.88671875" style="17" customWidth="1"/>
    <col min="9474" max="9474" width="3.5546875" style="17" customWidth="1"/>
    <col min="9475" max="9719" width="9.109375" style="17"/>
    <col min="9720" max="9720" width="8.6640625" style="17" customWidth="1"/>
    <col min="9721" max="9721" width="9.88671875" style="17" customWidth="1"/>
    <col min="9722" max="9722" width="14.44140625" style="17" customWidth="1"/>
    <col min="9723" max="9723" width="7.33203125" style="17" customWidth="1"/>
    <col min="9724" max="9724" width="5.5546875" style="17" customWidth="1"/>
    <col min="9725" max="9725" width="9" style="17" customWidth="1"/>
    <col min="9726" max="9727" width="9.88671875" style="17" customWidth="1"/>
    <col min="9728" max="9728" width="11.109375" style="17" customWidth="1"/>
    <col min="9729" max="9729" width="2.88671875" style="17" customWidth="1"/>
    <col min="9730" max="9730" width="3.5546875" style="17" customWidth="1"/>
    <col min="9731" max="9975" width="9.109375" style="17"/>
    <col min="9976" max="9976" width="8.6640625" style="17" customWidth="1"/>
    <col min="9977" max="9977" width="9.88671875" style="17" customWidth="1"/>
    <col min="9978" max="9978" width="14.44140625" style="17" customWidth="1"/>
    <col min="9979" max="9979" width="7.33203125" style="17" customWidth="1"/>
    <col min="9980" max="9980" width="5.5546875" style="17" customWidth="1"/>
    <col min="9981" max="9981" width="9" style="17" customWidth="1"/>
    <col min="9982" max="9983" width="9.88671875" style="17" customWidth="1"/>
    <col min="9984" max="9984" width="11.109375" style="17" customWidth="1"/>
    <col min="9985" max="9985" width="2.88671875" style="17" customWidth="1"/>
    <col min="9986" max="9986" width="3.5546875" style="17" customWidth="1"/>
    <col min="9987" max="10231" width="9.109375" style="17"/>
    <col min="10232" max="10232" width="8.6640625" style="17" customWidth="1"/>
    <col min="10233" max="10233" width="9.88671875" style="17" customWidth="1"/>
    <col min="10234" max="10234" width="14.44140625" style="17" customWidth="1"/>
    <col min="10235" max="10235" width="7.33203125" style="17" customWidth="1"/>
    <col min="10236" max="10236" width="5.5546875" style="17" customWidth="1"/>
    <col min="10237" max="10237" width="9" style="17" customWidth="1"/>
    <col min="10238" max="10239" width="9.88671875" style="17" customWidth="1"/>
    <col min="10240" max="10240" width="11.109375" style="17" customWidth="1"/>
    <col min="10241" max="10241" width="2.88671875" style="17" customWidth="1"/>
    <col min="10242" max="10242" width="3.5546875" style="17" customWidth="1"/>
    <col min="10243" max="10487" width="9.109375" style="17"/>
    <col min="10488" max="10488" width="8.6640625" style="17" customWidth="1"/>
    <col min="10489" max="10489" width="9.88671875" style="17" customWidth="1"/>
    <col min="10490" max="10490" width="14.44140625" style="17" customWidth="1"/>
    <col min="10491" max="10491" width="7.33203125" style="17" customWidth="1"/>
    <col min="10492" max="10492" width="5.5546875" style="17" customWidth="1"/>
    <col min="10493" max="10493" width="9" style="17" customWidth="1"/>
    <col min="10494" max="10495" width="9.88671875" style="17" customWidth="1"/>
    <col min="10496" max="10496" width="11.109375" style="17" customWidth="1"/>
    <col min="10497" max="10497" width="2.88671875" style="17" customWidth="1"/>
    <col min="10498" max="10498" width="3.5546875" style="17" customWidth="1"/>
    <col min="10499" max="10743" width="9.109375" style="17"/>
    <col min="10744" max="10744" width="8.6640625" style="17" customWidth="1"/>
    <col min="10745" max="10745" width="9.88671875" style="17" customWidth="1"/>
    <col min="10746" max="10746" width="14.44140625" style="17" customWidth="1"/>
    <col min="10747" max="10747" width="7.33203125" style="17" customWidth="1"/>
    <col min="10748" max="10748" width="5.5546875" style="17" customWidth="1"/>
    <col min="10749" max="10749" width="9" style="17" customWidth="1"/>
    <col min="10750" max="10751" width="9.88671875" style="17" customWidth="1"/>
    <col min="10752" max="10752" width="11.109375" style="17" customWidth="1"/>
    <col min="10753" max="10753" width="2.88671875" style="17" customWidth="1"/>
    <col min="10754" max="10754" width="3.5546875" style="17" customWidth="1"/>
    <col min="10755" max="10999" width="9.109375" style="17"/>
    <col min="11000" max="11000" width="8.6640625" style="17" customWidth="1"/>
    <col min="11001" max="11001" width="9.88671875" style="17" customWidth="1"/>
    <col min="11002" max="11002" width="14.44140625" style="17" customWidth="1"/>
    <col min="11003" max="11003" width="7.33203125" style="17" customWidth="1"/>
    <col min="11004" max="11004" width="5.5546875" style="17" customWidth="1"/>
    <col min="11005" max="11005" width="9" style="17" customWidth="1"/>
    <col min="11006" max="11007" width="9.88671875" style="17" customWidth="1"/>
    <col min="11008" max="11008" width="11.109375" style="17" customWidth="1"/>
    <col min="11009" max="11009" width="2.88671875" style="17" customWidth="1"/>
    <col min="11010" max="11010" width="3.5546875" style="17" customWidth="1"/>
    <col min="11011" max="11255" width="9.109375" style="17"/>
    <col min="11256" max="11256" width="8.6640625" style="17" customWidth="1"/>
    <col min="11257" max="11257" width="9.88671875" style="17" customWidth="1"/>
    <col min="11258" max="11258" width="14.44140625" style="17" customWidth="1"/>
    <col min="11259" max="11259" width="7.33203125" style="17" customWidth="1"/>
    <col min="11260" max="11260" width="5.5546875" style="17" customWidth="1"/>
    <col min="11261" max="11261" width="9" style="17" customWidth="1"/>
    <col min="11262" max="11263" width="9.88671875" style="17" customWidth="1"/>
    <col min="11264" max="11264" width="11.109375" style="17" customWidth="1"/>
    <col min="11265" max="11265" width="2.88671875" style="17" customWidth="1"/>
    <col min="11266" max="11266" width="3.5546875" style="17" customWidth="1"/>
    <col min="11267" max="11511" width="9.109375" style="17"/>
    <col min="11512" max="11512" width="8.6640625" style="17" customWidth="1"/>
    <col min="11513" max="11513" width="9.88671875" style="17" customWidth="1"/>
    <col min="11514" max="11514" width="14.44140625" style="17" customWidth="1"/>
    <col min="11515" max="11515" width="7.33203125" style="17" customWidth="1"/>
    <col min="11516" max="11516" width="5.5546875" style="17" customWidth="1"/>
    <col min="11517" max="11517" width="9" style="17" customWidth="1"/>
    <col min="11518" max="11519" width="9.88671875" style="17" customWidth="1"/>
    <col min="11520" max="11520" width="11.109375" style="17" customWidth="1"/>
    <col min="11521" max="11521" width="2.88671875" style="17" customWidth="1"/>
    <col min="11522" max="11522" width="3.5546875" style="17" customWidth="1"/>
    <col min="11523" max="11767" width="9.109375" style="17"/>
    <col min="11768" max="11768" width="8.6640625" style="17" customWidth="1"/>
    <col min="11769" max="11769" width="9.88671875" style="17" customWidth="1"/>
    <col min="11770" max="11770" width="14.44140625" style="17" customWidth="1"/>
    <col min="11771" max="11771" width="7.33203125" style="17" customWidth="1"/>
    <col min="11772" max="11772" width="5.5546875" style="17" customWidth="1"/>
    <col min="11773" max="11773" width="9" style="17" customWidth="1"/>
    <col min="11774" max="11775" width="9.88671875" style="17" customWidth="1"/>
    <col min="11776" max="11776" width="11.109375" style="17" customWidth="1"/>
    <col min="11777" max="11777" width="2.88671875" style="17" customWidth="1"/>
    <col min="11778" max="11778" width="3.5546875" style="17" customWidth="1"/>
    <col min="11779" max="12023" width="9.109375" style="17"/>
    <col min="12024" max="12024" width="8.6640625" style="17" customWidth="1"/>
    <col min="12025" max="12025" width="9.88671875" style="17" customWidth="1"/>
    <col min="12026" max="12026" width="14.44140625" style="17" customWidth="1"/>
    <col min="12027" max="12027" width="7.33203125" style="17" customWidth="1"/>
    <col min="12028" max="12028" width="5.5546875" style="17" customWidth="1"/>
    <col min="12029" max="12029" width="9" style="17" customWidth="1"/>
    <col min="12030" max="12031" width="9.88671875" style="17" customWidth="1"/>
    <col min="12032" max="12032" width="11.109375" style="17" customWidth="1"/>
    <col min="12033" max="12033" width="2.88671875" style="17" customWidth="1"/>
    <col min="12034" max="12034" width="3.5546875" style="17" customWidth="1"/>
    <col min="12035" max="12279" width="9.109375" style="17"/>
    <col min="12280" max="12280" width="8.6640625" style="17" customWidth="1"/>
    <col min="12281" max="12281" width="9.88671875" style="17" customWidth="1"/>
    <col min="12282" max="12282" width="14.44140625" style="17" customWidth="1"/>
    <col min="12283" max="12283" width="7.33203125" style="17" customWidth="1"/>
    <col min="12284" max="12284" width="5.5546875" style="17" customWidth="1"/>
    <col min="12285" max="12285" width="9" style="17" customWidth="1"/>
    <col min="12286" max="12287" width="9.88671875" style="17" customWidth="1"/>
    <col min="12288" max="12288" width="11.109375" style="17" customWidth="1"/>
    <col min="12289" max="12289" width="2.88671875" style="17" customWidth="1"/>
    <col min="12290" max="12290" width="3.5546875" style="17" customWidth="1"/>
    <col min="12291" max="12535" width="9.109375" style="17"/>
    <col min="12536" max="12536" width="8.6640625" style="17" customWidth="1"/>
    <col min="12537" max="12537" width="9.88671875" style="17" customWidth="1"/>
    <col min="12538" max="12538" width="14.44140625" style="17" customWidth="1"/>
    <col min="12539" max="12539" width="7.33203125" style="17" customWidth="1"/>
    <col min="12540" max="12540" width="5.5546875" style="17" customWidth="1"/>
    <col min="12541" max="12541" width="9" style="17" customWidth="1"/>
    <col min="12542" max="12543" width="9.88671875" style="17" customWidth="1"/>
    <col min="12544" max="12544" width="11.109375" style="17" customWidth="1"/>
    <col min="12545" max="12545" width="2.88671875" style="17" customWidth="1"/>
    <col min="12546" max="12546" width="3.5546875" style="17" customWidth="1"/>
    <col min="12547" max="12791" width="9.109375" style="17"/>
    <col min="12792" max="12792" width="8.6640625" style="17" customWidth="1"/>
    <col min="12793" max="12793" width="9.88671875" style="17" customWidth="1"/>
    <col min="12794" max="12794" width="14.44140625" style="17" customWidth="1"/>
    <col min="12795" max="12795" width="7.33203125" style="17" customWidth="1"/>
    <col min="12796" max="12796" width="5.5546875" style="17" customWidth="1"/>
    <col min="12797" max="12797" width="9" style="17" customWidth="1"/>
    <col min="12798" max="12799" width="9.88671875" style="17" customWidth="1"/>
    <col min="12800" max="12800" width="11.109375" style="17" customWidth="1"/>
    <col min="12801" max="12801" width="2.88671875" style="17" customWidth="1"/>
    <col min="12802" max="12802" width="3.5546875" style="17" customWidth="1"/>
    <col min="12803" max="13047" width="9.109375" style="17"/>
    <col min="13048" max="13048" width="8.6640625" style="17" customWidth="1"/>
    <col min="13049" max="13049" width="9.88671875" style="17" customWidth="1"/>
    <col min="13050" max="13050" width="14.44140625" style="17" customWidth="1"/>
    <col min="13051" max="13051" width="7.33203125" style="17" customWidth="1"/>
    <col min="13052" max="13052" width="5.5546875" style="17" customWidth="1"/>
    <col min="13053" max="13053" width="9" style="17" customWidth="1"/>
    <col min="13054" max="13055" width="9.88671875" style="17" customWidth="1"/>
    <col min="13056" max="13056" width="11.109375" style="17" customWidth="1"/>
    <col min="13057" max="13057" width="2.88671875" style="17" customWidth="1"/>
    <col min="13058" max="13058" width="3.5546875" style="17" customWidth="1"/>
    <col min="13059" max="13303" width="9.109375" style="17"/>
    <col min="13304" max="13304" width="8.6640625" style="17" customWidth="1"/>
    <col min="13305" max="13305" width="9.88671875" style="17" customWidth="1"/>
    <col min="13306" max="13306" width="14.44140625" style="17" customWidth="1"/>
    <col min="13307" max="13307" width="7.33203125" style="17" customWidth="1"/>
    <col min="13308" max="13308" width="5.5546875" style="17" customWidth="1"/>
    <col min="13309" max="13309" width="9" style="17" customWidth="1"/>
    <col min="13310" max="13311" width="9.88671875" style="17" customWidth="1"/>
    <col min="13312" max="13312" width="11.109375" style="17" customWidth="1"/>
    <col min="13313" max="13313" width="2.88671875" style="17" customWidth="1"/>
    <col min="13314" max="13314" width="3.5546875" style="17" customWidth="1"/>
    <col min="13315" max="13559" width="9.109375" style="17"/>
    <col min="13560" max="13560" width="8.6640625" style="17" customWidth="1"/>
    <col min="13561" max="13561" width="9.88671875" style="17" customWidth="1"/>
    <col min="13562" max="13562" width="14.44140625" style="17" customWidth="1"/>
    <col min="13563" max="13563" width="7.33203125" style="17" customWidth="1"/>
    <col min="13564" max="13564" width="5.5546875" style="17" customWidth="1"/>
    <col min="13565" max="13565" width="9" style="17" customWidth="1"/>
    <col min="13566" max="13567" width="9.88671875" style="17" customWidth="1"/>
    <col min="13568" max="13568" width="11.109375" style="17" customWidth="1"/>
    <col min="13569" max="13569" width="2.88671875" style="17" customWidth="1"/>
    <col min="13570" max="13570" width="3.5546875" style="17" customWidth="1"/>
    <col min="13571" max="13815" width="9.109375" style="17"/>
    <col min="13816" max="13816" width="8.6640625" style="17" customWidth="1"/>
    <col min="13817" max="13817" width="9.88671875" style="17" customWidth="1"/>
    <col min="13818" max="13818" width="14.44140625" style="17" customWidth="1"/>
    <col min="13819" max="13819" width="7.33203125" style="17" customWidth="1"/>
    <col min="13820" max="13820" width="5.5546875" style="17" customWidth="1"/>
    <col min="13821" max="13821" width="9" style="17" customWidth="1"/>
    <col min="13822" max="13823" width="9.88671875" style="17" customWidth="1"/>
    <col min="13824" max="13824" width="11.109375" style="17" customWidth="1"/>
    <col min="13825" max="13825" width="2.88671875" style="17" customWidth="1"/>
    <col min="13826" max="13826" width="3.5546875" style="17" customWidth="1"/>
    <col min="13827" max="14071" width="9.109375" style="17"/>
    <col min="14072" max="14072" width="8.6640625" style="17" customWidth="1"/>
    <col min="14073" max="14073" width="9.88671875" style="17" customWidth="1"/>
    <col min="14074" max="14074" width="14.44140625" style="17" customWidth="1"/>
    <col min="14075" max="14075" width="7.33203125" style="17" customWidth="1"/>
    <col min="14076" max="14076" width="5.5546875" style="17" customWidth="1"/>
    <col min="14077" max="14077" width="9" style="17" customWidth="1"/>
    <col min="14078" max="14079" width="9.88671875" style="17" customWidth="1"/>
    <col min="14080" max="14080" width="11.109375" style="17" customWidth="1"/>
    <col min="14081" max="14081" width="2.88671875" style="17" customWidth="1"/>
    <col min="14082" max="14082" width="3.5546875" style="17" customWidth="1"/>
    <col min="14083" max="14327" width="9.109375" style="17"/>
    <col min="14328" max="14328" width="8.6640625" style="17" customWidth="1"/>
    <col min="14329" max="14329" width="9.88671875" style="17" customWidth="1"/>
    <col min="14330" max="14330" width="14.44140625" style="17" customWidth="1"/>
    <col min="14331" max="14331" width="7.33203125" style="17" customWidth="1"/>
    <col min="14332" max="14332" width="5.5546875" style="17" customWidth="1"/>
    <col min="14333" max="14333" width="9" style="17" customWidth="1"/>
    <col min="14334" max="14335" width="9.88671875" style="17" customWidth="1"/>
    <col min="14336" max="14336" width="11.109375" style="17" customWidth="1"/>
    <col min="14337" max="14337" width="2.88671875" style="17" customWidth="1"/>
    <col min="14338" max="14338" width="3.5546875" style="17" customWidth="1"/>
    <col min="14339" max="14583" width="9.109375" style="17"/>
    <col min="14584" max="14584" width="8.6640625" style="17" customWidth="1"/>
    <col min="14585" max="14585" width="9.88671875" style="17" customWidth="1"/>
    <col min="14586" max="14586" width="14.44140625" style="17" customWidth="1"/>
    <col min="14587" max="14587" width="7.33203125" style="17" customWidth="1"/>
    <col min="14588" max="14588" width="5.5546875" style="17" customWidth="1"/>
    <col min="14589" max="14589" width="9" style="17" customWidth="1"/>
    <col min="14590" max="14591" width="9.88671875" style="17" customWidth="1"/>
    <col min="14592" max="14592" width="11.109375" style="17" customWidth="1"/>
    <col min="14593" max="14593" width="2.88671875" style="17" customWidth="1"/>
    <col min="14594" max="14594" width="3.5546875" style="17" customWidth="1"/>
    <col min="14595" max="14839" width="9.109375" style="17"/>
    <col min="14840" max="14840" width="8.6640625" style="17" customWidth="1"/>
    <col min="14841" max="14841" width="9.88671875" style="17" customWidth="1"/>
    <col min="14842" max="14842" width="14.44140625" style="17" customWidth="1"/>
    <col min="14843" max="14843" width="7.33203125" style="17" customWidth="1"/>
    <col min="14844" max="14844" width="5.5546875" style="17" customWidth="1"/>
    <col min="14845" max="14845" width="9" style="17" customWidth="1"/>
    <col min="14846" max="14847" width="9.88671875" style="17" customWidth="1"/>
    <col min="14848" max="14848" width="11.109375" style="17" customWidth="1"/>
    <col min="14849" max="14849" width="2.88671875" style="17" customWidth="1"/>
    <col min="14850" max="14850" width="3.5546875" style="17" customWidth="1"/>
    <col min="14851" max="15095" width="9.109375" style="17"/>
    <col min="15096" max="15096" width="8.6640625" style="17" customWidth="1"/>
    <col min="15097" max="15097" width="9.88671875" style="17" customWidth="1"/>
    <col min="15098" max="15098" width="14.44140625" style="17" customWidth="1"/>
    <col min="15099" max="15099" width="7.33203125" style="17" customWidth="1"/>
    <col min="15100" max="15100" width="5.5546875" style="17" customWidth="1"/>
    <col min="15101" max="15101" width="9" style="17" customWidth="1"/>
    <col min="15102" max="15103" width="9.88671875" style="17" customWidth="1"/>
    <col min="15104" max="15104" width="11.109375" style="17" customWidth="1"/>
    <col min="15105" max="15105" width="2.88671875" style="17" customWidth="1"/>
    <col min="15106" max="15106" width="3.5546875" style="17" customWidth="1"/>
    <col min="15107" max="15351" width="9.109375" style="17"/>
    <col min="15352" max="15352" width="8.6640625" style="17" customWidth="1"/>
    <col min="15353" max="15353" width="9.88671875" style="17" customWidth="1"/>
    <col min="15354" max="15354" width="14.44140625" style="17" customWidth="1"/>
    <col min="15355" max="15355" width="7.33203125" style="17" customWidth="1"/>
    <col min="15356" max="15356" width="5.5546875" style="17" customWidth="1"/>
    <col min="15357" max="15357" width="9" style="17" customWidth="1"/>
    <col min="15358" max="15359" width="9.88671875" style="17" customWidth="1"/>
    <col min="15360" max="15360" width="11.109375" style="17" customWidth="1"/>
    <col min="15361" max="15361" width="2.88671875" style="17" customWidth="1"/>
    <col min="15362" max="15362" width="3.5546875" style="17" customWidth="1"/>
    <col min="15363" max="15607" width="9.109375" style="17"/>
    <col min="15608" max="15608" width="8.6640625" style="17" customWidth="1"/>
    <col min="15609" max="15609" width="9.88671875" style="17" customWidth="1"/>
    <col min="15610" max="15610" width="14.44140625" style="17" customWidth="1"/>
    <col min="15611" max="15611" width="7.33203125" style="17" customWidth="1"/>
    <col min="15612" max="15612" width="5.5546875" style="17" customWidth="1"/>
    <col min="15613" max="15613" width="9" style="17" customWidth="1"/>
    <col min="15614" max="15615" width="9.88671875" style="17" customWidth="1"/>
    <col min="15616" max="15616" width="11.109375" style="17" customWidth="1"/>
    <col min="15617" max="15617" width="2.88671875" style="17" customWidth="1"/>
    <col min="15618" max="15618" width="3.5546875" style="17" customWidth="1"/>
    <col min="15619" max="15863" width="9.109375" style="17"/>
    <col min="15864" max="15864" width="8.6640625" style="17" customWidth="1"/>
    <col min="15865" max="15865" width="9.88671875" style="17" customWidth="1"/>
    <col min="15866" max="15866" width="14.44140625" style="17" customWidth="1"/>
    <col min="15867" max="15867" width="7.33203125" style="17" customWidth="1"/>
    <col min="15868" max="15868" width="5.5546875" style="17" customWidth="1"/>
    <col min="15869" max="15869" width="9" style="17" customWidth="1"/>
    <col min="15870" max="15871" width="9.88671875" style="17" customWidth="1"/>
    <col min="15872" max="15872" width="11.109375" style="17" customWidth="1"/>
    <col min="15873" max="15873" width="2.88671875" style="17" customWidth="1"/>
    <col min="15874" max="15874" width="3.5546875" style="17" customWidth="1"/>
    <col min="15875" max="16119" width="9.109375" style="17"/>
    <col min="16120" max="16120" width="8.6640625" style="17" customWidth="1"/>
    <col min="16121" max="16121" width="9.88671875" style="17" customWidth="1"/>
    <col min="16122" max="16122" width="14.44140625" style="17" customWidth="1"/>
    <col min="16123" max="16123" width="7.33203125" style="17" customWidth="1"/>
    <col min="16124" max="16124" width="5.5546875" style="17" customWidth="1"/>
    <col min="16125" max="16125" width="9" style="17" customWidth="1"/>
    <col min="16126" max="16127" width="9.88671875" style="17" customWidth="1"/>
    <col min="16128" max="16128" width="11.109375" style="17" customWidth="1"/>
    <col min="16129" max="16129" width="2.88671875" style="17" customWidth="1"/>
    <col min="16130" max="16130" width="3.5546875" style="17" customWidth="1"/>
    <col min="16131" max="16384" width="9.109375" style="17"/>
  </cols>
  <sheetData>
    <row r="1" spans="1:26" ht="46.5" customHeight="1" x14ac:dyDescent="0.3">
      <c r="A1" s="172" t="s">
        <v>162</v>
      </c>
      <c r="B1" s="172"/>
      <c r="C1" s="172"/>
      <c r="D1" s="172"/>
      <c r="E1" s="172"/>
      <c r="F1" s="172"/>
      <c r="G1" s="172"/>
      <c r="H1" s="172"/>
    </row>
    <row r="2" spans="1:26" ht="16.5" customHeight="1" x14ac:dyDescent="0.3">
      <c r="A2" s="173" t="s">
        <v>0</v>
      </c>
      <c r="B2" s="173"/>
      <c r="C2" s="173"/>
      <c r="D2" s="173"/>
      <c r="E2" s="173"/>
      <c r="F2" s="173"/>
      <c r="G2" s="173"/>
      <c r="H2" s="173"/>
    </row>
    <row r="3" spans="1:26" x14ac:dyDescent="0.3">
      <c r="A3" s="162" t="s">
        <v>1</v>
      </c>
      <c r="B3" s="162"/>
      <c r="C3" s="162"/>
      <c r="D3" s="162"/>
      <c r="E3" s="162" t="str">
        <f ca="1">TEXT(TODAY(),"DD/MM/YYYY")</f>
        <v>16/06/2025</v>
      </c>
      <c r="F3" s="162"/>
      <c r="G3" s="162"/>
      <c r="H3" s="162"/>
      <c r="J3" s="18" t="s">
        <v>277</v>
      </c>
    </row>
    <row r="4" spans="1:26" ht="15" customHeight="1" x14ac:dyDescent="0.3">
      <c r="A4" s="162" t="s">
        <v>2</v>
      </c>
      <c r="B4" s="162"/>
      <c r="C4" s="162"/>
      <c r="D4" s="162"/>
      <c r="E4" s="162" t="s">
        <v>227</v>
      </c>
      <c r="F4" s="162"/>
      <c r="G4" s="162"/>
      <c r="H4" s="162"/>
    </row>
    <row r="5" spans="1:26" x14ac:dyDescent="0.3">
      <c r="A5" s="162" t="s">
        <v>3</v>
      </c>
      <c r="B5" s="162"/>
      <c r="C5" s="162"/>
      <c r="D5" s="162"/>
      <c r="E5" s="175">
        <v>45812</v>
      </c>
      <c r="F5" s="162"/>
      <c r="G5" s="162"/>
      <c r="H5" s="162"/>
    </row>
    <row r="6" spans="1:26" ht="16.5" customHeight="1" x14ac:dyDescent="0.3">
      <c r="A6" s="162" t="s">
        <v>4</v>
      </c>
      <c r="B6" s="162"/>
      <c r="C6" s="162"/>
      <c r="D6" s="162"/>
      <c r="E6" s="162" t="s">
        <v>230</v>
      </c>
      <c r="F6" s="162"/>
      <c r="G6" s="162"/>
      <c r="H6" s="162"/>
    </row>
    <row r="7" spans="1:26" ht="15" customHeight="1" x14ac:dyDescent="0.3">
      <c r="A7" s="162" t="s">
        <v>5</v>
      </c>
      <c r="B7" s="162"/>
      <c r="C7" s="162"/>
      <c r="D7" s="162"/>
      <c r="E7" s="162" t="str">
        <f>E6</f>
        <v>Raymond Limited</v>
      </c>
      <c r="F7" s="162"/>
      <c r="G7" s="162"/>
      <c r="H7" s="162"/>
    </row>
    <row r="8" spans="1:26" x14ac:dyDescent="0.3">
      <c r="A8" s="162" t="s">
        <v>6</v>
      </c>
      <c r="B8" s="162"/>
      <c r="C8" s="162"/>
      <c r="D8" s="162"/>
      <c r="E8" s="174" t="s">
        <v>352</v>
      </c>
      <c r="F8" s="174"/>
      <c r="G8" s="174"/>
      <c r="H8" s="174"/>
    </row>
    <row r="9" spans="1:26" x14ac:dyDescent="0.3">
      <c r="A9" s="162" t="s">
        <v>164</v>
      </c>
      <c r="B9" s="162"/>
      <c r="C9" s="162"/>
      <c r="D9" s="162"/>
      <c r="E9" s="162" t="s">
        <v>231</v>
      </c>
      <c r="F9" s="162"/>
      <c r="G9" s="162"/>
      <c r="H9" s="162"/>
    </row>
    <row r="10" spans="1:26" hidden="1" x14ac:dyDescent="0.3">
      <c r="A10" s="162" t="s">
        <v>165</v>
      </c>
      <c r="B10" s="162"/>
      <c r="C10" s="162"/>
      <c r="D10" s="162"/>
      <c r="E10" s="162" t="s">
        <v>282</v>
      </c>
      <c r="F10" s="162"/>
      <c r="G10" s="162"/>
      <c r="H10" s="162"/>
    </row>
    <row r="11" spans="1:26" ht="50.25" customHeight="1" x14ac:dyDescent="0.3">
      <c r="A11" s="162" t="s">
        <v>7</v>
      </c>
      <c r="B11" s="162"/>
      <c r="C11" s="162"/>
      <c r="D11" s="162"/>
      <c r="E11" s="165" t="s">
        <v>369</v>
      </c>
      <c r="F11" s="162"/>
      <c r="G11" s="162"/>
      <c r="H11" s="162"/>
    </row>
    <row r="12" spans="1:26" x14ac:dyDescent="0.3">
      <c r="A12" s="162" t="s">
        <v>167</v>
      </c>
      <c r="B12" s="162"/>
      <c r="C12" s="162"/>
      <c r="D12" s="162"/>
      <c r="E12" s="162" t="s">
        <v>29</v>
      </c>
      <c r="F12" s="162"/>
      <c r="G12" s="162"/>
      <c r="H12" s="162"/>
      <c r="S12" s="47" t="s">
        <v>173</v>
      </c>
      <c r="T12" s="47" t="s">
        <v>183</v>
      </c>
      <c r="U12" s="47" t="s">
        <v>168</v>
      </c>
      <c r="V12" s="47" t="s">
        <v>188</v>
      </c>
      <c r="W12" s="47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3">
      <c r="A13" s="123" t="s">
        <v>8</v>
      </c>
      <c r="B13" s="123"/>
      <c r="C13" s="123"/>
      <c r="D13" s="123"/>
      <c r="E13" s="165" t="s">
        <v>228</v>
      </c>
      <c r="F13" s="165"/>
      <c r="G13" s="165"/>
      <c r="H13" s="165"/>
      <c r="S13" s="47" t="s">
        <v>174</v>
      </c>
      <c r="T13" s="47" t="s">
        <v>181</v>
      </c>
      <c r="U13" s="47" t="s">
        <v>203</v>
      </c>
      <c r="V13" s="47" t="s">
        <v>189</v>
      </c>
      <c r="W13" s="47" t="s">
        <v>207</v>
      </c>
      <c r="X13"/>
      <c r="Y13"/>
      <c r="Z13"/>
    </row>
    <row r="14" spans="1:26" ht="57" customHeight="1" x14ac:dyDescent="0.3">
      <c r="A14" s="123" t="s">
        <v>9</v>
      </c>
      <c r="B14" s="123"/>
      <c r="C14" s="123"/>
      <c r="D14" s="123"/>
      <c r="E14" s="165" t="s">
        <v>353</v>
      </c>
      <c r="F14" s="162"/>
      <c r="G14" s="162"/>
      <c r="H14" s="162"/>
      <c r="I14" s="212" t="e">
        <f ca="1">OFFSET($D$4,1,MATCH($J12,$D$4:$H$4,0)-1,15,1)</f>
        <v>#N/A</v>
      </c>
      <c r="J14" s="213"/>
      <c r="K14" s="213"/>
      <c r="L14" s="213"/>
      <c r="M14" s="213"/>
      <c r="N14" s="213"/>
      <c r="O14" s="213"/>
      <c r="P14" s="213"/>
      <c r="S14" s="47" t="s">
        <v>175</v>
      </c>
      <c r="T14" s="47" t="s">
        <v>182</v>
      </c>
      <c r="U14" s="47" t="s">
        <v>204</v>
      </c>
      <c r="V14" s="47" t="s">
        <v>190</v>
      </c>
      <c r="W14" s="47" t="s">
        <v>220</v>
      </c>
      <c r="X14"/>
      <c r="Y14"/>
      <c r="Z14"/>
    </row>
    <row r="15" spans="1:26" ht="63.75" customHeight="1" x14ac:dyDescent="0.3">
      <c r="A15" s="137" t="s">
        <v>10</v>
      </c>
      <c r="B15" s="137"/>
      <c r="C15" s="13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The Address By GS Tower C &amp; E and Invictus, Survey No.65, 66, 118/1, 118/2, 119/A/1/A, 119/A/1/B, 119/A/2, 119-B, 120/1/3, 131/A1, 131/B, 132/2, 133/A, 133/B &amp; 138/1/A, near Raymond Head Office, Raymond Realty Road, J K Gram, Panchpakhadi, Thane West, Thane, Thane  - 400606.</v>
      </c>
      <c r="D15" s="137"/>
      <c r="E15" s="137"/>
      <c r="F15" s="137"/>
      <c r="G15" s="137"/>
      <c r="H15" s="137"/>
      <c r="S15" s="47" t="s">
        <v>176</v>
      </c>
      <c r="T15" s="47" t="s">
        <v>184</v>
      </c>
      <c r="U15" s="47" t="s">
        <v>205</v>
      </c>
      <c r="V15" s="47" t="s">
        <v>191</v>
      </c>
      <c r="W15" s="47" t="s">
        <v>208</v>
      </c>
      <c r="X15"/>
      <c r="Y15"/>
      <c r="Z15"/>
    </row>
    <row r="16" spans="1:26" ht="35.25" customHeight="1" x14ac:dyDescent="0.3">
      <c r="A16" s="165" t="s">
        <v>299</v>
      </c>
      <c r="B16" s="165"/>
      <c r="C16" s="165" t="s">
        <v>298</v>
      </c>
      <c r="D16" s="165"/>
      <c r="E16" s="165"/>
      <c r="F16" s="165"/>
      <c r="G16" s="165"/>
      <c r="H16" s="165"/>
      <c r="S16" s="47" t="s">
        <v>177</v>
      </c>
      <c r="T16" s="47" t="s">
        <v>185</v>
      </c>
      <c r="U16" s="47"/>
      <c r="V16" s="47" t="s">
        <v>192</v>
      </c>
      <c r="W16" s="47" t="s">
        <v>209</v>
      </c>
      <c r="X16"/>
      <c r="Y16"/>
      <c r="Z16"/>
    </row>
    <row r="17" spans="1:26" ht="15.75" customHeight="1" x14ac:dyDescent="0.3">
      <c r="A17" s="165" t="s">
        <v>160</v>
      </c>
      <c r="B17" s="165"/>
      <c r="C17" s="165" t="s">
        <v>278</v>
      </c>
      <c r="D17" s="165"/>
      <c r="E17" s="165"/>
      <c r="F17" s="165"/>
      <c r="G17" s="165"/>
      <c r="H17" s="165"/>
      <c r="S17" s="47" t="s">
        <v>178</v>
      </c>
      <c r="T17" s="47" t="s">
        <v>183</v>
      </c>
      <c r="U17" s="47"/>
      <c r="V17" s="47" t="s">
        <v>193</v>
      </c>
      <c r="W17" s="47" t="s">
        <v>210</v>
      </c>
      <c r="X17"/>
      <c r="Y17"/>
      <c r="Z17"/>
    </row>
    <row r="18" spans="1:26" x14ac:dyDescent="0.3">
      <c r="A18" s="137" t="s">
        <v>11</v>
      </c>
      <c r="B18" s="137"/>
      <c r="C18" s="162" t="s">
        <v>234</v>
      </c>
      <c r="D18" s="162"/>
      <c r="E18" s="165" t="s">
        <v>229</v>
      </c>
      <c r="F18" s="165"/>
      <c r="G18" s="165" t="s">
        <v>233</v>
      </c>
      <c r="H18" s="165"/>
      <c r="S18" s="47" t="s">
        <v>179</v>
      </c>
      <c r="T18" s="47" t="s">
        <v>186</v>
      </c>
      <c r="U18" s="47"/>
      <c r="V18" s="47" t="s">
        <v>194</v>
      </c>
      <c r="W18" s="47" t="s">
        <v>211</v>
      </c>
      <c r="X18"/>
      <c r="Y18"/>
      <c r="Z18"/>
    </row>
    <row r="19" spans="1:26" x14ac:dyDescent="0.3">
      <c r="A19" s="123" t="s">
        <v>13</v>
      </c>
      <c r="B19" s="123"/>
      <c r="C19" s="165" t="s">
        <v>235</v>
      </c>
      <c r="D19" s="165"/>
      <c r="E19" s="165" t="s">
        <v>12</v>
      </c>
      <c r="F19" s="165"/>
      <c r="G19" s="188" t="s">
        <v>173</v>
      </c>
      <c r="H19" s="188"/>
      <c r="S19" s="47" t="s">
        <v>180</v>
      </c>
      <c r="T19" s="47" t="s">
        <v>187</v>
      </c>
      <c r="U19" s="47"/>
      <c r="V19" s="47" t="s">
        <v>195</v>
      </c>
      <c r="W19" s="47" t="s">
        <v>212</v>
      </c>
      <c r="X19"/>
      <c r="Y19"/>
      <c r="Z19"/>
    </row>
    <row r="20" spans="1:26" x14ac:dyDescent="0.3">
      <c r="A20" s="123" t="s">
        <v>72</v>
      </c>
      <c r="B20" s="123"/>
      <c r="C20" s="165" t="s">
        <v>174</v>
      </c>
      <c r="D20" s="165"/>
      <c r="E20" s="165" t="s">
        <v>14</v>
      </c>
      <c r="F20" s="165"/>
      <c r="G20" s="189">
        <v>400606</v>
      </c>
      <c r="H20" s="189"/>
      <c r="I20" s="17">
        <v>400601</v>
      </c>
      <c r="S20" s="47"/>
      <c r="T20" s="47"/>
      <c r="U20" s="47"/>
      <c r="V20" s="47" t="s">
        <v>196</v>
      </c>
      <c r="W20" s="47" t="s">
        <v>213</v>
      </c>
      <c r="X20"/>
      <c r="Y20"/>
      <c r="Z20"/>
    </row>
    <row r="21" spans="1:26" ht="32.25" customHeight="1" x14ac:dyDescent="0.3">
      <c r="A21" s="123" t="s">
        <v>120</v>
      </c>
      <c r="B21" s="123"/>
      <c r="C21" s="165" t="s">
        <v>236</v>
      </c>
      <c r="D21" s="165"/>
      <c r="E21" s="165" t="s">
        <v>15</v>
      </c>
      <c r="F21" s="165"/>
      <c r="G21" s="165" t="s">
        <v>280</v>
      </c>
      <c r="H21" s="165"/>
      <c r="S21" s="47"/>
      <c r="T21" s="47"/>
      <c r="U21" s="47"/>
      <c r="V21" s="47" t="s">
        <v>197</v>
      </c>
      <c r="W21" s="47" t="s">
        <v>214</v>
      </c>
      <c r="X21"/>
      <c r="Y21"/>
      <c r="Z21"/>
    </row>
    <row r="22" spans="1:26" ht="15" customHeight="1" x14ac:dyDescent="0.3">
      <c r="A22" s="137" t="s">
        <v>74</v>
      </c>
      <c r="B22" s="137"/>
      <c r="C22" s="137"/>
      <c r="D22" s="137"/>
      <c r="E22" s="162" t="s">
        <v>16</v>
      </c>
      <c r="F22" s="162"/>
      <c r="G22" s="162"/>
      <c r="H22" s="162"/>
      <c r="S22" s="47"/>
      <c r="T22" s="47"/>
      <c r="U22" s="47"/>
      <c r="V22" s="47" t="s">
        <v>198</v>
      </c>
      <c r="W22" s="47" t="s">
        <v>215</v>
      </c>
      <c r="X22"/>
      <c r="Y22"/>
      <c r="Z22"/>
    </row>
    <row r="23" spans="1:26" ht="18.75" customHeight="1" x14ac:dyDescent="0.3">
      <c r="A23" s="137"/>
      <c r="B23" s="137"/>
      <c r="C23" s="137"/>
      <c r="D23" s="137"/>
      <c r="E23" s="162"/>
      <c r="F23" s="162"/>
      <c r="G23" s="162"/>
      <c r="H23" s="162"/>
      <c r="S23" s="47"/>
      <c r="T23" s="47"/>
      <c r="U23" s="47"/>
      <c r="V23" s="47" t="s">
        <v>199</v>
      </c>
      <c r="W23" s="47" t="s">
        <v>216</v>
      </c>
      <c r="X23"/>
      <c r="Y23"/>
      <c r="Z23"/>
    </row>
    <row r="24" spans="1:26" ht="15" customHeight="1" x14ac:dyDescent="0.3">
      <c r="A24" s="137" t="s">
        <v>17</v>
      </c>
      <c r="B24" s="137"/>
      <c r="C24" s="137"/>
      <c r="D24" s="137"/>
      <c r="E24" s="165" t="s">
        <v>18</v>
      </c>
      <c r="F24" s="165"/>
      <c r="G24" s="165"/>
      <c r="H24" s="165"/>
      <c r="S24" s="47"/>
      <c r="T24" s="47"/>
      <c r="U24" s="47"/>
      <c r="V24" s="47" t="s">
        <v>200</v>
      </c>
      <c r="W24" s="47" t="s">
        <v>217</v>
      </c>
      <c r="X24"/>
      <c r="Y24"/>
      <c r="Z24"/>
    </row>
    <row r="25" spans="1:26" ht="15" customHeight="1" x14ac:dyDescent="0.3">
      <c r="A25" s="123" t="s">
        <v>19</v>
      </c>
      <c r="B25" s="123"/>
      <c r="C25" s="123"/>
      <c r="D25" s="123"/>
      <c r="E25" s="165" t="str">
        <f>IF(AND(G19="Mumbai"),"Upper Class","Middle Class")</f>
        <v>Middle Class</v>
      </c>
      <c r="F25" s="165"/>
      <c r="G25" s="165"/>
      <c r="H25" s="165"/>
      <c r="S25" s="47"/>
      <c r="T25" s="47"/>
      <c r="U25" s="47"/>
      <c r="V25" s="47" t="s">
        <v>201</v>
      </c>
      <c r="W25" s="47" t="s">
        <v>218</v>
      </c>
      <c r="X25"/>
      <c r="Y25"/>
      <c r="Z25"/>
    </row>
    <row r="26" spans="1:26" x14ac:dyDescent="0.3">
      <c r="A26" s="123" t="s">
        <v>20</v>
      </c>
      <c r="B26" s="123"/>
      <c r="C26" s="123"/>
      <c r="D26" s="123"/>
      <c r="E26" s="165" t="s">
        <v>21</v>
      </c>
      <c r="F26" s="165"/>
      <c r="G26" s="165"/>
      <c r="H26" s="165"/>
      <c r="S26" s="47"/>
      <c r="T26" s="47"/>
      <c r="U26" s="47"/>
      <c r="V26" s="47" t="s">
        <v>202</v>
      </c>
      <c r="W26" s="47" t="s">
        <v>219</v>
      </c>
      <c r="X26"/>
      <c r="Y26"/>
      <c r="Z26"/>
    </row>
    <row r="27" spans="1:26" ht="15.75" customHeight="1" x14ac:dyDescent="0.3">
      <c r="A27" s="123" t="s">
        <v>22</v>
      </c>
      <c r="B27" s="123"/>
      <c r="C27" s="123"/>
      <c r="D27" s="123"/>
      <c r="E27" s="165" t="str">
        <f>IF(AND(G19="Mumbai"),"Developed","Developing")</f>
        <v>Developing</v>
      </c>
      <c r="F27" s="165"/>
      <c r="G27" s="165"/>
      <c r="H27" s="165"/>
    </row>
    <row r="28" spans="1:26" x14ac:dyDescent="0.3">
      <c r="A28" s="123" t="s">
        <v>23</v>
      </c>
      <c r="B28" s="123"/>
      <c r="C28" s="123"/>
      <c r="D28" s="123"/>
      <c r="E28" s="165" t="s">
        <v>24</v>
      </c>
      <c r="F28" s="165"/>
      <c r="G28" s="165"/>
      <c r="H28" s="165"/>
    </row>
    <row r="29" spans="1:26" ht="15.75" customHeight="1" x14ac:dyDescent="0.3">
      <c r="A29" s="123" t="s">
        <v>79</v>
      </c>
      <c r="B29" s="123"/>
      <c r="C29" s="123"/>
      <c r="D29" s="123"/>
      <c r="E29" s="165" t="s">
        <v>80</v>
      </c>
      <c r="F29" s="165"/>
      <c r="G29" s="165"/>
      <c r="H29" s="165"/>
    </row>
    <row r="30" spans="1:26" ht="15" customHeight="1" x14ac:dyDescent="0.3">
      <c r="A30" s="123" t="s">
        <v>32</v>
      </c>
      <c r="B30" s="123"/>
      <c r="C30" s="123"/>
      <c r="D30" s="123"/>
      <c r="E30" s="165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30" s="165"/>
      <c r="G30" s="165"/>
      <c r="H30" s="165"/>
    </row>
    <row r="31" spans="1:26" ht="15.75" customHeight="1" x14ac:dyDescent="0.3">
      <c r="A31" s="123" t="s">
        <v>91</v>
      </c>
      <c r="B31" s="123"/>
      <c r="C31" s="123"/>
      <c r="D31" s="123"/>
      <c r="E31" s="165" t="s">
        <v>33</v>
      </c>
      <c r="F31" s="165"/>
      <c r="G31" s="165"/>
      <c r="H31" s="165"/>
    </row>
    <row r="32" spans="1:26" s="18" customFormat="1" x14ac:dyDescent="0.3">
      <c r="A32" s="171" t="s">
        <v>92</v>
      </c>
      <c r="B32" s="171"/>
      <c r="C32" s="168" t="s">
        <v>169</v>
      </c>
      <c r="D32" s="169"/>
      <c r="E32" s="170"/>
      <c r="F32" s="168" t="s">
        <v>30</v>
      </c>
      <c r="G32" s="169"/>
      <c r="H32" s="170"/>
    </row>
    <row r="33" spans="1:9" s="18" customFormat="1" x14ac:dyDescent="0.3">
      <c r="A33" s="152" t="s">
        <v>25</v>
      </c>
      <c r="B33" s="152" t="s">
        <v>29</v>
      </c>
      <c r="C33" s="153" t="s">
        <v>238</v>
      </c>
      <c r="D33" s="154"/>
      <c r="E33" s="155"/>
      <c r="F33" s="153" t="s">
        <v>273</v>
      </c>
      <c r="G33" s="154"/>
      <c r="H33" s="155"/>
    </row>
    <row r="34" spans="1:9" x14ac:dyDescent="0.3">
      <c r="A34" s="152" t="s">
        <v>26</v>
      </c>
      <c r="B34" s="152" t="s">
        <v>29</v>
      </c>
      <c r="C34" s="153" t="s">
        <v>237</v>
      </c>
      <c r="D34" s="154"/>
      <c r="E34" s="155"/>
      <c r="F34" s="153" t="s">
        <v>234</v>
      </c>
      <c r="G34" s="154"/>
      <c r="H34" s="155"/>
    </row>
    <row r="35" spans="1:9" s="18" customFormat="1" x14ac:dyDescent="0.3">
      <c r="A35" s="152" t="s">
        <v>28</v>
      </c>
      <c r="B35" s="152" t="s">
        <v>29</v>
      </c>
      <c r="C35" s="153" t="s">
        <v>237</v>
      </c>
      <c r="D35" s="154"/>
      <c r="E35" s="155"/>
      <c r="F35" s="153" t="s">
        <v>272</v>
      </c>
      <c r="G35" s="154"/>
      <c r="H35" s="155"/>
    </row>
    <row r="36" spans="1:9" x14ac:dyDescent="0.3">
      <c r="A36" s="152" t="s">
        <v>27</v>
      </c>
      <c r="B36" s="152" t="s">
        <v>29</v>
      </c>
      <c r="C36" s="153" t="s">
        <v>238</v>
      </c>
      <c r="D36" s="154"/>
      <c r="E36" s="155"/>
      <c r="F36" s="153" t="s">
        <v>236</v>
      </c>
      <c r="G36" s="154"/>
      <c r="H36" s="155"/>
    </row>
    <row r="37" spans="1:9" x14ac:dyDescent="0.3">
      <c r="A37" s="123" t="s">
        <v>31</v>
      </c>
      <c r="B37" s="123"/>
      <c r="C37" s="123"/>
      <c r="D37" s="123"/>
      <c r="E37" s="123"/>
      <c r="F37" s="123"/>
      <c r="G37" s="123"/>
      <c r="H37" s="123"/>
    </row>
    <row r="38" spans="1:9" ht="15.75" customHeight="1" x14ac:dyDescent="0.3">
      <c r="A38" s="123" t="s">
        <v>163</v>
      </c>
      <c r="B38" s="123"/>
      <c r="C38" s="163" t="s">
        <v>270</v>
      </c>
      <c r="D38" s="157"/>
      <c r="E38" s="157"/>
      <c r="F38" s="157"/>
      <c r="G38" s="157"/>
      <c r="H38" s="157"/>
    </row>
    <row r="39" spans="1:9" x14ac:dyDescent="0.3">
      <c r="A39" s="123" t="s">
        <v>159</v>
      </c>
      <c r="B39" s="123"/>
      <c r="C39" s="164" t="s">
        <v>271</v>
      </c>
      <c r="D39" s="165"/>
      <c r="E39" s="165"/>
      <c r="F39" s="165"/>
      <c r="G39" s="165"/>
      <c r="H39" s="165"/>
    </row>
    <row r="40" spans="1:9" x14ac:dyDescent="0.3">
      <c r="A40" s="157" t="s">
        <v>34</v>
      </c>
      <c r="B40" s="157"/>
      <c r="C40" s="157"/>
      <c r="D40" s="157"/>
      <c r="E40" s="157"/>
      <c r="F40" s="157"/>
      <c r="G40" s="157"/>
      <c r="H40" s="157"/>
    </row>
    <row r="41" spans="1:9" x14ac:dyDescent="0.3">
      <c r="A41" s="123" t="s">
        <v>35</v>
      </c>
      <c r="B41" s="123"/>
      <c r="C41" s="123"/>
      <c r="D41" s="123"/>
      <c r="E41" s="156">
        <v>70699.600000000006</v>
      </c>
      <c r="F41" s="156"/>
      <c r="G41" s="156"/>
      <c r="H41" s="156"/>
    </row>
    <row r="42" spans="1:9" x14ac:dyDescent="0.3">
      <c r="A42" s="123" t="s">
        <v>36</v>
      </c>
      <c r="B42" s="123"/>
      <c r="C42" s="123"/>
      <c r="D42" s="123"/>
      <c r="E42" s="160">
        <v>1.1000000000000001</v>
      </c>
      <c r="F42" s="160"/>
      <c r="G42" s="160"/>
      <c r="H42" s="160"/>
      <c r="I42" s="48">
        <f>80691.53/E41</f>
        <v>1.1413293710289731</v>
      </c>
    </row>
    <row r="43" spans="1:9" x14ac:dyDescent="0.3">
      <c r="A43" s="123" t="s">
        <v>37</v>
      </c>
      <c r="B43" s="123"/>
      <c r="C43" s="123"/>
      <c r="D43" s="123"/>
      <c r="E43" s="160">
        <f>E45/E41-E42</f>
        <v>1.0872836621423598</v>
      </c>
      <c r="F43" s="160"/>
      <c r="G43" s="160"/>
      <c r="H43" s="160"/>
      <c r="I43" s="51"/>
    </row>
    <row r="44" spans="1:9" x14ac:dyDescent="0.3">
      <c r="A44" s="123" t="s">
        <v>38</v>
      </c>
      <c r="B44" s="123"/>
      <c r="C44" s="123"/>
      <c r="D44" s="123"/>
      <c r="E44" s="160">
        <f>E42+E43</f>
        <v>2.1872836621423599</v>
      </c>
      <c r="F44" s="160"/>
      <c r="G44" s="160"/>
      <c r="H44" s="160"/>
      <c r="I44" s="48">
        <f>E45/E41</f>
        <v>2.1872836621423599</v>
      </c>
    </row>
    <row r="45" spans="1:9" x14ac:dyDescent="0.3">
      <c r="A45" s="123" t="s">
        <v>90</v>
      </c>
      <c r="B45" s="123"/>
      <c r="C45" s="123"/>
      <c r="D45" s="123"/>
      <c r="E45" s="161">
        <v>154640.07999999999</v>
      </c>
      <c r="F45" s="161"/>
      <c r="G45" s="161"/>
      <c r="H45" s="161"/>
    </row>
    <row r="46" spans="1:9" x14ac:dyDescent="0.3">
      <c r="A46" s="162" t="s">
        <v>39</v>
      </c>
      <c r="B46" s="162"/>
      <c r="C46" s="162"/>
      <c r="D46" s="162"/>
      <c r="E46" s="162" t="s">
        <v>354</v>
      </c>
      <c r="F46" s="162"/>
      <c r="G46" s="162"/>
      <c r="H46" s="162"/>
    </row>
    <row r="47" spans="1:9" x14ac:dyDescent="0.3">
      <c r="A47" s="157" t="s">
        <v>40</v>
      </c>
      <c r="B47" s="157"/>
      <c r="C47" s="157"/>
      <c r="D47" s="157"/>
      <c r="E47" s="157"/>
      <c r="F47" s="157"/>
      <c r="G47" s="157"/>
      <c r="H47" s="157"/>
    </row>
    <row r="48" spans="1:9" ht="33.75" customHeight="1" x14ac:dyDescent="0.3">
      <c r="A48" s="124" t="s">
        <v>148</v>
      </c>
      <c r="B48" s="125"/>
      <c r="C48" s="126" t="s">
        <v>239</v>
      </c>
      <c r="D48" s="127"/>
      <c r="E48" s="127"/>
      <c r="F48" s="127"/>
      <c r="G48" s="127"/>
      <c r="H48" s="128"/>
    </row>
    <row r="49" spans="1:14" ht="15.75" customHeight="1" x14ac:dyDescent="0.3">
      <c r="A49" s="124" t="s">
        <v>41</v>
      </c>
      <c r="B49" s="125"/>
      <c r="C49" s="124" t="s">
        <v>359</v>
      </c>
      <c r="D49" s="202"/>
      <c r="E49" s="125"/>
      <c r="F49" s="16" t="s">
        <v>42</v>
      </c>
      <c r="G49" s="203">
        <v>45575</v>
      </c>
      <c r="H49" s="204"/>
    </row>
    <row r="50" spans="1:14" ht="37.5" customHeight="1" x14ac:dyDescent="0.3">
      <c r="A50" s="124" t="s">
        <v>355</v>
      </c>
      <c r="B50" s="125"/>
      <c r="C50" s="124" t="s">
        <v>240</v>
      </c>
      <c r="D50" s="202"/>
      <c r="E50" s="125"/>
      <c r="F50" s="16" t="s">
        <v>42</v>
      </c>
      <c r="G50" s="203">
        <v>45114</v>
      </c>
      <c r="H50" s="204"/>
    </row>
    <row r="51" spans="1:14" ht="34.5" customHeight="1" x14ac:dyDescent="0.3">
      <c r="A51" s="124" t="s">
        <v>356</v>
      </c>
      <c r="B51" s="125"/>
      <c r="C51" s="124" t="s">
        <v>359</v>
      </c>
      <c r="D51" s="202"/>
      <c r="E51" s="125"/>
      <c r="F51" s="16" t="s">
        <v>42</v>
      </c>
      <c r="G51" s="203">
        <v>45575</v>
      </c>
      <c r="H51" s="204"/>
    </row>
    <row r="52" spans="1:14" s="19" customFormat="1" ht="15.75" customHeight="1" x14ac:dyDescent="0.3">
      <c r="A52" s="208" t="s">
        <v>357</v>
      </c>
      <c r="B52" s="209"/>
      <c r="C52" s="124" t="s">
        <v>241</v>
      </c>
      <c r="D52" s="202"/>
      <c r="E52" s="125"/>
      <c r="F52" s="16" t="s">
        <v>42</v>
      </c>
      <c r="G52" s="203">
        <f>G50</f>
        <v>45114</v>
      </c>
      <c r="H52" s="204"/>
    </row>
    <row r="53" spans="1:14" s="19" customFormat="1" ht="62.25" customHeight="1" x14ac:dyDescent="0.3">
      <c r="A53" s="210"/>
      <c r="B53" s="211"/>
      <c r="C53" s="205" t="s">
        <v>301</v>
      </c>
      <c r="D53" s="206"/>
      <c r="E53" s="206"/>
      <c r="F53" s="206"/>
      <c r="G53" s="206"/>
      <c r="H53" s="207"/>
    </row>
    <row r="54" spans="1:14" s="19" customFormat="1" ht="15.75" customHeight="1" x14ac:dyDescent="0.3">
      <c r="A54" s="208" t="s">
        <v>357</v>
      </c>
      <c r="B54" s="209"/>
      <c r="C54" s="124" t="s">
        <v>359</v>
      </c>
      <c r="D54" s="202"/>
      <c r="E54" s="125"/>
      <c r="F54" s="16" t="s">
        <v>42</v>
      </c>
      <c r="G54" s="203">
        <v>45575</v>
      </c>
      <c r="H54" s="204"/>
    </row>
    <row r="55" spans="1:14" s="19" customFormat="1" ht="33" customHeight="1" x14ac:dyDescent="0.3">
      <c r="A55" s="210"/>
      <c r="B55" s="211"/>
      <c r="C55" s="205" t="s">
        <v>358</v>
      </c>
      <c r="D55" s="206"/>
      <c r="E55" s="206"/>
      <c r="F55" s="206"/>
      <c r="G55" s="206"/>
      <c r="H55" s="207"/>
    </row>
    <row r="56" spans="1:14" x14ac:dyDescent="0.3">
      <c r="A56" s="214" t="s">
        <v>43</v>
      </c>
      <c r="B56" s="215"/>
      <c r="C56" s="214" t="s">
        <v>104</v>
      </c>
      <c r="D56" s="216"/>
      <c r="E56" s="215"/>
      <c r="F56" s="40" t="s">
        <v>42</v>
      </c>
      <c r="G56" s="166" t="s">
        <v>29</v>
      </c>
      <c r="H56" s="167"/>
    </row>
    <row r="57" spans="1:14" x14ac:dyDescent="0.3">
      <c r="A57" s="181" t="s">
        <v>45</v>
      </c>
      <c r="B57" s="181"/>
      <c r="C57" s="181"/>
      <c r="D57" s="181"/>
      <c r="E57" s="181"/>
      <c r="F57" s="181"/>
      <c r="G57" s="181"/>
      <c r="H57" s="181"/>
    </row>
    <row r="58" spans="1:14" x14ac:dyDescent="0.3">
      <c r="A58" s="137" t="s">
        <v>89</v>
      </c>
      <c r="B58" s="137"/>
      <c r="C58" s="137"/>
      <c r="D58" s="123">
        <f>34384.61+38611.6</f>
        <v>72996.209999999992</v>
      </c>
      <c r="E58" s="123"/>
      <c r="F58" s="123"/>
      <c r="G58" s="123"/>
      <c r="H58" s="123"/>
    </row>
    <row r="59" spans="1:14" x14ac:dyDescent="0.3">
      <c r="A59" s="165" t="s">
        <v>46</v>
      </c>
      <c r="B59" s="162"/>
      <c r="C59" s="162"/>
      <c r="D59" s="162" t="s">
        <v>380</v>
      </c>
      <c r="E59" s="162"/>
      <c r="F59" s="162"/>
      <c r="G59" s="162"/>
      <c r="H59" s="162"/>
      <c r="I59" s="20"/>
    </row>
    <row r="60" spans="1:14" ht="99" customHeight="1" x14ac:dyDescent="0.3">
      <c r="A60" s="220" t="s">
        <v>47</v>
      </c>
      <c r="B60" s="221"/>
      <c r="C60" s="222"/>
      <c r="D60" s="218" t="s">
        <v>372</v>
      </c>
      <c r="E60" s="219"/>
      <c r="F60" s="219"/>
      <c r="G60" s="219"/>
      <c r="H60" s="219"/>
    </row>
    <row r="61" spans="1:14" ht="36.75" customHeight="1" x14ac:dyDescent="0.3">
      <c r="A61" s="220" t="s">
        <v>87</v>
      </c>
      <c r="B61" s="221"/>
      <c r="C61" s="222"/>
      <c r="D61" s="165" t="s">
        <v>373</v>
      </c>
      <c r="E61" s="162"/>
      <c r="F61" s="162"/>
      <c r="G61" s="162"/>
      <c r="H61" s="162"/>
      <c r="J61" s="21">
        <v>45563</v>
      </c>
      <c r="K61" s="21">
        <f>J61+90</f>
        <v>45653</v>
      </c>
      <c r="L61" s="21">
        <f>K61+90</f>
        <v>45743</v>
      </c>
    </row>
    <row r="62" spans="1:14" ht="35.25" customHeight="1" x14ac:dyDescent="0.3">
      <c r="A62" s="235"/>
      <c r="B62" s="236"/>
      <c r="C62" s="237"/>
      <c r="D62" s="165" t="s">
        <v>374</v>
      </c>
      <c r="E62" s="162"/>
      <c r="F62" s="162"/>
      <c r="G62" s="162"/>
      <c r="H62" s="162"/>
    </row>
    <row r="63" spans="1:14" ht="35.25" customHeight="1" x14ac:dyDescent="0.3">
      <c r="A63" s="238"/>
      <c r="B63" s="239"/>
      <c r="C63" s="240"/>
      <c r="D63" s="165" t="s">
        <v>375</v>
      </c>
      <c r="E63" s="162"/>
      <c r="F63" s="162"/>
      <c r="G63" s="162"/>
      <c r="H63" s="162"/>
    </row>
    <row r="64" spans="1:14" ht="15.75" customHeight="1" x14ac:dyDescent="0.3">
      <c r="A64" s="123" t="s">
        <v>44</v>
      </c>
      <c r="B64" s="123"/>
      <c r="C64" s="123"/>
      <c r="D64" s="158" t="s">
        <v>242</v>
      </c>
      <c r="E64" s="158"/>
      <c r="F64" s="158"/>
      <c r="G64" s="158"/>
      <c r="H64" s="158"/>
      <c r="J64" s="21"/>
      <c r="K64" s="20"/>
      <c r="N64" s="20"/>
    </row>
    <row r="65" spans="1:14" ht="15.75" customHeight="1" x14ac:dyDescent="0.3">
      <c r="A65" s="123" t="s">
        <v>85</v>
      </c>
      <c r="B65" s="123"/>
      <c r="C65" s="123"/>
      <c r="D65" s="159" t="str">
        <f>(IF(G56="NA","60 Years After Completion",IF(G56&lt;&gt;"NA",""&amp;60-ROUNDDOWN((E3-G56)/360,0)&amp;" Years"," ")))</f>
        <v>60 Years After Completion</v>
      </c>
      <c r="E65" s="159"/>
      <c r="F65" s="159"/>
      <c r="G65" s="159"/>
      <c r="H65" s="159"/>
      <c r="N65" s="20"/>
    </row>
    <row r="66" spans="1:14" ht="15.75" customHeight="1" x14ac:dyDescent="0.3">
      <c r="A66" s="123" t="s">
        <v>86</v>
      </c>
      <c r="B66" s="123"/>
      <c r="C66" s="123"/>
      <c r="D66" s="137" t="s">
        <v>24</v>
      </c>
      <c r="E66" s="137"/>
      <c r="F66" s="137"/>
      <c r="G66" s="137"/>
      <c r="H66" s="137"/>
      <c r="J66" s="22"/>
      <c r="K66" s="22"/>
    </row>
    <row r="67" spans="1:14" ht="31.5" customHeight="1" x14ac:dyDescent="0.3">
      <c r="A67" s="162" t="s">
        <v>226</v>
      </c>
      <c r="B67" s="162"/>
      <c r="C67" s="162"/>
      <c r="D67" s="165" t="s">
        <v>275</v>
      </c>
      <c r="E67" s="137"/>
      <c r="F67" s="137"/>
      <c r="G67" s="137"/>
      <c r="H67" s="137"/>
      <c r="K67" s="53" t="s">
        <v>276</v>
      </c>
    </row>
    <row r="68" spans="1:14" x14ac:dyDescent="0.3">
      <c r="A68" s="137" t="s">
        <v>145</v>
      </c>
      <c r="B68" s="137"/>
      <c r="C68" s="137"/>
      <c r="D68" s="137" t="s">
        <v>29</v>
      </c>
      <c r="E68" s="137"/>
      <c r="F68" s="137"/>
      <c r="G68" s="137"/>
      <c r="H68" s="137"/>
      <c r="I68" s="23"/>
      <c r="J68" s="23"/>
      <c r="K68" s="23"/>
      <c r="L68" s="23"/>
      <c r="M68" s="23"/>
      <c r="N68" s="23"/>
    </row>
    <row r="69" spans="1:14" ht="15.75" customHeight="1" x14ac:dyDescent="0.3">
      <c r="A69" s="217" t="s">
        <v>84</v>
      </c>
      <c r="B69" s="217"/>
      <c r="C69" s="217"/>
      <c r="D69" s="218" t="str">
        <f ca="1">(IF(G75&gt;95%,"Nothing",IF(G75&gt;0%,"Cement, Aggregate, Steel, etc",IF(G75=0%,"Work not yet Started"))))</f>
        <v>Cement, Aggregate, Steel, etc</v>
      </c>
      <c r="E69" s="218"/>
      <c r="F69" s="218"/>
      <c r="G69" s="218"/>
      <c r="H69" s="218"/>
      <c r="J69" s="22"/>
    </row>
    <row r="70" spans="1:14" ht="33.75" customHeight="1" thickBot="1" x14ac:dyDescent="0.35">
      <c r="A70" s="234" t="s">
        <v>117</v>
      </c>
      <c r="B70" s="234"/>
      <c r="C70" s="234"/>
      <c r="D70" s="218" t="str">
        <f ca="1">(IF(D69="Nothing","Yes",IF(D69="Cement, Aggregate, Steel, etc","Under Construction",IF(D69="Work not yet Started","Work not yet Started"))))</f>
        <v>Under Construction</v>
      </c>
      <c r="E70" s="218"/>
      <c r="F70" s="218" t="str">
        <f ca="1">(IF(D69="Nothing","Yes",IF(D69="Cement, Aggregate, Steel, etc","Under Construction",IF(D69="Work not yet Started","Work not yet Started"))))</f>
        <v>Under Construction</v>
      </c>
      <c r="G70" s="218"/>
      <c r="H70" s="218"/>
    </row>
    <row r="71" spans="1:14" ht="36.75" customHeight="1" x14ac:dyDescent="0.3">
      <c r="A71" s="226" t="s">
        <v>370</v>
      </c>
      <c r="B71" s="227"/>
      <c r="C71" s="228" t="str">
        <f>D61</f>
        <v>Wing 1 = 1B + LG. + UG/P1 + P2 to P4 + St/Podium Top + 1st to 18th + Service Floor + 19th to 35th Floor</v>
      </c>
      <c r="D71" s="229"/>
      <c r="E71" s="229"/>
      <c r="F71" s="229"/>
      <c r="G71" s="229"/>
      <c r="H71" s="230"/>
      <c r="I71" s="42" t="str">
        <f ca="1">IF(D84=100%,"All work Completed. Possession granted to the Building.",IF(D83=100%,"All work Completed, Waiting for OC",I72&amp;""&amp;I73&amp;""&amp;J72&amp;""&amp;J71&amp;" "&amp;J73))</f>
        <v>Excavation, Plinth Completed, RCC upto 9 Slab, Brickwork upto 3 Floor Completed</v>
      </c>
      <c r="J71" s="43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9 Slab, Brickwork upto 3 Floor</v>
      </c>
    </row>
    <row r="72" spans="1:14" x14ac:dyDescent="0.3">
      <c r="A72" s="54" t="s">
        <v>139</v>
      </c>
      <c r="B72" s="55">
        <f>IF(AND(ISNUMBER(SEARCH("1B",C71))),1,IF(AND(ISNUMBER(SEARCH("2B",C71))),2,IF(AND(ISNUMBER(SEARCH("3B",C71))),3,IF(AND(ISNUMBER(SEARCH("4B",C71))),4,IF(ISNUMBER(SEARCH("5B",C71)),5,0)))))</f>
        <v>1</v>
      </c>
      <c r="C72" s="55" t="s">
        <v>71</v>
      </c>
      <c r="D72" s="55">
        <v>1</v>
      </c>
      <c r="E72" s="55" t="s">
        <v>70</v>
      </c>
      <c r="F72" s="55">
        <v>5</v>
      </c>
      <c r="G72" s="56" t="s">
        <v>78</v>
      </c>
      <c r="H72" s="57">
        <f ca="1">--TRIM(RIGHT(SUBSTITUTE(LEFT(C71,_xlfn.AGGREGATE(16,6,FIND({0,1,2,3,4,5,6,7,8,9},C71,ROW(INDIRECT("1:"&amp;LEN(C71)))),1))," ",REPT(" ",LEN(C71))),LEN(C71)))</f>
        <v>35</v>
      </c>
      <c r="I72" s="44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2" s="45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5.4" customHeight="1" x14ac:dyDescent="0.3">
      <c r="A73" s="231" t="s">
        <v>88</v>
      </c>
      <c r="B73" s="174"/>
      <c r="C73" s="232" t="str">
        <f ca="1">I71</f>
        <v>Excavation, Plinth Completed, RCC upto 9 Slab, Brickwork upto 3 Floor Completed</v>
      </c>
      <c r="D73" s="232"/>
      <c r="E73" s="232"/>
      <c r="F73" s="232"/>
      <c r="G73" s="232"/>
      <c r="H73" s="233"/>
      <c r="I73" s="44" t="str">
        <f ca="1">IF(I72&lt;&gt;""," Completed","")</f>
        <v xml:space="preserve"> Completed</v>
      </c>
      <c r="J73" s="45" t="str">
        <f ca="1">IF(J71&lt;&gt;"","Completed","")</f>
        <v>Completed</v>
      </c>
    </row>
    <row r="74" spans="1:14" ht="15.75" customHeight="1" x14ac:dyDescent="0.3">
      <c r="A74" s="106" t="s">
        <v>48</v>
      </c>
      <c r="B74" s="107"/>
      <c r="C74" s="58" t="s">
        <v>137</v>
      </c>
      <c r="D74" s="58" t="s">
        <v>81</v>
      </c>
      <c r="E74" s="107" t="s">
        <v>83</v>
      </c>
      <c r="F74" s="107"/>
      <c r="G74" s="107" t="s">
        <v>82</v>
      </c>
      <c r="H74" s="225"/>
      <c r="I74" s="14" t="s">
        <v>138</v>
      </c>
      <c r="J74" s="24">
        <f ca="1">H72*25%</f>
        <v>8.75</v>
      </c>
    </row>
    <row r="75" spans="1:14" x14ac:dyDescent="0.3">
      <c r="A75" s="106" t="s">
        <v>126</v>
      </c>
      <c r="B75" s="107"/>
      <c r="C75" s="58">
        <f ca="1">J76</f>
        <v>35</v>
      </c>
      <c r="D75" s="59">
        <f ca="1">((100/H72)*C75)/100</f>
        <v>1</v>
      </c>
      <c r="E75" s="108">
        <f ca="1">(((C76/H72*10)+(40/(D72+F72+H72)*C77)+(7.5/(H72)*C78)+(7.5/(H72)*C79)+(10/H72*C80)+(10/H72*C81)+(5/H72*C82)+(5/H72*C83)+(5/H72*C84))/100)</f>
        <v>0.19423344947735191</v>
      </c>
      <c r="F75" s="109"/>
      <c r="G75" s="108">
        <f ca="1">((((C75/H72)*20)+((C76/H72)*25)+(30/(H72+F72+D72)*C77)+(5/H72*C78)+(5/H72*C79)+(5/H72*C80)+(5/H72*C81)+(0/H72*C82)+(0/H72*C83)+(5/H72*C84))/100)</f>
        <v>0.52013937282229972</v>
      </c>
      <c r="H75" s="114"/>
      <c r="I75" s="14" t="s">
        <v>99</v>
      </c>
      <c r="J75" s="25">
        <f ca="1">H72*50%</f>
        <v>17.5</v>
      </c>
    </row>
    <row r="76" spans="1:14" x14ac:dyDescent="0.3">
      <c r="A76" s="106" t="s">
        <v>49</v>
      </c>
      <c r="B76" s="107"/>
      <c r="C76" s="69">
        <f ca="1">J84</f>
        <v>35</v>
      </c>
      <c r="D76" s="59">
        <f ca="1">((100/H72)*C76)/100</f>
        <v>1</v>
      </c>
      <c r="E76" s="110"/>
      <c r="F76" s="111"/>
      <c r="G76" s="110"/>
      <c r="H76" s="115"/>
      <c r="I76" s="14" t="s">
        <v>100</v>
      </c>
      <c r="J76" s="25">
        <f ca="1">H72</f>
        <v>35</v>
      </c>
    </row>
    <row r="77" spans="1:14" ht="15.75" customHeight="1" x14ac:dyDescent="0.3">
      <c r="A77" s="106" t="s">
        <v>127</v>
      </c>
      <c r="B77" s="107"/>
      <c r="C77" s="58">
        <v>9</v>
      </c>
      <c r="D77" s="59">
        <f ca="1">((100/(D72+F72+H72))*C77)/100</f>
        <v>0.21951219512195119</v>
      </c>
      <c r="E77" s="110"/>
      <c r="F77" s="111"/>
      <c r="G77" s="110"/>
      <c r="H77" s="115"/>
      <c r="I77" s="14" t="s">
        <v>101</v>
      </c>
      <c r="J77" s="26">
        <f ca="1">(IF(B72&gt;1,(H72/(B72+2)),H72/4))</f>
        <v>8.75</v>
      </c>
    </row>
    <row r="78" spans="1:14" ht="15.75" customHeight="1" x14ac:dyDescent="0.3">
      <c r="A78" s="106" t="s">
        <v>134</v>
      </c>
      <c r="B78" s="107" t="s">
        <v>128</v>
      </c>
      <c r="C78" s="58">
        <f>C77-F72-D72</f>
        <v>3</v>
      </c>
      <c r="D78" s="59">
        <f ca="1">((100/H72)*C78)/100</f>
        <v>8.5714285714285715E-2</v>
      </c>
      <c r="E78" s="110"/>
      <c r="F78" s="111"/>
      <c r="G78" s="110"/>
      <c r="H78" s="115"/>
      <c r="I78" s="14" t="s">
        <v>102</v>
      </c>
      <c r="J78" s="26">
        <f ca="1">(IF(B72&gt;1,(H72/(B72+2)+J77),H72/4+J77))</f>
        <v>17.5</v>
      </c>
    </row>
    <row r="79" spans="1:14" ht="15.75" customHeight="1" x14ac:dyDescent="0.3">
      <c r="A79" s="106" t="s">
        <v>135</v>
      </c>
      <c r="B79" s="107" t="s">
        <v>128</v>
      </c>
      <c r="C79" s="58">
        <v>0</v>
      </c>
      <c r="D79" s="59">
        <f ca="1">((100/H72)*C79)/100</f>
        <v>0</v>
      </c>
      <c r="E79" s="110"/>
      <c r="F79" s="111"/>
      <c r="G79" s="110"/>
      <c r="H79" s="115"/>
      <c r="I79" s="14" t="s">
        <v>143</v>
      </c>
      <c r="J79" s="26">
        <f>(IF(B72&gt;1,(H72/(B72+2)+J78),0))</f>
        <v>0</v>
      </c>
    </row>
    <row r="80" spans="1:14" ht="15" customHeight="1" x14ac:dyDescent="0.3">
      <c r="A80" s="106" t="s">
        <v>133</v>
      </c>
      <c r="B80" s="107" t="s">
        <v>130</v>
      </c>
      <c r="C80" s="58">
        <v>0</v>
      </c>
      <c r="D80" s="59">
        <f ca="1">((100/(H72))*C80)/100</f>
        <v>0</v>
      </c>
      <c r="E80" s="110"/>
      <c r="F80" s="111"/>
      <c r="G80" s="110"/>
      <c r="H80" s="115"/>
      <c r="I80" s="14" t="s">
        <v>140</v>
      </c>
      <c r="J80" s="26">
        <f>(IF(B72&gt;2,(H72/(B72+2)+J79),0))</f>
        <v>0</v>
      </c>
    </row>
    <row r="81" spans="1:10" ht="15.75" customHeight="1" x14ac:dyDescent="0.3">
      <c r="A81" s="106" t="s">
        <v>129</v>
      </c>
      <c r="B81" s="107" t="s">
        <v>129</v>
      </c>
      <c r="C81" s="58">
        <v>0</v>
      </c>
      <c r="D81" s="59">
        <f ca="1">((100/H72)*C81)/100</f>
        <v>0</v>
      </c>
      <c r="E81" s="110"/>
      <c r="F81" s="111"/>
      <c r="G81" s="110"/>
      <c r="H81" s="115"/>
      <c r="I81" s="14" t="s">
        <v>141</v>
      </c>
      <c r="J81" s="27">
        <f>(IF(B72&gt;3,(H72/(B72+2)+J80),0))</f>
        <v>0</v>
      </c>
    </row>
    <row r="82" spans="1:10" ht="15.75" customHeight="1" x14ac:dyDescent="0.3">
      <c r="A82" s="106" t="s">
        <v>136</v>
      </c>
      <c r="B82" s="107"/>
      <c r="C82" s="58">
        <v>0</v>
      </c>
      <c r="D82" s="59">
        <f ca="1">((100/H72)*C82)/100</f>
        <v>0</v>
      </c>
      <c r="E82" s="110"/>
      <c r="F82" s="111"/>
      <c r="G82" s="110"/>
      <c r="H82" s="115"/>
      <c r="I82" s="14" t="s">
        <v>142</v>
      </c>
      <c r="J82" s="26">
        <f>(IF(B72&gt;4,(H72/(B72+2)+J81),0))</f>
        <v>0</v>
      </c>
    </row>
    <row r="83" spans="1:10" ht="15.75" customHeight="1" x14ac:dyDescent="0.3">
      <c r="A83" s="106" t="s">
        <v>131</v>
      </c>
      <c r="B83" s="107" t="s">
        <v>131</v>
      </c>
      <c r="C83" s="58">
        <v>0</v>
      </c>
      <c r="D83" s="59">
        <f ca="1">((100/(H72))*C83)/100</f>
        <v>0</v>
      </c>
      <c r="E83" s="110"/>
      <c r="F83" s="111"/>
      <c r="G83" s="110"/>
      <c r="H83" s="115"/>
      <c r="I83" s="14" t="s">
        <v>144</v>
      </c>
      <c r="J83" s="26">
        <f ca="1">(IF(B72=1,(H72/(B72+3)+J78),IF(B72=0,(H72/4+J78),IF(B72&gt;1,0))))</f>
        <v>26.25</v>
      </c>
    </row>
    <row r="84" spans="1:10" ht="16.2" thickBot="1" x14ac:dyDescent="0.35">
      <c r="A84" s="117" t="s">
        <v>132</v>
      </c>
      <c r="B84" s="118"/>
      <c r="C84" s="60">
        <v>0</v>
      </c>
      <c r="D84" s="61">
        <f ca="1">((100/(H72))*C84)/100</f>
        <v>0</v>
      </c>
      <c r="E84" s="112"/>
      <c r="F84" s="113"/>
      <c r="G84" s="112"/>
      <c r="H84" s="116"/>
      <c r="I84" s="15" t="s">
        <v>103</v>
      </c>
      <c r="J84" s="28">
        <f ca="1">(IF(B72&gt;1.5,(H72/(B72+2)+J78+MAX(0,J79-J78)+MAX(0,J80-J79)+MAX(0,J81-J80)+MAX(0,J82-J81)+MAX(0,J83-J82)),IF(B72=1,(H72/(B72+3)+J83),IF(B72=0,H72/4+J83))))</f>
        <v>35</v>
      </c>
    </row>
    <row r="85" spans="1:10" ht="36" customHeight="1" x14ac:dyDescent="0.3">
      <c r="A85" s="226" t="s">
        <v>371</v>
      </c>
      <c r="B85" s="227"/>
      <c r="C85" s="228" t="str">
        <f>D62</f>
        <v>Wing 2 = 1B + LG. + UG/P1 + P2 to P4 + St/Podium Top + 1st to 19th + Service Floor + 20th to 40th Floor</v>
      </c>
      <c r="D85" s="229"/>
      <c r="E85" s="229"/>
      <c r="F85" s="229"/>
      <c r="G85" s="229"/>
      <c r="H85" s="230"/>
      <c r="I85" s="42" t="str">
        <f ca="1">IF(D98=100%,"All work Completed. Possession granted to the Building.",IF(D97=100%,"All work Completed, Waiting for OC",I86&amp;""&amp;I87&amp;""&amp;J86&amp;""&amp;J85&amp;" "&amp;J87))</f>
        <v>Excavation, Plinth Completed, RCC upto 14 Slab, Brickwork upto 8 Floor Completed</v>
      </c>
      <c r="J85" s="43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14 Slab, Brickwork upto 8 Floor</v>
      </c>
    </row>
    <row r="86" spans="1:10" x14ac:dyDescent="0.3">
      <c r="A86" s="54" t="s">
        <v>139</v>
      </c>
      <c r="B86" s="55">
        <f>IF(AND(ISNUMBER(SEARCH("1B",C85))),1,IF(AND(ISNUMBER(SEARCH("2B",C85))),2,IF(AND(ISNUMBER(SEARCH("3B",C85))),3,IF(AND(ISNUMBER(SEARCH("4B",C85))),4,IF(ISNUMBER(SEARCH("5B",C85)),5,0)))))</f>
        <v>1</v>
      </c>
      <c r="C86" s="55" t="s">
        <v>71</v>
      </c>
      <c r="D86" s="55">
        <v>1</v>
      </c>
      <c r="E86" s="55" t="s">
        <v>70</v>
      </c>
      <c r="F86" s="55">
        <v>5</v>
      </c>
      <c r="G86" s="56" t="s">
        <v>78</v>
      </c>
      <c r="H86" s="57">
        <f ca="1">--TRIM(RIGHT(SUBSTITUTE(LEFT(C85,_xlfn.AGGREGATE(16,6,FIND({0,1,2,3,4,5,6,7,8,9},C85,ROW(INDIRECT("1:"&amp;LEN(C85)))),1))," ",REPT(" ",LEN(C85))),LEN(C85)))</f>
        <v>40</v>
      </c>
      <c r="I86" s="44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45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3" customHeight="1" x14ac:dyDescent="0.3">
      <c r="A87" s="231" t="s">
        <v>88</v>
      </c>
      <c r="B87" s="174"/>
      <c r="C87" s="232" t="str">
        <f ca="1">I85</f>
        <v>Excavation, Plinth Completed, RCC upto 14 Slab, Brickwork upto 8 Floor Completed</v>
      </c>
      <c r="D87" s="232"/>
      <c r="E87" s="232"/>
      <c r="F87" s="232"/>
      <c r="G87" s="232"/>
      <c r="H87" s="233"/>
      <c r="I87" s="44" t="str">
        <f ca="1">IF(I86&lt;&gt;""," Completed","")</f>
        <v xml:space="preserve"> Completed</v>
      </c>
      <c r="J87" s="45" t="str">
        <f ca="1">IF(J85&lt;&gt;"","Completed","")</f>
        <v>Completed</v>
      </c>
    </row>
    <row r="88" spans="1:10" ht="15.75" customHeight="1" x14ac:dyDescent="0.3">
      <c r="A88" s="106" t="s">
        <v>48</v>
      </c>
      <c r="B88" s="107"/>
      <c r="C88" s="58" t="s">
        <v>137</v>
      </c>
      <c r="D88" s="58" t="s">
        <v>81</v>
      </c>
      <c r="E88" s="107" t="s">
        <v>83</v>
      </c>
      <c r="F88" s="107"/>
      <c r="G88" s="107" t="s">
        <v>82</v>
      </c>
      <c r="H88" s="225"/>
      <c r="I88" s="14" t="s">
        <v>138</v>
      </c>
      <c r="J88" s="24">
        <f ca="1">H86*25%</f>
        <v>10</v>
      </c>
    </row>
    <row r="89" spans="1:10" x14ac:dyDescent="0.3">
      <c r="A89" s="106" t="s">
        <v>126</v>
      </c>
      <c r="B89" s="107"/>
      <c r="C89" s="58">
        <f ca="1">J90</f>
        <v>40</v>
      </c>
      <c r="D89" s="59">
        <f ca="1">((100/H86)*C89)/100</f>
        <v>1</v>
      </c>
      <c r="E89" s="108">
        <f ca="1">(((C90/H86*10)+(40/(D86+F86+H86)*C91)+(7.5/(H86)*C92)+(7.5/(H86)*C93)+(10/H86*C94)+(10/H86*C95)+(5/H86*C96)+(5/H86*C97)+(5/H86*C98))/100)</f>
        <v>0.23673913043478259</v>
      </c>
      <c r="F89" s="109"/>
      <c r="G89" s="108">
        <f ca="1">((((C89/H86)*20)+((C90/H86)*25)+(30/(H86+F86+D86)*C91)+(5/H86*C92)+(5/H86*C93)+(5/H86*C94)+(5/H86*C95)+(0/H86*C96)+(0/H86*C97)+(5/H86*C98))/100)</f>
        <v>0.55130434782608695</v>
      </c>
      <c r="H89" s="114"/>
      <c r="I89" s="14" t="s">
        <v>99</v>
      </c>
      <c r="J89" s="25">
        <f ca="1">H86*50%</f>
        <v>20</v>
      </c>
    </row>
    <row r="90" spans="1:10" x14ac:dyDescent="0.3">
      <c r="A90" s="106" t="s">
        <v>49</v>
      </c>
      <c r="B90" s="107"/>
      <c r="C90" s="69">
        <f ca="1">J98</f>
        <v>40</v>
      </c>
      <c r="D90" s="59">
        <f ca="1">((100/H86)*C90)/100</f>
        <v>1</v>
      </c>
      <c r="E90" s="110"/>
      <c r="F90" s="111"/>
      <c r="G90" s="110"/>
      <c r="H90" s="115"/>
      <c r="I90" s="14" t="s">
        <v>100</v>
      </c>
      <c r="J90" s="25">
        <f ca="1">H86</f>
        <v>40</v>
      </c>
    </row>
    <row r="91" spans="1:10" ht="15.75" customHeight="1" x14ac:dyDescent="0.3">
      <c r="A91" s="106" t="s">
        <v>127</v>
      </c>
      <c r="B91" s="107"/>
      <c r="C91" s="58">
        <v>14</v>
      </c>
      <c r="D91" s="59">
        <f ca="1">((100/(D86+F86+H86))*C91)/100</f>
        <v>0.30434782608695649</v>
      </c>
      <c r="E91" s="110"/>
      <c r="F91" s="111"/>
      <c r="G91" s="110"/>
      <c r="H91" s="115"/>
      <c r="I91" s="14" t="s">
        <v>101</v>
      </c>
      <c r="J91" s="26">
        <f ca="1">(IF(B86&gt;1,(H86/(B86+2)),H86/4))</f>
        <v>10</v>
      </c>
    </row>
    <row r="92" spans="1:10" ht="15.75" customHeight="1" x14ac:dyDescent="0.3">
      <c r="A92" s="106" t="s">
        <v>134</v>
      </c>
      <c r="B92" s="107" t="s">
        <v>128</v>
      </c>
      <c r="C92" s="58">
        <f>C91-F86-D86</f>
        <v>8</v>
      </c>
      <c r="D92" s="59">
        <f ca="1">((100/H86)*C92)/100</f>
        <v>0.2</v>
      </c>
      <c r="E92" s="110"/>
      <c r="F92" s="111"/>
      <c r="G92" s="110"/>
      <c r="H92" s="115"/>
      <c r="I92" s="14" t="s">
        <v>102</v>
      </c>
      <c r="J92" s="26">
        <f ca="1">(IF(B86&gt;1,(H86/(B86+2)+J91),H86/4+J91))</f>
        <v>20</v>
      </c>
    </row>
    <row r="93" spans="1:10" ht="15.75" customHeight="1" x14ac:dyDescent="0.3">
      <c r="A93" s="106" t="s">
        <v>135</v>
      </c>
      <c r="B93" s="107" t="s">
        <v>128</v>
      </c>
      <c r="C93" s="58">
        <v>0</v>
      </c>
      <c r="D93" s="59">
        <f ca="1">((100/H86)*C93)/100</f>
        <v>0</v>
      </c>
      <c r="E93" s="110"/>
      <c r="F93" s="111"/>
      <c r="G93" s="110"/>
      <c r="H93" s="115"/>
      <c r="I93" s="14" t="s">
        <v>143</v>
      </c>
      <c r="J93" s="26">
        <f>(IF(B86&gt;1,(H86/(B86+2)+J92),0))</f>
        <v>0</v>
      </c>
    </row>
    <row r="94" spans="1:10" ht="15" customHeight="1" x14ac:dyDescent="0.3">
      <c r="A94" s="106" t="s">
        <v>133</v>
      </c>
      <c r="B94" s="107" t="s">
        <v>130</v>
      </c>
      <c r="C94" s="58">
        <v>0</v>
      </c>
      <c r="D94" s="59">
        <f ca="1">((100/(H86))*C94)/100</f>
        <v>0</v>
      </c>
      <c r="E94" s="110"/>
      <c r="F94" s="111"/>
      <c r="G94" s="110"/>
      <c r="H94" s="115"/>
      <c r="I94" s="14" t="s">
        <v>140</v>
      </c>
      <c r="J94" s="26">
        <f>(IF(B86&gt;2,(H86/(B86+2)+J93),0))</f>
        <v>0</v>
      </c>
    </row>
    <row r="95" spans="1:10" ht="15.75" customHeight="1" x14ac:dyDescent="0.3">
      <c r="A95" s="106" t="s">
        <v>129</v>
      </c>
      <c r="B95" s="107" t="s">
        <v>129</v>
      </c>
      <c r="C95" s="58">
        <v>0</v>
      </c>
      <c r="D95" s="59">
        <f ca="1">((100/H86)*C95)/100</f>
        <v>0</v>
      </c>
      <c r="E95" s="110"/>
      <c r="F95" s="111"/>
      <c r="G95" s="110"/>
      <c r="H95" s="115"/>
      <c r="I95" s="14" t="s">
        <v>141</v>
      </c>
      <c r="J95" s="27">
        <f>(IF(B86&gt;3,(H86/(B86+2)+J94),0))</f>
        <v>0</v>
      </c>
    </row>
    <row r="96" spans="1:10" ht="15.75" customHeight="1" x14ac:dyDescent="0.3">
      <c r="A96" s="106" t="s">
        <v>136</v>
      </c>
      <c r="B96" s="107"/>
      <c r="C96" s="58">
        <v>0</v>
      </c>
      <c r="D96" s="59">
        <f ca="1">((100/H86)*C96)/100</f>
        <v>0</v>
      </c>
      <c r="E96" s="110"/>
      <c r="F96" s="111"/>
      <c r="G96" s="110"/>
      <c r="H96" s="115"/>
      <c r="I96" s="14" t="s">
        <v>142</v>
      </c>
      <c r="J96" s="26">
        <f>(IF(B86&gt;4,(H86/(B86+2)+J95),0))</f>
        <v>0</v>
      </c>
    </row>
    <row r="97" spans="1:10" ht="15.75" customHeight="1" x14ac:dyDescent="0.3">
      <c r="A97" s="106" t="s">
        <v>131</v>
      </c>
      <c r="B97" s="107" t="s">
        <v>131</v>
      </c>
      <c r="C97" s="58">
        <v>0</v>
      </c>
      <c r="D97" s="59">
        <f ca="1">((100/(H86))*C97)/100</f>
        <v>0</v>
      </c>
      <c r="E97" s="110"/>
      <c r="F97" s="111"/>
      <c r="G97" s="110"/>
      <c r="H97" s="115"/>
      <c r="I97" s="14" t="s">
        <v>144</v>
      </c>
      <c r="J97" s="26">
        <f ca="1">(IF(B86=1,(H86/(B86+3)+J92),IF(B86=0,(H86/4+J92),IF(B86&gt;1,0))))</f>
        <v>30</v>
      </c>
    </row>
    <row r="98" spans="1:10" ht="16.2" thickBot="1" x14ac:dyDescent="0.35">
      <c r="A98" s="117" t="s">
        <v>132</v>
      </c>
      <c r="B98" s="118"/>
      <c r="C98" s="60">
        <v>0</v>
      </c>
      <c r="D98" s="61">
        <f ca="1">((100/(H86))*C98)/100</f>
        <v>0</v>
      </c>
      <c r="E98" s="112"/>
      <c r="F98" s="113"/>
      <c r="G98" s="112"/>
      <c r="H98" s="116"/>
      <c r="I98" s="15" t="s">
        <v>103</v>
      </c>
      <c r="J98" s="28">
        <f ca="1">(IF(B86&gt;1.5,(H86/(B86+2)+J92+MAX(0,J93-J92)+MAX(0,J94-J93)+MAX(0,J95-J94)+MAX(0,J96-J95)+MAX(0,J97-J96)),IF(B86=1,(H86/(B86+3)+J97),IF(B86=0,H86/4+J97))))</f>
        <v>40</v>
      </c>
    </row>
    <row r="99" spans="1:10" ht="36" customHeight="1" x14ac:dyDescent="0.3">
      <c r="A99" s="226" t="s">
        <v>376</v>
      </c>
      <c r="B99" s="227"/>
      <c r="C99" s="228" t="str">
        <f>D63</f>
        <v>Wing 4 = 1B + LG. + UG/P1 + P2 to P4 + St/Podium Top + 1st to 19th + Service Floor + 20th to 52nd Floor</v>
      </c>
      <c r="D99" s="229"/>
      <c r="E99" s="229"/>
      <c r="F99" s="229"/>
      <c r="G99" s="229"/>
      <c r="H99" s="230"/>
      <c r="I99" s="42" t="str">
        <f ca="1">IF(D112=100%,"All work Completed. Possession granted to the Building.",IF(D111=100%,"All work Completed, Waiting for OC",I100&amp;""&amp;I101&amp;""&amp;J100&amp;""&amp;J99&amp;" "&amp;J101))</f>
        <v xml:space="preserve">Excavation Completed, Footing work is process </v>
      </c>
      <c r="J99" s="43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x14ac:dyDescent="0.3">
      <c r="A100" s="54" t="s">
        <v>139</v>
      </c>
      <c r="B100" s="55">
        <f>IF(AND(ISNUMBER(SEARCH("1B",C99))),1,IF(AND(ISNUMBER(SEARCH("2B",C99))),2,IF(AND(ISNUMBER(SEARCH("3B",C99))),3,IF(AND(ISNUMBER(SEARCH("4B",C99))),4,IF(ISNUMBER(SEARCH("5B",C99)),5,0)))))</f>
        <v>1</v>
      </c>
      <c r="C100" s="55" t="s">
        <v>71</v>
      </c>
      <c r="D100" s="55">
        <v>1</v>
      </c>
      <c r="E100" s="55" t="s">
        <v>70</v>
      </c>
      <c r="F100" s="55">
        <v>5</v>
      </c>
      <c r="G100" s="56" t="s">
        <v>78</v>
      </c>
      <c r="H100" s="57">
        <f ca="1">--TRIM(RIGHT(SUBSTITUTE(LEFT(C99,_xlfn.AGGREGATE(16,6,FIND({0,1,2,3,4,5,6,7,8,9},C99,ROW(INDIRECT("1:"&amp;LEN(C99)))),1))," ",REPT(" ",LEN(C99))),LEN(C99)))</f>
        <v>52</v>
      </c>
      <c r="I100" s="44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</v>
      </c>
      <c r="J100" s="45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>, Footing work is process</v>
      </c>
    </row>
    <row r="101" spans="1:10" x14ac:dyDescent="0.3">
      <c r="A101" s="231" t="s">
        <v>88</v>
      </c>
      <c r="B101" s="174"/>
      <c r="C101" s="232" t="str">
        <f ca="1">I99</f>
        <v xml:space="preserve">Excavation Completed, Footing work is process </v>
      </c>
      <c r="D101" s="232"/>
      <c r="E101" s="232"/>
      <c r="F101" s="232"/>
      <c r="G101" s="232"/>
      <c r="H101" s="233"/>
      <c r="I101" s="44" t="str">
        <f ca="1">IF(I100&lt;&gt;""," Completed","")</f>
        <v xml:space="preserve"> Completed</v>
      </c>
      <c r="J101" s="45" t="str">
        <f ca="1">IF(J99&lt;&gt;"","Completed","")</f>
        <v/>
      </c>
    </row>
    <row r="102" spans="1:10" ht="15.75" customHeight="1" x14ac:dyDescent="0.3">
      <c r="A102" s="106" t="s">
        <v>48</v>
      </c>
      <c r="B102" s="107"/>
      <c r="C102" s="58" t="s">
        <v>137</v>
      </c>
      <c r="D102" s="58" t="s">
        <v>81</v>
      </c>
      <c r="E102" s="107" t="s">
        <v>83</v>
      </c>
      <c r="F102" s="107"/>
      <c r="G102" s="107" t="s">
        <v>82</v>
      </c>
      <c r="H102" s="225"/>
      <c r="I102" s="14" t="s">
        <v>138</v>
      </c>
      <c r="J102" s="24">
        <f ca="1">H100*25%</f>
        <v>13</v>
      </c>
    </row>
    <row r="103" spans="1:10" x14ac:dyDescent="0.3">
      <c r="A103" s="106" t="s">
        <v>126</v>
      </c>
      <c r="B103" s="107"/>
      <c r="C103" s="58">
        <f ca="1">J104</f>
        <v>52</v>
      </c>
      <c r="D103" s="59">
        <f ca="1">((100/H100)*C103)/100</f>
        <v>1</v>
      </c>
      <c r="E103" s="108">
        <f ca="1">(((C104/H100*10)+(40/(D100+F100+H100)*C105)+(7.5/(H100)*C106)+(7.5/(H100)*C107)+(10/H100*C108)+(10/H100*C109)+(5/H100*C110)+(5/H100*C111)+(5/H100*C112))/100)</f>
        <v>2.5000000000000001E-2</v>
      </c>
      <c r="F103" s="109"/>
      <c r="G103" s="108">
        <f ca="1">((((C103/H100)*20)+((C104/H100)*25)+(30/(H100+F100+D100)*C105)+(5/H100*C106)+(5/H100*C107)+(5/H100*C108)+(5/H100*C109)+(0/H100*C110)+(0/H100*C111)+(5/H100*C112))/100)</f>
        <v>0.26250000000000001</v>
      </c>
      <c r="H103" s="114"/>
      <c r="I103" s="14" t="s">
        <v>99</v>
      </c>
      <c r="J103" s="25">
        <f ca="1">H100*50%</f>
        <v>26</v>
      </c>
    </row>
    <row r="104" spans="1:10" x14ac:dyDescent="0.3">
      <c r="A104" s="106" t="s">
        <v>49</v>
      </c>
      <c r="B104" s="107"/>
      <c r="C104" s="69">
        <f ca="1">J105</f>
        <v>13</v>
      </c>
      <c r="D104" s="59">
        <f ca="1">((100/H100)*C104)/100</f>
        <v>0.25</v>
      </c>
      <c r="E104" s="110"/>
      <c r="F104" s="111"/>
      <c r="G104" s="110"/>
      <c r="H104" s="115"/>
      <c r="I104" s="14" t="s">
        <v>100</v>
      </c>
      <c r="J104" s="25">
        <f ca="1">H100</f>
        <v>52</v>
      </c>
    </row>
    <row r="105" spans="1:10" ht="15.75" customHeight="1" x14ac:dyDescent="0.3">
      <c r="A105" s="106" t="s">
        <v>127</v>
      </c>
      <c r="B105" s="107"/>
      <c r="C105" s="58">
        <v>0</v>
      </c>
      <c r="D105" s="59">
        <f ca="1">((100/(D100+F100+H100))*C105)/100</f>
        <v>0</v>
      </c>
      <c r="E105" s="110"/>
      <c r="F105" s="111"/>
      <c r="G105" s="110"/>
      <c r="H105" s="115"/>
      <c r="I105" s="14" t="s">
        <v>101</v>
      </c>
      <c r="J105" s="26">
        <f ca="1">(IF(B100&gt;1,(H100/(B100+2)),H100/4))</f>
        <v>13</v>
      </c>
    </row>
    <row r="106" spans="1:10" ht="15.75" customHeight="1" x14ac:dyDescent="0.3">
      <c r="A106" s="106" t="s">
        <v>134</v>
      </c>
      <c r="B106" s="107" t="s">
        <v>128</v>
      </c>
      <c r="C106" s="58">
        <v>0</v>
      </c>
      <c r="D106" s="59">
        <f ca="1">((100/H100)*C106)/100</f>
        <v>0</v>
      </c>
      <c r="E106" s="110"/>
      <c r="F106" s="111"/>
      <c r="G106" s="110"/>
      <c r="H106" s="115"/>
      <c r="I106" s="14" t="s">
        <v>102</v>
      </c>
      <c r="J106" s="26">
        <f ca="1">(IF(B100&gt;1,(H100/(B100+2)+J105),H100/4+J105))</f>
        <v>26</v>
      </c>
    </row>
    <row r="107" spans="1:10" ht="15.75" customHeight="1" x14ac:dyDescent="0.3">
      <c r="A107" s="106" t="s">
        <v>135</v>
      </c>
      <c r="B107" s="107" t="s">
        <v>128</v>
      </c>
      <c r="C107" s="58">
        <v>0</v>
      </c>
      <c r="D107" s="59">
        <f ca="1">((100/H100)*C107)/100</f>
        <v>0</v>
      </c>
      <c r="E107" s="110"/>
      <c r="F107" s="111"/>
      <c r="G107" s="110"/>
      <c r="H107" s="115"/>
      <c r="I107" s="14" t="s">
        <v>143</v>
      </c>
      <c r="J107" s="26">
        <f>(IF(B100&gt;1,(H100/(B100+2)+J106),0))</f>
        <v>0</v>
      </c>
    </row>
    <row r="108" spans="1:10" ht="15" customHeight="1" x14ac:dyDescent="0.3">
      <c r="A108" s="106" t="s">
        <v>133</v>
      </c>
      <c r="B108" s="107" t="s">
        <v>130</v>
      </c>
      <c r="C108" s="58">
        <v>0</v>
      </c>
      <c r="D108" s="59">
        <f ca="1">((100/(H100))*C108)/100</f>
        <v>0</v>
      </c>
      <c r="E108" s="110"/>
      <c r="F108" s="111"/>
      <c r="G108" s="110"/>
      <c r="H108" s="115"/>
      <c r="I108" s="14" t="s">
        <v>140</v>
      </c>
      <c r="J108" s="26">
        <f>(IF(B100&gt;2,(H100/(B100+2)+J107),0))</f>
        <v>0</v>
      </c>
    </row>
    <row r="109" spans="1:10" ht="15.75" customHeight="1" x14ac:dyDescent="0.3">
      <c r="A109" s="106" t="s">
        <v>129</v>
      </c>
      <c r="B109" s="107" t="s">
        <v>129</v>
      </c>
      <c r="C109" s="58">
        <v>0</v>
      </c>
      <c r="D109" s="59">
        <f ca="1">((100/H100)*C109)/100</f>
        <v>0</v>
      </c>
      <c r="E109" s="110"/>
      <c r="F109" s="111"/>
      <c r="G109" s="110"/>
      <c r="H109" s="115"/>
      <c r="I109" s="14" t="s">
        <v>141</v>
      </c>
      <c r="J109" s="27">
        <f>(IF(B100&gt;3,(H100/(B100+2)+J108),0))</f>
        <v>0</v>
      </c>
    </row>
    <row r="110" spans="1:10" ht="15.75" customHeight="1" x14ac:dyDescent="0.3">
      <c r="A110" s="106" t="s">
        <v>136</v>
      </c>
      <c r="B110" s="107"/>
      <c r="C110" s="58">
        <v>0</v>
      </c>
      <c r="D110" s="59">
        <f ca="1">((100/H100)*C110)/100</f>
        <v>0</v>
      </c>
      <c r="E110" s="110"/>
      <c r="F110" s="111"/>
      <c r="G110" s="110"/>
      <c r="H110" s="115"/>
      <c r="I110" s="14" t="s">
        <v>142</v>
      </c>
      <c r="J110" s="26">
        <f>(IF(B100&gt;4,(H100/(B100+2)+J109),0))</f>
        <v>0</v>
      </c>
    </row>
    <row r="111" spans="1:10" ht="15.75" customHeight="1" x14ac:dyDescent="0.3">
      <c r="A111" s="106" t="s">
        <v>131</v>
      </c>
      <c r="B111" s="107" t="s">
        <v>131</v>
      </c>
      <c r="C111" s="58">
        <v>0</v>
      </c>
      <c r="D111" s="59">
        <f ca="1">((100/(H100))*C111)/100</f>
        <v>0</v>
      </c>
      <c r="E111" s="110"/>
      <c r="F111" s="111"/>
      <c r="G111" s="110"/>
      <c r="H111" s="115"/>
      <c r="I111" s="14" t="s">
        <v>144</v>
      </c>
      <c r="J111" s="26">
        <f ca="1">(IF(B100=1,(H100/(B100+3)+J106),IF(B100=0,(H100/4+J106),IF(B100&gt;1,0))))</f>
        <v>39</v>
      </c>
    </row>
    <row r="112" spans="1:10" ht="16.2" thickBot="1" x14ac:dyDescent="0.35">
      <c r="A112" s="117" t="s">
        <v>132</v>
      </c>
      <c r="B112" s="118"/>
      <c r="C112" s="60">
        <v>0</v>
      </c>
      <c r="D112" s="61">
        <f ca="1">((100/(H100))*C112)/100</f>
        <v>0</v>
      </c>
      <c r="E112" s="112"/>
      <c r="F112" s="113"/>
      <c r="G112" s="112"/>
      <c r="H112" s="116"/>
      <c r="I112" s="15" t="s">
        <v>103</v>
      </c>
      <c r="J112" s="28">
        <f ca="1">(IF(B100&gt;1.5,(H100/(B100+2)+J106+MAX(0,J107-J106)+MAX(0,J108-J107)+MAX(0,J109-J108)+MAX(0,J110-J109)+MAX(0,J111-J110)),IF(B100=1,(H100/(B100+3)+J111),IF(B100=0,H100/4+J111))))</f>
        <v>52</v>
      </c>
    </row>
    <row r="113" spans="1:8" x14ac:dyDescent="0.3">
      <c r="A113" s="122" t="s">
        <v>153</v>
      </c>
      <c r="B113" s="122"/>
      <c r="C113" s="122"/>
      <c r="D113" s="122"/>
      <c r="E113" s="122"/>
      <c r="F113" s="120" t="s">
        <v>157</v>
      </c>
      <c r="G113" s="120"/>
      <c r="H113" s="120"/>
    </row>
    <row r="114" spans="1:8" x14ac:dyDescent="0.3">
      <c r="A114" s="123" t="s">
        <v>155</v>
      </c>
      <c r="B114" s="123"/>
      <c r="C114" s="123"/>
      <c r="D114" s="123"/>
      <c r="E114" s="123"/>
      <c r="F114" s="121">
        <v>16500</v>
      </c>
      <c r="G114" s="121"/>
      <c r="H114" s="121"/>
    </row>
    <row r="115" spans="1:8" hidden="1" x14ac:dyDescent="0.3">
      <c r="A115" s="123" t="s">
        <v>154</v>
      </c>
      <c r="B115" s="123"/>
      <c r="C115" s="123"/>
      <c r="D115" s="123"/>
      <c r="E115" s="123"/>
      <c r="F115" s="121"/>
      <c r="G115" s="121"/>
      <c r="H115" s="121"/>
    </row>
    <row r="116" spans="1:8" hidden="1" x14ac:dyDescent="0.3">
      <c r="A116" s="123" t="s">
        <v>156</v>
      </c>
      <c r="B116" s="123"/>
      <c r="C116" s="123"/>
      <c r="D116" s="123"/>
      <c r="E116" s="123"/>
      <c r="F116" s="121"/>
      <c r="G116" s="121"/>
      <c r="H116" s="121"/>
    </row>
    <row r="117" spans="1:8" s="29" customFormat="1" hidden="1" x14ac:dyDescent="0.25">
      <c r="A117" s="123" t="s">
        <v>170</v>
      </c>
      <c r="B117" s="123"/>
      <c r="C117" s="123"/>
      <c r="D117" s="123"/>
      <c r="E117" s="123"/>
      <c r="F117" s="121"/>
      <c r="G117" s="121"/>
      <c r="H117" s="121"/>
    </row>
    <row r="118" spans="1:8" s="29" customFormat="1" hidden="1" x14ac:dyDescent="0.25">
      <c r="A118" s="123" t="s">
        <v>93</v>
      </c>
      <c r="B118" s="123"/>
      <c r="C118" s="123"/>
      <c r="D118" s="123"/>
      <c r="E118" s="123"/>
      <c r="F118" s="121"/>
      <c r="G118" s="121"/>
      <c r="H118" s="121"/>
    </row>
    <row r="119" spans="1:8" s="29" customFormat="1" hidden="1" x14ac:dyDescent="0.25">
      <c r="A119" s="123" t="s">
        <v>94</v>
      </c>
      <c r="B119" s="123"/>
      <c r="C119" s="123"/>
      <c r="D119" s="123"/>
      <c r="E119" s="123"/>
      <c r="F119" s="121"/>
      <c r="G119" s="121"/>
      <c r="H119" s="121"/>
    </row>
    <row r="120" spans="1:8" s="29" customFormat="1" hidden="1" x14ac:dyDescent="0.25">
      <c r="A120" s="123" t="s">
        <v>158</v>
      </c>
      <c r="B120" s="123"/>
      <c r="C120" s="123"/>
      <c r="D120" s="123"/>
      <c r="E120" s="123"/>
      <c r="F120" s="121"/>
      <c r="G120" s="121"/>
      <c r="H120" s="121"/>
    </row>
    <row r="121" spans="1:8" s="29" customFormat="1" hidden="1" x14ac:dyDescent="0.25">
      <c r="A121" s="123" t="s">
        <v>95</v>
      </c>
      <c r="B121" s="123"/>
      <c r="C121" s="123"/>
      <c r="D121" s="123"/>
      <c r="E121" s="123"/>
      <c r="F121" s="121"/>
      <c r="G121" s="121"/>
      <c r="H121" s="121"/>
    </row>
    <row r="122" spans="1:8" s="29" customFormat="1" hidden="1" x14ac:dyDescent="0.25">
      <c r="A122" s="123" t="s">
        <v>96</v>
      </c>
      <c r="B122" s="123"/>
      <c r="C122" s="123"/>
      <c r="D122" s="123"/>
      <c r="E122" s="123"/>
      <c r="F122" s="121"/>
      <c r="G122" s="121"/>
      <c r="H122" s="121"/>
    </row>
    <row r="123" spans="1:8" s="29" customFormat="1" hidden="1" x14ac:dyDescent="0.25">
      <c r="A123" s="123" t="s">
        <v>97</v>
      </c>
      <c r="B123" s="123"/>
      <c r="C123" s="123"/>
      <c r="D123" s="123"/>
      <c r="E123" s="123"/>
      <c r="F123" s="121"/>
      <c r="G123" s="121"/>
      <c r="H123" s="121"/>
    </row>
    <row r="124" spans="1:8" s="29" customFormat="1" hidden="1" x14ac:dyDescent="0.25">
      <c r="A124" s="123" t="s">
        <v>98</v>
      </c>
      <c r="B124" s="123"/>
      <c r="C124" s="123"/>
      <c r="D124" s="123"/>
      <c r="E124" s="123"/>
      <c r="F124" s="121"/>
      <c r="G124" s="121"/>
      <c r="H124" s="121"/>
    </row>
    <row r="125" spans="1:8" x14ac:dyDescent="0.3">
      <c r="A125" s="123" t="s">
        <v>381</v>
      </c>
      <c r="B125" s="123"/>
      <c r="C125" s="123"/>
      <c r="D125" s="123"/>
      <c r="E125" s="123"/>
      <c r="F125" s="121">
        <v>100</v>
      </c>
      <c r="G125" s="121"/>
      <c r="H125" s="121"/>
    </row>
    <row r="126" spans="1:8" x14ac:dyDescent="0.3">
      <c r="A126" s="123" t="s">
        <v>50</v>
      </c>
      <c r="B126" s="123"/>
      <c r="C126" s="123"/>
      <c r="D126" s="123"/>
      <c r="E126" s="123"/>
      <c r="F126" s="178">
        <v>800000</v>
      </c>
      <c r="G126" s="178"/>
      <c r="H126" s="178"/>
    </row>
    <row r="127" spans="1:8" s="30" customFormat="1" x14ac:dyDescent="0.3">
      <c r="A127" s="157" t="s">
        <v>51</v>
      </c>
      <c r="B127" s="157"/>
      <c r="C127" s="157"/>
      <c r="D127" s="157"/>
      <c r="E127" s="157"/>
      <c r="F127" s="121">
        <f>F114*0.8</f>
        <v>13200</v>
      </c>
      <c r="G127" s="121"/>
      <c r="H127" s="121"/>
    </row>
    <row r="128" spans="1:8" s="31" customFormat="1" ht="15.75" hidden="1" customHeight="1" x14ac:dyDescent="0.3">
      <c r="A128" s="147" t="s">
        <v>73</v>
      </c>
      <c r="B128" s="147"/>
      <c r="C128" s="147"/>
      <c r="D128" s="147"/>
      <c r="E128" s="147"/>
      <c r="F128" s="147"/>
      <c r="G128" s="147"/>
      <c r="H128" s="147"/>
    </row>
    <row r="129" spans="1:14" s="31" customFormat="1" ht="15.75" hidden="1" customHeight="1" x14ac:dyDescent="0.3">
      <c r="A129" s="119" t="s">
        <v>52</v>
      </c>
      <c r="B129" s="119"/>
      <c r="C129" s="148" t="s">
        <v>76</v>
      </c>
      <c r="D129" s="148"/>
      <c r="E129" s="149" t="s">
        <v>53</v>
      </c>
      <c r="F129" s="149"/>
      <c r="G129" s="119" t="s">
        <v>54</v>
      </c>
      <c r="H129" s="119"/>
    </row>
    <row r="130" spans="1:14" s="31" customFormat="1" hidden="1" x14ac:dyDescent="0.3">
      <c r="A130" s="180"/>
      <c r="B130" s="180"/>
      <c r="C130" s="144"/>
      <c r="D130" s="144"/>
      <c r="E130" s="145"/>
      <c r="F130" s="145"/>
      <c r="G130" s="146"/>
      <c r="H130" s="146"/>
    </row>
    <row r="131" spans="1:14" s="31" customFormat="1" hidden="1" x14ac:dyDescent="0.3">
      <c r="A131" s="180"/>
      <c r="B131" s="180"/>
      <c r="C131" s="144"/>
      <c r="D131" s="144"/>
      <c r="E131" s="145"/>
      <c r="F131" s="145"/>
      <c r="G131" s="146"/>
      <c r="H131" s="146"/>
    </row>
    <row r="132" spans="1:14" s="31" customFormat="1" hidden="1" x14ac:dyDescent="0.3">
      <c r="A132" s="147" t="s">
        <v>147</v>
      </c>
      <c r="B132" s="147"/>
      <c r="C132" s="148"/>
      <c r="D132" s="148"/>
      <c r="E132" s="149"/>
      <c r="F132" s="149"/>
      <c r="G132" s="119"/>
      <c r="H132" s="119"/>
    </row>
    <row r="133" spans="1:14" s="31" customFormat="1" x14ac:dyDescent="0.3">
      <c r="A133" s="147" t="s">
        <v>69</v>
      </c>
      <c r="B133" s="147"/>
      <c r="C133" s="147"/>
      <c r="D133" s="147"/>
      <c r="E133" s="147"/>
      <c r="F133" s="147"/>
      <c r="G133" s="147"/>
      <c r="H133" s="147"/>
    </row>
    <row r="134" spans="1:14" s="31" customFormat="1" ht="15.75" customHeight="1" x14ac:dyDescent="0.3">
      <c r="A134" s="119" t="s">
        <v>52</v>
      </c>
      <c r="B134" s="119"/>
      <c r="C134" s="148" t="s">
        <v>76</v>
      </c>
      <c r="D134" s="148"/>
      <c r="E134" s="149" t="s">
        <v>53</v>
      </c>
      <c r="F134" s="149"/>
      <c r="G134" s="119" t="s">
        <v>54</v>
      </c>
      <c r="H134" s="119"/>
    </row>
    <row r="135" spans="1:14" s="77" customFormat="1" ht="15.75" customHeight="1" x14ac:dyDescent="0.3">
      <c r="A135" s="190" t="s">
        <v>378</v>
      </c>
      <c r="B135" s="191"/>
      <c r="C135" s="192">
        <f>COUNT(D152:D154)*7+COUNT(D156:D158)*7+COUNT(D160:D162)*20</f>
        <v>102</v>
      </c>
      <c r="D135" s="193"/>
      <c r="E135" s="182">
        <f>SUM(D152:D154)*7+SUM(D156:D158)*7+SUM(D160:D162)*20</f>
        <v>258719.41368</v>
      </c>
      <c r="F135" s="183"/>
      <c r="G135" s="182">
        <f>SUM(F152:F154)*7+SUM(F156:F158)*7+SUM(F160:F162)*20</f>
        <v>388983.29651999997</v>
      </c>
      <c r="H135" s="183"/>
    </row>
    <row r="136" spans="1:14" s="77" customFormat="1" x14ac:dyDescent="0.3">
      <c r="A136" s="179" t="s">
        <v>232</v>
      </c>
      <c r="B136" s="179"/>
      <c r="C136" s="223">
        <f>COUNT(D169:D170,D174)+COUNT(D176:D177,D181)+COUNT(D183:D188)*28+COUNT(D190:D192,D194:D195)*7+COUNT(D197:D198,D200:D201)+COUNT(D203,D205)+COUNT(D208:D211)+COUNT(D213)</f>
        <v>220</v>
      </c>
      <c r="D136" s="223"/>
      <c r="E136" s="224">
        <f>SUM(D169:D170,D174)+SUM(D176:D177,D181)+SUM(D183:D188)*28+SUM(D190:D192,D194:D195)*7+SUM(D197:D198,D200:D201)+SUM(D203,D205)+SUM(D208:D211)+SUM(D213)</f>
        <v>290273.21856000001</v>
      </c>
      <c r="F136" s="224"/>
      <c r="G136" s="224">
        <f>SUM(F169:F170,F174)+SUM(F176:F177,F181)+SUM(F183:F188)*28+SUM(F190:F192,F194:F195)*7+SUM(F197:F198,F200:F201)+SUM(F203,F205)+SUM(F208:F211)+SUM(F213)</f>
        <v>435058.66310399998</v>
      </c>
      <c r="H136" s="224"/>
    </row>
    <row r="137" spans="1:14" s="77" customFormat="1" x14ac:dyDescent="0.3">
      <c r="A137" s="179" t="s">
        <v>377</v>
      </c>
      <c r="B137" s="179"/>
      <c r="C137" s="223">
        <f>COUNT(D224:D225,D229:D230)+COUNT(D234:D237)*29+COUNT(D239,D241:D242)*8</f>
        <v>144</v>
      </c>
      <c r="D137" s="223"/>
      <c r="E137" s="224">
        <f>SUM(D224:D225,D229:D230)+SUM(D234:D237)*29+SUM(D239,D241:D242)*8</f>
        <v>191769.74481599993</v>
      </c>
      <c r="F137" s="224"/>
      <c r="G137" s="224">
        <f>SUM(F224:F225,F229:F230)+SUM(F234:F237)*29+SUM(F239,F241:F242)*8</f>
        <v>287394.75574991992</v>
      </c>
      <c r="H137" s="224"/>
    </row>
    <row r="138" spans="1:14" s="78" customFormat="1" x14ac:dyDescent="0.3">
      <c r="A138" s="184" t="s">
        <v>147</v>
      </c>
      <c r="B138" s="184"/>
      <c r="C138" s="185">
        <f>SUM(C135:C137)</f>
        <v>466</v>
      </c>
      <c r="D138" s="185"/>
      <c r="E138" s="186">
        <f>SUM(E135:E137)</f>
        <v>740762.37705599982</v>
      </c>
      <c r="F138" s="186"/>
      <c r="G138" s="186">
        <f>SUM(G135:G137)</f>
        <v>1111436.7153739198</v>
      </c>
      <c r="H138" s="186"/>
    </row>
    <row r="139" spans="1:14" s="30" customFormat="1" x14ac:dyDescent="0.3">
      <c r="A139" s="120" t="s">
        <v>55</v>
      </c>
      <c r="B139" s="120"/>
      <c r="C139" s="120"/>
      <c r="D139" s="120"/>
      <c r="E139" s="120"/>
      <c r="F139" s="120"/>
      <c r="G139" s="120"/>
      <c r="H139" s="120"/>
    </row>
    <row r="140" spans="1:14" x14ac:dyDescent="0.3">
      <c r="A140" s="173" t="s">
        <v>253</v>
      </c>
      <c r="B140" s="173"/>
      <c r="C140" s="173"/>
      <c r="D140" s="173"/>
      <c r="E140" s="173"/>
      <c r="F140" s="173"/>
      <c r="G140" s="173"/>
      <c r="H140" s="173"/>
    </row>
    <row r="141" spans="1:14" ht="47.25" hidden="1" customHeight="1" x14ac:dyDescent="0.3">
      <c r="A141" s="129" t="s">
        <v>118</v>
      </c>
      <c r="B141" s="129" t="s">
        <v>171</v>
      </c>
      <c r="C141" s="129" t="s">
        <v>56</v>
      </c>
      <c r="D141" s="129" t="s">
        <v>57</v>
      </c>
      <c r="E141" s="138" t="s">
        <v>152</v>
      </c>
      <c r="F141" s="39" t="s">
        <v>146</v>
      </c>
      <c r="G141" s="140" t="s">
        <v>59</v>
      </c>
      <c r="H141" s="141"/>
    </row>
    <row r="142" spans="1:14" s="33" customFormat="1" hidden="1" x14ac:dyDescent="0.3">
      <c r="A142" s="130"/>
      <c r="B142" s="130"/>
      <c r="C142" s="130"/>
      <c r="D142" s="130"/>
      <c r="E142" s="139"/>
      <c r="F142" s="13">
        <v>0.45</v>
      </c>
      <c r="G142" s="142"/>
      <c r="H142" s="143"/>
    </row>
    <row r="143" spans="1:14" s="33" customFormat="1" ht="15.75" hidden="1" customHeight="1" x14ac:dyDescent="0.3">
      <c r="A143" s="85"/>
      <c r="B143" s="187"/>
      <c r="C143" s="187"/>
      <c r="D143" s="187"/>
      <c r="E143" s="187"/>
      <c r="F143" s="187"/>
      <c r="G143" s="187"/>
      <c r="H143" s="86"/>
      <c r="I143" s="32"/>
      <c r="N143" s="32"/>
    </row>
    <row r="144" spans="1:14" ht="47.25" customHeight="1" x14ac:dyDescent="0.3">
      <c r="A144" s="140" t="s">
        <v>119</v>
      </c>
      <c r="B144" s="129" t="s">
        <v>172</v>
      </c>
      <c r="C144" s="129" t="s">
        <v>56</v>
      </c>
      <c r="D144" s="129" t="s">
        <v>57</v>
      </c>
      <c r="E144" s="138" t="s">
        <v>58</v>
      </c>
      <c r="F144" s="39" t="s">
        <v>146</v>
      </c>
      <c r="G144" s="140" t="s">
        <v>59</v>
      </c>
      <c r="H144" s="141"/>
      <c r="I144" s="32"/>
    </row>
    <row r="145" spans="1:14" s="33" customFormat="1" x14ac:dyDescent="0.3">
      <c r="A145" s="142"/>
      <c r="B145" s="130"/>
      <c r="C145" s="130"/>
      <c r="D145" s="130"/>
      <c r="E145" s="139"/>
      <c r="F145" s="13">
        <v>0.5</v>
      </c>
      <c r="G145" s="142"/>
      <c r="H145" s="143"/>
      <c r="I145" s="32"/>
    </row>
    <row r="146" spans="1:14" s="33" customFormat="1" x14ac:dyDescent="0.3">
      <c r="A146" s="198" t="s">
        <v>366</v>
      </c>
      <c r="B146" s="199"/>
      <c r="C146" s="199"/>
      <c r="D146" s="199"/>
      <c r="E146" s="199"/>
      <c r="F146" s="199"/>
      <c r="G146" s="199"/>
      <c r="H146" s="200"/>
      <c r="J146" s="32"/>
    </row>
    <row r="147" spans="1:14" s="33" customFormat="1" x14ac:dyDescent="0.3">
      <c r="A147" s="79" t="s">
        <v>243</v>
      </c>
      <c r="B147" s="80"/>
      <c r="C147" s="80"/>
      <c r="D147" s="80"/>
      <c r="E147" s="80"/>
      <c r="F147" s="80"/>
      <c r="G147" s="80"/>
      <c r="H147" s="81"/>
      <c r="J147" s="32"/>
    </row>
    <row r="148" spans="1:14" s="33" customFormat="1" ht="15.75" customHeight="1" x14ac:dyDescent="0.3">
      <c r="A148" s="79" t="s">
        <v>283</v>
      </c>
      <c r="B148" s="80"/>
      <c r="C148" s="80"/>
      <c r="D148" s="80"/>
      <c r="E148" s="80"/>
      <c r="F148" s="80"/>
      <c r="G148" s="80"/>
      <c r="H148" s="81"/>
      <c r="J148" s="32"/>
    </row>
    <row r="149" spans="1:14" s="33" customFormat="1" x14ac:dyDescent="0.3">
      <c r="A149" s="79" t="s">
        <v>284</v>
      </c>
      <c r="B149" s="80"/>
      <c r="C149" s="80"/>
      <c r="D149" s="80"/>
      <c r="E149" s="80"/>
      <c r="F149" s="80"/>
      <c r="G149" s="80"/>
      <c r="H149" s="81"/>
      <c r="J149" s="32"/>
    </row>
    <row r="150" spans="1:14" s="33" customFormat="1" x14ac:dyDescent="0.3">
      <c r="A150" s="79" t="s">
        <v>251</v>
      </c>
      <c r="B150" s="80"/>
      <c r="C150" s="80"/>
      <c r="D150" s="80"/>
      <c r="E150" s="80"/>
      <c r="F150" s="80"/>
      <c r="G150" s="80"/>
      <c r="H150" s="81"/>
      <c r="J150" s="32"/>
    </row>
    <row r="151" spans="1:14" s="33" customFormat="1" x14ac:dyDescent="0.3">
      <c r="A151" s="82" t="s">
        <v>302</v>
      </c>
      <c r="B151" s="83"/>
      <c r="C151" s="83"/>
      <c r="D151" s="83"/>
      <c r="E151" s="83"/>
      <c r="F151" s="83"/>
      <c r="G151" s="83"/>
      <c r="H151" s="84"/>
      <c r="I151" s="63"/>
      <c r="J151" s="32"/>
    </row>
    <row r="152" spans="1:14" s="33" customFormat="1" ht="26.25" customHeight="1" x14ac:dyDescent="0.3">
      <c r="A152" s="85">
        <v>1</v>
      </c>
      <c r="B152" s="86"/>
      <c r="C152" s="38" t="s">
        <v>245</v>
      </c>
      <c r="D152" s="38">
        <f>(206.77+19.24)*10.764</f>
        <v>2432.7716399999999</v>
      </c>
      <c r="E152" s="38">
        <v>0</v>
      </c>
      <c r="F152" s="38">
        <f>D152*(($F$145)+1)+(IF(E152&lt;101,E152,IF(E152&lt;201,E152/2,IF(E152&lt;=301,E152/3,E152/4))))</f>
        <v>3649.1574599999999</v>
      </c>
      <c r="G152" s="100" t="str">
        <f>A151</f>
        <v>2nd, 7th, 12th, 17th, 21st, 26th &amp; 31st Floor (Part Refuge Area)</v>
      </c>
      <c r="H152" s="101"/>
      <c r="I152" s="64"/>
      <c r="L152" s="99"/>
      <c r="M152" s="99"/>
      <c r="N152" s="32"/>
    </row>
    <row r="153" spans="1:14" s="33" customFormat="1" ht="26.25" customHeight="1" x14ac:dyDescent="0.3">
      <c r="A153" s="85">
        <v>2</v>
      </c>
      <c r="B153" s="86"/>
      <c r="C153" s="38" t="s">
        <v>245</v>
      </c>
      <c r="D153" s="38">
        <f>(206.77+19.24)*10.764</f>
        <v>2432.7716399999999</v>
      </c>
      <c r="E153" s="38">
        <v>0</v>
      </c>
      <c r="F153" s="38">
        <f>D153*(($F$145)+1)+(IF(E153&lt;101,E153,IF(E153&lt;201,E153/2,IF(E153&lt;=301,E153/3,E153/4))))</f>
        <v>3649.1574599999999</v>
      </c>
      <c r="G153" s="102"/>
      <c r="H153" s="103"/>
      <c r="I153" s="64"/>
      <c r="L153" s="99"/>
      <c r="M153" s="99"/>
      <c r="N153" s="32"/>
    </row>
    <row r="154" spans="1:14" s="33" customFormat="1" ht="26.25" customHeight="1" x14ac:dyDescent="0.3">
      <c r="A154" s="85">
        <v>3</v>
      </c>
      <c r="B154" s="86"/>
      <c r="C154" s="38" t="s">
        <v>245</v>
      </c>
      <c r="D154" s="49">
        <f>(218.97+35.94)*10.764</f>
        <v>2743.85124</v>
      </c>
      <c r="E154" s="38">
        <v>0</v>
      </c>
      <c r="F154" s="38">
        <f>D154*(($F$145)+1)+(IF(E154&lt;101,E154,IF(E154&lt;201,E154/2,IF(E154&lt;=301,E154/3,E154/4))))</f>
        <v>4115.7768599999999</v>
      </c>
      <c r="G154" s="104"/>
      <c r="H154" s="105"/>
      <c r="I154" s="64"/>
      <c r="L154" s="99"/>
      <c r="M154" s="99"/>
      <c r="N154" s="32"/>
    </row>
    <row r="155" spans="1:14" s="33" customFormat="1" x14ac:dyDescent="0.3">
      <c r="A155" s="82" t="s">
        <v>303</v>
      </c>
      <c r="B155" s="83"/>
      <c r="C155" s="83"/>
      <c r="D155" s="83"/>
      <c r="E155" s="83"/>
      <c r="F155" s="83"/>
      <c r="G155" s="83"/>
      <c r="H155" s="84"/>
      <c r="I155" s="63"/>
      <c r="J155" s="32"/>
    </row>
    <row r="156" spans="1:14" s="33" customFormat="1" ht="27" customHeight="1" x14ac:dyDescent="0.3">
      <c r="A156" s="85">
        <v>1</v>
      </c>
      <c r="B156" s="86"/>
      <c r="C156" s="38" t="s">
        <v>245</v>
      </c>
      <c r="D156" s="38">
        <f>(206.77+19.24)*10.764</f>
        <v>2432.7716399999999</v>
      </c>
      <c r="E156" s="38">
        <f>4*3*10.764</f>
        <v>129.16800000000001</v>
      </c>
      <c r="F156" s="38">
        <f>D156*(($F$145)+1)+(IF(E156&lt;101,E156,IF(E156&lt;201,E156/2,IF(E156&lt;=301,E156/3,E156/4))))</f>
        <v>3713.7414599999997</v>
      </c>
      <c r="G156" s="100" t="str">
        <f>A155</f>
        <v>3rd, 8th, 13th, 18th, 22nd, 27th &amp; 32nd Floor (Part Terrace Area)</v>
      </c>
      <c r="H156" s="101"/>
      <c r="I156" s="64"/>
      <c r="L156" s="99"/>
      <c r="M156" s="99"/>
      <c r="N156" s="32"/>
    </row>
    <row r="157" spans="1:14" s="33" customFormat="1" ht="27" customHeight="1" x14ac:dyDescent="0.3">
      <c r="A157" s="85">
        <v>2</v>
      </c>
      <c r="B157" s="86"/>
      <c r="C157" s="38" t="s">
        <v>245</v>
      </c>
      <c r="D157" s="38">
        <f>(206.77+19.24)*10.764</f>
        <v>2432.7716399999999</v>
      </c>
      <c r="E157" s="38">
        <f>4*3*10.764</f>
        <v>129.16800000000001</v>
      </c>
      <c r="F157" s="38">
        <f>D157*(($F$145)+1)+(IF(E157&lt;101,E157,IF(E157&lt;201,E157/2,IF(E157&lt;=301,E157/3,E157/4))))</f>
        <v>3713.7414599999997</v>
      </c>
      <c r="G157" s="102"/>
      <c r="H157" s="103"/>
      <c r="I157" s="64"/>
      <c r="L157" s="99"/>
      <c r="M157" s="99"/>
      <c r="N157" s="32"/>
    </row>
    <row r="158" spans="1:14" s="33" customFormat="1" ht="27" customHeight="1" x14ac:dyDescent="0.3">
      <c r="A158" s="85">
        <v>3</v>
      </c>
      <c r="B158" s="86"/>
      <c r="C158" s="38" t="s">
        <v>245</v>
      </c>
      <c r="D158" s="49">
        <f>(218.97+35.94)*10.764</f>
        <v>2743.85124</v>
      </c>
      <c r="E158" s="38">
        <v>0</v>
      </c>
      <c r="F158" s="38">
        <f>D158*(($F$145)+1)+(IF(E158&lt;101,E158,IF(E158&lt;201,E158/2,IF(E158&lt;=301,E158/3,E158/4))))</f>
        <v>4115.7768599999999</v>
      </c>
      <c r="G158" s="104"/>
      <c r="H158" s="105"/>
      <c r="I158" s="64"/>
      <c r="L158" s="99"/>
      <c r="M158" s="99"/>
      <c r="N158" s="32"/>
    </row>
    <row r="159" spans="1:14" s="33" customFormat="1" ht="37.5" customHeight="1" x14ac:dyDescent="0.3">
      <c r="A159" s="82" t="s">
        <v>304</v>
      </c>
      <c r="B159" s="83"/>
      <c r="C159" s="83"/>
      <c r="D159" s="83"/>
      <c r="E159" s="83"/>
      <c r="F159" s="83"/>
      <c r="G159" s="83"/>
      <c r="H159" s="84"/>
      <c r="I159" s="63"/>
      <c r="J159" s="32"/>
    </row>
    <row r="160" spans="1:14" s="33" customFormat="1" ht="29.25" customHeight="1" x14ac:dyDescent="0.3">
      <c r="A160" s="85">
        <v>1</v>
      </c>
      <c r="B160" s="86"/>
      <c r="C160" s="38" t="s">
        <v>245</v>
      </c>
      <c r="D160" s="38">
        <f>(206.77+19.24)*10.764</f>
        <v>2432.7716399999999</v>
      </c>
      <c r="E160" s="38">
        <v>0</v>
      </c>
      <c r="F160" s="38">
        <f t="shared" ref="F160:F162" si="0">D160*(($F$145)+1)+(IF(E160&lt;101,E160,IF(E160&lt;201,E160/2,IF(E160&lt;=301,E160/3,E160/4))))</f>
        <v>3649.1574599999999</v>
      </c>
      <c r="G160" s="100" t="str">
        <f>A159</f>
        <v>4th to 6th, 9th to 11th, 14th to 16th, 19th to 20th, 23rd to 25th, 28th to 30th &amp; 33rd to 35th Floor</v>
      </c>
      <c r="H160" s="101"/>
      <c r="I160" s="64"/>
      <c r="L160" s="99"/>
      <c r="M160" s="99"/>
      <c r="N160" s="32"/>
    </row>
    <row r="161" spans="1:14" s="33" customFormat="1" ht="29.25" customHeight="1" x14ac:dyDescent="0.3">
      <c r="A161" s="85">
        <v>2</v>
      </c>
      <c r="B161" s="86"/>
      <c r="C161" s="38" t="s">
        <v>245</v>
      </c>
      <c r="D161" s="38">
        <f>(206.77+19.24)*10.764</f>
        <v>2432.7716399999999</v>
      </c>
      <c r="E161" s="38">
        <v>0</v>
      </c>
      <c r="F161" s="38">
        <f t="shared" si="0"/>
        <v>3649.1574599999999</v>
      </c>
      <c r="G161" s="102"/>
      <c r="H161" s="103"/>
      <c r="I161" s="64"/>
      <c r="L161" s="99"/>
      <c r="M161" s="99"/>
      <c r="N161" s="32"/>
    </row>
    <row r="162" spans="1:14" s="33" customFormat="1" ht="29.25" customHeight="1" x14ac:dyDescent="0.3">
      <c r="A162" s="85">
        <v>3</v>
      </c>
      <c r="B162" s="86"/>
      <c r="C162" s="38" t="s">
        <v>245</v>
      </c>
      <c r="D162" s="49">
        <f>(218.97+35.94)*10.764</f>
        <v>2743.85124</v>
      </c>
      <c r="E162" s="38">
        <v>0</v>
      </c>
      <c r="F162" s="38">
        <f t="shared" si="0"/>
        <v>4115.7768599999999</v>
      </c>
      <c r="G162" s="104"/>
      <c r="H162" s="105"/>
      <c r="I162" s="64">
        <f>(3.65*5+3.65*3.38+3.05*3.03+3.05*3.5+3.05*3.65+4.26*3.82+4.27*3.58+1.38*2.44+1.77*2.41+1*1.52+2.44*1.53+2.44*1.52+1.95*0.95+1.39*0.57+3.04*1.83+3.2*1.35+1*1.83+1.45*1.38+3.65*1.53)</f>
        <v>131.73419999999999</v>
      </c>
      <c r="L162" s="99"/>
      <c r="M162" s="99"/>
      <c r="N162" s="32"/>
    </row>
    <row r="163" spans="1:14" s="33" customFormat="1" x14ac:dyDescent="0.3">
      <c r="A163" s="198" t="s">
        <v>367</v>
      </c>
      <c r="B163" s="199"/>
      <c r="C163" s="199"/>
      <c r="D163" s="199"/>
      <c r="E163" s="199"/>
      <c r="F163" s="199"/>
      <c r="G163" s="199"/>
      <c r="H163" s="200"/>
      <c r="J163" s="32"/>
    </row>
    <row r="164" spans="1:14" s="33" customFormat="1" x14ac:dyDescent="0.3">
      <c r="A164" s="79" t="s">
        <v>243</v>
      </c>
      <c r="B164" s="80"/>
      <c r="C164" s="80"/>
      <c r="D164" s="80"/>
      <c r="E164" s="80"/>
      <c r="F164" s="80"/>
      <c r="G164" s="80"/>
      <c r="H164" s="81"/>
      <c r="J164" s="32"/>
    </row>
    <row r="165" spans="1:14" s="33" customFormat="1" ht="15.75" customHeight="1" x14ac:dyDescent="0.3">
      <c r="A165" s="79" t="s">
        <v>283</v>
      </c>
      <c r="B165" s="80"/>
      <c r="C165" s="80"/>
      <c r="D165" s="80"/>
      <c r="E165" s="80"/>
      <c r="F165" s="80"/>
      <c r="G165" s="80"/>
      <c r="H165" s="81"/>
      <c r="J165" s="32"/>
    </row>
    <row r="166" spans="1:14" s="33" customFormat="1" x14ac:dyDescent="0.3">
      <c r="A166" s="79" t="s">
        <v>284</v>
      </c>
      <c r="B166" s="80"/>
      <c r="C166" s="80"/>
      <c r="D166" s="80"/>
      <c r="E166" s="80"/>
      <c r="F166" s="80"/>
      <c r="G166" s="80"/>
      <c r="H166" s="81"/>
      <c r="J166" s="32"/>
    </row>
    <row r="167" spans="1:14" s="33" customFormat="1" x14ac:dyDescent="0.3">
      <c r="A167" s="79" t="s">
        <v>251</v>
      </c>
      <c r="B167" s="80"/>
      <c r="C167" s="80"/>
      <c r="D167" s="80"/>
      <c r="E167" s="80"/>
      <c r="F167" s="80"/>
      <c r="G167" s="80"/>
      <c r="H167" s="81"/>
      <c r="J167" s="32"/>
    </row>
    <row r="168" spans="1:14" s="33" customFormat="1" ht="15.75" customHeight="1" x14ac:dyDescent="0.3">
      <c r="A168" s="82" t="s">
        <v>279</v>
      </c>
      <c r="B168" s="83"/>
      <c r="C168" s="83"/>
      <c r="D168" s="83"/>
      <c r="E168" s="83"/>
      <c r="F168" s="83"/>
      <c r="G168" s="83"/>
      <c r="H168" s="84"/>
      <c r="J168" s="32"/>
    </row>
    <row r="169" spans="1:14" s="33" customFormat="1" ht="15.75" customHeight="1" x14ac:dyDescent="0.3">
      <c r="A169" s="85" t="s">
        <v>285</v>
      </c>
      <c r="B169" s="86"/>
      <c r="C169" s="38" t="s">
        <v>244</v>
      </c>
      <c r="D169" s="38">
        <f>(86.36+5.68)*10.764</f>
        <v>990.7185599999998</v>
      </c>
      <c r="E169" s="38">
        <v>0</v>
      </c>
      <c r="F169" s="38">
        <f>(D169+E169)*(($F$142)+1)</f>
        <v>1436.5419119999997</v>
      </c>
      <c r="G169" s="87" t="str">
        <f>A168</f>
        <v>Stilt/ 5th Podium Floor For Residential ( Part Multipurpose Hall &amp; Gymnassium)</v>
      </c>
      <c r="H169" s="88"/>
      <c r="I169" s="64">
        <f>(1.35*1.83+3.2*5.64+2.54*2.82+3.05*3.35+3.3*4.55+3.05*3.75+2.29*1.46+2.44*1.53+2.14*1.38+2.29*1.03+4.04*1.05+1.85*1.05+3.2*1.08)</f>
        <v>86.380300000000005</v>
      </c>
      <c r="J169" s="50">
        <f>1.35*1.83+3.2*5.64+2.54*2.82+3.05*3.35+3.05*3.75+3.3*4.55+2.29*1.46+2.44*1.53+4.04*1.05+1.85*1.05+2.14*1.46+2.29*1.03</f>
        <v>83.095499999999987</v>
      </c>
      <c r="L169" s="52"/>
      <c r="M169" s="52"/>
      <c r="N169" s="32"/>
    </row>
    <row r="170" spans="1:14" s="33" customFormat="1" ht="15.75" customHeight="1" x14ac:dyDescent="0.3">
      <c r="A170" s="85" t="s">
        <v>286</v>
      </c>
      <c r="B170" s="86"/>
      <c r="C170" s="38" t="s">
        <v>244</v>
      </c>
      <c r="D170" s="38">
        <f>(86.36+5.68)*10.764</f>
        <v>990.7185599999998</v>
      </c>
      <c r="E170" s="38">
        <v>0</v>
      </c>
      <c r="F170" s="38">
        <f t="shared" ref="F170" si="1">(D170+E170)*(($F$142)+1)</f>
        <v>1436.5419119999997</v>
      </c>
      <c r="G170" s="89"/>
      <c r="H170" s="90"/>
      <c r="I170" s="64">
        <f>(1.35*1.83+3.2*5.64+2.54*2.82+3.05*3.35+3.3*4.55+3.05*3.75+2.29*1.46+2.44*1.53+2.14*1.38+2.29*1.03+4.04*1.05+1.85*1.05+3.2*1.08)</f>
        <v>86.380300000000005</v>
      </c>
      <c r="L170" s="52"/>
      <c r="M170" s="52"/>
      <c r="N170" s="32"/>
    </row>
    <row r="171" spans="1:14" s="33" customFormat="1" ht="15.75" customHeight="1" x14ac:dyDescent="0.3">
      <c r="A171" s="85" t="s">
        <v>287</v>
      </c>
      <c r="B171" s="86"/>
      <c r="C171" s="85" t="s">
        <v>246</v>
      </c>
      <c r="D171" s="187"/>
      <c r="E171" s="187"/>
      <c r="F171" s="86"/>
      <c r="G171" s="89"/>
      <c r="H171" s="90"/>
      <c r="I171" s="64"/>
      <c r="L171" s="52"/>
      <c r="M171" s="52"/>
      <c r="N171" s="32"/>
    </row>
    <row r="172" spans="1:14" s="33" customFormat="1" ht="15.75" customHeight="1" x14ac:dyDescent="0.3">
      <c r="A172" s="85" t="s">
        <v>288</v>
      </c>
      <c r="B172" s="86"/>
      <c r="C172" s="87" t="s">
        <v>247</v>
      </c>
      <c r="D172" s="150"/>
      <c r="E172" s="150"/>
      <c r="F172" s="88"/>
      <c r="G172" s="89"/>
      <c r="H172" s="90"/>
      <c r="I172" s="64"/>
      <c r="L172" s="52"/>
      <c r="M172" s="52"/>
      <c r="N172" s="32"/>
    </row>
    <row r="173" spans="1:14" s="33" customFormat="1" ht="15.75" customHeight="1" x14ac:dyDescent="0.3">
      <c r="A173" s="85" t="s">
        <v>289</v>
      </c>
      <c r="B173" s="86"/>
      <c r="C173" s="91"/>
      <c r="D173" s="151"/>
      <c r="E173" s="151"/>
      <c r="F173" s="92"/>
      <c r="G173" s="89"/>
      <c r="H173" s="90"/>
      <c r="I173" s="64"/>
      <c r="L173" s="52"/>
      <c r="M173" s="52"/>
      <c r="N173" s="32"/>
    </row>
    <row r="174" spans="1:14" s="33" customFormat="1" ht="15.75" customHeight="1" x14ac:dyDescent="0.3">
      <c r="A174" s="85" t="s">
        <v>290</v>
      </c>
      <c r="B174" s="86"/>
      <c r="C174" s="38" t="s">
        <v>245</v>
      </c>
      <c r="D174" s="38">
        <f>(133.61+8.55)*10.764</f>
        <v>1530.2102400000001</v>
      </c>
      <c r="E174" s="38">
        <v>0</v>
      </c>
      <c r="F174" s="38">
        <f t="shared" ref="F174" si="2">(D174+E174)*(($F$142)+1)</f>
        <v>2218.8048480000002</v>
      </c>
      <c r="G174" s="91"/>
      <c r="H174" s="92"/>
      <c r="I174" s="64">
        <f>(3.65*6.18+3.65*2.2+3.05*3.03+3.05*3.65+3.05*3.5+4.26*3.82+4.27*3.58+1.38*2.44+1.77*2.41+1*1.52+2.44*1.53+2.44*1.52+1.95*0.95+1.39*0.57+3.04*1.83+3.2*1.35+1*1.83+1.45*1.38+3.9*1.53)</f>
        <v>132.11669999999998</v>
      </c>
      <c r="L174" s="52"/>
      <c r="M174" s="52"/>
      <c r="N174" s="32"/>
    </row>
    <row r="175" spans="1:14" s="33" customFormat="1" ht="15.75" customHeight="1" x14ac:dyDescent="0.3">
      <c r="A175" s="79" t="s">
        <v>252</v>
      </c>
      <c r="B175" s="80"/>
      <c r="C175" s="80"/>
      <c r="D175" s="80"/>
      <c r="E175" s="80"/>
      <c r="F175" s="80"/>
      <c r="G175" s="80"/>
      <c r="H175" s="81"/>
      <c r="I175" s="63"/>
      <c r="J175" s="32"/>
    </row>
    <row r="176" spans="1:14" s="33" customFormat="1" ht="15.75" customHeight="1" x14ac:dyDescent="0.3">
      <c r="A176" s="97">
        <v>101</v>
      </c>
      <c r="B176" s="98"/>
      <c r="C176" s="49" t="s">
        <v>244</v>
      </c>
      <c r="D176" s="38">
        <f>(86.36+5.68)*10.764</f>
        <v>990.7185599999998</v>
      </c>
      <c r="E176" s="49">
        <v>0</v>
      </c>
      <c r="F176" s="49">
        <f>(D176+E176)*(($F$142)+1)</f>
        <v>1436.5419119999997</v>
      </c>
      <c r="G176" s="100" t="str">
        <f>A175</f>
        <v>1st Floor For Residenital</v>
      </c>
      <c r="H176" s="101"/>
      <c r="I176" s="64"/>
      <c r="L176" s="52"/>
      <c r="M176" s="52"/>
      <c r="N176" s="32"/>
    </row>
    <row r="177" spans="1:14" s="33" customFormat="1" ht="15.75" customHeight="1" x14ac:dyDescent="0.3">
      <c r="A177" s="97">
        <f t="shared" ref="A177:A181" si="3">A176+1</f>
        <v>102</v>
      </c>
      <c r="B177" s="98"/>
      <c r="C177" s="49" t="s">
        <v>244</v>
      </c>
      <c r="D177" s="38">
        <f>(86.36+5.68)*10.764</f>
        <v>990.7185599999998</v>
      </c>
      <c r="E177" s="49">
        <v>0</v>
      </c>
      <c r="F177" s="49">
        <f t="shared" ref="F177:F181" si="4">(D177+E177)*(($F$142)+1)</f>
        <v>1436.5419119999997</v>
      </c>
      <c r="G177" s="102"/>
      <c r="H177" s="103"/>
      <c r="I177" s="64"/>
      <c r="L177" s="52"/>
      <c r="M177" s="52"/>
      <c r="N177" s="32"/>
    </row>
    <row r="178" spans="1:14" s="33" customFormat="1" ht="15.75" customHeight="1" x14ac:dyDescent="0.3">
      <c r="A178" s="97">
        <f t="shared" si="3"/>
        <v>103</v>
      </c>
      <c r="B178" s="98"/>
      <c r="C178" s="97" t="s">
        <v>254</v>
      </c>
      <c r="D178" s="131"/>
      <c r="E178" s="131"/>
      <c r="F178" s="98"/>
      <c r="G178" s="102"/>
      <c r="H178" s="103"/>
      <c r="I178" s="64"/>
      <c r="L178" s="52"/>
      <c r="M178" s="52"/>
      <c r="N178" s="32"/>
    </row>
    <row r="179" spans="1:14" s="33" customFormat="1" ht="15.75" customHeight="1" x14ac:dyDescent="0.3">
      <c r="A179" s="97">
        <f t="shared" si="3"/>
        <v>104</v>
      </c>
      <c r="B179" s="98"/>
      <c r="C179" s="100" t="s">
        <v>255</v>
      </c>
      <c r="D179" s="132"/>
      <c r="E179" s="132"/>
      <c r="F179" s="101"/>
      <c r="G179" s="102"/>
      <c r="H179" s="103"/>
      <c r="I179" s="64"/>
      <c r="L179" s="52"/>
      <c r="M179" s="52"/>
      <c r="N179" s="32"/>
    </row>
    <row r="180" spans="1:14" s="33" customFormat="1" ht="15.75" customHeight="1" x14ac:dyDescent="0.3">
      <c r="A180" s="97">
        <f t="shared" si="3"/>
        <v>105</v>
      </c>
      <c r="B180" s="98"/>
      <c r="C180" s="104"/>
      <c r="D180" s="133"/>
      <c r="E180" s="133"/>
      <c r="F180" s="105"/>
      <c r="G180" s="102"/>
      <c r="H180" s="103"/>
      <c r="I180" s="64"/>
      <c r="L180" s="52"/>
      <c r="M180" s="52"/>
      <c r="N180" s="32"/>
    </row>
    <row r="181" spans="1:14" s="33" customFormat="1" ht="15.75" customHeight="1" x14ac:dyDescent="0.3">
      <c r="A181" s="97">
        <f t="shared" si="3"/>
        <v>106</v>
      </c>
      <c r="B181" s="98"/>
      <c r="C181" s="49" t="s">
        <v>245</v>
      </c>
      <c r="D181" s="38">
        <f>(133.61+8.55)*10.764</f>
        <v>1530.2102400000001</v>
      </c>
      <c r="E181" s="49">
        <v>0</v>
      </c>
      <c r="F181" s="49">
        <f t="shared" si="4"/>
        <v>2218.8048480000002</v>
      </c>
      <c r="G181" s="104"/>
      <c r="H181" s="105"/>
      <c r="I181" s="64"/>
      <c r="L181" s="52"/>
      <c r="M181" s="52"/>
      <c r="N181" s="32"/>
    </row>
    <row r="182" spans="1:14" s="33" customFormat="1" ht="37.5" customHeight="1" x14ac:dyDescent="0.3">
      <c r="A182" s="82" t="s">
        <v>248</v>
      </c>
      <c r="B182" s="83"/>
      <c r="C182" s="83"/>
      <c r="D182" s="83"/>
      <c r="E182" s="83"/>
      <c r="F182" s="83"/>
      <c r="G182" s="83"/>
      <c r="H182" s="84"/>
      <c r="I182" s="63"/>
      <c r="J182" s="32"/>
    </row>
    <row r="183" spans="1:14" s="33" customFormat="1" ht="15.75" customHeight="1" x14ac:dyDescent="0.3">
      <c r="A183" s="85" t="s">
        <v>297</v>
      </c>
      <c r="B183" s="86"/>
      <c r="C183" s="38" t="s">
        <v>244</v>
      </c>
      <c r="D183" s="38">
        <f>(86.36+5.68)*10.764</f>
        <v>990.7185599999998</v>
      </c>
      <c r="E183" s="38">
        <v>0</v>
      </c>
      <c r="F183" s="38">
        <f t="shared" ref="F183:F188" si="5">D183*(($F$145)+1)+(IF(E183&lt;101,E183,IF(E183&lt;201,E183/2,IF(E183&lt;=301,E183/3,E183/4))))</f>
        <v>1486.0778399999997</v>
      </c>
      <c r="G183" s="87" t="str">
        <f>A182</f>
        <v>2nd, 4th to 7th, 9th to 12th, 14th to 17th, 19th to 21st, 23rd to 26th, 28th to 31st &amp; 33rd to 36th Floor</v>
      </c>
      <c r="H183" s="88"/>
      <c r="I183" s="64"/>
      <c r="L183" s="99"/>
      <c r="M183" s="99"/>
      <c r="N183" s="32"/>
    </row>
    <row r="184" spans="1:14" s="33" customFormat="1" ht="15.75" customHeight="1" x14ac:dyDescent="0.3">
      <c r="A184" s="85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,..,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202 ,.., 3602</v>
      </c>
      <c r="B184" s="86"/>
      <c r="C184" s="38" t="s">
        <v>244</v>
      </c>
      <c r="D184" s="38">
        <f>(86.36+5.68)*10.764</f>
        <v>990.7185599999998</v>
      </c>
      <c r="E184" s="38">
        <v>0</v>
      </c>
      <c r="F184" s="38">
        <f t="shared" si="5"/>
        <v>1486.0778399999997</v>
      </c>
      <c r="G184" s="89"/>
      <c r="H184" s="90"/>
      <c r="I184" s="64"/>
      <c r="L184" s="99"/>
      <c r="M184" s="99"/>
      <c r="N184" s="32"/>
    </row>
    <row r="185" spans="1:14" s="33" customFormat="1" ht="15.75" customHeight="1" x14ac:dyDescent="0.3">
      <c r="A185" s="85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,..,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203 ,.., 3603</v>
      </c>
      <c r="B185" s="86"/>
      <c r="C185" s="38" t="s">
        <v>245</v>
      </c>
      <c r="D185" s="49">
        <f>(133.61+8.55)*10.764</f>
        <v>1530.2102400000001</v>
      </c>
      <c r="E185" s="38">
        <v>0</v>
      </c>
      <c r="F185" s="38">
        <f t="shared" si="5"/>
        <v>2295.3153600000001</v>
      </c>
      <c r="G185" s="89"/>
      <c r="H185" s="90"/>
      <c r="I185" s="64">
        <f>(3.65*5+3.65*3.38+3.05*3.03+3.05*3.5+3.05*3.65+4.26*3.82+4.27*3.58+1.38*2.44+1.77*2.41+1*1.52+2.44*1.53+2.44*1.52+1.95*0.95+1.39*0.57+3.04*1.83+3.2*1.35+1*1.83+1.45*1.38+3.65*1.53)</f>
        <v>131.73419999999999</v>
      </c>
      <c r="L185" s="99"/>
      <c r="M185" s="99"/>
      <c r="N185" s="32"/>
    </row>
    <row r="186" spans="1:14" s="33" customFormat="1" ht="15.75" customHeight="1" x14ac:dyDescent="0.3">
      <c r="A186" s="85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204 ,.., 3604</v>
      </c>
      <c r="B186" s="86"/>
      <c r="C186" s="38" t="s">
        <v>244</v>
      </c>
      <c r="D186" s="38">
        <f>(102.08+7.3)*10.764</f>
        <v>1177.3663199999999</v>
      </c>
      <c r="E186" s="38">
        <v>0</v>
      </c>
      <c r="F186" s="38">
        <f t="shared" si="5"/>
        <v>1766.0494799999997</v>
      </c>
      <c r="G186" s="89"/>
      <c r="H186" s="90"/>
      <c r="I186" s="64">
        <f>(5.14*5.49+3.66*2.44+3.45*3.97+3.05*3.35+3.35*4.55+2.4*1.52+2.14*1.52+2.29*1.38+1*2.44+1.5*2.59+0.76*1.05+2.44*1.05+1.01*1.52+1.07*4.58)</f>
        <v>102.48729999999999</v>
      </c>
      <c r="L186" s="99"/>
      <c r="M186" s="99"/>
      <c r="N186" s="32"/>
    </row>
    <row r="187" spans="1:14" s="33" customFormat="1" ht="15.75" customHeight="1" x14ac:dyDescent="0.3">
      <c r="A187" s="85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205 ,.., 3605</v>
      </c>
      <c r="B187" s="86"/>
      <c r="C187" s="38" t="s">
        <v>244</v>
      </c>
      <c r="D187" s="38">
        <f>(102.08+7.3)*10.764</f>
        <v>1177.3663199999999</v>
      </c>
      <c r="E187" s="38">
        <v>0</v>
      </c>
      <c r="F187" s="38">
        <f t="shared" si="5"/>
        <v>1766.0494799999997</v>
      </c>
      <c r="G187" s="89"/>
      <c r="H187" s="90"/>
      <c r="I187" s="64">
        <f>(5.14*5.49+3.66*2.44+3.45*3.97+3.05*3.35+3.35*4.55+2.4*1.52+2.14*1.52+2.29*1.38+1*2.44+1.5*2.59+0.76*1.05+2.44*1.05+1.01*1.52+1.07*4.58)</f>
        <v>102.48729999999999</v>
      </c>
      <c r="L187" s="99"/>
      <c r="M187" s="99"/>
      <c r="N187" s="32"/>
    </row>
    <row r="188" spans="1:14" s="33" customFormat="1" ht="15.75" customHeight="1" x14ac:dyDescent="0.3">
      <c r="A188" s="85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206 ,.., 3606</v>
      </c>
      <c r="B188" s="86"/>
      <c r="C188" s="38" t="s">
        <v>245</v>
      </c>
      <c r="D188" s="49">
        <f>(133.61+8.55)*10.764</f>
        <v>1530.2102400000001</v>
      </c>
      <c r="E188" s="38">
        <v>0</v>
      </c>
      <c r="F188" s="38">
        <f t="shared" si="5"/>
        <v>2295.3153600000001</v>
      </c>
      <c r="G188" s="91"/>
      <c r="H188" s="92"/>
      <c r="I188" s="64"/>
      <c r="L188" s="99"/>
      <c r="M188" s="99"/>
      <c r="N188" s="32"/>
    </row>
    <row r="189" spans="1:14" s="33" customFormat="1" x14ac:dyDescent="0.3">
      <c r="A189" s="82" t="s">
        <v>249</v>
      </c>
      <c r="B189" s="83"/>
      <c r="C189" s="83"/>
      <c r="D189" s="83"/>
      <c r="E189" s="83"/>
      <c r="F189" s="83"/>
      <c r="G189" s="83"/>
      <c r="H189" s="84"/>
      <c r="I189" s="63"/>
      <c r="J189" s="32"/>
    </row>
    <row r="190" spans="1:14" s="33" customFormat="1" ht="15.75" customHeight="1" x14ac:dyDescent="0.3">
      <c r="A190" s="85" t="s">
        <v>291</v>
      </c>
      <c r="B190" s="86"/>
      <c r="C190" s="38" t="s">
        <v>244</v>
      </c>
      <c r="D190" s="38">
        <f>(86.36+5.68)*10.764</f>
        <v>990.7185599999998</v>
      </c>
      <c r="E190" s="38">
        <v>0</v>
      </c>
      <c r="F190" s="38">
        <f>D190*(($F$145)+1)+(IF(E190&lt;101,E190,IF(E190&lt;201,E190/2,IF(E190&lt;=301,E190/3,E190/4))))</f>
        <v>1486.0778399999997</v>
      </c>
      <c r="G190" s="87" t="str">
        <f>A189</f>
        <v>3rd, 8th, 13th, 18th, 22nd, 27th &amp; 32nd Floor (Part Refuge Area)</v>
      </c>
      <c r="H190" s="88"/>
      <c r="I190" s="64"/>
      <c r="L190" s="99"/>
      <c r="M190" s="99"/>
      <c r="N190" s="32"/>
    </row>
    <row r="191" spans="1:14" s="33" customFormat="1" ht="15.75" customHeight="1" x14ac:dyDescent="0.3">
      <c r="A191" s="85" t="s">
        <v>292</v>
      </c>
      <c r="B191" s="86"/>
      <c r="C191" s="38" t="s">
        <v>244</v>
      </c>
      <c r="D191" s="38">
        <f>(86.36+5.68)*10.764</f>
        <v>990.7185599999998</v>
      </c>
      <c r="E191" s="38">
        <v>0</v>
      </c>
      <c r="F191" s="38">
        <f>D191*(($F$145)+1)+(IF(E191&lt;101,E191,IF(E191&lt;201,E191/2,IF(E191&lt;=301,E191/3,E191/4))))</f>
        <v>1486.0778399999997</v>
      </c>
      <c r="G191" s="89"/>
      <c r="H191" s="90"/>
      <c r="I191" s="64"/>
      <c r="L191" s="99"/>
      <c r="M191" s="99"/>
      <c r="N191" s="32"/>
    </row>
    <row r="192" spans="1:14" s="33" customFormat="1" ht="15.75" customHeight="1" x14ac:dyDescent="0.3">
      <c r="A192" s="85" t="s">
        <v>293</v>
      </c>
      <c r="B192" s="86"/>
      <c r="C192" s="38" t="s">
        <v>245</v>
      </c>
      <c r="D192" s="49">
        <f>(133.61+8.55)*10.764</f>
        <v>1530.2102400000001</v>
      </c>
      <c r="E192" s="38">
        <v>0</v>
      </c>
      <c r="F192" s="38">
        <f>D192*(($F$145)+1)+(IF(E192&lt;101,E192,IF(E192&lt;201,E192/2,IF(E192&lt;=301,E192/3,E192/4))))</f>
        <v>2295.3153600000001</v>
      </c>
      <c r="G192" s="89"/>
      <c r="H192" s="90"/>
      <c r="I192" s="64"/>
      <c r="L192" s="99"/>
      <c r="M192" s="99"/>
      <c r="N192" s="32"/>
    </row>
    <row r="193" spans="1:14" s="33" customFormat="1" ht="15.75" customHeight="1" x14ac:dyDescent="0.3">
      <c r="A193" s="85" t="s">
        <v>294</v>
      </c>
      <c r="B193" s="86"/>
      <c r="C193" s="85" t="s">
        <v>250</v>
      </c>
      <c r="D193" s="187"/>
      <c r="E193" s="187"/>
      <c r="F193" s="86"/>
      <c r="G193" s="89"/>
      <c r="H193" s="90"/>
      <c r="I193" s="64"/>
      <c r="L193" s="99"/>
      <c r="M193" s="99"/>
      <c r="N193" s="32"/>
    </row>
    <row r="194" spans="1:14" s="33" customFormat="1" ht="15.75" customHeight="1" x14ac:dyDescent="0.3">
      <c r="A194" s="85" t="s">
        <v>295</v>
      </c>
      <c r="B194" s="86"/>
      <c r="C194" s="38" t="s">
        <v>245</v>
      </c>
      <c r="D194" s="38">
        <f>(133.94+12.16)*10.764</f>
        <v>1572.6203999999998</v>
      </c>
      <c r="E194" s="38">
        <v>0</v>
      </c>
      <c r="F194" s="38">
        <f>D194*(($F$145)+1)+(IF(E194&lt;101,E194,IF(E194&lt;201,E194/2,IF(E194&lt;=301,E194/3,E194/4))))</f>
        <v>2358.9305999999997</v>
      </c>
      <c r="G194" s="89"/>
      <c r="H194" s="90"/>
      <c r="I194" s="64">
        <f>(5.14*5.49+3.66*2.44+3.45*3.97+3.45*3.97+5.28*2.16+3.05*3.35+3.35*4.55+2.29*1.38+2.14*1.52+2.4*1.52+1*2.44+1.5*2.59+2.24*1.38+2.22*1.38+2.44*1.05+0.76*1.05+1.07*4.58+1.07*4.58)</f>
        <v>137.1088</v>
      </c>
      <c r="L194" s="99"/>
      <c r="M194" s="99"/>
      <c r="N194" s="32"/>
    </row>
    <row r="195" spans="1:14" s="33" customFormat="1" ht="15.75" customHeight="1" x14ac:dyDescent="0.3">
      <c r="A195" s="85" t="s">
        <v>296</v>
      </c>
      <c r="B195" s="86"/>
      <c r="C195" s="38" t="s">
        <v>245</v>
      </c>
      <c r="D195" s="49">
        <f>(133.61+8.55)*10.764</f>
        <v>1530.2102400000001</v>
      </c>
      <c r="E195" s="38">
        <v>0</v>
      </c>
      <c r="F195" s="38">
        <f>D195*(($F$145)+1)+(IF(E195&lt;101,E195,IF(E195&lt;201,E195/2,IF(E195&lt;=301,E195/3,E195/4))))</f>
        <v>2295.3153600000001</v>
      </c>
      <c r="G195" s="91"/>
      <c r="H195" s="92"/>
      <c r="I195" s="64"/>
      <c r="L195" s="99"/>
      <c r="M195" s="99"/>
      <c r="N195" s="32"/>
    </row>
    <row r="196" spans="1:14" s="33" customFormat="1" ht="15.75" customHeight="1" x14ac:dyDescent="0.3">
      <c r="A196" s="79" t="s">
        <v>256</v>
      </c>
      <c r="B196" s="80"/>
      <c r="C196" s="80"/>
      <c r="D196" s="80"/>
      <c r="E196" s="80"/>
      <c r="F196" s="80"/>
      <c r="G196" s="80"/>
      <c r="H196" s="81"/>
      <c r="I196" s="64"/>
      <c r="L196" s="99"/>
      <c r="M196" s="99"/>
    </row>
    <row r="197" spans="1:14" s="33" customFormat="1" ht="15.75" customHeight="1" x14ac:dyDescent="0.3">
      <c r="A197" s="96">
        <v>3701</v>
      </c>
      <c r="B197" s="96"/>
      <c r="C197" s="67" t="s">
        <v>257</v>
      </c>
      <c r="D197" s="67">
        <f>(173.69+11.52)*10.764</f>
        <v>1993.6004399999999</v>
      </c>
      <c r="E197" s="67">
        <v>0</v>
      </c>
      <c r="F197" s="67">
        <f>D197*(($F$145)+1)+(IF(E197&lt;101,E197,IF(E197&lt;201,E197/2,IF(E197&lt;=301,E197/3,E197/4))))</f>
        <v>2990.4006599999998</v>
      </c>
      <c r="G197" s="87" t="str">
        <f>A196</f>
        <v>37th Floor (Part Refuge Area)</v>
      </c>
      <c r="H197" s="88"/>
      <c r="I197" s="66">
        <f>(6.55*5.63+2.54*2.83+3.05*3.75+6.51*3.35+5.16*1.2+2.54*2.83+3.03*3.35+3.05*3.75+3.31*4.55+2.14*1.38+2.44*1.53+2.29*1.46+2.29*1.46+2.14*1.38+2.44*1.53+2.85*1.63+4.13*1.05+4.04*1.05+1.85*1.05+2.29*1.08+2.29*1.08+6.55*1.08)</f>
        <v>174.58590000000001</v>
      </c>
      <c r="N197" s="32"/>
    </row>
    <row r="198" spans="1:14" s="33" customFormat="1" ht="47.25" customHeight="1" x14ac:dyDescent="0.3">
      <c r="A198" s="96">
        <v>3703</v>
      </c>
      <c r="B198" s="96"/>
      <c r="C198" s="62" t="s">
        <v>263</v>
      </c>
      <c r="D198" s="38">
        <f>(277.29+27.57)*10.764</f>
        <v>3281.5130399999998</v>
      </c>
      <c r="E198" s="38">
        <v>0</v>
      </c>
      <c r="F198" s="38">
        <f>D198*(($F$145)+1)+(IF(E198&lt;101,E198,IF(E198&lt;201,E198/2,IF(E198&lt;=301,E198/3,E198/4))))</f>
        <v>4922.2695599999997</v>
      </c>
      <c r="G198" s="89"/>
      <c r="H198" s="90"/>
      <c r="I198" s="64">
        <f>(3.65*5+5.05*3.38+1.2*1.59+3.58*3.03+3.05*3.5+4.26*3.82+4.26*3.58+2.65*2.44+1.03*1.35+1.18*0.95+1.78*1.52+1.77*2.41+2.44*1.53+2.44*1.53+1.47*1.05+1*3.2+3.2*1.35+1.76*1.68+1.4*1.36+3.3*1.59+4.84*3.23+4.26*3.62+4.26*3.58+4.26*5+2.59*2.6+5.05*3.08+2.44*2.25+1.77*2.4+1.38*3.65+1.52*1.37+1.1*1.37+2.44*1.53+2.44*1.53+1*3.2+1.7*1.7)</f>
        <v>254.67389999999997</v>
      </c>
      <c r="K198" s="63">
        <f>D192*2</f>
        <v>3060.4204800000002</v>
      </c>
      <c r="N198" s="32"/>
    </row>
    <row r="199" spans="1:14" s="33" customFormat="1" ht="15.75" customHeight="1" x14ac:dyDescent="0.3">
      <c r="A199" s="96">
        <f>A198+1</f>
        <v>3704</v>
      </c>
      <c r="B199" s="96"/>
      <c r="C199" s="85" t="s">
        <v>250</v>
      </c>
      <c r="D199" s="187"/>
      <c r="E199" s="187"/>
      <c r="F199" s="86"/>
      <c r="G199" s="89"/>
      <c r="H199" s="90"/>
      <c r="I199" s="64"/>
      <c r="N199" s="32"/>
    </row>
    <row r="200" spans="1:14" s="33" customFormat="1" ht="15.75" customHeight="1" x14ac:dyDescent="0.3">
      <c r="A200" s="96">
        <f>A199+1</f>
        <v>3705</v>
      </c>
      <c r="B200" s="96"/>
      <c r="C200" s="38" t="s">
        <v>245</v>
      </c>
      <c r="D200" s="38">
        <f>(133.94+12.16)*10.764</f>
        <v>1572.6203999999998</v>
      </c>
      <c r="E200" s="38">
        <v>0</v>
      </c>
      <c r="F200" s="38">
        <f>D200*(($F$145)+1)+(IF(E200&lt;101,E200,IF(E200&lt;201,E200/2,IF(E200&lt;=301,E200/3,E200/4))))</f>
        <v>2358.9305999999997</v>
      </c>
      <c r="G200" s="89"/>
      <c r="H200" s="90"/>
      <c r="I200" s="64">
        <f>(5.14*5.49+3.66*2.44+3.45*3.97+3.45*3.97+5.28*2.16+3.05*3.35+3.35*4.55+2.29*1.38+2.14*1.52+2.4*1.52+1*2.44+1.5*2.59+2.24*1.38+2.22*1.38+2.44*1.05+0.76*1.05+4.58*1.07+4.58*1.07)</f>
        <v>137.1088</v>
      </c>
      <c r="N200" s="32"/>
    </row>
    <row r="201" spans="1:14" s="33" customFormat="1" ht="47.25" customHeight="1" x14ac:dyDescent="0.3">
      <c r="A201" s="96">
        <f>A200+1</f>
        <v>3706</v>
      </c>
      <c r="B201" s="96"/>
      <c r="C201" s="49" t="s">
        <v>263</v>
      </c>
      <c r="D201" s="38">
        <f>(277.29+27.57)*10.764</f>
        <v>3281.5130399999998</v>
      </c>
      <c r="E201" s="38">
        <v>0</v>
      </c>
      <c r="F201" s="38">
        <f>D201*(($F$145)+1)+(IF(E201&lt;101,E201,IF(E201&lt;201,E201/2,IF(E201&lt;=301,E201/3,E201/4))))</f>
        <v>4922.2695599999997</v>
      </c>
      <c r="G201" s="91"/>
      <c r="H201" s="92"/>
      <c r="I201" s="64"/>
      <c r="N201" s="32"/>
    </row>
    <row r="202" spans="1:14" s="33" customFormat="1" ht="15.75" customHeight="1" x14ac:dyDescent="0.3">
      <c r="A202" s="82" t="s">
        <v>259</v>
      </c>
      <c r="B202" s="83"/>
      <c r="C202" s="83"/>
      <c r="D202" s="83"/>
      <c r="E202" s="83"/>
      <c r="F202" s="83"/>
      <c r="G202" s="83"/>
      <c r="H202" s="84"/>
      <c r="I202" s="64"/>
    </row>
    <row r="203" spans="1:14" s="33" customFormat="1" x14ac:dyDescent="0.3">
      <c r="A203" s="85">
        <v>3801</v>
      </c>
      <c r="B203" s="86"/>
      <c r="C203" s="67" t="s">
        <v>257</v>
      </c>
      <c r="D203" s="67">
        <f>(173.69+11.52)*10.764</f>
        <v>1993.6004399999999</v>
      </c>
      <c r="E203" s="67">
        <v>0</v>
      </c>
      <c r="F203" s="67">
        <f>D203*(($F$145)+1)+(IF(E203&lt;101,E203,IF(E203&lt;201,E203/2,IF(E203&lt;=301,E203/3,E203/4))))</f>
        <v>2990.4006599999998</v>
      </c>
      <c r="G203" s="87" t="str">
        <f>A202</f>
        <v>38th Floor</v>
      </c>
      <c r="H203" s="88"/>
      <c r="I203" s="66">
        <f>(6.55*5.63+2.54*2.83+3.05*3.75+6.51*3.35+5.16*1.2+2.54*2.83+3.03*3.35+3.05*3.75+3.31*4.55+2.14*1.38+2.44*1.53+2.29*1.46+2.29*1.46+2.14*1.38+2.44*1.53+2.85*1.63+4.13*1.05+4.04*1.05+1.85*1.05+2.29*1.08+2.29*1.08+6.55*1.08)</f>
        <v>174.58590000000001</v>
      </c>
    </row>
    <row r="204" spans="1:14" s="33" customFormat="1" ht="15.75" customHeight="1" x14ac:dyDescent="0.3">
      <c r="A204" s="85">
        <v>3803</v>
      </c>
      <c r="B204" s="86"/>
      <c r="C204" s="97" t="s">
        <v>267</v>
      </c>
      <c r="D204" s="131"/>
      <c r="E204" s="131"/>
      <c r="F204" s="98"/>
      <c r="G204" s="89"/>
      <c r="H204" s="90"/>
      <c r="I204" s="64"/>
    </row>
    <row r="205" spans="1:14" s="33" customFormat="1" ht="15.75" customHeight="1" x14ac:dyDescent="0.3">
      <c r="A205" s="85">
        <f t="shared" ref="A205" si="6">A204+1</f>
        <v>3804</v>
      </c>
      <c r="B205" s="86"/>
      <c r="C205" s="67" t="s">
        <v>260</v>
      </c>
      <c r="D205" s="67">
        <f>(217.32+2.44)*10.764</f>
        <v>2365.4966399999998</v>
      </c>
      <c r="E205" s="67">
        <v>0</v>
      </c>
      <c r="F205" s="67">
        <f>D205*(($F$145)+1)+(IF(E205&lt;101,E205,IF(E205&lt;201,E205/2,IF(E205&lt;=301,E205/3,E205/4))))</f>
        <v>3548.24496</v>
      </c>
      <c r="G205" s="89"/>
      <c r="H205" s="90"/>
      <c r="I205" s="66">
        <f>(7.2*3.97+5.13*5.19+3.66*3.96+6.55*4.55+5.13*2.62+4.58*1.22+4.81*2.44+3.48*1.68+3.05*3.35+3.35*4.55+2.4*1.52+2.14*1.52+2.29*1.38+2.29*1.38+2.14*1.52+2.39*1.52+2.44*1.23+3.63*1.05+1.5*5.32+1.01*1.52+1.4*3.8+1.2*1.3+2.44*1.05)</f>
        <v>207.45250000000001</v>
      </c>
    </row>
    <row r="206" spans="1:14" s="33" customFormat="1" ht="15.75" customHeight="1" x14ac:dyDescent="0.3">
      <c r="A206" s="85">
        <v>3806</v>
      </c>
      <c r="B206" s="86"/>
      <c r="C206" s="97" t="s">
        <v>267</v>
      </c>
      <c r="D206" s="131"/>
      <c r="E206" s="131"/>
      <c r="F206" s="98"/>
      <c r="G206" s="91"/>
      <c r="H206" s="92"/>
      <c r="I206" s="64"/>
    </row>
    <row r="207" spans="1:14" s="33" customFormat="1" x14ac:dyDescent="0.3">
      <c r="A207" s="82" t="s">
        <v>261</v>
      </c>
      <c r="B207" s="83"/>
      <c r="C207" s="83"/>
      <c r="D207" s="83"/>
      <c r="E207" s="83"/>
      <c r="F207" s="83"/>
      <c r="G207" s="83"/>
      <c r="H207" s="84"/>
      <c r="I207" s="64"/>
    </row>
    <row r="208" spans="1:14" s="33" customFormat="1" x14ac:dyDescent="0.3">
      <c r="A208" s="85">
        <v>3901</v>
      </c>
      <c r="B208" s="86"/>
      <c r="C208" s="67" t="s">
        <v>257</v>
      </c>
      <c r="D208" s="67">
        <f>(173.69+11.52)*10.764</f>
        <v>1993.6004399999999</v>
      </c>
      <c r="E208" s="67">
        <v>0</v>
      </c>
      <c r="F208" s="67">
        <f>D208*(($F$145)+1)+(IF(E208&lt;101,E208,IF(E208&lt;201,E208/2,IF(E208&lt;=301,E208/3,E208/4))))</f>
        <v>2990.4006599999998</v>
      </c>
      <c r="G208" s="87" t="str">
        <f>A207</f>
        <v>39th Floor</v>
      </c>
      <c r="H208" s="88"/>
      <c r="I208" s="66"/>
    </row>
    <row r="209" spans="1:14" s="33" customFormat="1" ht="46.8" x14ac:dyDescent="0.3">
      <c r="A209" s="96">
        <v>3903</v>
      </c>
      <c r="B209" s="96"/>
      <c r="C209" s="62" t="s">
        <v>269</v>
      </c>
      <c r="D209" s="38">
        <f>(277.29+27.57)*10.764</f>
        <v>3281.5130399999998</v>
      </c>
      <c r="E209" s="38">
        <v>0</v>
      </c>
      <c r="F209" s="38">
        <f>D209*(($F$145)+1)+(IF(E209&lt;101,E209,IF(E209&lt;201,E209/2,IF(E209&lt;=301,E209/3,E209/4))))</f>
        <v>4922.2695599999997</v>
      </c>
      <c r="G209" s="89"/>
      <c r="H209" s="90"/>
      <c r="I209" s="64"/>
    </row>
    <row r="210" spans="1:14" s="33" customFormat="1" ht="26.25" customHeight="1" x14ac:dyDescent="0.3">
      <c r="A210" s="85">
        <f t="shared" ref="A210" si="7">A209+1</f>
        <v>3904</v>
      </c>
      <c r="B210" s="86"/>
      <c r="C210" s="68" t="s">
        <v>262</v>
      </c>
      <c r="D210" s="68">
        <f>(405.62+40.82)*10.764</f>
        <v>4805.4801600000001</v>
      </c>
      <c r="E210" s="67">
        <v>0</v>
      </c>
      <c r="F210" s="67">
        <f>D210*(($F$145)+1)+(IF(E210&lt;101,E210,IF(E210&lt;201,E210/2,IF(E210&lt;=301,E210/3,E210/4))))</f>
        <v>7208.2202400000006</v>
      </c>
      <c r="G210" s="89"/>
      <c r="H210" s="90"/>
      <c r="I210" s="66"/>
    </row>
    <row r="211" spans="1:14" s="33" customFormat="1" ht="46.8" x14ac:dyDescent="0.3">
      <c r="A211" s="96">
        <v>3906</v>
      </c>
      <c r="B211" s="96"/>
      <c r="C211" s="49" t="s">
        <v>269</v>
      </c>
      <c r="D211" s="38">
        <f>(277.29+27.57)*10.764</f>
        <v>3281.5130399999998</v>
      </c>
      <c r="E211" s="38">
        <v>0</v>
      </c>
      <c r="F211" s="38">
        <f>D211*(($F$145)+1)+(IF(E211&lt;101,E211,IF(E211&lt;201,E211/2,IF(E211&lt;=301,E211/3,E211/4))))</f>
        <v>4922.2695599999997</v>
      </c>
      <c r="G211" s="91"/>
      <c r="H211" s="92"/>
      <c r="I211" s="64"/>
    </row>
    <row r="212" spans="1:14" s="33" customFormat="1" x14ac:dyDescent="0.3">
      <c r="A212" s="82" t="s">
        <v>264</v>
      </c>
      <c r="B212" s="83"/>
      <c r="C212" s="83"/>
      <c r="D212" s="83"/>
      <c r="E212" s="83"/>
      <c r="F212" s="83"/>
      <c r="G212" s="83"/>
      <c r="H212" s="84"/>
      <c r="I212" s="64"/>
    </row>
    <row r="213" spans="1:14" s="33" customFormat="1" x14ac:dyDescent="0.3">
      <c r="A213" s="85">
        <v>4001</v>
      </c>
      <c r="B213" s="86"/>
      <c r="C213" s="67" t="s">
        <v>257</v>
      </c>
      <c r="D213" s="67">
        <f>(173.69+11.52)*10.764</f>
        <v>1993.6004399999999</v>
      </c>
      <c r="E213" s="67">
        <v>0</v>
      </c>
      <c r="F213" s="67">
        <f>D213*(($F$145)+1)+(IF(E213&lt;101,E213,IF(E213&lt;201,E213/2,IF(E213&lt;=301,E213/3,E213/4))))</f>
        <v>2990.4006599999998</v>
      </c>
      <c r="G213" s="87" t="str">
        <f>A212</f>
        <v>40th Floor</v>
      </c>
      <c r="H213" s="88"/>
      <c r="I213" s="65"/>
    </row>
    <row r="214" spans="1:14" s="33" customFormat="1" hidden="1" x14ac:dyDescent="0.3">
      <c r="A214" s="85" t="s">
        <v>258</v>
      </c>
      <c r="B214" s="86"/>
      <c r="C214" s="97" t="s">
        <v>266</v>
      </c>
      <c r="D214" s="131"/>
      <c r="E214" s="131"/>
      <c r="F214" s="98"/>
      <c r="G214" s="89"/>
      <c r="H214" s="90"/>
      <c r="I214" s="32"/>
    </row>
    <row r="215" spans="1:14" s="33" customFormat="1" hidden="1" x14ac:dyDescent="0.3">
      <c r="A215" s="85" t="s">
        <v>258</v>
      </c>
      <c r="B215" s="86"/>
      <c r="C215" s="100" t="s">
        <v>265</v>
      </c>
      <c r="D215" s="132"/>
      <c r="E215" s="132"/>
      <c r="F215" s="101"/>
      <c r="G215" s="89"/>
      <c r="H215" s="90"/>
      <c r="I215" s="32">
        <f>3+3+28*6+5*7+4+2+4+1</f>
        <v>220</v>
      </c>
    </row>
    <row r="216" spans="1:14" s="33" customFormat="1" hidden="1" x14ac:dyDescent="0.3">
      <c r="A216" s="85" t="s">
        <v>258</v>
      </c>
      <c r="B216" s="86"/>
      <c r="C216" s="104"/>
      <c r="D216" s="133"/>
      <c r="E216" s="133"/>
      <c r="F216" s="105"/>
      <c r="G216" s="89"/>
      <c r="H216" s="90"/>
      <c r="I216" s="32"/>
    </row>
    <row r="217" spans="1:14" s="33" customFormat="1" hidden="1" x14ac:dyDescent="0.3">
      <c r="A217" s="85" t="s">
        <v>258</v>
      </c>
      <c r="B217" s="86"/>
      <c r="C217" s="97" t="s">
        <v>266</v>
      </c>
      <c r="D217" s="131"/>
      <c r="E217" s="131"/>
      <c r="F217" s="98"/>
      <c r="G217" s="91"/>
      <c r="H217" s="92"/>
      <c r="I217" s="32"/>
    </row>
    <row r="218" spans="1:14" s="33" customFormat="1" x14ac:dyDescent="0.3">
      <c r="A218" s="198" t="s">
        <v>368</v>
      </c>
      <c r="B218" s="199"/>
      <c r="C218" s="199"/>
      <c r="D218" s="199"/>
      <c r="E218" s="199"/>
      <c r="F218" s="199"/>
      <c r="G218" s="199"/>
      <c r="H218" s="200"/>
      <c r="J218" s="32"/>
    </row>
    <row r="219" spans="1:14" s="33" customFormat="1" x14ac:dyDescent="0.3">
      <c r="A219" s="79" t="s">
        <v>243</v>
      </c>
      <c r="B219" s="80"/>
      <c r="C219" s="80"/>
      <c r="D219" s="80"/>
      <c r="E219" s="80"/>
      <c r="F219" s="80"/>
      <c r="G219" s="80"/>
      <c r="H219" s="81"/>
      <c r="J219" s="32"/>
    </row>
    <row r="220" spans="1:14" s="33" customFormat="1" ht="15.75" customHeight="1" x14ac:dyDescent="0.3">
      <c r="A220" s="79" t="s">
        <v>283</v>
      </c>
      <c r="B220" s="80"/>
      <c r="C220" s="80"/>
      <c r="D220" s="80"/>
      <c r="E220" s="80"/>
      <c r="F220" s="80"/>
      <c r="G220" s="80"/>
      <c r="H220" s="81"/>
      <c r="J220" s="32"/>
    </row>
    <row r="221" spans="1:14" s="33" customFormat="1" x14ac:dyDescent="0.3">
      <c r="A221" s="79" t="s">
        <v>284</v>
      </c>
      <c r="B221" s="80"/>
      <c r="C221" s="80"/>
      <c r="D221" s="80"/>
      <c r="E221" s="80"/>
      <c r="F221" s="80"/>
      <c r="G221" s="80"/>
      <c r="H221" s="81"/>
      <c r="J221" s="32"/>
    </row>
    <row r="222" spans="1:14" s="33" customFormat="1" x14ac:dyDescent="0.3">
      <c r="A222" s="79" t="s">
        <v>251</v>
      </c>
      <c r="B222" s="80"/>
      <c r="C222" s="80"/>
      <c r="D222" s="80"/>
      <c r="E222" s="80"/>
      <c r="F222" s="80"/>
      <c r="G222" s="80"/>
      <c r="H222" s="81"/>
      <c r="J222" s="32"/>
    </row>
    <row r="223" spans="1:14" s="33" customFormat="1" ht="15.75" customHeight="1" x14ac:dyDescent="0.3">
      <c r="A223" s="82" t="s">
        <v>360</v>
      </c>
      <c r="B223" s="83"/>
      <c r="C223" s="83"/>
      <c r="D223" s="83"/>
      <c r="E223" s="83"/>
      <c r="F223" s="83"/>
      <c r="G223" s="83"/>
      <c r="H223" s="84"/>
      <c r="J223" s="32"/>
    </row>
    <row r="224" spans="1:14" s="33" customFormat="1" ht="15.75" customHeight="1" x14ac:dyDescent="0.3">
      <c r="A224" s="85" t="s">
        <v>285</v>
      </c>
      <c r="B224" s="86"/>
      <c r="C224" s="38" t="s">
        <v>245</v>
      </c>
      <c r="D224" s="38">
        <f>(3.65*8.53+3.05*1.83+3.5*1.5+1.3*1.53+3.05*3.08+3.05*3.65+3.05*3.5+4.26*3.82+4.26*3.59+1.73+2.44*1.53*2+1.54*2.41+1.48*2.44+1.95*1.67+1*1.53+3.35*1.68)*10.764</f>
        <v>1438.6796423999995</v>
      </c>
      <c r="E224" s="38">
        <v>0</v>
      </c>
      <c r="F224" s="38">
        <f>(D224+E224)*(($F$142)+1)</f>
        <v>2086.0854814799991</v>
      </c>
      <c r="G224" s="87" t="str">
        <f>A223</f>
        <v>Stilt Floor For Residential and Amenties</v>
      </c>
      <c r="H224" s="88"/>
      <c r="I224" s="64">
        <f>(1.35*1.83+3.2*5.64+2.54*2.82+3.05*3.35+3.3*4.55+3.05*3.75+2.29*1.46+2.44*1.53+2.14*1.38+2.29*1.03+4.04*1.05+1.85*1.05+3.2*1.08)</f>
        <v>86.380300000000005</v>
      </c>
      <c r="J224" s="50">
        <f>1.35*1.83+3.2*5.64+2.54*2.82+3.05*3.35+3.05*3.75+3.3*4.55+2.29*1.46+2.44*1.53+4.04*1.05+1.85*1.05+2.14*1.46+2.29*1.03</f>
        <v>83.095499999999987</v>
      </c>
      <c r="L224" s="52"/>
      <c r="M224" s="52"/>
      <c r="N224" s="32"/>
    </row>
    <row r="225" spans="1:14" s="33" customFormat="1" ht="15.75" customHeight="1" x14ac:dyDescent="0.3">
      <c r="A225" s="85" t="s">
        <v>286</v>
      </c>
      <c r="B225" s="86"/>
      <c r="C225" s="38" t="s">
        <v>244</v>
      </c>
      <c r="D225" s="38">
        <f>(5.13*5.49+1.85*3.31+2.79*3.31+3.05*3.35+3.35*4.55+3.45*3.97+2.47*1.05+0.73*1.5+1.01*1.52+2.29*1.38+2.14*1.53+2.39*1.53+1.23*3.16+4.82*1.22)*10.764</f>
        <v>1159.9350983999998</v>
      </c>
      <c r="E225" s="38">
        <v>0</v>
      </c>
      <c r="F225" s="38">
        <f t="shared" ref="F225" si="8">(D225+E225)*(($F$142)+1)</f>
        <v>1681.9058926799996</v>
      </c>
      <c r="G225" s="89"/>
      <c r="H225" s="90"/>
      <c r="I225" s="64">
        <f>(1.35*1.83+3.2*5.64+2.54*2.82+3.05*3.35+3.3*4.55+3.05*3.75+2.29*1.46+2.44*1.53+2.14*1.38+2.29*1.03+4.04*1.05+1.85*1.05+3.2*1.08)</f>
        <v>86.380300000000005</v>
      </c>
      <c r="L225" s="52"/>
      <c r="M225" s="52"/>
      <c r="N225" s="32"/>
    </row>
    <row r="226" spans="1:14" s="33" customFormat="1" ht="15.75" customHeight="1" x14ac:dyDescent="0.3">
      <c r="A226" s="85" t="s">
        <v>287</v>
      </c>
      <c r="B226" s="86"/>
      <c r="C226" s="87" t="s">
        <v>361</v>
      </c>
      <c r="D226" s="150"/>
      <c r="E226" s="150"/>
      <c r="F226" s="88"/>
      <c r="G226" s="89"/>
      <c r="H226" s="90"/>
      <c r="I226" s="64"/>
      <c r="L226" s="52"/>
      <c r="M226" s="52"/>
      <c r="N226" s="32"/>
    </row>
    <row r="227" spans="1:14" s="33" customFormat="1" x14ac:dyDescent="0.3">
      <c r="A227" s="85" t="s">
        <v>288</v>
      </c>
      <c r="B227" s="86"/>
      <c r="C227" s="91"/>
      <c r="D227" s="151"/>
      <c r="E227" s="151"/>
      <c r="F227" s="92"/>
      <c r="G227" s="89"/>
      <c r="H227" s="90"/>
      <c r="I227" s="64"/>
      <c r="L227" s="52"/>
      <c r="M227" s="52"/>
      <c r="N227" s="32"/>
    </row>
    <row r="228" spans="1:14" s="33" customFormat="1" ht="15.75" customHeight="1" x14ac:dyDescent="0.3">
      <c r="A228" s="79" t="s">
        <v>252</v>
      </c>
      <c r="B228" s="80"/>
      <c r="C228" s="80"/>
      <c r="D228" s="80"/>
      <c r="E228" s="80"/>
      <c r="F228" s="80"/>
      <c r="G228" s="80"/>
      <c r="H228" s="81"/>
      <c r="I228" s="63"/>
      <c r="J228" s="32"/>
    </row>
    <row r="229" spans="1:14" s="33" customFormat="1" ht="15.75" customHeight="1" x14ac:dyDescent="0.3">
      <c r="A229" s="97">
        <v>101</v>
      </c>
      <c r="B229" s="98"/>
      <c r="C229" s="38" t="s">
        <v>245</v>
      </c>
      <c r="D229" s="38">
        <f>(3.65*8.53+3.05*1.83+3.5*1.5+1.3*1.53+3.05*3.08+3.05*3.65+3.05*3.5+4.26*3.82+4.26*3.59+1.73+2.44*1.53*2+1.54*2.41+1.48*2.44+1.95*1.67+1*1.53+3.35*1.68)*10.764</f>
        <v>1438.6796423999995</v>
      </c>
      <c r="E229" s="49">
        <v>0</v>
      </c>
      <c r="F229" s="49">
        <f>(D229+E229)*(($F$142)+1)</f>
        <v>2086.0854814799991</v>
      </c>
      <c r="G229" s="100" t="str">
        <f>A228</f>
        <v>1st Floor For Residenital</v>
      </c>
      <c r="H229" s="101"/>
      <c r="I229" s="64"/>
      <c r="L229" s="52"/>
      <c r="M229" s="52"/>
      <c r="N229" s="32"/>
    </row>
    <row r="230" spans="1:14" s="33" customFormat="1" ht="15.75" customHeight="1" x14ac:dyDescent="0.3">
      <c r="A230" s="97">
        <f t="shared" ref="A230:A232" si="9">A229+1</f>
        <v>102</v>
      </c>
      <c r="B230" s="98"/>
      <c r="C230" s="38" t="s">
        <v>244</v>
      </c>
      <c r="D230" s="38">
        <f>(5.13*5.49+1.85*3.31+2.79*3.31+3.05*3.35+3.35*4.55+3.45*3.97+2.47*1.05+0.73*1.5+1.01*1.52+2.29*1.38+2.14*1.53+2.39*1.53+1.23*3.16+4.82*1.22)*10.764</f>
        <v>1159.9350983999998</v>
      </c>
      <c r="E230" s="49">
        <v>0</v>
      </c>
      <c r="F230" s="49">
        <f t="shared" ref="F230" si="10">(D230+E230)*(($F$142)+1)</f>
        <v>1681.9058926799996</v>
      </c>
      <c r="G230" s="102"/>
      <c r="H230" s="103"/>
      <c r="I230" s="64"/>
      <c r="L230" s="52"/>
      <c r="M230" s="52"/>
      <c r="N230" s="32"/>
    </row>
    <row r="231" spans="1:14" s="33" customFormat="1" ht="15.75" customHeight="1" x14ac:dyDescent="0.3">
      <c r="A231" s="97">
        <f t="shared" si="9"/>
        <v>103</v>
      </c>
      <c r="B231" s="98"/>
      <c r="C231" s="87" t="s">
        <v>362</v>
      </c>
      <c r="D231" s="150"/>
      <c r="E231" s="150"/>
      <c r="F231" s="88"/>
      <c r="G231" s="102"/>
      <c r="H231" s="103"/>
      <c r="I231" s="64"/>
      <c r="L231" s="52"/>
      <c r="M231" s="52"/>
      <c r="N231" s="32"/>
    </row>
    <row r="232" spans="1:14" s="33" customFormat="1" ht="15.75" customHeight="1" x14ac:dyDescent="0.3">
      <c r="A232" s="97">
        <f t="shared" si="9"/>
        <v>104</v>
      </c>
      <c r="B232" s="98"/>
      <c r="C232" s="91"/>
      <c r="D232" s="151"/>
      <c r="E232" s="151"/>
      <c r="F232" s="92"/>
      <c r="G232" s="102"/>
      <c r="H232" s="103"/>
      <c r="I232" s="64"/>
      <c r="L232" s="52"/>
      <c r="M232" s="52"/>
      <c r="N232" s="32"/>
    </row>
    <row r="233" spans="1:14" s="33" customFormat="1" ht="37.5" customHeight="1" x14ac:dyDescent="0.3">
      <c r="A233" s="82" t="s">
        <v>379</v>
      </c>
      <c r="B233" s="83"/>
      <c r="C233" s="83"/>
      <c r="D233" s="83"/>
      <c r="E233" s="83"/>
      <c r="F233" s="83"/>
      <c r="G233" s="83"/>
      <c r="H233" s="84"/>
      <c r="I233" s="63">
        <f>38-8-1</f>
        <v>29</v>
      </c>
      <c r="J233" s="32"/>
    </row>
    <row r="234" spans="1:14" s="33" customFormat="1" ht="24" customHeight="1" x14ac:dyDescent="0.3">
      <c r="A234" s="85" t="s">
        <v>297</v>
      </c>
      <c r="B234" s="86"/>
      <c r="C234" s="38" t="s">
        <v>245</v>
      </c>
      <c r="D234" s="38">
        <f>(3.65*8.53+3.05*1.83+3.5*1.5+1.3*1.53+3.05*3.08+3.05*3.65+3.05*3.5+4.26*3.82+4.26*3.59+1.73+2.44*1.53*2+1.54*2.41+1.48*2.44+1.95*1.67+1*1.53+3.35*1.68)*10.764</f>
        <v>1438.6796423999995</v>
      </c>
      <c r="E234" s="38">
        <v>0</v>
      </c>
      <c r="F234" s="38">
        <f>D234*(($F$145)+1)+(IF(E234&lt;101,E234,IF(E234&lt;201,E234/2,IF(E234&lt;=301,E234/3,E234/4))))</f>
        <v>2158.0194635999992</v>
      </c>
      <c r="G234" s="87" t="str">
        <f>A233</f>
        <v>2nd, 4th to 7th, 9th to 12th, 14th to 17th, 19th to 21st, 
23rd to 26th, 28th to 31st &amp; 33rd to 36th &amp; 38th Floor</v>
      </c>
      <c r="H234" s="88"/>
      <c r="I234" s="64"/>
      <c r="L234" s="99"/>
      <c r="M234" s="99"/>
      <c r="N234" s="32"/>
    </row>
    <row r="235" spans="1:14" s="33" customFormat="1" ht="24" customHeight="1" x14ac:dyDescent="0.3">
      <c r="A235" s="85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202 ,.., 3602</v>
      </c>
      <c r="B235" s="86"/>
      <c r="C235" s="38" t="s">
        <v>244</v>
      </c>
      <c r="D235" s="38">
        <f>(5.13*5.49+1.85*3.31+2.79*3.31+3.05*3.35+3.35*4.55+3.45*3.97+2.47*1.05+0.73*1.5+1.01*1.52+2.29*1.38+2.14*1.53+2.39*1.53+1.23*3.16+4.82*1.22)*10.764</f>
        <v>1159.9350983999998</v>
      </c>
      <c r="E235" s="38">
        <v>0</v>
      </c>
      <c r="F235" s="38">
        <f>D235*(($F$145)+1)+(IF(E235&lt;101,E235,IF(E235&lt;201,E235/2,IF(E235&lt;=301,E235/3,E235/4))))</f>
        <v>1739.9026475999997</v>
      </c>
      <c r="G235" s="89"/>
      <c r="H235" s="90"/>
      <c r="I235" s="64"/>
      <c r="L235" s="99"/>
      <c r="M235" s="99"/>
      <c r="N235" s="32"/>
    </row>
    <row r="236" spans="1:14" s="33" customFormat="1" ht="24" customHeight="1" x14ac:dyDescent="0.3">
      <c r="A236" s="85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203 ,.., 3603</v>
      </c>
      <c r="B236" s="86"/>
      <c r="C236" s="38" t="s">
        <v>244</v>
      </c>
      <c r="D236" s="38">
        <f>(5.13*5.49+1.85*3.31+2.79*3.31+3.05*3.35+3.35*4.55+3.45*3.97+2.47*1.05+0.73*1.5+1.01*1.52+2.29*1.38+2.14*1.53+2.39*1.53+1.23*3.16+4.82*1.22)*10.764</f>
        <v>1159.9350983999998</v>
      </c>
      <c r="E236" s="38">
        <v>0</v>
      </c>
      <c r="F236" s="38">
        <f>D236*(($F$145)+1)+(IF(E236&lt;101,E236,IF(E236&lt;201,E236/2,IF(E236&lt;=301,E236/3,E236/4))))</f>
        <v>1739.9026475999997</v>
      </c>
      <c r="G236" s="89"/>
      <c r="H236" s="90"/>
      <c r="I236" s="64">
        <f>(3.65*5+3.65*3.38+3.05*3.03+3.05*3.5+3.05*3.65+4.26*3.82+4.27*3.58+1.38*2.44+1.77*2.41+1*1.52+2.44*1.53+2.44*1.52+1.95*0.95+1.39*0.57+3.04*1.83+3.2*1.35+1*1.83+1.45*1.38+3.65*1.53)</f>
        <v>131.73419999999999</v>
      </c>
      <c r="L236" s="99"/>
      <c r="M236" s="99"/>
      <c r="N236" s="32"/>
    </row>
    <row r="237" spans="1:14" s="33" customFormat="1" ht="24" customHeight="1" x14ac:dyDescent="0.3">
      <c r="A237" s="85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204 ,.., 3604</v>
      </c>
      <c r="B237" s="86"/>
      <c r="C237" s="38" t="s">
        <v>245</v>
      </c>
      <c r="D237" s="38">
        <f>(3.65*8.53+3.05*1.83+3.5*1.5+1.3*1.53+3.05*3.08+3.05*3.65+3.05*3.5+4.26*3.82+4.26*3.59+1.73+2.44*1.53*2+1.54*2.41+1.48*2.44+1.95*1.67+1*1.53+3.35*1.68)*10.764</f>
        <v>1438.6796423999995</v>
      </c>
      <c r="E237" s="38">
        <v>0</v>
      </c>
      <c r="F237" s="38">
        <f>D237*(($F$145)+1)+(IF(E237&lt;101,E237,IF(E237&lt;201,E237/2,IF(E237&lt;=301,E237/3,E237/4))))</f>
        <v>2158.0194635999992</v>
      </c>
      <c r="G237" s="89"/>
      <c r="H237" s="90"/>
      <c r="I237" s="64">
        <f>(5.14*5.49+3.66*2.44+3.45*3.97+3.05*3.35+3.35*4.55+2.4*1.52+2.14*1.52+2.29*1.38+1*2.44+1.5*2.59+0.76*1.05+2.44*1.05+1.01*1.52+1.07*4.58)</f>
        <v>102.48729999999999</v>
      </c>
      <c r="L237" s="99"/>
      <c r="M237" s="99"/>
      <c r="N237" s="32"/>
    </row>
    <row r="238" spans="1:14" s="33" customFormat="1" x14ac:dyDescent="0.3">
      <c r="A238" s="82" t="s">
        <v>363</v>
      </c>
      <c r="B238" s="83"/>
      <c r="C238" s="83"/>
      <c r="D238" s="83"/>
      <c r="E238" s="83"/>
      <c r="F238" s="83"/>
      <c r="G238" s="83"/>
      <c r="H238" s="84"/>
      <c r="I238" s="63"/>
      <c r="J238" s="32"/>
    </row>
    <row r="239" spans="1:14" s="33" customFormat="1" ht="15.75" customHeight="1" x14ac:dyDescent="0.3">
      <c r="A239" s="85" t="s">
        <v>291</v>
      </c>
      <c r="B239" s="86"/>
      <c r="C239" s="38" t="s">
        <v>245</v>
      </c>
      <c r="D239" s="38">
        <f>(3.65*8.53+3.05*1.83+3.5*1.5+1.3*1.53+3.05*3.08+3.05*3.65+3.05*3.5+4.26*3.82+4.26*3.59+1.73+2.44*1.53*2+1.54*2.41+1.48*2.44+1.95*1.67+1*1.53+3.35*1.68)*10.764</f>
        <v>1438.6796423999995</v>
      </c>
      <c r="E239" s="38">
        <v>0</v>
      </c>
      <c r="F239" s="38">
        <f t="shared" ref="F239" si="11">D239*(($F$145)+1)+(IF(E239&lt;101,E239,IF(E239&lt;201,E239/2,IF(E239&lt;=301,E239/3,E239/4))))</f>
        <v>2158.0194635999992</v>
      </c>
      <c r="G239" s="87" t="str">
        <f>A238</f>
        <v>3rd, 8th, 13th, 18th, 22nd, 27th, 32nd &amp; 37th Floor (Part Refuge Area)</v>
      </c>
      <c r="H239" s="88"/>
      <c r="I239" s="64"/>
      <c r="L239" s="99"/>
      <c r="M239" s="99"/>
      <c r="N239" s="32"/>
    </row>
    <row r="240" spans="1:14" s="33" customFormat="1" ht="15.75" customHeight="1" x14ac:dyDescent="0.3">
      <c r="A240" s="85" t="s">
        <v>292</v>
      </c>
      <c r="B240" s="86"/>
      <c r="C240" s="85" t="s">
        <v>250</v>
      </c>
      <c r="D240" s="187"/>
      <c r="E240" s="187"/>
      <c r="F240" s="86"/>
      <c r="G240" s="89"/>
      <c r="H240" s="90"/>
      <c r="I240" s="64"/>
      <c r="L240" s="99"/>
      <c r="M240" s="99"/>
      <c r="N240" s="32"/>
    </row>
    <row r="241" spans="1:14" s="33" customFormat="1" ht="15.75" customHeight="1" x14ac:dyDescent="0.3">
      <c r="A241" s="85" t="s">
        <v>293</v>
      </c>
      <c r="B241" s="86"/>
      <c r="C241" s="38" t="s">
        <v>245</v>
      </c>
      <c r="D241" s="38">
        <f>(5.69*5.49+2.78*3.31+1.85*3.31+2.58*0.61+3.2*1.05+2.3*1.05+2.47*1.05+0.73*1.05+3.05*3.35+3.35*4.55+5.95*2.77+3.88*3.97+1.8*2.17+2.4*1.53+2.14*1.53+2.29*1.38+3.45*1.38+1.23*3.16+1.22*4.82*2)*10.764</f>
        <v>1604.2482611999999</v>
      </c>
      <c r="E241" s="38">
        <v>0</v>
      </c>
      <c r="F241" s="38">
        <f t="shared" ref="F241" si="12">D241*(($F$145)+1)+(IF(E241&lt;101,E241,IF(E241&lt;201,E241/2,IF(E241&lt;=301,E241/3,E241/4))))</f>
        <v>2406.3723917999996</v>
      </c>
      <c r="G241" s="89"/>
      <c r="H241" s="90"/>
      <c r="I241" s="64"/>
      <c r="L241" s="99"/>
      <c r="M241" s="99"/>
      <c r="N241" s="32"/>
    </row>
    <row r="242" spans="1:14" s="33" customFormat="1" ht="15.75" customHeight="1" x14ac:dyDescent="0.3">
      <c r="A242" s="85" t="s">
        <v>294</v>
      </c>
      <c r="B242" s="86"/>
      <c r="C242" s="38" t="s">
        <v>245</v>
      </c>
      <c r="D242" s="38">
        <f>(3.65*8.53+3.05*1.83+3.5*1.5+1.3*1.53+3.05*3.08+3.05*3.65+3.05*3.5+4.26*3.82+4.26*3.59+1.73+2.44*1.53*2+1.54*2.41+1.48*2.44+1.95*1.67+1*1.53+3.35*1.68)*10.764</f>
        <v>1438.6796423999995</v>
      </c>
      <c r="E242" s="38">
        <v>0</v>
      </c>
      <c r="F242" s="38">
        <f t="shared" ref="F242" si="13">D242*(($F$145)+1)+(IF(E242&lt;101,E242,IF(E242&lt;201,E242/2,IF(E242&lt;=301,E242/3,E242/4))))</f>
        <v>2158.0194635999992</v>
      </c>
      <c r="G242" s="89"/>
      <c r="H242" s="90"/>
      <c r="I242" s="64"/>
      <c r="L242" s="99"/>
      <c r="M242" s="99"/>
      <c r="N242" s="32"/>
    </row>
    <row r="243" spans="1:14" s="33" customFormat="1" ht="15.75" customHeight="1" x14ac:dyDescent="0.3">
      <c r="A243" s="79" t="s">
        <v>364</v>
      </c>
      <c r="B243" s="80"/>
      <c r="C243" s="80"/>
      <c r="D243" s="80"/>
      <c r="E243" s="80"/>
      <c r="F243" s="80"/>
      <c r="G243" s="80"/>
      <c r="H243" s="81"/>
      <c r="I243" s="64"/>
      <c r="L243" s="99"/>
      <c r="M243" s="99"/>
    </row>
    <row r="244" spans="1:14" s="31" customFormat="1" x14ac:dyDescent="0.3">
      <c r="A244" s="201" t="s">
        <v>67</v>
      </c>
      <c r="B244" s="201"/>
      <c r="C244" s="201"/>
      <c r="D244" s="201"/>
      <c r="E244" s="201"/>
      <c r="F244" s="201"/>
      <c r="G244" s="201"/>
      <c r="H244" s="201"/>
    </row>
    <row r="245" spans="1:14" s="31" customFormat="1" x14ac:dyDescent="0.3">
      <c r="A245" s="41" t="s">
        <v>150</v>
      </c>
      <c r="B245" s="134" t="s">
        <v>350</v>
      </c>
      <c r="C245" s="135"/>
      <c r="D245" s="135"/>
      <c r="E245" s="135"/>
      <c r="F245" s="135"/>
      <c r="G245" s="135"/>
      <c r="H245" s="136"/>
    </row>
    <row r="246" spans="1:14" s="31" customFormat="1" x14ac:dyDescent="0.3">
      <c r="A246" s="41" t="s">
        <v>150</v>
      </c>
      <c r="B246" s="134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46" s="135"/>
      <c r="D246" s="135"/>
      <c r="E246" s="135"/>
      <c r="F246" s="135"/>
      <c r="G246" s="135"/>
      <c r="H246" s="136"/>
    </row>
    <row r="247" spans="1:14" s="31" customFormat="1" hidden="1" x14ac:dyDescent="0.3">
      <c r="A247" s="41" t="s">
        <v>150</v>
      </c>
      <c r="B247" s="134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7" s="135"/>
      <c r="D247" s="135"/>
      <c r="E247" s="135"/>
      <c r="F247" s="135"/>
      <c r="G247" s="135"/>
      <c r="H247" s="136"/>
    </row>
    <row r="248" spans="1:14" s="31" customFormat="1" x14ac:dyDescent="0.3">
      <c r="A248" s="41" t="s">
        <v>150</v>
      </c>
      <c r="B248" s="93" t="s">
        <v>121</v>
      </c>
      <c r="C248" s="94"/>
      <c r="D248" s="94"/>
      <c r="E248" s="94"/>
      <c r="F248" s="94"/>
      <c r="G248" s="94"/>
      <c r="H248" s="95"/>
    </row>
    <row r="249" spans="1:14" s="31" customFormat="1" x14ac:dyDescent="0.3">
      <c r="A249" s="41" t="s">
        <v>150</v>
      </c>
      <c r="B249" s="93" t="s">
        <v>268</v>
      </c>
      <c r="C249" s="94"/>
      <c r="D249" s="94"/>
      <c r="E249" s="94"/>
      <c r="F249" s="94"/>
      <c r="G249" s="94"/>
      <c r="H249" s="95"/>
    </row>
    <row r="250" spans="1:14" s="31" customFormat="1" x14ac:dyDescent="0.3">
      <c r="A250" s="41" t="s">
        <v>150</v>
      </c>
      <c r="B250" s="93" t="s">
        <v>149</v>
      </c>
      <c r="C250" s="94"/>
      <c r="D250" s="94"/>
      <c r="E250" s="94"/>
      <c r="F250" s="94"/>
      <c r="G250" s="94"/>
      <c r="H250" s="95"/>
    </row>
    <row r="251" spans="1:14" s="31" customFormat="1" x14ac:dyDescent="0.3">
      <c r="A251" s="41" t="s">
        <v>150</v>
      </c>
      <c r="B251" s="93" t="s">
        <v>122</v>
      </c>
      <c r="C251" s="94"/>
      <c r="D251" s="94"/>
      <c r="E251" s="94"/>
      <c r="F251" s="94"/>
      <c r="G251" s="94"/>
      <c r="H251" s="95"/>
    </row>
    <row r="252" spans="1:14" s="31" customFormat="1" ht="34.5" customHeight="1" x14ac:dyDescent="0.3">
      <c r="A252" s="41" t="s">
        <v>150</v>
      </c>
      <c r="B252" s="93" t="s">
        <v>151</v>
      </c>
      <c r="C252" s="94"/>
      <c r="D252" s="94"/>
      <c r="E252" s="94"/>
      <c r="F252" s="94"/>
      <c r="G252" s="94"/>
      <c r="H252" s="95"/>
    </row>
    <row r="253" spans="1:14" s="31" customFormat="1" x14ac:dyDescent="0.3">
      <c r="A253" s="41" t="s">
        <v>150</v>
      </c>
      <c r="B253" s="93" t="s">
        <v>123</v>
      </c>
      <c r="C253" s="94"/>
      <c r="D253" s="94"/>
      <c r="E253" s="94"/>
      <c r="F253" s="94"/>
      <c r="G253" s="94"/>
      <c r="H253" s="95"/>
    </row>
    <row r="254" spans="1:14" s="31" customFormat="1" ht="49.5" customHeight="1" x14ac:dyDescent="0.3">
      <c r="A254" s="41" t="s">
        <v>150</v>
      </c>
      <c r="B254" s="195" t="s">
        <v>300</v>
      </c>
      <c r="C254" s="196"/>
      <c r="D254" s="196"/>
      <c r="E254" s="196"/>
      <c r="F254" s="196"/>
      <c r="G254" s="196"/>
      <c r="H254" s="197"/>
      <c r="I254" s="31" t="s">
        <v>281</v>
      </c>
    </row>
    <row r="255" spans="1:14" s="31" customFormat="1" ht="33.75" customHeight="1" x14ac:dyDescent="0.3">
      <c r="A255" s="41" t="s">
        <v>150</v>
      </c>
      <c r="B255" s="195" t="s">
        <v>349</v>
      </c>
      <c r="C255" s="196"/>
      <c r="D255" s="196"/>
      <c r="E255" s="196"/>
      <c r="F255" s="196"/>
      <c r="G255" s="196"/>
      <c r="H255" s="197"/>
    </row>
    <row r="256" spans="1:14" s="31" customFormat="1" x14ac:dyDescent="0.3">
      <c r="A256" s="41" t="s">
        <v>150</v>
      </c>
      <c r="B256" s="195" t="s">
        <v>365</v>
      </c>
      <c r="C256" s="196"/>
      <c r="D256" s="196"/>
      <c r="E256" s="196"/>
      <c r="F256" s="196"/>
      <c r="G256" s="196"/>
      <c r="H256" s="197"/>
    </row>
    <row r="257" spans="1:8" s="31" customFormat="1" x14ac:dyDescent="0.3">
      <c r="A257" s="41" t="s">
        <v>150</v>
      </c>
      <c r="B257" s="195" t="s">
        <v>382</v>
      </c>
      <c r="C257" s="196"/>
      <c r="D257" s="196"/>
      <c r="E257" s="196"/>
      <c r="F257" s="196"/>
      <c r="G257" s="196"/>
      <c r="H257" s="197"/>
    </row>
    <row r="258" spans="1:8" x14ac:dyDescent="0.3">
      <c r="A258" s="181" t="s">
        <v>60</v>
      </c>
      <c r="B258" s="181"/>
      <c r="C258" s="181"/>
      <c r="D258" s="181"/>
      <c r="E258" s="181"/>
      <c r="F258" s="181"/>
      <c r="G258" s="181"/>
      <c r="H258" s="181"/>
    </row>
    <row r="259" spans="1:8" x14ac:dyDescent="0.3">
      <c r="A259" s="123" t="s">
        <v>61</v>
      </c>
      <c r="B259" s="123"/>
      <c r="C259" s="123"/>
      <c r="D259" s="123"/>
      <c r="E259" s="123"/>
      <c r="F259" s="123"/>
      <c r="G259" s="123"/>
      <c r="H259" s="123"/>
    </row>
    <row r="260" spans="1:8" ht="15.75" customHeight="1" x14ac:dyDescent="0.3">
      <c r="A260" s="194" t="s">
        <v>62</v>
      </c>
      <c r="B260" s="194"/>
      <c r="C260" s="194"/>
      <c r="D260" s="194"/>
      <c r="E260" s="194"/>
      <c r="F260" s="194"/>
      <c r="G260" s="194"/>
      <c r="H260" s="194"/>
    </row>
    <row r="261" spans="1:8" x14ac:dyDescent="0.3">
      <c r="A261" s="123" t="s">
        <v>63</v>
      </c>
      <c r="B261" s="123"/>
      <c r="C261" s="123"/>
      <c r="D261" s="123"/>
      <c r="E261" s="123"/>
      <c r="F261" s="123"/>
      <c r="G261" s="123"/>
      <c r="H261" s="123"/>
    </row>
    <row r="262" spans="1:8" x14ac:dyDescent="0.3">
      <c r="A262" s="123" t="s">
        <v>64</v>
      </c>
      <c r="B262" s="123"/>
      <c r="C262" s="123"/>
      <c r="D262" s="123"/>
      <c r="E262" s="123"/>
      <c r="F262" s="123"/>
      <c r="G262" s="123"/>
      <c r="H262" s="123"/>
    </row>
    <row r="263" spans="1:8" x14ac:dyDescent="0.3">
      <c r="A263" s="123" t="s">
        <v>124</v>
      </c>
      <c r="B263" s="123"/>
      <c r="C263" s="123"/>
      <c r="D263" s="123"/>
      <c r="E263" s="123"/>
      <c r="F263" s="123"/>
      <c r="G263" s="123"/>
      <c r="H263" s="123"/>
    </row>
    <row r="264" spans="1:8" ht="33.9" customHeight="1" x14ac:dyDescent="0.3">
      <c r="A264" s="137" t="s">
        <v>125</v>
      </c>
      <c r="B264" s="137"/>
      <c r="C264" s="137"/>
      <c r="D264" s="137"/>
      <c r="E264" s="137"/>
      <c r="F264" s="137"/>
      <c r="G264" s="137"/>
      <c r="H264" s="137"/>
    </row>
    <row r="265" spans="1:8" x14ac:dyDescent="0.3">
      <c r="A265" s="177" t="s">
        <v>75</v>
      </c>
      <c r="B265" s="177"/>
      <c r="C265" s="177" t="s">
        <v>274</v>
      </c>
      <c r="D265" s="177"/>
      <c r="E265" s="177" t="s">
        <v>105</v>
      </c>
      <c r="F265" s="177"/>
      <c r="G265" s="177" t="s">
        <v>351</v>
      </c>
      <c r="H265" s="177"/>
    </row>
    <row r="266" spans="1:8" x14ac:dyDescent="0.3">
      <c r="A266" s="176" t="s">
        <v>77</v>
      </c>
      <c r="B266" s="176"/>
      <c r="C266" s="176"/>
      <c r="D266" s="176"/>
      <c r="E266" s="176"/>
      <c r="F266" s="176"/>
      <c r="G266" s="176"/>
      <c r="H266" s="176"/>
    </row>
    <row r="267" spans="1:8" x14ac:dyDescent="0.3">
      <c r="A267" s="176"/>
      <c r="B267" s="176"/>
      <c r="C267" s="176"/>
      <c r="D267" s="176"/>
      <c r="E267" s="176"/>
      <c r="F267" s="176"/>
      <c r="G267" s="176"/>
      <c r="H267" s="176"/>
    </row>
    <row r="268" spans="1:8" x14ac:dyDescent="0.3">
      <c r="A268" s="176"/>
      <c r="B268" s="176"/>
      <c r="C268" s="176"/>
      <c r="D268" s="176"/>
      <c r="E268" s="176"/>
      <c r="F268" s="176"/>
      <c r="G268" s="176"/>
      <c r="H268" s="176"/>
    </row>
    <row r="269" spans="1:8" x14ac:dyDescent="0.3">
      <c r="A269" s="176"/>
      <c r="B269" s="176"/>
      <c r="C269" s="176"/>
      <c r="D269" s="176"/>
      <c r="E269" s="176"/>
      <c r="F269" s="176"/>
      <c r="G269" s="176"/>
      <c r="H269" s="176"/>
    </row>
    <row r="270" spans="1:8" x14ac:dyDescent="0.3">
      <c r="A270" s="34" t="s">
        <v>65</v>
      </c>
      <c r="B270" s="35"/>
      <c r="C270" s="35"/>
      <c r="D270" s="34" t="str">
        <f>E8</f>
        <v>The Address By GS Tower C &amp; E and Invictus</v>
      </c>
      <c r="F270" s="35"/>
      <c r="G270" s="35"/>
      <c r="H270" s="35"/>
    </row>
    <row r="271" spans="1:8" x14ac:dyDescent="0.3">
      <c r="A271" s="35"/>
      <c r="B271" s="35"/>
      <c r="C271" s="35"/>
      <c r="D271" s="35"/>
      <c r="E271" s="35"/>
      <c r="F271" s="35"/>
      <c r="G271" s="35"/>
      <c r="H271" s="35"/>
    </row>
    <row r="272" spans="1:8" x14ac:dyDescent="0.3">
      <c r="A272" s="35"/>
      <c r="B272" s="35"/>
      <c r="C272" s="35"/>
      <c r="D272" s="35"/>
      <c r="E272" s="35"/>
      <c r="F272" s="35"/>
      <c r="G272" s="35"/>
      <c r="H272" s="35"/>
    </row>
    <row r="273" ht="15" customHeight="1" x14ac:dyDescent="0.3"/>
    <row r="312" spans="1:1" x14ac:dyDescent="0.3">
      <c r="A312" s="37" t="s">
        <v>161</v>
      </c>
    </row>
    <row r="354" spans="1:1" x14ac:dyDescent="0.3">
      <c r="A354" s="37" t="s">
        <v>66</v>
      </c>
    </row>
  </sheetData>
  <mergeCells count="472">
    <mergeCell ref="A84:B84"/>
    <mergeCell ref="C71:H71"/>
    <mergeCell ref="D61:H61"/>
    <mergeCell ref="A82:B82"/>
    <mergeCell ref="A137:B137"/>
    <mergeCell ref="C137:D137"/>
    <mergeCell ref="E137:F137"/>
    <mergeCell ref="G137:H137"/>
    <mergeCell ref="A107:B107"/>
    <mergeCell ref="A108:B108"/>
    <mergeCell ref="A109:B109"/>
    <mergeCell ref="A110:B110"/>
    <mergeCell ref="A111:B111"/>
    <mergeCell ref="A112:B112"/>
    <mergeCell ref="D63:H63"/>
    <mergeCell ref="A61:C63"/>
    <mergeCell ref="A99:B99"/>
    <mergeCell ref="C99:H99"/>
    <mergeCell ref="A101:B101"/>
    <mergeCell ref="C101:H101"/>
    <mergeCell ref="A102:B102"/>
    <mergeCell ref="E102:F102"/>
    <mergeCell ref="G102:H102"/>
    <mergeCell ref="A75:B75"/>
    <mergeCell ref="G74:H74"/>
    <mergeCell ref="A71:B71"/>
    <mergeCell ref="D62:H62"/>
    <mergeCell ref="A85:B85"/>
    <mergeCell ref="C85:H85"/>
    <mergeCell ref="A87:B87"/>
    <mergeCell ref="C87:H87"/>
    <mergeCell ref="A88:B88"/>
    <mergeCell ref="A81:B81"/>
    <mergeCell ref="A76:B76"/>
    <mergeCell ref="A78:B78"/>
    <mergeCell ref="E74:F74"/>
    <mergeCell ref="A67:C67"/>
    <mergeCell ref="D67:H67"/>
    <mergeCell ref="C73:H73"/>
    <mergeCell ref="A74:B74"/>
    <mergeCell ref="A77:B77"/>
    <mergeCell ref="A73:B73"/>
    <mergeCell ref="A70:C70"/>
    <mergeCell ref="D69:H69"/>
    <mergeCell ref="D70:H70"/>
    <mergeCell ref="E88:F88"/>
    <mergeCell ref="G88:H88"/>
    <mergeCell ref="L243:M243"/>
    <mergeCell ref="A238:H238"/>
    <mergeCell ref="A239:B239"/>
    <mergeCell ref="G239:H242"/>
    <mergeCell ref="L239:M239"/>
    <mergeCell ref="A240:B240"/>
    <mergeCell ref="L240:M240"/>
    <mergeCell ref="A241:B241"/>
    <mergeCell ref="L241:M241"/>
    <mergeCell ref="A242:B242"/>
    <mergeCell ref="L242:M242"/>
    <mergeCell ref="L237:M237"/>
    <mergeCell ref="A227:B227"/>
    <mergeCell ref="A228:H228"/>
    <mergeCell ref="A229:B229"/>
    <mergeCell ref="G229:H232"/>
    <mergeCell ref="A230:B230"/>
    <mergeCell ref="A231:B231"/>
    <mergeCell ref="A232:B232"/>
    <mergeCell ref="C226:F227"/>
    <mergeCell ref="C231:F232"/>
    <mergeCell ref="A233:H233"/>
    <mergeCell ref="A234:B234"/>
    <mergeCell ref="G234:H237"/>
    <mergeCell ref="L234:M234"/>
    <mergeCell ref="A235:B235"/>
    <mergeCell ref="L235:M235"/>
    <mergeCell ref="A236:B236"/>
    <mergeCell ref="L236:M236"/>
    <mergeCell ref="F114:H114"/>
    <mergeCell ref="G130:H130"/>
    <mergeCell ref="F121:H121"/>
    <mergeCell ref="L193:M193"/>
    <mergeCell ref="A194:B194"/>
    <mergeCell ref="L194:M194"/>
    <mergeCell ref="A195:B195"/>
    <mergeCell ref="L195:M195"/>
    <mergeCell ref="C193:F193"/>
    <mergeCell ref="G190:H195"/>
    <mergeCell ref="A190:B190"/>
    <mergeCell ref="L190:M190"/>
    <mergeCell ref="A191:B191"/>
    <mergeCell ref="L191:M191"/>
    <mergeCell ref="A192:B192"/>
    <mergeCell ref="L192:M192"/>
    <mergeCell ref="G176:H181"/>
    <mergeCell ref="G183:H188"/>
    <mergeCell ref="B141:B142"/>
    <mergeCell ref="A144:A145"/>
    <mergeCell ref="E136:F136"/>
    <mergeCell ref="G136:H136"/>
    <mergeCell ref="A119:E119"/>
    <mergeCell ref="F119:H119"/>
    <mergeCell ref="A103:B103"/>
    <mergeCell ref="E103:F112"/>
    <mergeCell ref="G103:H112"/>
    <mergeCell ref="A104:B104"/>
    <mergeCell ref="A105:B105"/>
    <mergeCell ref="A106:B106"/>
    <mergeCell ref="L186:M186"/>
    <mergeCell ref="L183:M183"/>
    <mergeCell ref="L184:M184"/>
    <mergeCell ref="A185:B185"/>
    <mergeCell ref="L185:M185"/>
    <mergeCell ref="A177:B177"/>
    <mergeCell ref="A178:B178"/>
    <mergeCell ref="A179:B179"/>
    <mergeCell ref="A163:H163"/>
    <mergeCell ref="A173:B173"/>
    <mergeCell ref="A174:B174"/>
    <mergeCell ref="A184:B184"/>
    <mergeCell ref="A166:H166"/>
    <mergeCell ref="A167:H167"/>
    <mergeCell ref="A164:H164"/>
    <mergeCell ref="A175:H175"/>
    <mergeCell ref="C136:D136"/>
    <mergeCell ref="C179:F180"/>
    <mergeCell ref="I14:P14"/>
    <mergeCell ref="F124:H124"/>
    <mergeCell ref="F122:H122"/>
    <mergeCell ref="A140:H140"/>
    <mergeCell ref="G129:H129"/>
    <mergeCell ref="A123:E123"/>
    <mergeCell ref="A170:B170"/>
    <mergeCell ref="A56:B56"/>
    <mergeCell ref="C56:E56"/>
    <mergeCell ref="D58:H58"/>
    <mergeCell ref="F123:H123"/>
    <mergeCell ref="E129:F129"/>
    <mergeCell ref="A129:B129"/>
    <mergeCell ref="A131:B131"/>
    <mergeCell ref="C134:D134"/>
    <mergeCell ref="D68:H68"/>
    <mergeCell ref="A69:C69"/>
    <mergeCell ref="A46:D46"/>
    <mergeCell ref="A47:H47"/>
    <mergeCell ref="D60:H60"/>
    <mergeCell ref="A60:C60"/>
    <mergeCell ref="A80:B80"/>
    <mergeCell ref="A49:B49"/>
    <mergeCell ref="C53:H53"/>
    <mergeCell ref="C49:E49"/>
    <mergeCell ref="G49:H49"/>
    <mergeCell ref="G52:H52"/>
    <mergeCell ref="A50:B50"/>
    <mergeCell ref="A57:H57"/>
    <mergeCell ref="A58:C58"/>
    <mergeCell ref="A59:C59"/>
    <mergeCell ref="D59:H59"/>
    <mergeCell ref="C50:E50"/>
    <mergeCell ref="G50:H50"/>
    <mergeCell ref="C52:E52"/>
    <mergeCell ref="A51:B51"/>
    <mergeCell ref="C51:E51"/>
    <mergeCell ref="G51:H51"/>
    <mergeCell ref="C54:E54"/>
    <mergeCell ref="G54:H54"/>
    <mergeCell ref="C55:H55"/>
    <mergeCell ref="A52:B53"/>
    <mergeCell ref="A54:B55"/>
    <mergeCell ref="A206:B206"/>
    <mergeCell ref="C204:F204"/>
    <mergeCell ref="C206:F206"/>
    <mergeCell ref="C199:F199"/>
    <mergeCell ref="G169:H174"/>
    <mergeCell ref="A180:B180"/>
    <mergeCell ref="A181:B181"/>
    <mergeCell ref="A205:B205"/>
    <mergeCell ref="A203:B203"/>
    <mergeCell ref="A169:B169"/>
    <mergeCell ref="C178:F178"/>
    <mergeCell ref="A259:H259"/>
    <mergeCell ref="B249:H249"/>
    <mergeCell ref="A244:H244"/>
    <mergeCell ref="A210:B210"/>
    <mergeCell ref="A207:H207"/>
    <mergeCell ref="A217:B217"/>
    <mergeCell ref="A213:B213"/>
    <mergeCell ref="A237:B237"/>
    <mergeCell ref="B256:H256"/>
    <mergeCell ref="C240:F240"/>
    <mergeCell ref="A243:H243"/>
    <mergeCell ref="B257:H257"/>
    <mergeCell ref="A263:H263"/>
    <mergeCell ref="A260:H260"/>
    <mergeCell ref="A197:B197"/>
    <mergeCell ref="A134:B134"/>
    <mergeCell ref="D144:D145"/>
    <mergeCell ref="E144:E145"/>
    <mergeCell ref="G144:H145"/>
    <mergeCell ref="B254:H254"/>
    <mergeCell ref="A193:B193"/>
    <mergeCell ref="B253:H253"/>
    <mergeCell ref="B251:H251"/>
    <mergeCell ref="B247:H247"/>
    <mergeCell ref="A214:B214"/>
    <mergeCell ref="A212:H212"/>
    <mergeCell ref="A183:B183"/>
    <mergeCell ref="C144:C145"/>
    <mergeCell ref="C141:C142"/>
    <mergeCell ref="B144:B145"/>
    <mergeCell ref="C171:F171"/>
    <mergeCell ref="B255:H255"/>
    <mergeCell ref="A146:H146"/>
    <mergeCell ref="A218:H218"/>
    <mergeCell ref="A219:H219"/>
    <mergeCell ref="A220:H220"/>
    <mergeCell ref="A120:E120"/>
    <mergeCell ref="A122:E122"/>
    <mergeCell ref="G138:H138"/>
    <mergeCell ref="A135:B135"/>
    <mergeCell ref="C135:D135"/>
    <mergeCell ref="C129:D129"/>
    <mergeCell ref="G132:H132"/>
    <mergeCell ref="C130:D130"/>
    <mergeCell ref="E130:F130"/>
    <mergeCell ref="A125:E125"/>
    <mergeCell ref="F125:H125"/>
    <mergeCell ref="F116:H116"/>
    <mergeCell ref="A121:E121"/>
    <mergeCell ref="A143:H143"/>
    <mergeCell ref="E134:F134"/>
    <mergeCell ref="A141:A142"/>
    <mergeCell ref="F120:H120"/>
    <mergeCell ref="A14:D14"/>
    <mergeCell ref="E42:H42"/>
    <mergeCell ref="A79:B79"/>
    <mergeCell ref="A66:C66"/>
    <mergeCell ref="G19:H19"/>
    <mergeCell ref="A25:D25"/>
    <mergeCell ref="E25:H25"/>
    <mergeCell ref="A24:D24"/>
    <mergeCell ref="E24:H24"/>
    <mergeCell ref="A29:D29"/>
    <mergeCell ref="E29:H29"/>
    <mergeCell ref="A26:D26"/>
    <mergeCell ref="A20:B20"/>
    <mergeCell ref="C20:D20"/>
    <mergeCell ref="E20:F20"/>
    <mergeCell ref="G20:H20"/>
    <mergeCell ref="A21:B21"/>
    <mergeCell ref="C21:D21"/>
    <mergeCell ref="A266:H269"/>
    <mergeCell ref="A265:B265"/>
    <mergeCell ref="E265:F265"/>
    <mergeCell ref="C265:D265"/>
    <mergeCell ref="G265:H265"/>
    <mergeCell ref="A128:H128"/>
    <mergeCell ref="A126:E126"/>
    <mergeCell ref="F126:H126"/>
    <mergeCell ref="A127:E127"/>
    <mergeCell ref="F127:H127"/>
    <mergeCell ref="A196:H196"/>
    <mergeCell ref="A136:B136"/>
    <mergeCell ref="A204:B204"/>
    <mergeCell ref="A130:B130"/>
    <mergeCell ref="A261:H261"/>
    <mergeCell ref="A133:H133"/>
    <mergeCell ref="A264:H264"/>
    <mergeCell ref="A262:H262"/>
    <mergeCell ref="A258:H258"/>
    <mergeCell ref="E135:F135"/>
    <mergeCell ref="G135:H135"/>
    <mergeCell ref="A138:B138"/>
    <mergeCell ref="C138:D138"/>
    <mergeCell ref="E138:F13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E13:H13"/>
    <mergeCell ref="E21:F21"/>
    <mergeCell ref="G21:H21"/>
    <mergeCell ref="E26:H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28:D28"/>
    <mergeCell ref="E28:H28"/>
    <mergeCell ref="A37:H37"/>
    <mergeCell ref="A36:B36"/>
    <mergeCell ref="C36:E36"/>
    <mergeCell ref="A41:D41"/>
    <mergeCell ref="E41:H41"/>
    <mergeCell ref="A40:H40"/>
    <mergeCell ref="A64:C64"/>
    <mergeCell ref="A65:C65"/>
    <mergeCell ref="D64:H64"/>
    <mergeCell ref="D65:H65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F36:H36"/>
    <mergeCell ref="A39:B39"/>
    <mergeCell ref="C39:H39"/>
    <mergeCell ref="G56:H56"/>
    <mergeCell ref="A42:D42"/>
    <mergeCell ref="L196:M196"/>
    <mergeCell ref="A116:E116"/>
    <mergeCell ref="F117:H117"/>
    <mergeCell ref="A118:E118"/>
    <mergeCell ref="A202:H202"/>
    <mergeCell ref="A186:B186"/>
    <mergeCell ref="A199:B199"/>
    <mergeCell ref="E141:E142"/>
    <mergeCell ref="G141:H142"/>
    <mergeCell ref="A198:B198"/>
    <mergeCell ref="A124:E124"/>
    <mergeCell ref="C131:D131"/>
    <mergeCell ref="E131:F131"/>
    <mergeCell ref="G131:H131"/>
    <mergeCell ref="A132:B132"/>
    <mergeCell ref="C132:D132"/>
    <mergeCell ref="E132:F132"/>
    <mergeCell ref="A187:B187"/>
    <mergeCell ref="L187:M187"/>
    <mergeCell ref="A188:B188"/>
    <mergeCell ref="L188:M188"/>
    <mergeCell ref="A189:H189"/>
    <mergeCell ref="A200:B200"/>
    <mergeCell ref="C172:F173"/>
    <mergeCell ref="A48:B48"/>
    <mergeCell ref="C48:H48"/>
    <mergeCell ref="B250:H250"/>
    <mergeCell ref="F115:H115"/>
    <mergeCell ref="A115:E115"/>
    <mergeCell ref="D141:D142"/>
    <mergeCell ref="A117:E117"/>
    <mergeCell ref="A165:H165"/>
    <mergeCell ref="A211:B211"/>
    <mergeCell ref="G208:H211"/>
    <mergeCell ref="B248:H248"/>
    <mergeCell ref="C214:F214"/>
    <mergeCell ref="C217:F217"/>
    <mergeCell ref="C215:F216"/>
    <mergeCell ref="G213:H217"/>
    <mergeCell ref="B245:H245"/>
    <mergeCell ref="B246:H246"/>
    <mergeCell ref="A216:B216"/>
    <mergeCell ref="A68:C68"/>
    <mergeCell ref="E75:F84"/>
    <mergeCell ref="G75:H84"/>
    <mergeCell ref="D66:H66"/>
    <mergeCell ref="A209:B209"/>
    <mergeCell ref="A83:B83"/>
    <mergeCell ref="L152:M152"/>
    <mergeCell ref="A153:B153"/>
    <mergeCell ref="L153:M153"/>
    <mergeCell ref="A154:B154"/>
    <mergeCell ref="L154:M154"/>
    <mergeCell ref="G152:H154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G134:H134"/>
    <mergeCell ref="F113:H113"/>
    <mergeCell ref="F118:H118"/>
    <mergeCell ref="A113:E113"/>
    <mergeCell ref="A114:E114"/>
    <mergeCell ref="A139:H139"/>
    <mergeCell ref="L162:M162"/>
    <mergeCell ref="A155:H155"/>
    <mergeCell ref="A156:B156"/>
    <mergeCell ref="L156:M156"/>
    <mergeCell ref="A157:B157"/>
    <mergeCell ref="L157:M157"/>
    <mergeCell ref="A158:B158"/>
    <mergeCell ref="L158:M158"/>
    <mergeCell ref="G156:H158"/>
    <mergeCell ref="G160:H162"/>
    <mergeCell ref="A159:H159"/>
    <mergeCell ref="A160:B160"/>
    <mergeCell ref="L160:M160"/>
    <mergeCell ref="A161:B161"/>
    <mergeCell ref="L161:M161"/>
    <mergeCell ref="A162:B162"/>
    <mergeCell ref="A147:H147"/>
    <mergeCell ref="A148:H148"/>
    <mergeCell ref="A149:H149"/>
    <mergeCell ref="A150:H150"/>
    <mergeCell ref="A151:H151"/>
    <mergeCell ref="A152:B152"/>
    <mergeCell ref="G203:H206"/>
    <mergeCell ref="G197:H201"/>
    <mergeCell ref="B252:H252"/>
    <mergeCell ref="A208:B208"/>
    <mergeCell ref="A201:B201"/>
    <mergeCell ref="A215:B215"/>
    <mergeCell ref="A176:B176"/>
    <mergeCell ref="A172:B172"/>
    <mergeCell ref="A171:B171"/>
    <mergeCell ref="A168:H168"/>
    <mergeCell ref="A221:H221"/>
    <mergeCell ref="A222:H222"/>
    <mergeCell ref="A223:H223"/>
    <mergeCell ref="A224:B224"/>
    <mergeCell ref="G224:H227"/>
    <mergeCell ref="A225:B225"/>
    <mergeCell ref="A226:B226"/>
    <mergeCell ref="A182:H182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41:E142" xr:uid="{00000000-0002-0000-0000-000003000000}">
      <formula1>"Attached Loft area,Attached Terrace area,Attached Mezzanine area"</formula1>
    </dataValidation>
    <dataValidation type="list" allowBlank="1" showInputMessage="1" showErrorMessage="1" sqref="F142 F145" xr:uid="{00000000-0002-0000-0000-000004000000}">
      <formula1>"45%,50%,55%,60%"</formula1>
    </dataValidation>
    <dataValidation type="list" allowBlank="1" showInputMessage="1" showErrorMessage="1" sqref="G265:H265" xr:uid="{00000000-0002-0000-0000-000005000000}">
      <formula1>"Kunal Kadam,Pranita Mhatre,Shruti Fule,Pooja Kawale,Mansee Mohite,Anjali Kamble, Hitakshi Mhatre, Sachin Sawant"</formula1>
    </dataValidation>
    <dataValidation type="list" allowBlank="1" showInputMessage="1" showErrorMessage="1" sqref="F113:H113" xr:uid="{00000000-0002-0000-0000-000006000000}">
      <formula1>"On Saleable Area,On Builtup Area,On Carpet Area,On Plot Area"</formula1>
    </dataValidation>
    <dataValidation type="list" allowBlank="1" showInputMessage="1" showErrorMessage="1" sqref="F126:H126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41 F144" xr:uid="{00000000-0002-0000-0000-000008000000}">
      <formula1>"Saleable area Loading :,Builder Saleable area"</formula1>
    </dataValidation>
    <dataValidation type="list" allowBlank="1" showInputMessage="1" showErrorMessage="1" sqref="B141:B142" xr:uid="{00000000-0002-0000-0000-000009000000}">
      <formula1>"Shop No. (Sale Plan),Sale / Rehab,Sale / Mhada"</formula1>
    </dataValidation>
    <dataValidation type="list" allowBlank="1" showInputMessage="1" showErrorMessage="1" sqref="B144:B145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K67" display="https://www.raymondrealtythane.com/addressbygs/?utm_source=google&amp;utm_medium=cpc&amp;utm_campaign=Raymond%20Addressbygs%20Thane&amp;utm_term=raymond%20gs%20tower&amp;utm_Physical_Location=9300430&amp;utm_Targetid=kwd-2172169665119&amp;utm_Target=&amp;utm_Placement=&amp;utm_Adpositio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4" max="16383" man="1"/>
    <brk id="269" max="16383" man="1"/>
    <brk id="311" max="16383" man="1"/>
    <brk id="353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41" t="s">
        <v>106</v>
      </c>
      <c r="C3" s="241"/>
      <c r="D3" s="241"/>
      <c r="E3" s="241"/>
      <c r="F3" s="241"/>
      <c r="G3" s="241"/>
      <c r="H3" s="241"/>
    </row>
    <row r="4" spans="1:9" x14ac:dyDescent="0.3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6"/>
      <c r="C4" s="46" t="s">
        <v>12</v>
      </c>
      <c r="D4" s="47" t="s">
        <v>173</v>
      </c>
      <c r="E4" s="47" t="s">
        <v>183</v>
      </c>
      <c r="F4" s="47" t="s">
        <v>168</v>
      </c>
      <c r="G4" s="47" t="s">
        <v>188</v>
      </c>
      <c r="H4" s="47" t="s">
        <v>206</v>
      </c>
      <c r="J4" t="s">
        <v>188</v>
      </c>
      <c r="K4" t="s">
        <v>204</v>
      </c>
    </row>
    <row r="5" spans="2:11" x14ac:dyDescent="0.3">
      <c r="B5" s="46"/>
      <c r="C5" s="46"/>
      <c r="D5" s="47" t="s">
        <v>174</v>
      </c>
      <c r="E5" s="47" t="s">
        <v>181</v>
      </c>
      <c r="F5" s="47" t="s">
        <v>203</v>
      </c>
      <c r="G5" s="47" t="s">
        <v>189</v>
      </c>
      <c r="H5" s="47" t="s">
        <v>207</v>
      </c>
    </row>
    <row r="6" spans="2:11" x14ac:dyDescent="0.3">
      <c r="B6" s="46"/>
      <c r="C6" s="46"/>
      <c r="D6" s="47" t="s">
        <v>175</v>
      </c>
      <c r="E6" s="47" t="s">
        <v>182</v>
      </c>
      <c r="F6" s="47" t="s">
        <v>204</v>
      </c>
      <c r="G6" s="47" t="s">
        <v>190</v>
      </c>
      <c r="H6" s="47" t="s">
        <v>220</v>
      </c>
    </row>
    <row r="7" spans="2:11" x14ac:dyDescent="0.3">
      <c r="B7" s="46"/>
      <c r="C7" s="46"/>
      <c r="D7" s="47" t="s">
        <v>176</v>
      </c>
      <c r="E7" s="47" t="s">
        <v>184</v>
      </c>
      <c r="F7" s="47" t="s">
        <v>205</v>
      </c>
      <c r="G7" s="47" t="s">
        <v>191</v>
      </c>
      <c r="H7" s="47" t="s">
        <v>208</v>
      </c>
    </row>
    <row r="8" spans="2:11" x14ac:dyDescent="0.3">
      <c r="B8" s="46"/>
      <c r="C8" s="46"/>
      <c r="D8" s="47" t="s">
        <v>177</v>
      </c>
      <c r="E8" s="47" t="s">
        <v>185</v>
      </c>
      <c r="F8" s="47"/>
      <c r="G8" s="47" t="s">
        <v>192</v>
      </c>
      <c r="H8" s="47" t="s">
        <v>209</v>
      </c>
    </row>
    <row r="9" spans="2:11" x14ac:dyDescent="0.3">
      <c r="B9" s="46"/>
      <c r="C9" s="46"/>
      <c r="D9" s="47" t="s">
        <v>178</v>
      </c>
      <c r="E9" s="47" t="s">
        <v>183</v>
      </c>
      <c r="F9" s="47"/>
      <c r="G9" s="47" t="s">
        <v>193</v>
      </c>
      <c r="H9" s="47" t="s">
        <v>210</v>
      </c>
    </row>
    <row r="10" spans="2:11" x14ac:dyDescent="0.3">
      <c r="B10" s="46"/>
      <c r="C10" s="46"/>
      <c r="D10" s="47" t="s">
        <v>179</v>
      </c>
      <c r="E10" s="47" t="s">
        <v>186</v>
      </c>
      <c r="F10" s="47"/>
      <c r="G10" s="47" t="s">
        <v>194</v>
      </c>
      <c r="H10" s="47" t="s">
        <v>211</v>
      </c>
    </row>
    <row r="11" spans="2:11" x14ac:dyDescent="0.3">
      <c r="B11" s="46"/>
      <c r="C11" s="46"/>
      <c r="D11" s="47" t="s">
        <v>180</v>
      </c>
      <c r="E11" s="47" t="s">
        <v>187</v>
      </c>
      <c r="F11" s="47"/>
      <c r="G11" s="47" t="s">
        <v>195</v>
      </c>
      <c r="H11" s="47" t="s">
        <v>212</v>
      </c>
    </row>
    <row r="12" spans="2:11" x14ac:dyDescent="0.3">
      <c r="B12" s="46"/>
      <c r="C12" s="46"/>
      <c r="D12" s="47"/>
      <c r="E12" s="47"/>
      <c r="F12" s="47"/>
      <c r="G12" s="47" t="s">
        <v>196</v>
      </c>
      <c r="H12" s="47" t="s">
        <v>213</v>
      </c>
    </row>
    <row r="13" spans="2:11" x14ac:dyDescent="0.3">
      <c r="B13" s="46"/>
      <c r="C13" s="46"/>
      <c r="D13" s="47"/>
      <c r="E13" s="47"/>
      <c r="F13" s="47"/>
      <c r="G13" s="47" t="s">
        <v>197</v>
      </c>
      <c r="H13" s="47" t="s">
        <v>214</v>
      </c>
    </row>
    <row r="14" spans="2:11" x14ac:dyDescent="0.3">
      <c r="B14" s="46"/>
      <c r="C14" s="46"/>
      <c r="D14" s="47"/>
      <c r="E14" s="47"/>
      <c r="F14" s="47"/>
      <c r="G14" s="47" t="s">
        <v>198</v>
      </c>
      <c r="H14" s="47" t="s">
        <v>215</v>
      </c>
    </row>
    <row r="15" spans="2:11" x14ac:dyDescent="0.3">
      <c r="B15" s="46"/>
      <c r="C15" s="46"/>
      <c r="D15" s="47"/>
      <c r="E15" s="47"/>
      <c r="F15" s="47"/>
      <c r="G15" s="47" t="s">
        <v>199</v>
      </c>
      <c r="H15" s="47" t="s">
        <v>216</v>
      </c>
    </row>
    <row r="16" spans="2:11" x14ac:dyDescent="0.3">
      <c r="B16" s="46"/>
      <c r="C16" s="46"/>
      <c r="D16" s="47"/>
      <c r="E16" s="47"/>
      <c r="F16" s="47"/>
      <c r="G16" s="47" t="s">
        <v>200</v>
      </c>
      <c r="H16" s="47" t="s">
        <v>217</v>
      </c>
    </row>
    <row r="17" spans="2:8" x14ac:dyDescent="0.3">
      <c r="B17" s="46"/>
      <c r="C17" s="46"/>
      <c r="D17" s="47"/>
      <c r="E17" s="47"/>
      <c r="F17" s="47"/>
      <c r="G17" s="47" t="s">
        <v>201</v>
      </c>
      <c r="H17" s="47" t="s">
        <v>218</v>
      </c>
    </row>
    <row r="18" spans="2:8" x14ac:dyDescent="0.3">
      <c r="B18" s="46"/>
      <c r="C18" s="46"/>
      <c r="D18" s="47"/>
      <c r="E18" s="47"/>
      <c r="F18" s="47"/>
      <c r="G18" s="47" t="s">
        <v>202</v>
      </c>
      <c r="H18" s="47" t="s">
        <v>219</v>
      </c>
    </row>
    <row r="24" spans="2:8" x14ac:dyDescent="0.3">
      <c r="C24" t="s">
        <v>166</v>
      </c>
    </row>
    <row r="25" spans="2:8" x14ac:dyDescent="0.3">
      <c r="C25" t="s">
        <v>221</v>
      </c>
    </row>
    <row r="26" spans="2:8" x14ac:dyDescent="0.3">
      <c r="C26" t="s">
        <v>222</v>
      </c>
    </row>
    <row r="27" spans="2:8" x14ac:dyDescent="0.3">
      <c r="C27" t="s">
        <v>223</v>
      </c>
    </row>
    <row r="28" spans="2:8" x14ac:dyDescent="0.3">
      <c r="C28" t="s">
        <v>224</v>
      </c>
    </row>
    <row r="29" spans="2:8" x14ac:dyDescent="0.3">
      <c r="C29" t="s">
        <v>225</v>
      </c>
    </row>
    <row r="30" spans="2:8" x14ac:dyDescent="0.3">
      <c r="C30" t="s">
        <v>166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56"/>
  <sheetViews>
    <sheetView topLeftCell="C43" workbookViewId="0">
      <selection activeCell="E27" sqref="E27"/>
    </sheetView>
  </sheetViews>
  <sheetFormatPr defaultRowHeight="14.4" x14ac:dyDescent="0.3"/>
  <sheetData>
    <row r="1" spans="2:15" ht="15" customHeight="1" x14ac:dyDescent="0.3">
      <c r="C1" s="70" t="s">
        <v>305</v>
      </c>
      <c r="D1" s="242" t="s">
        <v>335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2:15" x14ac:dyDescent="0.3">
      <c r="E2" s="71"/>
      <c r="F2" s="71"/>
      <c r="G2" s="71"/>
      <c r="H2" s="71"/>
      <c r="I2" s="71"/>
      <c r="J2" s="71"/>
    </row>
    <row r="3" spans="2:15" x14ac:dyDescent="0.3">
      <c r="B3" s="70" t="s">
        <v>68</v>
      </c>
      <c r="C3" s="72" t="s">
        <v>306</v>
      </c>
      <c r="D3" s="243" t="s">
        <v>307</v>
      </c>
      <c r="E3" s="243"/>
      <c r="F3" s="243"/>
      <c r="G3" s="73"/>
      <c r="H3" s="243" t="s">
        <v>308</v>
      </c>
      <c r="I3" s="243"/>
      <c r="J3" s="243"/>
      <c r="K3" s="243" t="s">
        <v>309</v>
      </c>
      <c r="L3" s="243"/>
      <c r="M3" s="243"/>
    </row>
    <row r="4" spans="2:15" x14ac:dyDescent="0.3">
      <c r="B4" s="70">
        <v>1</v>
      </c>
      <c r="C4" s="72"/>
      <c r="D4" s="72" t="s">
        <v>310</v>
      </c>
      <c r="E4" s="72" t="s">
        <v>311</v>
      </c>
      <c r="F4" s="72" t="s">
        <v>312</v>
      </c>
      <c r="G4" s="72"/>
      <c r="H4" s="72" t="s">
        <v>310</v>
      </c>
      <c r="I4" s="72" t="s">
        <v>311</v>
      </c>
      <c r="J4" s="72" t="s">
        <v>312</v>
      </c>
      <c r="K4" s="72" t="s">
        <v>310</v>
      </c>
      <c r="L4" s="72" t="s">
        <v>311</v>
      </c>
      <c r="M4" s="72" t="s">
        <v>312</v>
      </c>
    </row>
    <row r="5" spans="2:15" x14ac:dyDescent="0.3">
      <c r="B5" s="70">
        <f>B4+1</f>
        <v>2</v>
      </c>
      <c r="C5" s="74" t="s">
        <v>313</v>
      </c>
      <c r="D5" s="74">
        <v>4.9000000000000004</v>
      </c>
      <c r="E5" s="74">
        <v>6.13</v>
      </c>
      <c r="F5" s="74">
        <f>D5*E5</f>
        <v>30.037000000000003</v>
      </c>
      <c r="G5" s="74" t="s">
        <v>346</v>
      </c>
      <c r="H5" s="74">
        <v>4.66</v>
      </c>
      <c r="I5" s="74">
        <v>1.4</v>
      </c>
      <c r="J5" s="74">
        <f>H5*I5</f>
        <v>6.524</v>
      </c>
      <c r="K5" s="74"/>
      <c r="L5" s="74"/>
      <c r="M5" s="74">
        <f>K5*L5</f>
        <v>0</v>
      </c>
    </row>
    <row r="6" spans="2:15" x14ac:dyDescent="0.3">
      <c r="B6" s="70">
        <f t="shared" ref="B6:B7" si="0">B5+1</f>
        <v>3</v>
      </c>
      <c r="C6" t="s">
        <v>319</v>
      </c>
      <c r="D6" s="75">
        <v>4.9000000000000004</v>
      </c>
      <c r="E6" s="75">
        <v>4.26</v>
      </c>
      <c r="F6" s="75">
        <f t="shared" ref="F6:F54" si="1">D6*E6</f>
        <v>20.873999999999999</v>
      </c>
      <c r="G6" s="74" t="s">
        <v>346</v>
      </c>
      <c r="H6" s="74">
        <v>5.0599999999999996</v>
      </c>
      <c r="I6" s="74">
        <v>1.53</v>
      </c>
      <c r="J6" s="74">
        <f t="shared" ref="J6:J54" si="2">H6*I6</f>
        <v>7.7417999999999996</v>
      </c>
      <c r="K6" s="74"/>
      <c r="L6" s="74"/>
      <c r="M6" s="74">
        <f t="shared" ref="M6:M54" si="3">K6*L6</f>
        <v>0</v>
      </c>
      <c r="N6">
        <v>31.16</v>
      </c>
      <c r="O6" t="s">
        <v>316</v>
      </c>
    </row>
    <row r="7" spans="2:15" x14ac:dyDescent="0.3">
      <c r="B7" s="70">
        <f t="shared" si="0"/>
        <v>4</v>
      </c>
      <c r="C7" t="s">
        <v>336</v>
      </c>
      <c r="D7" s="75">
        <v>2.1800000000000002</v>
      </c>
      <c r="E7" s="75">
        <v>2</v>
      </c>
      <c r="F7" s="75">
        <f t="shared" si="1"/>
        <v>4.3600000000000003</v>
      </c>
      <c r="G7" s="74" t="s">
        <v>347</v>
      </c>
      <c r="H7" s="74">
        <v>2.9</v>
      </c>
      <c r="I7" s="74">
        <v>1.37</v>
      </c>
      <c r="J7" s="74">
        <f t="shared" si="2"/>
        <v>3.9730000000000003</v>
      </c>
      <c r="K7" s="74"/>
      <c r="L7" s="74"/>
      <c r="M7" s="74">
        <f t="shared" si="3"/>
        <v>0</v>
      </c>
    </row>
    <row r="8" spans="2:15" x14ac:dyDescent="0.3">
      <c r="C8" t="s">
        <v>317</v>
      </c>
      <c r="D8" s="75">
        <v>3.89</v>
      </c>
      <c r="E8" s="75">
        <v>1.23</v>
      </c>
      <c r="F8" s="75">
        <f t="shared" si="1"/>
        <v>4.7847</v>
      </c>
      <c r="G8" s="74" t="s">
        <v>347</v>
      </c>
      <c r="H8" s="74">
        <v>0.75</v>
      </c>
      <c r="I8" s="74">
        <v>0.97</v>
      </c>
      <c r="J8" s="74">
        <f t="shared" si="2"/>
        <v>0.72750000000000004</v>
      </c>
      <c r="K8" s="74"/>
      <c r="L8" s="74"/>
      <c r="M8" s="74">
        <f t="shared" si="3"/>
        <v>0</v>
      </c>
    </row>
    <row r="9" spans="2:15" x14ac:dyDescent="0.3">
      <c r="C9" t="s">
        <v>317</v>
      </c>
      <c r="D9" s="75">
        <v>0.9</v>
      </c>
      <c r="E9" s="75">
        <v>0.9</v>
      </c>
      <c r="F9" s="75">
        <f t="shared" si="1"/>
        <v>0.81</v>
      </c>
      <c r="G9" s="74" t="s">
        <v>347</v>
      </c>
      <c r="H9" s="74">
        <v>1.02</v>
      </c>
      <c r="I9" s="74">
        <v>1.85</v>
      </c>
      <c r="J9" s="74">
        <f t="shared" si="2"/>
        <v>1.8870000000000002</v>
      </c>
      <c r="K9" s="74"/>
      <c r="L9" s="74"/>
      <c r="M9" s="74">
        <f t="shared" si="3"/>
        <v>0</v>
      </c>
    </row>
    <row r="10" spans="2:15" x14ac:dyDescent="0.3">
      <c r="C10" s="74" t="s">
        <v>337</v>
      </c>
      <c r="D10" s="74">
        <v>3.2</v>
      </c>
      <c r="E10" s="74">
        <v>4.13</v>
      </c>
      <c r="F10" s="74">
        <f t="shared" si="1"/>
        <v>13.216000000000001</v>
      </c>
      <c r="G10" s="74"/>
      <c r="H10" s="74"/>
      <c r="I10" s="74"/>
      <c r="J10" s="74">
        <f t="shared" si="2"/>
        <v>0</v>
      </c>
      <c r="K10" s="74"/>
      <c r="L10" s="74"/>
      <c r="M10" s="74">
        <f t="shared" si="3"/>
        <v>0</v>
      </c>
    </row>
    <row r="11" spans="2:15" x14ac:dyDescent="0.3">
      <c r="C11" s="74" t="s">
        <v>338</v>
      </c>
      <c r="D11" s="74">
        <v>2.0699999999999998</v>
      </c>
      <c r="E11" s="74">
        <v>4.13</v>
      </c>
      <c r="F11" s="74">
        <f t="shared" si="1"/>
        <v>8.5490999999999993</v>
      </c>
      <c r="G11" s="74" t="s">
        <v>315</v>
      </c>
      <c r="H11" s="74"/>
      <c r="I11" s="74"/>
      <c r="J11" s="74">
        <f t="shared" si="2"/>
        <v>0</v>
      </c>
      <c r="K11" s="74"/>
      <c r="L11" s="74"/>
      <c r="M11" s="74">
        <f t="shared" si="3"/>
        <v>0</v>
      </c>
    </row>
    <row r="12" spans="2:15" x14ac:dyDescent="0.3">
      <c r="C12" s="74" t="s">
        <v>339</v>
      </c>
      <c r="D12" s="74">
        <v>3.53</v>
      </c>
      <c r="E12" s="74">
        <v>3.98</v>
      </c>
      <c r="F12" s="74">
        <f t="shared" si="1"/>
        <v>14.049399999999999</v>
      </c>
      <c r="G12" s="74"/>
      <c r="H12" s="74"/>
      <c r="I12" s="74"/>
      <c r="J12" s="74">
        <f t="shared" si="2"/>
        <v>0</v>
      </c>
      <c r="K12" s="74"/>
      <c r="L12" s="74"/>
      <c r="M12" s="74">
        <f t="shared" si="3"/>
        <v>0</v>
      </c>
    </row>
    <row r="13" spans="2:15" x14ac:dyDescent="0.3">
      <c r="C13" s="74" t="s">
        <v>340</v>
      </c>
      <c r="D13" s="74">
        <v>1.55</v>
      </c>
      <c r="E13" s="74">
        <v>2.4500000000000002</v>
      </c>
      <c r="F13" s="74">
        <f t="shared" si="1"/>
        <v>3.7975000000000003</v>
      </c>
      <c r="G13" s="74"/>
      <c r="H13" s="74"/>
      <c r="I13" s="74"/>
      <c r="J13" s="74">
        <f t="shared" si="2"/>
        <v>0</v>
      </c>
      <c r="K13" s="74"/>
      <c r="L13" s="74"/>
      <c r="M13" s="74">
        <f t="shared" si="3"/>
        <v>0</v>
      </c>
    </row>
    <row r="14" spans="2:15" x14ac:dyDescent="0.3">
      <c r="C14" s="74" t="s">
        <v>341</v>
      </c>
      <c r="D14" s="74">
        <v>3.75</v>
      </c>
      <c r="E14" s="74">
        <v>4.75</v>
      </c>
      <c r="F14" s="74">
        <f t="shared" si="1"/>
        <v>17.8125</v>
      </c>
      <c r="G14" s="74" t="s">
        <v>314</v>
      </c>
      <c r="H14" s="74"/>
      <c r="I14" s="74"/>
      <c r="J14" s="74">
        <f t="shared" si="2"/>
        <v>0</v>
      </c>
      <c r="K14" s="74"/>
      <c r="L14" s="74"/>
      <c r="M14" s="74">
        <f t="shared" si="3"/>
        <v>0</v>
      </c>
    </row>
    <row r="15" spans="2:15" x14ac:dyDescent="0.3">
      <c r="C15" s="74" t="s">
        <v>340</v>
      </c>
      <c r="D15" s="74">
        <v>1.68</v>
      </c>
      <c r="E15" s="76">
        <v>3.2</v>
      </c>
      <c r="F15" s="74">
        <f t="shared" si="1"/>
        <v>5.3760000000000003</v>
      </c>
      <c r="G15" s="74" t="s">
        <v>314</v>
      </c>
      <c r="H15" s="74"/>
      <c r="I15" s="74"/>
      <c r="J15" s="74">
        <f t="shared" si="2"/>
        <v>0</v>
      </c>
      <c r="K15" s="74"/>
      <c r="L15" s="74"/>
      <c r="M15" s="74">
        <f t="shared" si="3"/>
        <v>0</v>
      </c>
    </row>
    <row r="16" spans="2:15" x14ac:dyDescent="0.3">
      <c r="C16" s="74" t="s">
        <v>342</v>
      </c>
      <c r="D16" s="74">
        <v>3.6</v>
      </c>
      <c r="E16" s="74">
        <v>4.9000000000000004</v>
      </c>
      <c r="F16" s="74">
        <f t="shared" si="1"/>
        <v>17.64</v>
      </c>
      <c r="G16" s="74" t="s">
        <v>314</v>
      </c>
      <c r="H16" s="74"/>
      <c r="I16" s="74"/>
      <c r="J16" s="74">
        <f t="shared" si="2"/>
        <v>0</v>
      </c>
      <c r="K16" s="74"/>
      <c r="L16" s="74"/>
      <c r="M16" s="74">
        <f t="shared" si="3"/>
        <v>0</v>
      </c>
    </row>
    <row r="17" spans="3:13" x14ac:dyDescent="0.3">
      <c r="C17" s="74" t="s">
        <v>340</v>
      </c>
      <c r="D17" s="74">
        <v>1.68</v>
      </c>
      <c r="E17" s="74">
        <v>2.75</v>
      </c>
      <c r="F17" s="74">
        <f t="shared" si="1"/>
        <v>4.62</v>
      </c>
      <c r="G17" s="74" t="s">
        <v>315</v>
      </c>
      <c r="H17" s="74"/>
      <c r="I17" s="74"/>
      <c r="J17" s="74">
        <f t="shared" si="2"/>
        <v>0</v>
      </c>
      <c r="K17" s="74"/>
      <c r="L17" s="74"/>
      <c r="M17" s="74">
        <f t="shared" si="3"/>
        <v>0</v>
      </c>
    </row>
    <row r="18" spans="3:13" x14ac:dyDescent="0.3">
      <c r="C18" s="74" t="s">
        <v>344</v>
      </c>
      <c r="D18" s="74">
        <v>4.5999999999999996</v>
      </c>
      <c r="E18" s="74">
        <v>4.58</v>
      </c>
      <c r="F18" s="74">
        <f t="shared" si="1"/>
        <v>21.067999999999998</v>
      </c>
      <c r="G18" s="74" t="s">
        <v>315</v>
      </c>
      <c r="H18" s="74"/>
      <c r="I18" s="74"/>
      <c r="J18" s="74">
        <f t="shared" si="2"/>
        <v>0</v>
      </c>
      <c r="K18" s="74"/>
      <c r="L18" s="74"/>
      <c r="M18" s="74">
        <f t="shared" si="3"/>
        <v>0</v>
      </c>
    </row>
    <row r="19" spans="3:13" x14ac:dyDescent="0.3">
      <c r="C19" s="74" t="s">
        <v>340</v>
      </c>
      <c r="D19" s="74">
        <v>2</v>
      </c>
      <c r="E19" s="74">
        <v>2.75</v>
      </c>
      <c r="F19" s="74">
        <f t="shared" si="1"/>
        <v>5.5</v>
      </c>
      <c r="G19" s="74"/>
      <c r="H19" s="74"/>
      <c r="I19" s="74"/>
      <c r="J19" s="74">
        <f t="shared" si="2"/>
        <v>0</v>
      </c>
      <c r="K19" s="74"/>
      <c r="L19" s="74"/>
      <c r="M19" s="74">
        <f t="shared" si="3"/>
        <v>0</v>
      </c>
    </row>
    <row r="20" spans="3:13" x14ac:dyDescent="0.3">
      <c r="C20" s="74" t="s">
        <v>343</v>
      </c>
      <c r="D20" s="74">
        <v>2.44</v>
      </c>
      <c r="E20" s="74">
        <v>2.75</v>
      </c>
      <c r="F20" s="74">
        <f t="shared" si="1"/>
        <v>6.71</v>
      </c>
      <c r="G20" s="74"/>
      <c r="H20" s="74"/>
      <c r="I20" s="74"/>
      <c r="J20" s="74">
        <f t="shared" si="2"/>
        <v>0</v>
      </c>
      <c r="K20" s="74"/>
      <c r="L20" s="74"/>
      <c r="M20" s="74">
        <f t="shared" si="3"/>
        <v>0</v>
      </c>
    </row>
    <row r="21" spans="3:13" x14ac:dyDescent="0.3">
      <c r="C21" s="74" t="s">
        <v>345</v>
      </c>
      <c r="D21" s="74">
        <v>3.9</v>
      </c>
      <c r="E21" s="74">
        <v>1.23</v>
      </c>
      <c r="F21" s="74">
        <f t="shared" si="1"/>
        <v>4.7969999999999997</v>
      </c>
      <c r="G21" s="74"/>
      <c r="H21" s="74"/>
      <c r="I21" s="74"/>
      <c r="J21" s="74">
        <f t="shared" si="2"/>
        <v>0</v>
      </c>
      <c r="K21" s="74"/>
      <c r="L21" s="74"/>
      <c r="M21" s="74">
        <f t="shared" si="3"/>
        <v>0</v>
      </c>
    </row>
    <row r="22" spans="3:13" x14ac:dyDescent="0.3">
      <c r="C22" s="74" t="s">
        <v>345</v>
      </c>
      <c r="D22" s="74">
        <v>1.83</v>
      </c>
      <c r="E22" s="74">
        <v>1.23</v>
      </c>
      <c r="F22" s="74">
        <f t="shared" si="1"/>
        <v>2.2509000000000001</v>
      </c>
      <c r="G22" s="74"/>
      <c r="H22" s="74"/>
      <c r="I22" s="74"/>
      <c r="J22" s="74">
        <f t="shared" si="2"/>
        <v>0</v>
      </c>
      <c r="K22" s="74"/>
      <c r="L22" s="74"/>
      <c r="M22" s="74">
        <f t="shared" si="3"/>
        <v>0</v>
      </c>
    </row>
    <row r="23" spans="3:13" x14ac:dyDescent="0.3">
      <c r="C23" s="74" t="s">
        <v>321</v>
      </c>
      <c r="D23" s="74">
        <v>1.55</v>
      </c>
      <c r="E23" s="74">
        <v>1.48</v>
      </c>
      <c r="F23" s="74">
        <f t="shared" si="1"/>
        <v>2.294</v>
      </c>
      <c r="G23" s="74" t="s">
        <v>314</v>
      </c>
      <c r="H23" s="74"/>
      <c r="I23" s="74"/>
      <c r="J23" s="74">
        <f t="shared" si="2"/>
        <v>0</v>
      </c>
      <c r="K23" s="74"/>
      <c r="L23" s="74"/>
      <c r="M23" s="74">
        <f t="shared" si="3"/>
        <v>0</v>
      </c>
    </row>
    <row r="24" spans="3:13" x14ac:dyDescent="0.3">
      <c r="C24" s="74" t="s">
        <v>321</v>
      </c>
      <c r="D24" s="74">
        <v>1.55</v>
      </c>
      <c r="E24" s="74">
        <v>0.88</v>
      </c>
      <c r="F24" s="74">
        <f t="shared" si="1"/>
        <v>1.3640000000000001</v>
      </c>
      <c r="G24" s="74" t="s">
        <v>315</v>
      </c>
      <c r="H24" s="74"/>
      <c r="I24" s="74"/>
      <c r="J24" s="74">
        <f t="shared" si="2"/>
        <v>0</v>
      </c>
      <c r="K24" s="74"/>
      <c r="L24" s="74"/>
      <c r="M24" s="74">
        <f t="shared" si="3"/>
        <v>0</v>
      </c>
    </row>
    <row r="25" spans="3:13" x14ac:dyDescent="0.3">
      <c r="C25" s="74" t="s">
        <v>348</v>
      </c>
      <c r="D25" s="74">
        <v>3.68</v>
      </c>
      <c r="E25" s="74">
        <v>1</v>
      </c>
      <c r="F25" s="74">
        <f t="shared" si="1"/>
        <v>3.68</v>
      </c>
      <c r="G25" s="74"/>
      <c r="H25" s="74"/>
      <c r="I25" s="74"/>
      <c r="J25" s="74">
        <f t="shared" si="2"/>
        <v>0</v>
      </c>
      <c r="K25" s="74"/>
      <c r="L25" s="74"/>
      <c r="M25" s="74">
        <f t="shared" si="3"/>
        <v>0</v>
      </c>
    </row>
    <row r="26" spans="3:13" x14ac:dyDescent="0.3">
      <c r="C26" s="74" t="s">
        <v>348</v>
      </c>
      <c r="D26" s="74">
        <v>3.1</v>
      </c>
      <c r="E26" s="74">
        <v>1.2</v>
      </c>
      <c r="F26" s="74">
        <f t="shared" si="1"/>
        <v>3.7199999999999998</v>
      </c>
      <c r="G26" s="74"/>
      <c r="H26" s="74"/>
      <c r="I26" s="74"/>
      <c r="J26" s="74">
        <f t="shared" si="2"/>
        <v>0</v>
      </c>
      <c r="K26" s="74"/>
      <c r="L26" s="74"/>
      <c r="M26" s="74">
        <f t="shared" si="3"/>
        <v>0</v>
      </c>
    </row>
    <row r="27" spans="3:13" x14ac:dyDescent="0.3">
      <c r="C27" s="74" t="s">
        <v>322</v>
      </c>
      <c r="D27" s="74"/>
      <c r="E27" s="74"/>
      <c r="F27" s="74">
        <f t="shared" si="1"/>
        <v>0</v>
      </c>
      <c r="G27" s="74"/>
      <c r="H27" s="74"/>
      <c r="I27" s="74"/>
      <c r="J27" s="74">
        <f t="shared" si="2"/>
        <v>0</v>
      </c>
      <c r="K27" s="74"/>
      <c r="L27" s="74"/>
      <c r="M27" s="74">
        <f t="shared" si="3"/>
        <v>0</v>
      </c>
    </row>
    <row r="28" spans="3:13" x14ac:dyDescent="0.3">
      <c r="C28" s="74" t="s">
        <v>323</v>
      </c>
      <c r="D28" s="74"/>
      <c r="E28" s="74"/>
      <c r="F28" s="74">
        <f t="shared" si="1"/>
        <v>0</v>
      </c>
      <c r="G28" s="74" t="s">
        <v>314</v>
      </c>
      <c r="H28" s="74"/>
      <c r="I28" s="74"/>
      <c r="J28" s="74">
        <f t="shared" si="2"/>
        <v>0</v>
      </c>
      <c r="K28" s="74"/>
      <c r="L28" s="74"/>
      <c r="M28" s="74">
        <f t="shared" si="3"/>
        <v>0</v>
      </c>
    </row>
    <row r="29" spans="3:13" x14ac:dyDescent="0.3">
      <c r="C29" s="74" t="s">
        <v>324</v>
      </c>
      <c r="D29" s="74"/>
      <c r="E29" s="74"/>
      <c r="F29" s="74">
        <f t="shared" si="1"/>
        <v>0</v>
      </c>
      <c r="G29" s="74" t="s">
        <v>315</v>
      </c>
      <c r="H29" s="74"/>
      <c r="I29" s="74"/>
      <c r="J29" s="74">
        <f t="shared" si="2"/>
        <v>0</v>
      </c>
      <c r="K29" s="74"/>
      <c r="L29" s="74"/>
      <c r="M29" s="74">
        <f t="shared" si="3"/>
        <v>0</v>
      </c>
    </row>
    <row r="30" spans="3:13" x14ac:dyDescent="0.3">
      <c r="C30" s="74" t="s">
        <v>324</v>
      </c>
      <c r="D30" s="74"/>
      <c r="E30" s="74"/>
      <c r="F30" s="74">
        <f t="shared" si="1"/>
        <v>0</v>
      </c>
      <c r="G30" s="74" t="s">
        <v>315</v>
      </c>
      <c r="H30" s="74"/>
      <c r="I30" s="74"/>
      <c r="J30" s="74">
        <f t="shared" si="2"/>
        <v>0</v>
      </c>
      <c r="K30" s="74"/>
      <c r="L30" s="74"/>
      <c r="M30" s="74">
        <f t="shared" si="3"/>
        <v>0</v>
      </c>
    </row>
    <row r="31" spans="3:13" x14ac:dyDescent="0.3">
      <c r="C31" s="74" t="s">
        <v>320</v>
      </c>
      <c r="D31" s="74"/>
      <c r="E31" s="74"/>
      <c r="F31" s="74">
        <f t="shared" si="1"/>
        <v>0</v>
      </c>
      <c r="G31" s="74" t="s">
        <v>315</v>
      </c>
      <c r="H31" s="74"/>
      <c r="I31" s="74"/>
      <c r="J31" s="74">
        <f t="shared" si="2"/>
        <v>0</v>
      </c>
      <c r="K31" s="74"/>
      <c r="L31" s="74"/>
      <c r="M31" s="74">
        <f t="shared" si="3"/>
        <v>0</v>
      </c>
    </row>
    <row r="32" spans="3:13" x14ac:dyDescent="0.3">
      <c r="C32" s="74" t="s">
        <v>325</v>
      </c>
      <c r="D32" s="74"/>
      <c r="E32" s="74"/>
      <c r="F32" s="74">
        <f t="shared" si="1"/>
        <v>0</v>
      </c>
      <c r="G32" s="74"/>
      <c r="H32" s="74"/>
      <c r="I32" s="74"/>
      <c r="J32" s="74">
        <f t="shared" si="2"/>
        <v>0</v>
      </c>
      <c r="K32" s="74"/>
      <c r="L32" s="74"/>
      <c r="M32" s="74">
        <f t="shared" si="3"/>
        <v>0</v>
      </c>
    </row>
    <row r="33" spans="3:13" x14ac:dyDescent="0.3">
      <c r="C33" s="74" t="s">
        <v>326</v>
      </c>
      <c r="D33" s="74"/>
      <c r="E33" s="74"/>
      <c r="F33" s="74">
        <f t="shared" si="1"/>
        <v>0</v>
      </c>
      <c r="G33" s="74" t="s">
        <v>314</v>
      </c>
      <c r="H33" s="74"/>
      <c r="I33" s="74"/>
      <c r="J33" s="74">
        <f t="shared" si="2"/>
        <v>0</v>
      </c>
      <c r="K33" s="74"/>
      <c r="L33" s="74"/>
      <c r="M33" s="74">
        <f t="shared" si="3"/>
        <v>0</v>
      </c>
    </row>
    <row r="34" spans="3:13" x14ac:dyDescent="0.3">
      <c r="C34" s="74" t="s">
        <v>324</v>
      </c>
      <c r="D34" s="74"/>
      <c r="E34" s="74"/>
      <c r="F34" s="74">
        <f t="shared" si="1"/>
        <v>0</v>
      </c>
      <c r="G34" s="74" t="s">
        <v>315</v>
      </c>
      <c r="H34" s="74"/>
      <c r="I34" s="74"/>
      <c r="J34" s="74">
        <f t="shared" si="2"/>
        <v>0</v>
      </c>
      <c r="K34" s="74"/>
      <c r="L34" s="74"/>
      <c r="M34" s="74">
        <f t="shared" si="3"/>
        <v>0</v>
      </c>
    </row>
    <row r="35" spans="3:13" x14ac:dyDescent="0.3">
      <c r="C35" s="74" t="s">
        <v>324</v>
      </c>
      <c r="D35" s="74"/>
      <c r="E35" s="74"/>
      <c r="F35" s="74">
        <f t="shared" si="1"/>
        <v>0</v>
      </c>
      <c r="G35" s="74"/>
      <c r="H35" s="74"/>
      <c r="I35" s="74"/>
      <c r="J35" s="74">
        <f t="shared" si="2"/>
        <v>0</v>
      </c>
      <c r="K35" s="74"/>
      <c r="L35" s="74"/>
      <c r="M35" s="74">
        <f t="shared" si="3"/>
        <v>0</v>
      </c>
    </row>
    <row r="36" spans="3:13" x14ac:dyDescent="0.3">
      <c r="C36" s="74" t="s">
        <v>324</v>
      </c>
      <c r="D36" s="74"/>
      <c r="E36" s="74"/>
      <c r="F36" s="74">
        <f t="shared" si="1"/>
        <v>0</v>
      </c>
      <c r="G36" s="74"/>
      <c r="H36" s="74"/>
      <c r="I36" s="74"/>
      <c r="J36" s="74">
        <f t="shared" si="2"/>
        <v>0</v>
      </c>
      <c r="K36" s="74"/>
      <c r="L36" s="74"/>
      <c r="M36" s="74">
        <f t="shared" si="3"/>
        <v>0</v>
      </c>
    </row>
    <row r="37" spans="3:13" x14ac:dyDescent="0.3">
      <c r="C37" s="74" t="s">
        <v>318</v>
      </c>
      <c r="D37" s="74"/>
      <c r="E37" s="74"/>
      <c r="F37" s="74">
        <f t="shared" si="1"/>
        <v>0</v>
      </c>
      <c r="G37" s="74"/>
      <c r="H37" s="74"/>
      <c r="I37" s="74"/>
      <c r="J37" s="74">
        <f t="shared" si="2"/>
        <v>0</v>
      </c>
      <c r="K37" s="74"/>
      <c r="L37" s="74"/>
      <c r="M37" s="74">
        <f t="shared" si="3"/>
        <v>0</v>
      </c>
    </row>
    <row r="38" spans="3:13" x14ac:dyDescent="0.3">
      <c r="C38" s="74" t="s">
        <v>327</v>
      </c>
      <c r="D38" s="74"/>
      <c r="E38" s="74"/>
      <c r="F38" s="74">
        <f t="shared" si="1"/>
        <v>0</v>
      </c>
      <c r="G38" s="74"/>
      <c r="H38" s="74"/>
      <c r="I38" s="74"/>
      <c r="J38" s="74">
        <f t="shared" si="2"/>
        <v>0</v>
      </c>
      <c r="K38" s="74"/>
      <c r="L38" s="74"/>
      <c r="M38" s="74">
        <f t="shared" si="3"/>
        <v>0</v>
      </c>
    </row>
    <row r="39" spans="3:13" x14ac:dyDescent="0.3">
      <c r="C39" s="74" t="s">
        <v>328</v>
      </c>
      <c r="D39" s="74"/>
      <c r="E39" s="74"/>
      <c r="F39" s="74">
        <f t="shared" si="1"/>
        <v>0</v>
      </c>
      <c r="G39" s="74" t="s">
        <v>314</v>
      </c>
      <c r="H39" s="74"/>
      <c r="I39" s="74"/>
      <c r="J39" s="74">
        <f t="shared" si="2"/>
        <v>0</v>
      </c>
      <c r="K39" s="74"/>
      <c r="L39" s="74"/>
      <c r="M39" s="74">
        <f t="shared" si="3"/>
        <v>0</v>
      </c>
    </row>
    <row r="40" spans="3:13" x14ac:dyDescent="0.3">
      <c r="C40" s="74" t="s">
        <v>324</v>
      </c>
      <c r="D40" s="74"/>
      <c r="E40" s="74"/>
      <c r="F40" s="74">
        <f t="shared" si="1"/>
        <v>0</v>
      </c>
      <c r="G40" s="74" t="s">
        <v>315</v>
      </c>
      <c r="H40" s="74"/>
      <c r="I40" s="74"/>
      <c r="J40" s="74">
        <f t="shared" si="2"/>
        <v>0</v>
      </c>
      <c r="K40" s="74"/>
      <c r="L40" s="74"/>
      <c r="M40" s="74">
        <f t="shared" si="3"/>
        <v>0</v>
      </c>
    </row>
    <row r="41" spans="3:13" x14ac:dyDescent="0.3">
      <c r="C41" s="74" t="s">
        <v>324</v>
      </c>
      <c r="D41" s="74"/>
      <c r="E41" s="74"/>
      <c r="F41" s="74">
        <f t="shared" si="1"/>
        <v>0</v>
      </c>
      <c r="G41" s="74"/>
      <c r="H41" s="74"/>
      <c r="I41" s="74"/>
      <c r="J41" s="74">
        <f t="shared" si="2"/>
        <v>0</v>
      </c>
      <c r="K41" s="74"/>
      <c r="L41" s="74"/>
      <c r="M41" s="74">
        <f t="shared" si="3"/>
        <v>0</v>
      </c>
    </row>
    <row r="42" spans="3:13" x14ac:dyDescent="0.3">
      <c r="C42" s="74" t="s">
        <v>318</v>
      </c>
      <c r="D42" s="74"/>
      <c r="E42" s="74"/>
      <c r="F42" s="74">
        <f t="shared" si="1"/>
        <v>0</v>
      </c>
      <c r="G42" s="74"/>
      <c r="H42" s="74"/>
      <c r="I42" s="74"/>
      <c r="J42" s="74">
        <f t="shared" si="2"/>
        <v>0</v>
      </c>
      <c r="K42" s="74"/>
      <c r="L42" s="74"/>
      <c r="M42" s="74">
        <f t="shared" si="3"/>
        <v>0</v>
      </c>
    </row>
    <row r="43" spans="3:13" x14ac:dyDescent="0.3">
      <c r="C43" s="74" t="s">
        <v>329</v>
      </c>
      <c r="D43" s="74"/>
      <c r="E43" s="74"/>
      <c r="F43" s="74">
        <f t="shared" si="1"/>
        <v>0</v>
      </c>
      <c r="G43" s="74" t="s">
        <v>330</v>
      </c>
      <c r="H43" s="74"/>
      <c r="I43" s="74"/>
      <c r="J43" s="74">
        <f t="shared" si="2"/>
        <v>0</v>
      </c>
      <c r="K43" s="74"/>
      <c r="L43" s="74"/>
      <c r="M43" s="74">
        <f t="shared" si="3"/>
        <v>0</v>
      </c>
    </row>
    <row r="44" spans="3:13" x14ac:dyDescent="0.3">
      <c r="C44" s="74" t="s">
        <v>331</v>
      </c>
      <c r="D44" s="74"/>
      <c r="E44" s="74"/>
      <c r="F44" s="74">
        <f t="shared" si="1"/>
        <v>0</v>
      </c>
      <c r="G44" s="74" t="s">
        <v>330</v>
      </c>
      <c r="H44" s="74"/>
      <c r="I44" s="74"/>
      <c r="J44" s="74">
        <f t="shared" si="2"/>
        <v>0</v>
      </c>
      <c r="K44" s="74"/>
      <c r="L44" s="74"/>
      <c r="M44" s="74">
        <f t="shared" si="3"/>
        <v>0</v>
      </c>
    </row>
    <row r="45" spans="3:13" x14ac:dyDescent="0.3">
      <c r="C45" s="74" t="s">
        <v>332</v>
      </c>
      <c r="D45" s="74"/>
      <c r="E45" s="74"/>
      <c r="F45" s="74">
        <f t="shared" si="1"/>
        <v>0</v>
      </c>
      <c r="G45" s="74"/>
      <c r="H45" s="74"/>
      <c r="I45" s="74"/>
      <c r="J45" s="74">
        <f t="shared" si="2"/>
        <v>0</v>
      </c>
      <c r="K45" s="74"/>
      <c r="L45" s="74"/>
      <c r="M45" s="74">
        <f t="shared" si="3"/>
        <v>0</v>
      </c>
    </row>
    <row r="46" spans="3:13" x14ac:dyDescent="0.3">
      <c r="C46" s="74" t="s">
        <v>332</v>
      </c>
      <c r="D46" s="75"/>
      <c r="E46" s="75"/>
      <c r="F46" s="74">
        <f t="shared" si="1"/>
        <v>0</v>
      </c>
      <c r="G46" s="74"/>
      <c r="H46" s="74"/>
      <c r="I46" s="74"/>
      <c r="J46" s="74">
        <f t="shared" si="2"/>
        <v>0</v>
      </c>
      <c r="K46" s="74"/>
      <c r="L46" s="74"/>
      <c r="M46" s="74">
        <f t="shared" si="3"/>
        <v>0</v>
      </c>
    </row>
    <row r="47" spans="3:13" x14ac:dyDescent="0.3">
      <c r="C47" s="74" t="s">
        <v>332</v>
      </c>
      <c r="D47" s="75"/>
      <c r="E47" s="75"/>
      <c r="F47" s="74">
        <f t="shared" si="1"/>
        <v>0</v>
      </c>
      <c r="G47" s="74"/>
      <c r="H47" s="74"/>
      <c r="I47" s="74"/>
      <c r="J47" s="74">
        <f t="shared" si="2"/>
        <v>0</v>
      </c>
      <c r="K47" s="74"/>
      <c r="L47" s="74"/>
      <c r="M47" s="74">
        <f t="shared" si="3"/>
        <v>0</v>
      </c>
    </row>
    <row r="48" spans="3:13" x14ac:dyDescent="0.3">
      <c r="C48" s="74" t="s">
        <v>333</v>
      </c>
      <c r="D48" s="74"/>
      <c r="E48" s="74"/>
      <c r="F48" s="74">
        <f t="shared" si="1"/>
        <v>0</v>
      </c>
      <c r="G48" s="74"/>
      <c r="H48" s="74"/>
      <c r="I48" s="74"/>
      <c r="J48" s="74">
        <f t="shared" si="2"/>
        <v>0</v>
      </c>
      <c r="K48" s="74"/>
      <c r="L48" s="74"/>
      <c r="M48" s="74">
        <f t="shared" si="3"/>
        <v>0</v>
      </c>
    </row>
    <row r="49" spans="3:13" x14ac:dyDescent="0.3">
      <c r="C49" s="74" t="s">
        <v>333</v>
      </c>
      <c r="D49" s="74"/>
      <c r="E49" s="74"/>
      <c r="F49" s="74">
        <f t="shared" si="1"/>
        <v>0</v>
      </c>
      <c r="G49" s="74"/>
      <c r="H49" s="74"/>
      <c r="I49" s="74"/>
      <c r="J49" s="74">
        <f t="shared" si="2"/>
        <v>0</v>
      </c>
      <c r="K49" s="74"/>
      <c r="L49" s="74"/>
      <c r="M49" s="74">
        <f t="shared" si="3"/>
        <v>0</v>
      </c>
    </row>
    <row r="50" spans="3:13" x14ac:dyDescent="0.3">
      <c r="C50" s="74" t="s">
        <v>315</v>
      </c>
      <c r="D50" s="74"/>
      <c r="E50" s="74"/>
      <c r="F50" s="74">
        <f t="shared" si="1"/>
        <v>0</v>
      </c>
      <c r="G50" s="74"/>
      <c r="H50" s="74"/>
      <c r="I50" s="74"/>
      <c r="J50" s="74">
        <f t="shared" si="2"/>
        <v>0</v>
      </c>
      <c r="K50" s="74"/>
      <c r="L50" s="74"/>
      <c r="M50" s="74">
        <f t="shared" si="3"/>
        <v>0</v>
      </c>
    </row>
    <row r="51" spans="3:13" x14ac:dyDescent="0.3">
      <c r="C51" s="74" t="s">
        <v>333</v>
      </c>
      <c r="D51" s="74"/>
      <c r="E51" s="74"/>
      <c r="F51" s="74">
        <f t="shared" si="1"/>
        <v>0</v>
      </c>
      <c r="G51" s="74"/>
      <c r="H51" s="74"/>
      <c r="I51" s="74"/>
      <c r="J51" s="74">
        <f t="shared" si="2"/>
        <v>0</v>
      </c>
      <c r="K51" s="74"/>
      <c r="L51" s="74"/>
      <c r="M51" s="74">
        <f t="shared" si="3"/>
        <v>0</v>
      </c>
    </row>
    <row r="52" spans="3:13" x14ac:dyDescent="0.3">
      <c r="C52" s="74" t="s">
        <v>334</v>
      </c>
      <c r="D52" s="74"/>
      <c r="E52" s="74"/>
      <c r="F52" s="74">
        <f t="shared" si="1"/>
        <v>0</v>
      </c>
      <c r="G52" s="74"/>
      <c r="H52" s="74"/>
      <c r="I52" s="74"/>
      <c r="J52" s="74">
        <f t="shared" si="2"/>
        <v>0</v>
      </c>
      <c r="K52" s="74"/>
      <c r="L52" s="74"/>
      <c r="M52" s="74">
        <f t="shared" si="3"/>
        <v>0</v>
      </c>
    </row>
    <row r="53" spans="3:13" x14ac:dyDescent="0.3">
      <c r="C53" s="74" t="s">
        <v>333</v>
      </c>
      <c r="D53" s="74"/>
      <c r="E53" s="74"/>
      <c r="F53" s="74">
        <f t="shared" si="1"/>
        <v>0</v>
      </c>
      <c r="G53" s="74"/>
      <c r="H53" s="74"/>
      <c r="I53" s="74"/>
      <c r="J53" s="74">
        <f t="shared" si="2"/>
        <v>0</v>
      </c>
      <c r="K53" s="74"/>
      <c r="L53" s="74"/>
      <c r="M53" s="74">
        <f t="shared" si="3"/>
        <v>0</v>
      </c>
    </row>
    <row r="54" spans="3:13" x14ac:dyDescent="0.3">
      <c r="C54" s="74" t="s">
        <v>333</v>
      </c>
      <c r="D54" s="74"/>
      <c r="E54" s="74"/>
      <c r="F54" s="74">
        <f t="shared" si="1"/>
        <v>0</v>
      </c>
      <c r="G54" s="74"/>
      <c r="H54" s="74"/>
      <c r="I54" s="74"/>
      <c r="J54" s="74">
        <f t="shared" si="2"/>
        <v>0</v>
      </c>
      <c r="K54" s="74"/>
      <c r="L54" s="74"/>
      <c r="M54" s="74">
        <f t="shared" si="3"/>
        <v>0</v>
      </c>
    </row>
    <row r="55" spans="3:13" x14ac:dyDescent="0.3">
      <c r="C55" s="74" t="s">
        <v>147</v>
      </c>
      <c r="D55" s="74"/>
      <c r="E55" s="74">
        <f>F55*10.764</f>
        <v>2123.8459164000005</v>
      </c>
      <c r="F55" s="74">
        <f>SUM(F5:F54)</f>
        <v>197.31010000000006</v>
      </c>
      <c r="G55" s="74"/>
      <c r="H55" s="74"/>
      <c r="I55" s="74">
        <f>J55*10.764</f>
        <v>224.46492119999996</v>
      </c>
      <c r="J55" s="74">
        <f>SUM(J5:J54)</f>
        <v>20.853299999999997</v>
      </c>
      <c r="K55" s="74"/>
      <c r="L55" s="74">
        <f>M55*10.764</f>
        <v>0</v>
      </c>
      <c r="M55" s="74">
        <f>SUM(M5:M54)</f>
        <v>0</v>
      </c>
    </row>
    <row r="56" spans="3:13" x14ac:dyDescent="0.3">
      <c r="E56">
        <f>E55+I55</f>
        <v>2348.3108376000005</v>
      </c>
    </row>
  </sheetData>
  <mergeCells count="4">
    <mergeCell ref="D1:N1"/>
    <mergeCell ref="D3:F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valuation</vt:lpstr>
      <vt:lpstr>Research</vt:lpstr>
      <vt:lpstr>Wing 1 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2025-06-16T06:37:21Z</cp:lastPrinted>
  <dcterms:created xsi:type="dcterms:W3CDTF">2019-07-16T09:29:46Z</dcterms:created>
  <dcterms:modified xsi:type="dcterms:W3CDTF">2025-06-16T06:39:09Z</dcterms:modified>
</cp:coreProperties>
</file>