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Sept 25\Dump\"/>
    </mc:Choice>
  </mc:AlternateContent>
  <bookViews>
    <workbookView xWindow="0" yWindow="0" windowWidth="19200" windowHeight="664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Report!$A$1:$H$448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35" i="1" l="1"/>
  <c r="A234" i="1"/>
  <c r="A220" i="1" l="1"/>
  <c r="A221" i="1" s="1"/>
  <c r="A222" i="1" s="1"/>
  <c r="A223" i="1" s="1"/>
  <c r="A224" i="1" s="1"/>
  <c r="A225" i="1" s="1"/>
  <c r="A226" i="1" s="1"/>
  <c r="A227" i="1" s="1"/>
  <c r="A228" i="1" s="1"/>
  <c r="A229" i="1" s="1"/>
  <c r="A230" i="1" s="1"/>
  <c r="A231" i="1" s="1"/>
  <c r="A232" i="1" s="1"/>
  <c r="I60" i="1"/>
  <c r="A233" i="1" l="1"/>
  <c r="A236" i="1" s="1"/>
  <c r="J169" i="1"/>
  <c r="D191" i="1"/>
  <c r="D190" i="1"/>
  <c r="D189" i="1"/>
  <c r="D188" i="1"/>
  <c r="D187" i="1"/>
  <c r="D186" i="1"/>
  <c r="D185" i="1"/>
  <c r="D183" i="1"/>
  <c r="D182" i="1"/>
  <c r="D181" i="1"/>
  <c r="D180" i="1"/>
  <c r="D179" i="1"/>
  <c r="D178" i="1"/>
  <c r="D177" i="1"/>
  <c r="D173" i="1"/>
  <c r="D172" i="1"/>
  <c r="D146" i="1"/>
  <c r="D145" i="1"/>
  <c r="C16" i="1" l="1"/>
  <c r="D199" i="1" l="1"/>
  <c r="F199" i="1" s="1"/>
  <c r="H199" i="1" s="1"/>
  <c r="D198" i="1"/>
  <c r="F198" i="1" s="1"/>
  <c r="H198" i="1" s="1"/>
  <c r="D194" i="1"/>
  <c r="F194" i="1" s="1"/>
  <c r="H194" i="1" s="1"/>
  <c r="D193" i="1"/>
  <c r="F193" i="1" s="1"/>
  <c r="H193" i="1" s="1"/>
  <c r="F191" i="1"/>
  <c r="H191" i="1" s="1"/>
  <c r="F190" i="1"/>
  <c r="H190" i="1" s="1"/>
  <c r="F189" i="1"/>
  <c r="H189" i="1" s="1"/>
  <c r="F188" i="1"/>
  <c r="H188" i="1" s="1"/>
  <c r="F187" i="1"/>
  <c r="H187" i="1" s="1"/>
  <c r="F186" i="1"/>
  <c r="H186" i="1" s="1"/>
  <c r="F183" i="1"/>
  <c r="H183" i="1" s="1"/>
  <c r="F181" i="1"/>
  <c r="H181" i="1" s="1"/>
  <c r="F179" i="1"/>
  <c r="H179" i="1" s="1"/>
  <c r="F178" i="1"/>
  <c r="H178" i="1" s="1"/>
  <c r="F177" i="1"/>
  <c r="H177" i="1" s="1"/>
  <c r="D175" i="1"/>
  <c r="D174" i="1"/>
  <c r="F173" i="1"/>
  <c r="H173" i="1" s="1"/>
  <c r="F172" i="1"/>
  <c r="H172" i="1" s="1"/>
  <c r="J172" i="1" s="1"/>
  <c r="D171" i="1"/>
  <c r="D170" i="1"/>
  <c r="D169" i="1"/>
  <c r="D167" i="1"/>
  <c r="D166" i="1"/>
  <c r="D162" i="1"/>
  <c r="F162" i="1" s="1"/>
  <c r="H162" i="1" s="1"/>
  <c r="D161" i="1"/>
  <c r="J165" i="1"/>
  <c r="D155" i="1"/>
  <c r="D154" i="1"/>
  <c r="D153" i="1"/>
  <c r="D152" i="1"/>
  <c r="F152" i="1" s="1"/>
  <c r="H152" i="1" s="1"/>
  <c r="D151" i="1"/>
  <c r="F151" i="1" s="1"/>
  <c r="H151" i="1" s="1"/>
  <c r="D150" i="1"/>
  <c r="F150" i="1" s="1"/>
  <c r="H150" i="1" s="1"/>
  <c r="D149" i="1"/>
  <c r="D148" i="1"/>
  <c r="F148" i="1" s="1"/>
  <c r="H148" i="1" s="1"/>
  <c r="D147" i="1"/>
  <c r="F147" i="1" s="1"/>
  <c r="H147" i="1" s="1"/>
  <c r="F146" i="1"/>
  <c r="H146" i="1" s="1"/>
  <c r="F145" i="1"/>
  <c r="H145" i="1" s="1"/>
  <c r="J144" i="1"/>
  <c r="I194" i="1"/>
  <c r="I193" i="1"/>
  <c r="F185" i="1"/>
  <c r="H185" i="1" s="1"/>
  <c r="F182" i="1"/>
  <c r="H182" i="1" s="1"/>
  <c r="F180" i="1"/>
  <c r="H180" i="1" s="1"/>
  <c r="I162" i="1"/>
  <c r="I161" i="1"/>
  <c r="I145" i="1"/>
  <c r="C136" i="1" l="1"/>
  <c r="C138" i="1" s="1"/>
  <c r="C131" i="1"/>
  <c r="C133" i="1" s="1"/>
  <c r="B38" i="6" l="1"/>
  <c r="B39" i="6" s="1"/>
  <c r="B40" i="6" s="1"/>
  <c r="B41" i="6" s="1"/>
  <c r="B42" i="6" s="1"/>
  <c r="B43" i="6" s="1"/>
  <c r="B44" i="6" s="1"/>
  <c r="B45" i="6" s="1"/>
  <c r="B46" i="6" s="1"/>
  <c r="B47" i="6" s="1"/>
  <c r="B48" i="6" s="1"/>
  <c r="B49" i="6" s="1"/>
  <c r="F149" i="1" l="1"/>
  <c r="H149" i="1" l="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F10" i="5"/>
  <c r="G10" i="5" s="1"/>
  <c r="F9" i="5"/>
  <c r="G9" i="5" s="1"/>
  <c r="F8" i="5"/>
  <c r="G8" i="5" s="1"/>
  <c r="F7" i="5"/>
  <c r="G7" i="5" s="1"/>
  <c r="F6" i="5"/>
  <c r="G6" i="5" s="1"/>
  <c r="F5" i="5"/>
  <c r="G5" i="5" s="1"/>
  <c r="G12" i="5" s="1"/>
  <c r="D249" i="1"/>
  <c r="B221" i="1"/>
  <c r="B220" i="1"/>
  <c r="F217" i="1"/>
  <c r="H217" i="1" s="1"/>
  <c r="F216" i="1"/>
  <c r="H216" i="1" s="1"/>
  <c r="F215" i="1"/>
  <c r="H215" i="1" s="1"/>
  <c r="F214" i="1"/>
  <c r="H214" i="1" s="1"/>
  <c r="F213" i="1"/>
  <c r="H213" i="1" s="1"/>
  <c r="F211" i="1"/>
  <c r="H211" i="1" s="1"/>
  <c r="F210" i="1"/>
  <c r="H210" i="1" s="1"/>
  <c r="F209" i="1"/>
  <c r="H209" i="1" s="1"/>
  <c r="F208" i="1"/>
  <c r="H208" i="1" s="1"/>
  <c r="F207" i="1"/>
  <c r="H207" i="1" s="1"/>
  <c r="F205" i="1"/>
  <c r="H205" i="1" s="1"/>
  <c r="F204" i="1"/>
  <c r="H204" i="1" s="1"/>
  <c r="F203" i="1"/>
  <c r="H203" i="1" s="1"/>
  <c r="F202" i="1"/>
  <c r="H202" i="1" s="1"/>
  <c r="F201" i="1"/>
  <c r="H201" i="1" s="1"/>
  <c r="F175" i="1"/>
  <c r="H175" i="1" s="1"/>
  <c r="F174" i="1"/>
  <c r="H174" i="1" s="1"/>
  <c r="F171" i="1"/>
  <c r="H171" i="1" s="1"/>
  <c r="F170" i="1"/>
  <c r="H170" i="1" s="1"/>
  <c r="F169" i="1"/>
  <c r="H169" i="1" s="1"/>
  <c r="F167" i="1"/>
  <c r="H167" i="1" s="1"/>
  <c r="F166" i="1"/>
  <c r="H166" i="1" s="1"/>
  <c r="F161" i="1"/>
  <c r="F155" i="1"/>
  <c r="H155" i="1" s="1"/>
  <c r="F154" i="1"/>
  <c r="H154" i="1" s="1"/>
  <c r="F153" i="1"/>
  <c r="H153" i="1" s="1"/>
  <c r="C139" i="1"/>
  <c r="F128" i="1"/>
  <c r="C102" i="1"/>
  <c r="C88" i="1"/>
  <c r="C74" i="1"/>
  <c r="B75" i="1" s="1"/>
  <c r="D68" i="1"/>
  <c r="D63" i="1"/>
  <c r="G57" i="1"/>
  <c r="C57" i="1"/>
  <c r="K55" i="1"/>
  <c r="G51" i="1"/>
  <c r="C51" i="1"/>
  <c r="E44" i="1"/>
  <c r="E45" i="1" s="1"/>
  <c r="S33" i="1"/>
  <c r="E31" i="1"/>
  <c r="E28" i="1"/>
  <c r="E26" i="1"/>
  <c r="I15" i="1"/>
  <c r="Z13" i="1"/>
  <c r="E3" i="1"/>
  <c r="H103" i="1"/>
  <c r="A213" i="1"/>
  <c r="H75" i="1"/>
  <c r="H89" i="1"/>
  <c r="A201" i="1"/>
  <c r="A207" i="1"/>
  <c r="E42" i="7" l="1"/>
  <c r="H161" i="1"/>
  <c r="G136" i="1" s="1"/>
  <c r="G138" i="1" s="1"/>
  <c r="E136" i="1"/>
  <c r="E138" i="1" s="1"/>
  <c r="E131" i="1"/>
  <c r="E133" i="1" s="1"/>
  <c r="G131" i="1"/>
  <c r="G133" i="1" s="1"/>
  <c r="J82" i="1"/>
  <c r="J83" i="1"/>
  <c r="B103" i="1"/>
  <c r="J111" i="1" s="1"/>
  <c r="I42" i="7"/>
  <c r="H42" i="7" s="1"/>
  <c r="L42" i="7"/>
  <c r="K42" i="7" s="1"/>
  <c r="J88" i="1"/>
  <c r="J90" i="1" s="1"/>
  <c r="D97" i="1"/>
  <c r="D96" i="1"/>
  <c r="D101" i="1"/>
  <c r="D95" i="1"/>
  <c r="J91" i="1"/>
  <c r="D100" i="1"/>
  <c r="J93" i="1"/>
  <c r="C92" i="1" s="1"/>
  <c r="D94" i="1"/>
  <c r="D99" i="1"/>
  <c r="J92" i="1"/>
  <c r="D98" i="1"/>
  <c r="D83" i="1"/>
  <c r="J77" i="1"/>
  <c r="D82" i="1"/>
  <c r="D87" i="1"/>
  <c r="D81" i="1"/>
  <c r="D86" i="1"/>
  <c r="D80" i="1"/>
  <c r="J79" i="1"/>
  <c r="C78" i="1" s="1"/>
  <c r="D85" i="1"/>
  <c r="D84" i="1"/>
  <c r="J78" i="1"/>
  <c r="J74" i="1"/>
  <c r="J76" i="1" s="1"/>
  <c r="D112" i="1"/>
  <c r="J106" i="1"/>
  <c r="J102" i="1"/>
  <c r="J104" i="1" s="1"/>
  <c r="J105" i="1"/>
  <c r="D110" i="1"/>
  <c r="D115" i="1"/>
  <c r="D109" i="1"/>
  <c r="D114" i="1"/>
  <c r="D108" i="1"/>
  <c r="D111" i="1"/>
  <c r="J107" i="1"/>
  <c r="C106" i="1" s="1"/>
  <c r="D106" i="1" s="1"/>
  <c r="D113" i="1"/>
  <c r="D42" i="7"/>
  <c r="L55" i="1"/>
  <c r="B89" i="1"/>
  <c r="J84" i="1"/>
  <c r="J85" i="1"/>
  <c r="I52" i="1"/>
  <c r="J80" i="1"/>
  <c r="J81" i="1" s="1"/>
  <c r="J86" i="1" s="1"/>
  <c r="J87" i="1" s="1"/>
  <c r="C79" i="1" s="1"/>
  <c r="A214" i="1"/>
  <c r="A208" i="1"/>
  <c r="A202" i="1"/>
  <c r="E139" i="1" l="1"/>
  <c r="G139" i="1"/>
  <c r="J113" i="1"/>
  <c r="J112" i="1"/>
  <c r="D44" i="7"/>
  <c r="E44" i="7"/>
  <c r="J110" i="1"/>
  <c r="J108" i="1"/>
  <c r="J109" i="1" s="1"/>
  <c r="J114" i="1" s="1"/>
  <c r="J115" i="1" s="1"/>
  <c r="C107" i="1" s="1"/>
  <c r="G106" i="1" s="1"/>
  <c r="E78" i="1"/>
  <c r="D79" i="1"/>
  <c r="G78" i="1"/>
  <c r="D72" i="1" s="1"/>
  <c r="D78" i="1"/>
  <c r="D92" i="1"/>
  <c r="J97" i="1"/>
  <c r="J94" i="1"/>
  <c r="J95" i="1" s="1"/>
  <c r="J100" i="1" s="1"/>
  <c r="J101" i="1" s="1"/>
  <c r="C93" i="1" s="1"/>
  <c r="J99" i="1"/>
  <c r="J96" i="1"/>
  <c r="J98" i="1"/>
  <c r="A215" i="1"/>
  <c r="A203" i="1"/>
  <c r="A209" i="1"/>
  <c r="D107" i="1" l="1"/>
  <c r="I103" i="1" s="1"/>
  <c r="I104" i="1" s="1"/>
  <c r="J103" i="1"/>
  <c r="E106" i="1"/>
  <c r="I75" i="1"/>
  <c r="I76" i="1" s="1"/>
  <c r="J75" i="1"/>
  <c r="E92" i="1"/>
  <c r="D93" i="1"/>
  <c r="I89" i="1" s="1"/>
  <c r="J89" i="1"/>
  <c r="G92" i="1"/>
  <c r="D73" i="1"/>
  <c r="F73" i="1"/>
  <c r="A216" i="1"/>
  <c r="A204" i="1"/>
  <c r="A210" i="1"/>
  <c r="I102" i="1" l="1"/>
  <c r="C104" i="1" s="1"/>
  <c r="I74" i="1"/>
  <c r="C76" i="1" s="1"/>
  <c r="I90" i="1"/>
  <c r="I88" i="1" s="1"/>
  <c r="C90" i="1" s="1"/>
  <c r="A211" i="1"/>
  <c r="A205" i="1"/>
  <c r="A217"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6" authorId="1" shapeId="0">
      <text>
        <r>
          <rPr>
            <b/>
            <sz val="9"/>
            <color indexed="81"/>
            <rFont val="Tahoma"/>
            <family val="2"/>
          </rPr>
          <t>SACHIN:</t>
        </r>
        <r>
          <rPr>
            <sz val="9"/>
            <color indexed="81"/>
            <rFont val="Tahoma"/>
            <family val="2"/>
          </rPr>
          <t xml:space="preserve">
Floor with height</t>
        </r>
      </text>
    </comment>
    <comment ref="C58" authorId="1" shapeId="0">
      <text>
        <r>
          <rPr>
            <b/>
            <sz val="9"/>
            <color indexed="81"/>
            <rFont val="Tahoma"/>
            <family val="2"/>
          </rPr>
          <t>SACHIN:</t>
        </r>
        <r>
          <rPr>
            <sz val="9"/>
            <color indexed="81"/>
            <rFont val="Tahoma"/>
            <family val="2"/>
          </rPr>
          <t xml:space="preserve">
Survey Nos.</t>
        </r>
      </text>
    </comment>
    <comment ref="C60" authorId="1" shapeId="0">
      <text>
        <r>
          <rPr>
            <b/>
            <sz val="9"/>
            <color indexed="81"/>
            <rFont val="Tahoma"/>
            <family val="2"/>
          </rPr>
          <t>SACHIN:</t>
        </r>
        <r>
          <rPr>
            <sz val="9"/>
            <color indexed="81"/>
            <rFont val="Tahoma"/>
            <family val="2"/>
          </rPr>
          <t xml:space="preserve">
Height from AMSL</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<sst xmlns="http://schemas.openxmlformats.org/spreadsheetml/2006/main" count="732" uniqueCount="439">
  <si>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</si>
  <si>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</si>
  <si>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</si>
  <si>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</si>
  <si>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</si>
  <si>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</si>
  <si>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</si>
  <si>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</si>
  <si>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</si>
  <si>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</si>
  <si>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</si>
  <si>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</si>
  <si>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</si>
  <si>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</si>
  <si>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</si>
  <si>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</si>
  <si>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</si>
  <si>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</si>
  <si>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</si>
  <si>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</si>
  <si>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</si>
  <si>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</si>
  <si>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</si>
  <si>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</si>
  <si>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</si>
  <si>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</si>
  <si>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</si>
  <si>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</si>
  <si>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</si>
  <si>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</si>
  <si>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</si>
  <si>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</si>
  <si>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</si>
  <si>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</si>
  <si>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</si>
  <si>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</si>
  <si>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</si>
  <si>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</si>
  <si>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</si>
  <si>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</si>
  <si>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</si>
  <si>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</si>
  <si>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</si>
  <si>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</si>
  <si>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</si>
  <si>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</si>
  <si>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</si>
  <si>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</si>
  <si>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</si>
  <si>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</si>
  <si>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</si>
  <si>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</si>
  <si>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</si>
  <si>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</si>
  <si>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</si>
  <si>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</si>
  <si>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</si>
  <si>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</si>
  <si>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</si>
  <si>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</si>
  <si>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</si>
  <si>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</si>
  <si>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</si>
  <si>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</si>
  <si>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</si>
  <si>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</si>
  <si>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</si>
  <si>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</si>
  <si>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</si>
  <si>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</si>
  <si>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</si>
  <si>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</si>
  <si>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</si>
  <si>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</si>
  <si>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</si>
  <si>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</si>
  <si>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</si>
  <si>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</si>
  <si>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</si>
  <si>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</si>
  <si>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</si>
  <si>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</si>
  <si>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</si>
  <si>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</si>
  <si>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</si>
  <si>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</si>
  <si>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</si>
  <si>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</si>
  <si>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</si>
  <si>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</si>
  <si>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</si>
  <si>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</si>
  <si>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</si>
  <si>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</si>
  <si>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</si>
  <si>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</si>
  <si>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</si>
  <si>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</si>
  <si>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</si>
  <si>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</si>
  <si>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</si>
  <si>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</si>
  <si>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</si>
  <si>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</si>
  <si>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</si>
  <si>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</si>
  <si>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</si>
  <si>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</si>
  <si>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</si>
  <si>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</si>
  <si>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</si>
  <si>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</si>
  <si>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</si>
  <si>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</si>
  <si>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</si>
  <si>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</si>
  <si>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</si>
  <si>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</si>
  <si>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</si>
  <si>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</si>
  <si>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</si>
  <si>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</si>
  <si>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</si>
  <si>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</si>
  <si>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</si>
  <si>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</si>
  <si>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</si>
  <si>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</si>
  <si>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</si>
  <si>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</si>
  <si>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</si>
  <si>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</si>
  <si>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</si>
  <si>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</si>
  <si>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</si>
  <si>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</si>
  <si>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</si>
  <si>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</si>
  <si>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</si>
  <si>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</si>
  <si>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</si>
  <si>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</si>
  <si>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</si>
  <si>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</si>
  <si>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</si>
  <si>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</si>
  <si>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</si>
  <si>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</si>
  <si>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</si>
  <si>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</si>
  <si>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</si>
  <si>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</si>
  <si>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</si>
  <si>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</si>
  <si>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</si>
  <si>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</si>
  <si>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</si>
  <si>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</si>
  <si>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</si>
  <si>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</si>
  <si>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</si>
  <si>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</si>
  <si>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</si>
  <si>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</si>
  <si>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</si>
  <si>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</si>
  <si>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</si>
  <si>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</si>
  <si>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</si>
  <si>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</si>
  <si>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</si>
  <si>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</si>
  <si>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</si>
  <si>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</si>
  <si>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</si>
  <si>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</si>
  <si>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</si>
  <si>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</si>
  <si>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</si>
  <si>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</si>
  <si>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</si>
  <si>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</si>
  <si>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</si>
  <si>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</si>
  <si>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</si>
  <si>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</si>
  <si>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</si>
  <si>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</si>
  <si>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</si>
  <si>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</si>
  <si>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</si>
  <si>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</si>
  <si>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</si>
  <si>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</si>
  <si>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</si>
  <si>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</si>
  <si>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</si>
  <si>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</si>
  <si>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</si>
  <si>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</si>
  <si>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</si>
  <si>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</si>
  <si>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</si>
  <si>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</si>
  <si>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</si>
  <si>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</si>
  <si>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</si>
  <si>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</si>
  <si>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</si>
  <si>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</si>
  <si>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</si>
  <si>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</si>
  <si>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</si>
  <si>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</si>
  <si>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</si>
  <si>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</si>
  <si>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</si>
  <si>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</si>
  <si>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</si>
  <si>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</si>
  <si>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</si>
  <si>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</si>
  <si>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</si>
  <si>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</si>
  <si>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</si>
  <si>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</si>
  <si>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</si>
  <si>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</si>
  <si>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</si>
  <si>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</si>
  <si>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</si>
  <si>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</si>
  <si>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</si>
  <si>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</si>
  <si>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</si>
  <si>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</si>
  <si>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</si>
  <si>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</si>
  <si>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</si>
  <si>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</si>
  <si>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</si>
  <si>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</si>
  <si>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</si>
  <si>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</si>
  <si>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</si>
  <si>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</si>
  <si>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</si>
  <si>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</si>
  <si>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</si>
  <si>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</si>
  <si>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</si>
  <si>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</si>
  <si>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</si>
  <si>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</si>
  <si>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</si>
  <si>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</si>
  <si>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</si>
  <si>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</si>
  <si>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</si>
  <si>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</si>
  <si>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</si>
  <si>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</si>
  <si>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</si>
  <si>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</si>
  <si>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</si>
  <si>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</si>
  <si>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</si>
  <si>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</si>
  <si>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</si>
  <si>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</si>
  <si>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</si>
  <si>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</si>
  <si>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</si>
  <si>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</si>
  <si>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</si>
  <si>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</si>
  <si>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</si>
  <si>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</si>
  <si>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</si>
  <si>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</si>
  <si>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</si>
  <si>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</si>
  <si>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</si>
  <si>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</si>
  <si>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</si>
  <si>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</si>
  <si>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</si>
  <si>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</si>
  <si>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</si>
  <si>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</si>
  <si>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</si>
  <si>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</si>
  <si>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</si>
  <si>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</si>
  <si>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</si>
  <si>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</si>
  <si>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</si>
  <si>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</si>
  <si>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</si>
  <si>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</si>
  <si>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</si>
  <si>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</si>
  <si>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</si>
  <si>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</si>
  <si>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</si>
  <si>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</si>
  <si>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</si>
  <si>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</si>
  <si>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</si>
  <si>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</si>
  <si>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</si>
  <si>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</si>
  <si>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</si>
  <si>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</si>
  <si>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</si>
  <si>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</si>
  <si>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</si>
  <si>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</si>
  <si>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</si>
  <si>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</si>
  <si>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</si>
  <si>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</si>
  <si>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</si>
  <si>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</si>
  <si>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</si>
  <si>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</si>
  <si>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</si>
  <si>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</si>
  <si>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</si>
  <si>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</si>
  <si>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</si>
  <si>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</si>
  <si>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</si>
  <si>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</si>
  <si>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</si>
  <si>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</si>
  <si>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</si>
  <si>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</si>
  <si>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</si>
  <si>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</si>
  <si>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</si>
  <si>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</si>
  <si>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</si>
  <si>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</si>
  <si>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</si>
  <si>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</si>
  <si>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</si>
  <si>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</si>
  <si>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</si>
  <si>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</si>
  <si>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</si>
  <si>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</si>
  <si>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</si>
  <si>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</si>
  <si>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</si>
  <si>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</si>
  <si>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</si>
  <si>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</si>
  <si>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</si>
  <si>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</si>
  <si>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</si>
  <si>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</si>
  <si>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</si>
  <si>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</si>
  <si>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</si>
  <si>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</si>
  <si>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</si>
  <si>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</si>
  <si>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</si>
  <si>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</si>
  <si>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</si>
  <si>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</si>
  <si>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Unique Platinum</t>
  </si>
  <si>
    <t>MHADA-9/1544/2025/IOA/2/Amend.</t>
  </si>
  <si>
    <t>MH/EE/(BP)/GM/MHADA-9/1544/2025/FCC/1/New</t>
  </si>
  <si>
    <t>Gr + 1st to 23rd Floor</t>
  </si>
  <si>
    <t>Shop</t>
  </si>
  <si>
    <t>Details Of Residentials in Building</t>
  </si>
  <si>
    <t>Society Office</t>
  </si>
  <si>
    <t>Double Heighted Entrance Lobby</t>
  </si>
  <si>
    <t>1BHK</t>
  </si>
  <si>
    <t>2BHK</t>
  </si>
  <si>
    <t>RERA Carpet area</t>
  </si>
  <si>
    <t>https://www.indextap.com/properties/details/reliable-india-corporation/vikhroli-east/reliable-unique-platinum/66a7649a9208cee938d4d8c9</t>
  </si>
  <si>
    <t>Fitness Center</t>
  </si>
  <si>
    <t>23rd Floor (Part Fitness Center)</t>
  </si>
  <si>
    <t>1st Floor For Residential (Part Society Office &amp; Double Heighted Entrance Lobby)</t>
  </si>
  <si>
    <t>Flats -155 Shops - 11</t>
  </si>
  <si>
    <t>Reliable India Corporation</t>
  </si>
  <si>
    <t>Name of the builder</t>
  </si>
  <si>
    <t>https://maps.app.goo.gl/TXujmCVYuwquT2nG7</t>
  </si>
  <si>
    <t>Meghdoot Building</t>
  </si>
  <si>
    <t>Bhakti Marg</t>
  </si>
  <si>
    <t>Hariyali</t>
  </si>
  <si>
    <t xml:space="preserve">Shree Tirth </t>
  </si>
  <si>
    <t>Internal Road</t>
  </si>
  <si>
    <t>19.1165998,72.9398125</t>
  </si>
  <si>
    <t>2 KM from Vikhroli Railway Station</t>
  </si>
  <si>
    <t>Vikhroli East</t>
  </si>
  <si>
    <t>P51800076992</t>
  </si>
  <si>
    <t>Mr. Fazal Mehmood Shaikh</t>
  </si>
  <si>
    <t>Miss. Bhavana Bheda 9920571750</t>
  </si>
  <si>
    <t>Kannamwar Nagar</t>
  </si>
  <si>
    <t>356 (Pt), Redevelopment of "K.N Grih Kalyan Co Operative Housing Society (Building No.233)"</t>
  </si>
  <si>
    <t>Now, this C.C. further extended upto top of 7th floor for building along with tower parking as per approved amended plan dtd. 17.12.2024.</t>
  </si>
  <si>
    <t>Ground Floor For Commercial, Meter Room, Pump Room, Substation &amp; Parking</t>
  </si>
  <si>
    <r>
      <t xml:space="preserve">Shop No.
</t>
    </r>
    <r>
      <rPr>
        <b/>
        <sz val="11"/>
        <rFont val="Times New Roman"/>
        <family val="1"/>
      </rPr>
      <t>(Approved Plan)</t>
    </r>
  </si>
  <si>
    <t>2nd to 6th Floor</t>
  </si>
  <si>
    <t>7th, 9th, 11th, 13th, 15th, 17th, 19th, 21st Floor (Part Refuge Area at Midlanding)</t>
  </si>
  <si>
    <t xml:space="preserve">8th, 10th, 12th, 14th, 16th, 18th, 20th &amp; 22nd Floor </t>
  </si>
  <si>
    <t>We considered Gross carpet area = Net carpet + Balcony Area</t>
  </si>
  <si>
    <t>As per RERA - 30/11/2027</t>
  </si>
  <si>
    <t>Building No.235</t>
  </si>
  <si>
    <t>12.20 Mt.Wide Existing Mhada Layout Road</t>
  </si>
  <si>
    <t>17.10 Mt.Wide Existing Mhada Layout Road</t>
  </si>
  <si>
    <t>Building No.232</t>
  </si>
  <si>
    <r>
      <t xml:space="preserve">Proposed Amenities :                                                                                                                                                                                                                         </t>
    </r>
    <r>
      <rPr>
        <b/>
        <sz val="12"/>
        <rFont val="Times New Roman"/>
        <family val="1"/>
      </rPr>
      <t xml:space="preserve">                                               </t>
    </r>
  </si>
  <si>
    <t>Fitness Center, Compound Wall, Pump Room, Society Office, Tower Parking, etc.</t>
  </si>
  <si>
    <t>K.N Grih Kalyan Co Operative Housing Society (Building No.233)</t>
  </si>
  <si>
    <t>We have updated approved Fire Noc on 18/02/2025.</t>
  </si>
  <si>
    <t>Gr + 1st to 23rd Floor (Height =69.95 mtrs.)</t>
  </si>
  <si>
    <t>Approved Plans, CC, Fire Noc &amp; Airport Noc</t>
  </si>
  <si>
    <t>SNCR/WEST/B/060124/1051790</t>
  </si>
  <si>
    <t>Site Elevation (AMSL) = 4.07 Mtr 
Permissible Top Elevation (AMSL) = 114.07 M</t>
  </si>
  <si>
    <t>P-23343/2024/(356 Building no. 233)/SWard/HARIYALI-E/MHADA-CFO/1/New.</t>
  </si>
  <si>
    <t>We have updated approved Airport Noc on 03/03/2025</t>
  </si>
  <si>
    <t>We have referred latest approved plans from MHADA site on 04/02/2024</t>
  </si>
  <si>
    <t>Flat Bifercation Letter is provided by Bank Official on mail is attached below</t>
  </si>
  <si>
    <t>Remark No.14:</t>
  </si>
  <si>
    <t>Developement permission is provided on mail by bank official, the 1st to 23rd floor for Residential Purpose only and shall be allotted to the existing tenant having (Flat No.2 &amp; Flat No.6 from 1st to 20th Floor) and the remaining flats from 1st to 23rd Floor will be sold to the new flat purchasers, But as per approved 1st to 23rd floor plan does not mentioned of Rehab and Sale Unit</t>
  </si>
  <si>
    <t>Flat Bifurcation letter is provided by Bank Official on mail is attached below</t>
  </si>
  <si>
    <t>Developement permission is provided on mail by bank official, the entire ground floor will be of commercial permises having 9 Shop for sale purpose, But according to approved ground floor plan, Project consists of total 11 Nos. of Shop.
As per request of Bank Officials, Apf Report should be considered for Sale Flats only.
Document attached below.</t>
  </si>
  <si>
    <t>Miss. Pranita : 7738085918</t>
  </si>
  <si>
    <t>Reamrk No.15 &amp; 16 :</t>
  </si>
  <si>
    <t>Validity of CC is expired on 29/05/2025. Please provide latest CC.</t>
  </si>
  <si>
    <t>Shruti Tathare</t>
  </si>
  <si>
    <t>Construction work goes beyond permissible floor. Please provide revised CC.</t>
  </si>
  <si>
    <t>Sagar Katale</t>
  </si>
  <si>
    <t>Construction work is in process at the time of Visit. Internal visit was not allowed.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</si>
</sst>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4"/>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32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5" fillId="0" borderId="1" xfId="1" applyFont="1" applyBorder="1" applyAlignment="1" applyProtection="1">
      <alignment horizontal="center" vertical="top"/>
      <protection locked="0"/>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center"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0" fontId="15" fillId="2" borderId="0" xfId="1" applyFont="1" applyFill="1"/>
    <xf numFmtId="14" fontId="12"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5" xfId="0" applyBorder="1" applyAlignment="1">
      <alignment vertical="top"/>
    </xf>
    <xf numFmtId="0" fontId="0" fillId="0" borderId="36" xfId="0" applyBorder="1" applyAlignment="1">
      <alignment vertical="top" wrapText="1"/>
    </xf>
    <xf numFmtId="0" fontId="0" fillId="0" borderId="37"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6"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26" fillId="0" borderId="0" xfId="10"/>
    <xf numFmtId="1" fontId="7" fillId="0" borderId="1" xfId="1" applyNumberFormat="1" applyFont="1" applyBorder="1" applyAlignment="1">
      <alignment horizontal="center" vertical="center"/>
    </xf>
    <xf numFmtId="0" fontId="30" fillId="0" borderId="0" xfId="0" applyFont="1" applyAlignment="1">
      <alignment horizontal="left" vertical="center" readingOrder="1"/>
    </xf>
    <xf numFmtId="0" fontId="7" fillId="0" borderId="0" xfId="1" applyFont="1" applyAlignment="1">
      <alignment wrapText="1"/>
    </xf>
    <xf numFmtId="1" fontId="6" fillId="0" borderId="1" xfId="1" applyNumberFormat="1" applyFont="1" applyBorder="1" applyAlignment="1" applyProtection="1">
      <alignment horizontal="center" vertical="center" wrapText="1"/>
      <protection locked="0"/>
    </xf>
    <xf numFmtId="9" fontId="12" fillId="0" borderId="1" xfId="8" applyFont="1" applyFill="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center" wrapText="1"/>
      <protection locked="0"/>
    </xf>
    <xf numFmtId="1" fontId="12" fillId="0" borderId="1" xfId="1" applyNumberFormat="1" applyFont="1" applyBorder="1" applyAlignment="1">
      <alignment horizontal="center" vertical="center"/>
    </xf>
    <xf numFmtId="1" fontId="12" fillId="0" borderId="1" xfId="1" applyNumberFormat="1" applyFont="1" applyFill="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24" fillId="2" borderId="15" xfId="0" applyFont="1" applyFill="1" applyBorder="1"/>
    <xf numFmtId="0" fontId="25" fillId="0" borderId="9" xfId="0" applyFont="1" applyBorder="1"/>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1" fontId="12" fillId="0" borderId="8" xfId="1" applyNumberFormat="1" applyFont="1" applyBorder="1" applyAlignment="1" applyProtection="1">
      <alignment horizontal="center" vertical="center" wrapText="1"/>
      <protection locked="0"/>
    </xf>
    <xf numFmtId="1" fontId="12" fillId="0" borderId="9" xfId="1" applyNumberFormat="1" applyFont="1" applyBorder="1" applyAlignment="1" applyProtection="1">
      <alignment horizontal="center" vertical="center" wrapText="1"/>
      <protection locked="0"/>
    </xf>
    <xf numFmtId="1" fontId="13"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0" fontId="13" fillId="0" borderId="17" xfId="1" applyFont="1" applyBorder="1" applyAlignment="1" applyProtection="1">
      <alignment horizontal="center" vertical="top" wrapText="1"/>
      <protection locked="0"/>
    </xf>
    <xf numFmtId="0" fontId="13" fillId="0" borderId="24" xfId="1" applyFont="1" applyBorder="1" applyAlignment="1" applyProtection="1">
      <alignment horizontal="center" vertical="top" wrapText="1"/>
      <protection locked="0"/>
    </xf>
    <xf numFmtId="0" fontId="13" fillId="0" borderId="18" xfId="1" applyFont="1" applyBorder="1" applyAlignment="1" applyProtection="1">
      <alignment horizontal="center" vertical="top" wrapText="1"/>
      <protection locked="0"/>
    </xf>
    <xf numFmtId="0" fontId="13" fillId="0" borderId="25" xfId="1" applyFont="1" applyBorder="1" applyAlignment="1" applyProtection="1">
      <alignment horizontal="center" vertical="top" wrapText="1"/>
      <protection locked="0"/>
    </xf>
    <xf numFmtId="0" fontId="13" fillId="0" borderId="0" xfId="1" applyFont="1" applyBorder="1" applyAlignment="1" applyProtection="1">
      <alignment horizontal="center" vertical="top" wrapText="1"/>
      <protection locked="0"/>
    </xf>
    <xf numFmtId="0" fontId="13" fillId="0" borderId="26" xfId="1" applyFont="1" applyBorder="1" applyAlignment="1" applyProtection="1">
      <alignment horizontal="center" vertical="top" wrapText="1"/>
      <protection locked="0"/>
    </xf>
    <xf numFmtId="0" fontId="13" fillId="0" borderId="19" xfId="1" applyFont="1" applyBorder="1" applyAlignment="1" applyProtection="1">
      <alignment horizontal="center" vertical="top" wrapText="1"/>
      <protection locked="0"/>
    </xf>
    <xf numFmtId="0" fontId="13" fillId="0" borderId="2" xfId="1" applyFont="1" applyBorder="1" applyAlignment="1" applyProtection="1">
      <alignment horizontal="center" vertical="top" wrapText="1"/>
      <protection locked="0"/>
    </xf>
    <xf numFmtId="0" fontId="13" fillId="0" borderId="20" xfId="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center" wrapText="1"/>
      <protection locked="0"/>
    </xf>
    <xf numFmtId="0" fontId="8" fillId="0" borderId="43"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44"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3" fillId="0" borderId="8"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3" fillId="0" borderId="42"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0" fontId="12" fillId="0" borderId="8" xfId="1" applyFont="1" applyBorder="1" applyAlignment="1" applyProtection="1">
      <alignment horizontal="left" vertical="top"/>
      <protection locked="0"/>
    </xf>
    <xf numFmtId="0" fontId="12" fillId="0" borderId="21" xfId="1" applyFont="1" applyBorder="1" applyAlignment="1" applyProtection="1">
      <alignment horizontal="left" vertical="top"/>
      <protection locked="0"/>
    </xf>
    <xf numFmtId="0" fontId="12" fillId="0" borderId="9"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8" xfId="0" applyNumberFormat="1"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1" fontId="7" fillId="0" borderId="8" xfId="0" applyNumberFormat="1" applyFont="1" applyBorder="1" applyAlignment="1" applyProtection="1">
      <alignment horizontal="center" vertical="center"/>
      <protection locked="0"/>
    </xf>
    <xf numFmtId="1" fontId="7" fillId="0" borderId="9" xfId="0" applyNumberFormat="1" applyFont="1" applyBorder="1" applyAlignment="1" applyProtection="1">
      <alignment horizontal="center" vertical="center"/>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3" fillId="0" borderId="13" xfId="1" applyFont="1" applyBorder="1" applyAlignment="1" applyProtection="1">
      <alignment horizontal="left" vertical="top"/>
      <protection locked="0"/>
    </xf>
    <xf numFmtId="0" fontId="13" fillId="0" borderId="14" xfId="1" applyFont="1" applyBorder="1" applyAlignment="1" applyProtection="1">
      <alignment horizontal="left" vertical="top"/>
      <protection locked="0"/>
    </xf>
    <xf numFmtId="0" fontId="13" fillId="0" borderId="15" xfId="1" applyFont="1" applyBorder="1" applyAlignment="1" applyProtection="1">
      <alignment horizontal="left" vertical="top"/>
      <protection locked="0"/>
    </xf>
    <xf numFmtId="0" fontId="8" fillId="0" borderId="13" xfId="1" applyFont="1" applyBorder="1" applyAlignment="1" applyProtection="1">
      <alignment horizontal="center" vertical="top"/>
      <protection locked="0"/>
    </xf>
    <xf numFmtId="0" fontId="8" fillId="0" borderId="14" xfId="1" applyFont="1" applyBorder="1" applyAlignment="1" applyProtection="1">
      <alignment horizontal="center" vertical="top"/>
      <protection locked="0"/>
    </xf>
    <xf numFmtId="0" fontId="8" fillId="0" borderId="15" xfId="1" applyFont="1" applyBorder="1" applyAlignment="1" applyProtection="1">
      <alignment horizontal="center"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12" fillId="0" borderId="8" xfId="1" applyFont="1" applyBorder="1" applyAlignment="1" applyProtection="1">
      <alignment vertical="top" wrapText="1"/>
      <protection locked="0"/>
    </xf>
    <xf numFmtId="0" fontId="12" fillId="0" borderId="21"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25" xfId="1" applyFont="1" applyBorder="1" applyAlignment="1" applyProtection="1">
      <alignment horizontal="left" vertical="top" wrapText="1"/>
      <protection locked="0"/>
    </xf>
    <xf numFmtId="0" fontId="6" fillId="0" borderId="26"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4"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6" fillId="0" borderId="2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6" fillId="0" borderId="8" xfId="1" applyFont="1" applyFill="1" applyBorder="1" applyAlignment="1" applyProtection="1">
      <alignment horizontal="left" vertical="top" wrapText="1"/>
      <protection locked="0"/>
    </xf>
    <xf numFmtId="0" fontId="6" fillId="0" borderId="21"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center"/>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4" fillId="0" borderId="1" xfId="1" applyFont="1" applyBorder="1" applyAlignment="1" applyProtection="1">
      <alignment horizontal="center" vertical="top" wrapText="1"/>
      <protection locked="0"/>
    </xf>
    <xf numFmtId="0" fontId="14" fillId="0" borderId="8" xfId="1" applyFont="1" applyBorder="1" applyAlignment="1" applyProtection="1">
      <alignment horizontal="center" vertical="top" wrapText="1"/>
      <protection locked="0"/>
    </xf>
    <xf numFmtId="0" fontId="14" fillId="0" borderId="9" xfId="1" applyFont="1" applyBorder="1" applyAlignment="1" applyProtection="1">
      <alignment horizontal="center" vertical="top" wrapText="1"/>
      <protection locked="0"/>
    </xf>
    <xf numFmtId="1" fontId="13" fillId="0" borderId="8" xfId="0" applyNumberFormat="1" applyFont="1" applyBorder="1" applyAlignment="1" applyProtection="1">
      <alignment horizontal="center" vertical="center" wrapText="1"/>
      <protection locked="0"/>
    </xf>
    <xf numFmtId="1" fontId="13" fillId="0" borderId="21" xfId="0" applyNumberFormat="1" applyFont="1" applyBorder="1" applyAlignment="1" applyProtection="1">
      <alignment horizontal="center" vertical="center" wrapText="1"/>
      <protection locked="0"/>
    </xf>
    <xf numFmtId="1" fontId="13" fillId="0" borderId="9" xfId="0" applyNumberFormat="1" applyFont="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6" fillId="0" borderId="8" xfId="1" applyFont="1" applyBorder="1" applyAlignment="1" applyProtection="1">
      <alignment horizontal="left" vertical="top"/>
      <protection locked="0"/>
    </xf>
    <xf numFmtId="0" fontId="6" fillId="0" borderId="21" xfId="1" applyFont="1" applyBorder="1" applyAlignment="1" applyProtection="1">
      <alignment horizontal="left" vertical="top"/>
      <protection locked="0"/>
    </xf>
    <xf numFmtId="0" fontId="6" fillId="0" borderId="9" xfId="1" applyFont="1" applyBorder="1" applyAlignment="1" applyProtection="1">
      <alignment horizontal="left" vertical="top"/>
      <protection locked="0"/>
    </xf>
    <xf numFmtId="1" fontId="8" fillId="0" borderId="8" xfId="0" applyNumberFormat="1" applyFont="1" applyBorder="1" applyAlignment="1" applyProtection="1">
      <alignment horizontal="center" vertical="center" wrapText="1"/>
      <protection locked="0"/>
    </xf>
    <xf numFmtId="1" fontId="8" fillId="0" borderId="21" xfId="0" applyNumberFormat="1" applyFont="1" applyBorder="1" applyAlignment="1" applyProtection="1">
      <alignment horizontal="center" vertical="center" wrapText="1"/>
      <protection locked="0"/>
    </xf>
    <xf numFmtId="1" fontId="8" fillId="0" borderId="9" xfId="0" applyNumberFormat="1" applyFont="1" applyBorder="1" applyAlignment="1" applyProtection="1">
      <alignment horizontal="center" vertical="center" wrapText="1"/>
      <protection locked="0"/>
    </xf>
    <xf numFmtId="0" fontId="8" fillId="0" borderId="8" xfId="1" applyFont="1" applyBorder="1" applyAlignment="1" applyProtection="1">
      <alignment vertical="top"/>
      <protection locked="0"/>
    </xf>
    <xf numFmtId="0" fontId="8" fillId="0" borderId="21" xfId="1" applyFont="1" applyBorder="1" applyAlignment="1" applyProtection="1">
      <alignment vertical="top"/>
      <protection locked="0"/>
    </xf>
    <xf numFmtId="0" fontId="8" fillId="0" borderId="9" xfId="1" applyFont="1" applyBorder="1" applyAlignment="1" applyProtection="1">
      <alignment vertical="top"/>
      <protection locked="0"/>
    </xf>
    <xf numFmtId="1" fontId="6" fillId="0" borderId="21"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13" fillId="0" borderId="16"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6" fillId="0" borderId="8" xfId="1" applyFont="1" applyBorder="1" applyAlignment="1" applyProtection="1">
      <alignment vertical="top"/>
      <protection locked="0"/>
    </xf>
    <xf numFmtId="0" fontId="6" fillId="0" borderId="21" xfId="1" applyFont="1" applyBorder="1" applyAlignment="1" applyProtection="1">
      <alignment vertical="top"/>
      <protection locked="0"/>
    </xf>
    <xf numFmtId="0" fontId="6" fillId="0" borderId="9" xfId="1" applyFont="1" applyBorder="1" applyAlignment="1" applyProtection="1">
      <alignment vertical="top"/>
      <protection locked="0"/>
    </xf>
    <xf numFmtId="0" fontId="10" fillId="0" borderId="8" xfId="0" applyFont="1" applyBorder="1" applyAlignment="1" applyProtection="1">
      <alignment horizontal="center" vertical="center"/>
      <protection locked="0"/>
    </xf>
    <xf numFmtId="1" fontId="10" fillId="0" borderId="40" xfId="0" applyNumberFormat="1" applyFont="1" applyBorder="1" applyAlignment="1" applyProtection="1">
      <alignment horizontal="center" vertical="center"/>
      <protection locked="0"/>
    </xf>
    <xf numFmtId="0" fontId="10" fillId="0" borderId="41" xfId="0" applyFont="1" applyBorder="1" applyAlignment="1" applyProtection="1">
      <alignment horizontal="center" vertical="center"/>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1" fontId="13" fillId="0" borderId="8" xfId="1" applyNumberFormat="1" applyFont="1" applyBorder="1" applyAlignment="1" applyProtection="1">
      <alignment horizontal="center" vertical="center" wrapText="1"/>
      <protection locked="0"/>
    </xf>
    <xf numFmtId="1" fontId="13" fillId="0" borderId="21" xfId="1" applyNumberFormat="1" applyFont="1" applyBorder="1" applyAlignment="1" applyProtection="1">
      <alignment horizontal="center" vertical="center" wrapText="1"/>
      <protection locked="0"/>
    </xf>
    <xf numFmtId="1" fontId="13" fillId="0" borderId="9" xfId="1"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top" wrapText="1"/>
      <protection locked="0"/>
    </xf>
    <xf numFmtId="0" fontId="10" fillId="0" borderId="38" xfId="0" applyFont="1" applyBorder="1" applyAlignment="1" applyProtection="1">
      <alignment horizontal="center" vertical="center"/>
      <protection locked="0"/>
    </xf>
    <xf numFmtId="0" fontId="10" fillId="0" borderId="39" xfId="0" applyFont="1" applyBorder="1" applyAlignment="1" applyProtection="1">
      <alignment horizontal="center" vertical="center"/>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jpeg"/><Relationship Id="rId2" Type="http://schemas.openxmlformats.org/officeDocument/2006/relationships/image" Target="../media/image2.png"/><Relationship Id="rId16" Type="http://schemas.openxmlformats.org/officeDocument/2006/relationships/image" Target="../media/image16.png"/><Relationship Id="rId20" Type="http://schemas.microsoft.com/office/2007/relationships/hdphoto" Target="../media/hdphoto1.wdp"/><Relationship Id="rId29" Type="http://schemas.openxmlformats.org/officeDocument/2006/relationships/image" Target="../media/image28.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0.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editAs="oneCell">
    <xdr:from>
      <xdr:col>8</xdr:col>
      <xdr:colOff>371475</xdr:colOff>
      <xdr:row>41</xdr:row>
      <xdr:rowOff>190500</xdr:rowOff>
    </xdr:from>
    <xdr:to>
      <xdr:col>14</xdr:col>
      <xdr:colOff>481185</xdr:colOff>
      <xdr:row>46</xdr:row>
      <xdr:rowOff>124827</xdr:rowOff>
    </xdr:to>
    <xdr:pic>
      <xdr:nvPicPr>
        <xdr:cNvPr id="2" name="Picture 1"/>
        <xdr:cNvPicPr>
          <a:picLocks noChangeAspect="1"/>
        </xdr:cNvPicPr>
      </xdr:nvPicPr>
      <xdr:blipFill>
        <a:blip xmlns:r="http://schemas.openxmlformats.org/officeDocument/2006/relationships" r:embed="rId1"/>
        <a:stretch>
          <a:fillRect/>
        </a:stretch>
      </xdr:blipFill>
      <xdr:spPr>
        <a:xfrm>
          <a:off x="6686550" y="9610725"/>
          <a:ext cx="5342857" cy="942857"/>
        </a:xfrm>
        <a:prstGeom prst="rect">
          <a:avLst/>
        </a:prstGeom>
      </xdr:spPr>
    </xdr:pic>
    <xdr:clientData/>
  </xdr:twoCellAnchor>
  <xdr:twoCellAnchor editAs="oneCell">
    <xdr:from>
      <xdr:col>8</xdr:col>
      <xdr:colOff>533400</xdr:colOff>
      <xdr:row>47</xdr:row>
      <xdr:rowOff>47626</xdr:rowOff>
    </xdr:from>
    <xdr:to>
      <xdr:col>14</xdr:col>
      <xdr:colOff>555817</xdr:colOff>
      <xdr:row>53</xdr:row>
      <xdr:rowOff>1523</xdr:rowOff>
    </xdr:to>
    <xdr:pic>
      <xdr:nvPicPr>
        <xdr:cNvPr id="3" name="Picture 2"/>
        <xdr:cNvPicPr>
          <a:picLocks noChangeAspect="1"/>
        </xdr:cNvPicPr>
      </xdr:nvPicPr>
      <xdr:blipFill>
        <a:blip xmlns:r="http://schemas.openxmlformats.org/officeDocument/2006/relationships" r:embed="rId2"/>
        <a:stretch>
          <a:fillRect/>
        </a:stretch>
      </xdr:blipFill>
      <xdr:spPr>
        <a:xfrm>
          <a:off x="6848475" y="10668001"/>
          <a:ext cx="5255564" cy="1581150"/>
        </a:xfrm>
        <a:prstGeom prst="rect">
          <a:avLst/>
        </a:prstGeom>
      </xdr:spPr>
    </xdr:pic>
    <xdr:clientData/>
  </xdr:twoCellAnchor>
  <xdr:twoCellAnchor editAs="oneCell">
    <xdr:from>
      <xdr:col>9</xdr:col>
      <xdr:colOff>266700</xdr:colOff>
      <xdr:row>125</xdr:row>
      <xdr:rowOff>85725</xdr:rowOff>
    </xdr:from>
    <xdr:to>
      <xdr:col>10</xdr:col>
      <xdr:colOff>371367</xdr:colOff>
      <xdr:row>143</xdr:row>
      <xdr:rowOff>34302</xdr:rowOff>
    </xdr:to>
    <xdr:pic>
      <xdr:nvPicPr>
        <xdr:cNvPr id="5" name="Picture 4"/>
        <xdr:cNvPicPr>
          <a:picLocks noChangeAspect="1"/>
        </xdr:cNvPicPr>
      </xdr:nvPicPr>
      <xdr:blipFill>
        <a:blip xmlns:r="http://schemas.openxmlformats.org/officeDocument/2006/relationships" r:embed="rId3"/>
        <a:stretch>
          <a:fillRect/>
        </a:stretch>
      </xdr:blipFill>
      <xdr:spPr>
        <a:xfrm>
          <a:off x="7743825" y="29184600"/>
          <a:ext cx="866667" cy="3485714"/>
        </a:xfrm>
        <a:prstGeom prst="rect">
          <a:avLst/>
        </a:prstGeom>
      </xdr:spPr>
    </xdr:pic>
    <xdr:clientData/>
  </xdr:twoCellAnchor>
  <xdr:twoCellAnchor editAs="oneCell">
    <xdr:from>
      <xdr:col>8</xdr:col>
      <xdr:colOff>19050</xdr:colOff>
      <xdr:row>151</xdr:row>
      <xdr:rowOff>57150</xdr:rowOff>
    </xdr:from>
    <xdr:to>
      <xdr:col>10</xdr:col>
      <xdr:colOff>158305</xdr:colOff>
      <xdr:row>157</xdr:row>
      <xdr:rowOff>927</xdr:rowOff>
    </xdr:to>
    <xdr:pic>
      <xdr:nvPicPr>
        <xdr:cNvPr id="6" name="Picture 5"/>
        <xdr:cNvPicPr>
          <a:picLocks noChangeAspect="1"/>
        </xdr:cNvPicPr>
      </xdr:nvPicPr>
      <xdr:blipFill>
        <a:blip xmlns:r="http://schemas.openxmlformats.org/officeDocument/2006/relationships" r:embed="rId4"/>
        <a:stretch>
          <a:fillRect/>
        </a:stretch>
      </xdr:blipFill>
      <xdr:spPr>
        <a:xfrm>
          <a:off x="6334125" y="31575375"/>
          <a:ext cx="2066667" cy="1552381"/>
        </a:xfrm>
        <a:prstGeom prst="rect">
          <a:avLst/>
        </a:prstGeom>
      </xdr:spPr>
    </xdr:pic>
    <xdr:clientData/>
  </xdr:twoCellAnchor>
  <xdr:twoCellAnchor editAs="oneCell">
    <xdr:from>
      <xdr:col>9</xdr:col>
      <xdr:colOff>295275</xdr:colOff>
      <xdr:row>190</xdr:row>
      <xdr:rowOff>103414</xdr:rowOff>
    </xdr:from>
    <xdr:to>
      <xdr:col>14</xdr:col>
      <xdr:colOff>275159</xdr:colOff>
      <xdr:row>198</xdr:row>
      <xdr:rowOff>158835</xdr:rowOff>
    </xdr:to>
    <xdr:pic>
      <xdr:nvPicPr>
        <xdr:cNvPr id="7" name="Picture 6"/>
        <xdr:cNvPicPr>
          <a:picLocks noChangeAspect="1"/>
        </xdr:cNvPicPr>
      </xdr:nvPicPr>
      <xdr:blipFill>
        <a:blip xmlns:r="http://schemas.openxmlformats.org/officeDocument/2006/relationships" r:embed="rId5"/>
        <a:stretch>
          <a:fillRect/>
        </a:stretch>
      </xdr:blipFill>
      <xdr:spPr>
        <a:xfrm>
          <a:off x="7765596" y="34856057"/>
          <a:ext cx="4048420" cy="1688278"/>
        </a:xfrm>
        <a:prstGeom prst="rect">
          <a:avLst/>
        </a:prstGeom>
      </xdr:spPr>
    </xdr:pic>
    <xdr:clientData/>
  </xdr:twoCellAnchor>
  <xdr:twoCellAnchor editAs="oneCell">
    <xdr:from>
      <xdr:col>11</xdr:col>
      <xdr:colOff>657225</xdr:colOff>
      <xdr:row>159</xdr:row>
      <xdr:rowOff>76200</xdr:rowOff>
    </xdr:from>
    <xdr:to>
      <xdr:col>14</xdr:col>
      <xdr:colOff>168951</xdr:colOff>
      <xdr:row>170</xdr:row>
      <xdr:rowOff>183442</xdr:rowOff>
    </xdr:to>
    <xdr:pic>
      <xdr:nvPicPr>
        <xdr:cNvPr id="8" name="Picture 7"/>
        <xdr:cNvPicPr>
          <a:picLocks noChangeAspect="1"/>
        </xdr:cNvPicPr>
      </xdr:nvPicPr>
      <xdr:blipFill>
        <a:blip xmlns:r="http://schemas.openxmlformats.org/officeDocument/2006/relationships" r:embed="rId6"/>
        <a:stretch>
          <a:fillRect/>
        </a:stretch>
      </xdr:blipFill>
      <xdr:spPr>
        <a:xfrm>
          <a:off x="9648825" y="33594675"/>
          <a:ext cx="2066667" cy="2323809"/>
        </a:xfrm>
        <a:prstGeom prst="rect">
          <a:avLst/>
        </a:prstGeom>
      </xdr:spPr>
    </xdr:pic>
    <xdr:clientData/>
  </xdr:twoCellAnchor>
  <xdr:twoCellAnchor editAs="oneCell">
    <xdr:from>
      <xdr:col>10</xdr:col>
      <xdr:colOff>581026</xdr:colOff>
      <xdr:row>150</xdr:row>
      <xdr:rowOff>76200</xdr:rowOff>
    </xdr:from>
    <xdr:to>
      <xdr:col>14</xdr:col>
      <xdr:colOff>666843</xdr:colOff>
      <xdr:row>157</xdr:row>
      <xdr:rowOff>194423</xdr:rowOff>
    </xdr:to>
    <xdr:pic>
      <xdr:nvPicPr>
        <xdr:cNvPr id="9" name="Picture 8"/>
        <xdr:cNvPicPr>
          <a:picLocks noChangeAspect="1"/>
        </xdr:cNvPicPr>
      </xdr:nvPicPr>
      <xdr:blipFill>
        <a:blip xmlns:r="http://schemas.openxmlformats.org/officeDocument/2006/relationships" r:embed="rId7"/>
        <a:stretch>
          <a:fillRect/>
        </a:stretch>
      </xdr:blipFill>
      <xdr:spPr>
        <a:xfrm>
          <a:off x="8820151" y="31394400"/>
          <a:ext cx="3391552" cy="1933575"/>
        </a:xfrm>
        <a:prstGeom prst="rect">
          <a:avLst/>
        </a:prstGeom>
      </xdr:spPr>
    </xdr:pic>
    <xdr:clientData/>
  </xdr:twoCellAnchor>
  <xdr:twoCellAnchor editAs="oneCell">
    <xdr:from>
      <xdr:col>11</xdr:col>
      <xdr:colOff>106456</xdr:colOff>
      <xdr:row>160</xdr:row>
      <xdr:rowOff>19610</xdr:rowOff>
    </xdr:from>
    <xdr:to>
      <xdr:col>13</xdr:col>
      <xdr:colOff>420527</xdr:colOff>
      <xdr:row>171</xdr:row>
      <xdr:rowOff>172274</xdr:rowOff>
    </xdr:to>
    <xdr:pic>
      <xdr:nvPicPr>
        <xdr:cNvPr id="10" name="Picture 9"/>
        <xdr:cNvPicPr>
          <a:picLocks noChangeAspect="1"/>
        </xdr:cNvPicPr>
      </xdr:nvPicPr>
      <xdr:blipFill>
        <a:blip xmlns:r="http://schemas.openxmlformats.org/officeDocument/2006/relationships" r:embed="rId8"/>
        <a:stretch>
          <a:fillRect/>
        </a:stretch>
      </xdr:blipFill>
      <xdr:spPr>
        <a:xfrm>
          <a:off x="9093574" y="28941992"/>
          <a:ext cx="2028571" cy="2371429"/>
        </a:xfrm>
        <a:prstGeom prst="rect">
          <a:avLst/>
        </a:prstGeom>
      </xdr:spPr>
    </xdr:pic>
    <xdr:clientData/>
  </xdr:twoCellAnchor>
  <xdr:twoCellAnchor editAs="oneCell">
    <xdr:from>
      <xdr:col>10</xdr:col>
      <xdr:colOff>133350</xdr:colOff>
      <xdr:row>172</xdr:row>
      <xdr:rowOff>123825</xdr:rowOff>
    </xdr:from>
    <xdr:to>
      <xdr:col>12</xdr:col>
      <xdr:colOff>511293</xdr:colOff>
      <xdr:row>180</xdr:row>
      <xdr:rowOff>748</xdr:rowOff>
    </xdr:to>
    <xdr:pic>
      <xdr:nvPicPr>
        <xdr:cNvPr id="11" name="Picture 10"/>
        <xdr:cNvPicPr>
          <a:picLocks noChangeAspect="1"/>
        </xdr:cNvPicPr>
      </xdr:nvPicPr>
      <xdr:blipFill>
        <a:blip xmlns:r="http://schemas.openxmlformats.org/officeDocument/2006/relationships" r:embed="rId9"/>
        <a:stretch>
          <a:fillRect/>
        </a:stretch>
      </xdr:blipFill>
      <xdr:spPr>
        <a:xfrm>
          <a:off x="8372475" y="36242625"/>
          <a:ext cx="2047619" cy="1485714"/>
        </a:xfrm>
        <a:prstGeom prst="rect">
          <a:avLst/>
        </a:prstGeom>
      </xdr:spPr>
    </xdr:pic>
    <xdr:clientData/>
  </xdr:twoCellAnchor>
  <xdr:twoCellAnchor editAs="oneCell">
    <xdr:from>
      <xdr:col>8</xdr:col>
      <xdr:colOff>282851</xdr:colOff>
      <xdr:row>10</xdr:row>
      <xdr:rowOff>77444</xdr:rowOff>
    </xdr:from>
    <xdr:to>
      <xdr:col>13</xdr:col>
      <xdr:colOff>52713</xdr:colOff>
      <xdr:row>18</xdr:row>
      <xdr:rowOff>94130</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6602481" y="2446270"/>
          <a:ext cx="4161326" cy="2320787"/>
        </a:xfrm>
        <a:prstGeom prst="rect">
          <a:avLst/>
        </a:prstGeom>
      </xdr:spPr>
    </xdr:pic>
    <xdr:clientData/>
  </xdr:twoCellAnchor>
  <xdr:twoCellAnchor editAs="oneCell">
    <xdr:from>
      <xdr:col>1</xdr:col>
      <xdr:colOff>504927</xdr:colOff>
      <xdr:row>291</xdr:row>
      <xdr:rowOff>190500</xdr:rowOff>
    </xdr:from>
    <xdr:to>
      <xdr:col>5</xdr:col>
      <xdr:colOff>501207</xdr:colOff>
      <xdr:row>311</xdr:row>
      <xdr:rowOff>116382</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1266927" y="54816375"/>
          <a:ext cx="3346839" cy="3960000"/>
        </a:xfrm>
        <a:prstGeom prst="rect">
          <a:avLst/>
        </a:prstGeom>
        <a:ln>
          <a:solidFill>
            <a:schemeClr val="tx1"/>
          </a:solidFill>
        </a:ln>
      </xdr:spPr>
    </xdr:pic>
    <xdr:clientData/>
  </xdr:twoCellAnchor>
  <xdr:twoCellAnchor>
    <xdr:from>
      <xdr:col>0</xdr:col>
      <xdr:colOff>304800</xdr:colOff>
      <xdr:row>408</xdr:row>
      <xdr:rowOff>28575</xdr:rowOff>
    </xdr:from>
    <xdr:to>
      <xdr:col>7</xdr:col>
      <xdr:colOff>503049</xdr:colOff>
      <xdr:row>447</xdr:row>
      <xdr:rowOff>105065</xdr:rowOff>
    </xdr:to>
    <xdr:grpSp>
      <xdr:nvGrpSpPr>
        <xdr:cNvPr id="35" name="Group 34"/>
        <xdr:cNvGrpSpPr/>
      </xdr:nvGrpSpPr>
      <xdr:grpSpPr>
        <a:xfrm>
          <a:off x="304800" y="77066775"/>
          <a:ext cx="5779899" cy="7877465"/>
          <a:chOff x="304800" y="70278251"/>
          <a:chExt cx="5778778" cy="7943020"/>
        </a:xfrm>
      </xdr:grpSpPr>
      <xdr:grpSp>
        <xdr:nvGrpSpPr>
          <xdr:cNvPr id="19" name="Group 18"/>
          <xdr:cNvGrpSpPr/>
        </xdr:nvGrpSpPr>
        <xdr:grpSpPr>
          <a:xfrm>
            <a:off x="304800" y="70278251"/>
            <a:ext cx="5778778" cy="7943020"/>
            <a:chOff x="257175" y="63636525"/>
            <a:chExt cx="5779899" cy="7877465"/>
          </a:xfrm>
        </xdr:grpSpPr>
        <xdr:pic>
          <xdr:nvPicPr>
            <xdr:cNvPr id="13" name="Picture 12"/>
            <xdr:cNvPicPr>
              <a:picLocks noChangeAspect="1"/>
            </xdr:cNvPicPr>
          </xdr:nvPicPr>
          <xdr:blipFill>
            <a:blip xmlns:r="http://schemas.openxmlformats.org/officeDocument/2006/relationships" r:embed="rId12"/>
            <a:stretch>
              <a:fillRect/>
            </a:stretch>
          </xdr:blipFill>
          <xdr:spPr>
            <a:xfrm>
              <a:off x="257175" y="63636525"/>
              <a:ext cx="5779899" cy="3781425"/>
            </a:xfrm>
            <a:prstGeom prst="rect">
              <a:avLst/>
            </a:prstGeom>
            <a:ln>
              <a:solidFill>
                <a:schemeClr val="tx1"/>
              </a:solidFill>
            </a:ln>
          </xdr:spPr>
        </xdr:pic>
        <xdr:grpSp>
          <xdr:nvGrpSpPr>
            <xdr:cNvPr id="14" name="Group 13"/>
            <xdr:cNvGrpSpPr/>
          </xdr:nvGrpSpPr>
          <xdr:grpSpPr>
            <a:xfrm>
              <a:off x="301035" y="67553990"/>
              <a:ext cx="5616346" cy="3960000"/>
              <a:chOff x="1005985" y="2951715"/>
              <a:chExt cx="5616346" cy="3960000"/>
            </a:xfrm>
          </xdr:grpSpPr>
          <xdr:pic>
            <xdr:nvPicPr>
              <xdr:cNvPr id="15" name="Picture 14"/>
              <xdr:cNvPicPr>
                <a:picLocks noChangeAspect="1"/>
              </xdr:cNvPicPr>
            </xdr:nvPicPr>
            <xdr:blipFill>
              <a:blip xmlns:r="http://schemas.openxmlformats.org/officeDocument/2006/relationships" r:embed="rId13"/>
              <a:stretch>
                <a:fillRect/>
              </a:stretch>
            </xdr:blipFill>
            <xdr:spPr>
              <a:xfrm>
                <a:off x="1005985" y="2951715"/>
                <a:ext cx="5616346" cy="3960000"/>
              </a:xfrm>
              <a:prstGeom prst="rect">
                <a:avLst/>
              </a:prstGeom>
              <a:ln>
                <a:solidFill>
                  <a:schemeClr val="tx1"/>
                </a:solidFill>
              </a:ln>
            </xdr:spPr>
          </xdr:pic>
          <xdr:sp macro="" textlink="">
            <xdr:nvSpPr>
              <xdr:cNvPr id="16" name="Rectangle 15"/>
              <xdr:cNvSpPr/>
            </xdr:nvSpPr>
            <xdr:spPr>
              <a:xfrm rot="20639033">
                <a:off x="3785367" y="4391862"/>
                <a:ext cx="496553" cy="107970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sp macro="" textlink="">
        <xdr:nvSpPr>
          <xdr:cNvPr id="20" name="TextBox 19"/>
          <xdr:cNvSpPr txBox="1"/>
        </xdr:nvSpPr>
        <xdr:spPr>
          <a:xfrm>
            <a:off x="3699621" y="75857660"/>
            <a:ext cx="1485901" cy="365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latin typeface="Times New Roman" panose="02020603050405020304" pitchFamily="18" charset="0"/>
                <a:cs typeface="Times New Roman" panose="02020603050405020304" pitchFamily="18" charset="0"/>
              </a:rPr>
              <a:t>Unique</a:t>
            </a:r>
            <a:r>
              <a:rPr lang="en-IN" sz="1400" b="1" baseline="0">
                <a:latin typeface="Times New Roman" panose="02020603050405020304" pitchFamily="18" charset="0"/>
                <a:cs typeface="Times New Roman" panose="02020603050405020304" pitchFamily="18" charset="0"/>
              </a:rPr>
              <a:t> Platinum</a:t>
            </a:r>
            <a:endParaRPr lang="en-IN" sz="1400" b="1">
              <a:latin typeface="Times New Roman" panose="02020603050405020304" pitchFamily="18" charset="0"/>
              <a:cs typeface="Times New Roman" panose="02020603050405020304" pitchFamily="18" charset="0"/>
            </a:endParaRPr>
          </a:p>
        </xdr:txBody>
      </xdr:sp>
    </xdr:grpSp>
    <xdr:clientData/>
  </xdr:twoCellAnchor>
  <xdr:twoCellAnchor editAs="oneCell">
    <xdr:from>
      <xdr:col>8</xdr:col>
      <xdr:colOff>1057834</xdr:colOff>
      <xdr:row>17</xdr:row>
      <xdr:rowOff>131671</xdr:rowOff>
    </xdr:from>
    <xdr:to>
      <xdr:col>22</xdr:col>
      <xdr:colOff>433393</xdr:colOff>
      <xdr:row>26</xdr:row>
      <xdr:rowOff>5309</xdr:rowOff>
    </xdr:to>
    <xdr:pic>
      <xdr:nvPicPr>
        <xdr:cNvPr id="4" name="Picture 3"/>
        <xdr:cNvPicPr>
          <a:picLocks noChangeAspect="1"/>
        </xdr:cNvPicPr>
      </xdr:nvPicPr>
      <xdr:blipFill>
        <a:blip xmlns:r="http://schemas.openxmlformats.org/officeDocument/2006/relationships" r:embed="rId14"/>
        <a:stretch>
          <a:fillRect/>
        </a:stretch>
      </xdr:blipFill>
      <xdr:spPr>
        <a:xfrm>
          <a:off x="7372909" y="4732246"/>
          <a:ext cx="10072134" cy="1892938"/>
        </a:xfrm>
        <a:prstGeom prst="rect">
          <a:avLst/>
        </a:prstGeom>
      </xdr:spPr>
    </xdr:pic>
    <xdr:clientData/>
  </xdr:twoCellAnchor>
  <xdr:twoCellAnchor editAs="oneCell">
    <xdr:from>
      <xdr:col>10</xdr:col>
      <xdr:colOff>549648</xdr:colOff>
      <xdr:row>167</xdr:row>
      <xdr:rowOff>26894</xdr:rowOff>
    </xdr:from>
    <xdr:to>
      <xdr:col>21</xdr:col>
      <xdr:colOff>422462</xdr:colOff>
      <xdr:row>175</xdr:row>
      <xdr:rowOff>89880</xdr:rowOff>
    </xdr:to>
    <xdr:pic>
      <xdr:nvPicPr>
        <xdr:cNvPr id="21" name="Picture 20"/>
        <xdr:cNvPicPr>
          <a:picLocks noChangeAspect="1"/>
        </xdr:cNvPicPr>
      </xdr:nvPicPr>
      <xdr:blipFill>
        <a:blip xmlns:r="http://schemas.openxmlformats.org/officeDocument/2006/relationships" r:embed="rId15"/>
        <a:stretch>
          <a:fillRect/>
        </a:stretch>
      </xdr:blipFill>
      <xdr:spPr>
        <a:xfrm>
          <a:off x="8785972" y="30361218"/>
          <a:ext cx="8030696" cy="1676634"/>
        </a:xfrm>
        <a:prstGeom prst="rect">
          <a:avLst/>
        </a:prstGeom>
      </xdr:spPr>
    </xdr:pic>
    <xdr:clientData/>
  </xdr:twoCellAnchor>
  <xdr:twoCellAnchor editAs="oneCell">
    <xdr:from>
      <xdr:col>9</xdr:col>
      <xdr:colOff>280148</xdr:colOff>
      <xdr:row>132</xdr:row>
      <xdr:rowOff>22412</xdr:rowOff>
    </xdr:from>
    <xdr:to>
      <xdr:col>20</xdr:col>
      <xdr:colOff>951</xdr:colOff>
      <xdr:row>141</xdr:row>
      <xdr:rowOff>62987</xdr:rowOff>
    </xdr:to>
    <xdr:pic>
      <xdr:nvPicPr>
        <xdr:cNvPr id="22" name="Picture 21"/>
        <xdr:cNvPicPr>
          <a:picLocks noChangeAspect="1"/>
        </xdr:cNvPicPr>
      </xdr:nvPicPr>
      <xdr:blipFill>
        <a:blip xmlns:r="http://schemas.openxmlformats.org/officeDocument/2006/relationships" r:embed="rId15"/>
        <a:stretch>
          <a:fillRect/>
        </a:stretch>
      </xdr:blipFill>
      <xdr:spPr>
        <a:xfrm>
          <a:off x="7754472" y="21055853"/>
          <a:ext cx="8030696" cy="1676634"/>
        </a:xfrm>
        <a:prstGeom prst="rect">
          <a:avLst/>
        </a:prstGeom>
      </xdr:spPr>
    </xdr:pic>
    <xdr:clientData/>
  </xdr:twoCellAnchor>
  <xdr:twoCellAnchor>
    <xdr:from>
      <xdr:col>0</xdr:col>
      <xdr:colOff>295275</xdr:colOff>
      <xdr:row>312</xdr:row>
      <xdr:rowOff>1500</xdr:rowOff>
    </xdr:from>
    <xdr:to>
      <xdr:col>7</xdr:col>
      <xdr:colOff>572620</xdr:colOff>
      <xdr:row>330</xdr:row>
      <xdr:rowOff>136431</xdr:rowOff>
    </xdr:to>
    <xdr:grpSp>
      <xdr:nvGrpSpPr>
        <xdr:cNvPr id="30" name="Group 29"/>
        <xdr:cNvGrpSpPr/>
      </xdr:nvGrpSpPr>
      <xdr:grpSpPr>
        <a:xfrm>
          <a:off x="295275" y="57761100"/>
          <a:ext cx="5858995" cy="3735381"/>
          <a:chOff x="295275" y="53991441"/>
          <a:chExt cx="5857874" cy="3765637"/>
        </a:xfrm>
      </xdr:grpSpPr>
      <xdr:pic>
        <xdr:nvPicPr>
          <xdr:cNvPr id="18" name="Picture 17"/>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l="-2030" r="-2030" b="5040"/>
          <a:stretch/>
        </xdr:blipFill>
        <xdr:spPr>
          <a:xfrm>
            <a:off x="295275" y="53991441"/>
            <a:ext cx="5857874" cy="3765637"/>
          </a:xfrm>
          <a:prstGeom prst="rect">
            <a:avLst/>
          </a:prstGeom>
          <a:ln>
            <a:solidFill>
              <a:schemeClr val="tx1"/>
            </a:solidFill>
          </a:ln>
        </xdr:spPr>
      </xdr:pic>
      <xdr:sp macro="" textlink="">
        <xdr:nvSpPr>
          <xdr:cNvPr id="28" name="Rectangle 27"/>
          <xdr:cNvSpPr/>
        </xdr:nvSpPr>
        <xdr:spPr>
          <a:xfrm rot="579382">
            <a:off x="3965907" y="54434767"/>
            <a:ext cx="892086" cy="72107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2" name="TextBox 9"/>
          <xdr:cNvSpPr txBox="1"/>
        </xdr:nvSpPr>
        <xdr:spPr>
          <a:xfrm rot="574421">
            <a:off x="3652584" y="54086249"/>
            <a:ext cx="2030612" cy="35612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FR" sz="2000" b="1">
                <a:solidFill>
                  <a:srgbClr val="FF0000"/>
                </a:solidFill>
                <a:latin typeface="Times New Roman" panose="02020603050405020304" pitchFamily="18" charset="0"/>
                <a:cs typeface="Times New Roman" panose="02020603050405020304" pitchFamily="18" charset="0"/>
              </a:rPr>
              <a:t>Parking Tower</a:t>
            </a:r>
            <a:endParaRPr lang="en-IN" sz="2000" b="1">
              <a:solidFill>
                <a:srgbClr val="FF0000"/>
              </a:solidFill>
              <a:latin typeface="Times New Roman" panose="02020603050405020304" pitchFamily="18" charset="0"/>
              <a:cs typeface="Times New Roman" panose="02020603050405020304" pitchFamily="18" charset="0"/>
            </a:endParaRPr>
          </a:p>
        </xdr:txBody>
      </xdr:sp>
    </xdr:grpSp>
    <xdr:clientData/>
  </xdr:twoCellAnchor>
  <xdr:twoCellAnchor editAs="oneCell">
    <xdr:from>
      <xdr:col>9</xdr:col>
      <xdr:colOff>269742</xdr:colOff>
      <xdr:row>44</xdr:row>
      <xdr:rowOff>195303</xdr:rowOff>
    </xdr:from>
    <xdr:to>
      <xdr:col>20</xdr:col>
      <xdr:colOff>249129</xdr:colOff>
      <xdr:row>54</xdr:row>
      <xdr:rowOff>265167</xdr:rowOff>
    </xdr:to>
    <xdr:pic>
      <xdr:nvPicPr>
        <xdr:cNvPr id="31" name="Picture 30"/>
        <xdr:cNvPicPr>
          <a:picLocks noChangeAspect="1"/>
        </xdr:cNvPicPr>
      </xdr:nvPicPr>
      <xdr:blipFill>
        <a:blip xmlns:r="http://schemas.openxmlformats.org/officeDocument/2006/relationships" r:embed="rId17"/>
        <a:stretch>
          <a:fillRect/>
        </a:stretch>
      </xdr:blipFill>
      <xdr:spPr>
        <a:xfrm>
          <a:off x="7740063" y="10999374"/>
          <a:ext cx="8306959" cy="2791293"/>
        </a:xfrm>
        <a:prstGeom prst="rect">
          <a:avLst/>
        </a:prstGeom>
      </xdr:spPr>
    </xdr:pic>
    <xdr:clientData/>
  </xdr:twoCellAnchor>
  <xdr:twoCellAnchor editAs="oneCell">
    <xdr:from>
      <xdr:col>10</xdr:col>
      <xdr:colOff>61633</xdr:colOff>
      <xdr:row>53</xdr:row>
      <xdr:rowOff>245729</xdr:rowOff>
    </xdr:from>
    <xdr:to>
      <xdr:col>23</xdr:col>
      <xdr:colOff>225211</xdr:colOff>
      <xdr:row>72</xdr:row>
      <xdr:rowOff>135845</xdr:rowOff>
    </xdr:to>
    <xdr:pic>
      <xdr:nvPicPr>
        <xdr:cNvPr id="33" name="Picture 32"/>
        <xdr:cNvPicPr>
          <a:picLocks noChangeAspect="1"/>
        </xdr:cNvPicPr>
      </xdr:nvPicPr>
      <xdr:blipFill>
        <a:blip xmlns:r="http://schemas.openxmlformats.org/officeDocument/2006/relationships" r:embed="rId18"/>
        <a:stretch>
          <a:fillRect/>
        </a:stretch>
      </xdr:blipFill>
      <xdr:spPr>
        <a:xfrm>
          <a:off x="8293954" y="13308586"/>
          <a:ext cx="9566114" cy="4734259"/>
        </a:xfrm>
        <a:prstGeom prst="rect">
          <a:avLst/>
        </a:prstGeom>
      </xdr:spPr>
    </xdr:pic>
    <xdr:clientData/>
  </xdr:twoCellAnchor>
  <xdr:twoCellAnchor editAs="oneCell">
    <xdr:from>
      <xdr:col>10</xdr:col>
      <xdr:colOff>431938</xdr:colOff>
      <xdr:row>227</xdr:row>
      <xdr:rowOff>404191</xdr:rowOff>
    </xdr:from>
    <xdr:to>
      <xdr:col>18</xdr:col>
      <xdr:colOff>176701</xdr:colOff>
      <xdr:row>242</xdr:row>
      <xdr:rowOff>183690</xdr:rowOff>
    </xdr:to>
    <xdr:pic>
      <xdr:nvPicPr>
        <xdr:cNvPr id="38" name="Picture 37"/>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sharpenSoften amount="25000"/>
                  </a14:imgEffect>
                </a14:imgLayer>
              </a14:imgProps>
            </a:ext>
          </a:extLst>
        </a:blip>
        <a:stretch>
          <a:fillRect/>
        </a:stretch>
      </xdr:blipFill>
      <xdr:spPr>
        <a:xfrm>
          <a:off x="8671063" y="39199516"/>
          <a:ext cx="5859813" cy="4522949"/>
        </a:xfrm>
        <a:prstGeom prst="rect">
          <a:avLst/>
        </a:prstGeom>
        <a:ln>
          <a:solidFill>
            <a:sysClr val="windowText" lastClr="000000"/>
          </a:solidFill>
        </a:ln>
      </xdr:spPr>
    </xdr:pic>
    <xdr:clientData/>
  </xdr:twoCellAnchor>
  <xdr:twoCellAnchor editAs="oneCell">
    <xdr:from>
      <xdr:col>1</xdr:col>
      <xdr:colOff>7005</xdr:colOff>
      <xdr:row>334</xdr:row>
      <xdr:rowOff>190501</xdr:rowOff>
    </xdr:from>
    <xdr:to>
      <xdr:col>3</xdr:col>
      <xdr:colOff>585812</xdr:colOff>
      <xdr:row>348</xdr:row>
      <xdr:rowOff>115980</xdr:rowOff>
    </xdr:to>
    <xdr:pic>
      <xdr:nvPicPr>
        <xdr:cNvPr id="48" name="Picture 47"/>
        <xdr:cNvPicPr>
          <a:picLocks noChangeAspect="1"/>
        </xdr:cNvPicPr>
      </xdr:nvPicPr>
      <xdr:blipFill>
        <a:blip xmlns:r="http://schemas.openxmlformats.org/officeDocument/2006/relationships" r:embed="rId21"/>
        <a:stretch>
          <a:fillRect/>
        </a:stretch>
      </xdr:blipFill>
      <xdr:spPr>
        <a:xfrm>
          <a:off x="769005" y="63391677"/>
          <a:ext cx="2226072" cy="2816597"/>
        </a:xfrm>
        <a:prstGeom prst="rect">
          <a:avLst/>
        </a:prstGeom>
        <a:ln>
          <a:solidFill>
            <a:schemeClr val="tx1"/>
          </a:solidFill>
        </a:ln>
      </xdr:spPr>
    </xdr:pic>
    <xdr:clientData/>
  </xdr:twoCellAnchor>
  <xdr:twoCellAnchor editAs="oneCell">
    <xdr:from>
      <xdr:col>3</xdr:col>
      <xdr:colOff>696654</xdr:colOff>
      <xdr:row>334</xdr:row>
      <xdr:rowOff>190501</xdr:rowOff>
    </xdr:from>
    <xdr:to>
      <xdr:col>6</xdr:col>
      <xdr:colOff>392206</xdr:colOff>
      <xdr:row>348</xdr:row>
      <xdr:rowOff>115980</xdr:rowOff>
    </xdr:to>
    <xdr:pic>
      <xdr:nvPicPr>
        <xdr:cNvPr id="49" name="Picture 48"/>
        <xdr:cNvPicPr>
          <a:picLocks noChangeAspect="1"/>
        </xdr:cNvPicPr>
      </xdr:nvPicPr>
      <xdr:blipFill>
        <a:blip xmlns:r="http://schemas.openxmlformats.org/officeDocument/2006/relationships" r:embed="rId22"/>
        <a:stretch>
          <a:fillRect/>
        </a:stretch>
      </xdr:blipFill>
      <xdr:spPr>
        <a:xfrm>
          <a:off x="3105919" y="63391677"/>
          <a:ext cx="2138434" cy="2816597"/>
        </a:xfrm>
        <a:prstGeom prst="rect">
          <a:avLst/>
        </a:prstGeom>
        <a:ln>
          <a:solidFill>
            <a:schemeClr val="tx1"/>
          </a:solidFill>
        </a:ln>
      </xdr:spPr>
    </xdr:pic>
    <xdr:clientData/>
  </xdr:twoCellAnchor>
  <xdr:twoCellAnchor editAs="oneCell">
    <xdr:from>
      <xdr:col>0</xdr:col>
      <xdr:colOff>725915</xdr:colOff>
      <xdr:row>362</xdr:row>
      <xdr:rowOff>89648</xdr:rowOff>
    </xdr:from>
    <xdr:to>
      <xdr:col>3</xdr:col>
      <xdr:colOff>578317</xdr:colOff>
      <xdr:row>372</xdr:row>
      <xdr:rowOff>187652</xdr:rowOff>
    </xdr:to>
    <xdr:pic>
      <xdr:nvPicPr>
        <xdr:cNvPr id="50" name="Picture 49"/>
        <xdr:cNvPicPr>
          <a:picLocks noChangeAspect="1"/>
        </xdr:cNvPicPr>
      </xdr:nvPicPr>
      <xdr:blipFill>
        <a:blip xmlns:r="http://schemas.openxmlformats.org/officeDocument/2006/relationships" r:embed="rId23"/>
        <a:stretch>
          <a:fillRect/>
        </a:stretch>
      </xdr:blipFill>
      <xdr:spPr>
        <a:xfrm>
          <a:off x="725915" y="66809098"/>
          <a:ext cx="2379702" cy="2066504"/>
        </a:xfrm>
        <a:prstGeom prst="rect">
          <a:avLst/>
        </a:prstGeom>
        <a:ln>
          <a:solidFill>
            <a:schemeClr val="tx1"/>
          </a:solidFill>
        </a:ln>
      </xdr:spPr>
    </xdr:pic>
    <xdr:clientData/>
  </xdr:twoCellAnchor>
  <xdr:twoCellAnchor editAs="oneCell">
    <xdr:from>
      <xdr:col>1</xdr:col>
      <xdr:colOff>257556</xdr:colOff>
      <xdr:row>349</xdr:row>
      <xdr:rowOff>47453</xdr:rowOff>
    </xdr:from>
    <xdr:to>
      <xdr:col>3</xdr:col>
      <xdr:colOff>609040</xdr:colOff>
      <xdr:row>361</xdr:row>
      <xdr:rowOff>196101</xdr:rowOff>
    </xdr:to>
    <xdr:pic>
      <xdr:nvPicPr>
        <xdr:cNvPr id="51" name="Picture 50"/>
        <xdr:cNvPicPr>
          <a:picLocks noChangeAspect="1"/>
        </xdr:cNvPicPr>
      </xdr:nvPicPr>
      <xdr:blipFill>
        <a:blip xmlns:r="http://schemas.openxmlformats.org/officeDocument/2006/relationships" r:embed="rId24"/>
        <a:stretch>
          <a:fillRect/>
        </a:stretch>
      </xdr:blipFill>
      <xdr:spPr>
        <a:xfrm>
          <a:off x="1019556" y="66341453"/>
          <a:ext cx="1998749" cy="2569119"/>
        </a:xfrm>
        <a:prstGeom prst="rect">
          <a:avLst/>
        </a:prstGeom>
        <a:ln>
          <a:solidFill>
            <a:schemeClr val="tx1"/>
          </a:solidFill>
        </a:ln>
      </xdr:spPr>
    </xdr:pic>
    <xdr:clientData/>
  </xdr:twoCellAnchor>
  <xdr:twoCellAnchor editAs="oneCell">
    <xdr:from>
      <xdr:col>3</xdr:col>
      <xdr:colOff>708446</xdr:colOff>
      <xdr:row>349</xdr:row>
      <xdr:rowOff>47453</xdr:rowOff>
    </xdr:from>
    <xdr:to>
      <xdr:col>6</xdr:col>
      <xdr:colOff>322310</xdr:colOff>
      <xdr:row>361</xdr:row>
      <xdr:rowOff>196101</xdr:rowOff>
    </xdr:to>
    <xdr:pic>
      <xdr:nvPicPr>
        <xdr:cNvPr id="52" name="Picture 51"/>
        <xdr:cNvPicPr>
          <a:picLocks noChangeAspect="1"/>
        </xdr:cNvPicPr>
      </xdr:nvPicPr>
      <xdr:blipFill>
        <a:blip xmlns:r="http://schemas.openxmlformats.org/officeDocument/2006/relationships" r:embed="rId25"/>
        <a:stretch>
          <a:fillRect/>
        </a:stretch>
      </xdr:blipFill>
      <xdr:spPr>
        <a:xfrm>
          <a:off x="3117711" y="66341453"/>
          <a:ext cx="2056746" cy="2569119"/>
        </a:xfrm>
        <a:prstGeom prst="rect">
          <a:avLst/>
        </a:prstGeom>
        <a:ln>
          <a:solidFill>
            <a:schemeClr val="tx1"/>
          </a:solidFill>
        </a:ln>
      </xdr:spPr>
    </xdr:pic>
    <xdr:clientData/>
  </xdr:twoCellAnchor>
  <xdr:twoCellAnchor editAs="oneCell">
    <xdr:from>
      <xdr:col>3</xdr:col>
      <xdr:colOff>669005</xdr:colOff>
      <xdr:row>362</xdr:row>
      <xdr:rowOff>92279</xdr:rowOff>
    </xdr:from>
    <xdr:to>
      <xdr:col>6</xdr:col>
      <xdr:colOff>683558</xdr:colOff>
      <xdr:row>372</xdr:row>
      <xdr:rowOff>184151</xdr:rowOff>
    </xdr:to>
    <xdr:pic>
      <xdr:nvPicPr>
        <xdr:cNvPr id="53" name="Picture 52"/>
        <xdr:cNvPicPr>
          <a:picLocks noChangeAspect="1"/>
        </xdr:cNvPicPr>
      </xdr:nvPicPr>
      <xdr:blipFill rotWithShape="1">
        <a:blip xmlns:r="http://schemas.openxmlformats.org/officeDocument/2006/relationships" r:embed="rId26"/>
        <a:srcRect r="9972"/>
        <a:stretch/>
      </xdr:blipFill>
      <xdr:spPr>
        <a:xfrm>
          <a:off x="3196305" y="66811729"/>
          <a:ext cx="2573603" cy="2060372"/>
        </a:xfrm>
        <a:prstGeom prst="rect">
          <a:avLst/>
        </a:prstGeom>
        <a:ln>
          <a:solidFill>
            <a:schemeClr val="tx1"/>
          </a:solidFill>
        </a:ln>
      </xdr:spPr>
    </xdr:pic>
    <xdr:clientData/>
  </xdr:twoCellAnchor>
  <xdr:twoCellAnchor editAs="oneCell">
    <xdr:from>
      <xdr:col>0</xdr:col>
      <xdr:colOff>276411</xdr:colOff>
      <xdr:row>378</xdr:row>
      <xdr:rowOff>146050</xdr:rowOff>
    </xdr:from>
    <xdr:to>
      <xdr:col>7</xdr:col>
      <xdr:colOff>472019</xdr:colOff>
      <xdr:row>401</xdr:row>
      <xdr:rowOff>19797</xdr:rowOff>
    </xdr:to>
    <xdr:pic>
      <xdr:nvPicPr>
        <xdr:cNvPr id="54" name="Picture 53"/>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sharpenSoften amount="25000"/>
                  </a14:imgEffect>
                </a14:imgLayer>
              </a14:imgProps>
            </a:ext>
          </a:extLst>
        </a:blip>
        <a:stretch>
          <a:fillRect/>
        </a:stretch>
      </xdr:blipFill>
      <xdr:spPr>
        <a:xfrm>
          <a:off x="276411" y="70605650"/>
          <a:ext cx="6050308" cy="4401297"/>
        </a:xfrm>
        <a:prstGeom prst="rect">
          <a:avLst/>
        </a:prstGeom>
        <a:ln>
          <a:solidFill>
            <a:sysClr val="windowText" lastClr="000000"/>
          </a:solidFill>
        </a:ln>
      </xdr:spPr>
    </xdr:pic>
    <xdr:clientData/>
  </xdr:twoCellAnchor>
  <xdr:twoCellAnchor editAs="oneCell">
    <xdr:from>
      <xdr:col>12</xdr:col>
      <xdr:colOff>303960</xdr:colOff>
      <xdr:row>341</xdr:row>
      <xdr:rowOff>130267</xdr:rowOff>
    </xdr:from>
    <xdr:to>
      <xdr:col>14</xdr:col>
      <xdr:colOff>471795</xdr:colOff>
      <xdr:row>352</xdr:row>
      <xdr:rowOff>112684</xdr:rowOff>
    </xdr:to>
    <xdr:pic>
      <xdr:nvPicPr>
        <xdr:cNvPr id="55" name="Picture 54"/>
        <xdr:cNvPicPr>
          <a:picLocks noChangeAspect="1"/>
        </xdr:cNvPicPr>
      </xdr:nvPicPr>
      <xdr:blipFill>
        <a:blip xmlns:r="http://schemas.openxmlformats.org/officeDocument/2006/relationships" r:embed="rId21"/>
        <a:stretch>
          <a:fillRect/>
        </a:stretch>
      </xdr:blipFill>
      <xdr:spPr>
        <a:xfrm>
          <a:off x="10257585" y="61923705"/>
          <a:ext cx="1787085" cy="2173167"/>
        </a:xfrm>
        <a:prstGeom prst="rect">
          <a:avLst/>
        </a:prstGeom>
        <a:ln>
          <a:solidFill>
            <a:schemeClr val="tx1"/>
          </a:solidFill>
        </a:ln>
      </xdr:spPr>
    </xdr:pic>
    <xdr:clientData/>
  </xdr:twoCellAnchor>
  <xdr:twoCellAnchor editAs="oneCell">
    <xdr:from>
      <xdr:col>14</xdr:col>
      <xdr:colOff>668638</xdr:colOff>
      <xdr:row>341</xdr:row>
      <xdr:rowOff>130267</xdr:rowOff>
    </xdr:from>
    <xdr:to>
      <xdr:col>17</xdr:col>
      <xdr:colOff>205162</xdr:colOff>
      <xdr:row>352</xdr:row>
      <xdr:rowOff>112684</xdr:rowOff>
    </xdr:to>
    <xdr:pic>
      <xdr:nvPicPr>
        <xdr:cNvPr id="56" name="Picture 55"/>
        <xdr:cNvPicPr>
          <a:picLocks noChangeAspect="1"/>
        </xdr:cNvPicPr>
      </xdr:nvPicPr>
      <xdr:blipFill>
        <a:blip xmlns:r="http://schemas.openxmlformats.org/officeDocument/2006/relationships" r:embed="rId22"/>
        <a:stretch>
          <a:fillRect/>
        </a:stretch>
      </xdr:blipFill>
      <xdr:spPr>
        <a:xfrm>
          <a:off x="12241513" y="61923705"/>
          <a:ext cx="1751087" cy="2173167"/>
        </a:xfrm>
        <a:prstGeom prst="rect">
          <a:avLst/>
        </a:prstGeom>
        <a:ln>
          <a:solidFill>
            <a:schemeClr val="tx1"/>
          </a:solidFill>
        </a:ln>
      </xdr:spPr>
    </xdr:pic>
    <xdr:clientData/>
  </xdr:twoCellAnchor>
  <xdr:twoCellAnchor editAs="oneCell">
    <xdr:from>
      <xdr:col>12</xdr:col>
      <xdr:colOff>356121</xdr:colOff>
      <xdr:row>364</xdr:row>
      <xdr:rowOff>114859</xdr:rowOff>
    </xdr:from>
    <xdr:to>
      <xdr:col>14</xdr:col>
      <xdr:colOff>569034</xdr:colOff>
      <xdr:row>375</xdr:row>
      <xdr:rowOff>178519</xdr:rowOff>
    </xdr:to>
    <xdr:pic>
      <xdr:nvPicPr>
        <xdr:cNvPr id="57" name="Picture 56"/>
        <xdr:cNvPicPr>
          <a:picLocks noChangeAspect="1"/>
        </xdr:cNvPicPr>
      </xdr:nvPicPr>
      <xdr:blipFill>
        <a:blip xmlns:r="http://schemas.openxmlformats.org/officeDocument/2006/relationships" r:embed="rId23"/>
        <a:stretch>
          <a:fillRect/>
        </a:stretch>
      </xdr:blipFill>
      <xdr:spPr>
        <a:xfrm>
          <a:off x="10262121" y="69434447"/>
          <a:ext cx="1848972" cy="2282425"/>
        </a:xfrm>
        <a:prstGeom prst="rect">
          <a:avLst/>
        </a:prstGeom>
        <a:ln>
          <a:solidFill>
            <a:schemeClr val="tx1"/>
          </a:solidFill>
        </a:ln>
      </xdr:spPr>
    </xdr:pic>
    <xdr:clientData/>
  </xdr:twoCellAnchor>
  <xdr:twoCellAnchor editAs="oneCell">
    <xdr:from>
      <xdr:col>12</xdr:col>
      <xdr:colOff>492879</xdr:colOff>
      <xdr:row>352</xdr:row>
      <xdr:rowOff>49402</xdr:rowOff>
    </xdr:from>
    <xdr:to>
      <xdr:col>14</xdr:col>
      <xdr:colOff>627383</xdr:colOff>
      <xdr:row>363</xdr:row>
      <xdr:rowOff>106455</xdr:rowOff>
    </xdr:to>
    <xdr:pic>
      <xdr:nvPicPr>
        <xdr:cNvPr id="58" name="Picture 57"/>
        <xdr:cNvPicPr>
          <a:picLocks noChangeAspect="1"/>
        </xdr:cNvPicPr>
      </xdr:nvPicPr>
      <xdr:blipFill>
        <a:blip xmlns:r="http://schemas.openxmlformats.org/officeDocument/2006/relationships" r:embed="rId24"/>
        <a:stretch>
          <a:fillRect/>
        </a:stretch>
      </xdr:blipFill>
      <xdr:spPr>
        <a:xfrm>
          <a:off x="10398879" y="66948520"/>
          <a:ext cx="1770563" cy="2275817"/>
        </a:xfrm>
        <a:prstGeom prst="rect">
          <a:avLst/>
        </a:prstGeom>
        <a:ln>
          <a:solidFill>
            <a:schemeClr val="tx1"/>
          </a:solidFill>
        </a:ln>
      </xdr:spPr>
    </xdr:pic>
    <xdr:clientData/>
  </xdr:twoCellAnchor>
  <xdr:twoCellAnchor editAs="oneCell">
    <xdr:from>
      <xdr:col>14</xdr:col>
      <xdr:colOff>674827</xdr:colOff>
      <xdr:row>352</xdr:row>
      <xdr:rowOff>49402</xdr:rowOff>
    </xdr:from>
    <xdr:to>
      <xdr:col>17</xdr:col>
      <xdr:colOff>300413</xdr:colOff>
      <xdr:row>363</xdr:row>
      <xdr:rowOff>106455</xdr:rowOff>
    </xdr:to>
    <xdr:pic>
      <xdr:nvPicPr>
        <xdr:cNvPr id="59" name="Picture 58"/>
        <xdr:cNvPicPr>
          <a:picLocks noChangeAspect="1"/>
        </xdr:cNvPicPr>
      </xdr:nvPicPr>
      <xdr:blipFill>
        <a:blip xmlns:r="http://schemas.openxmlformats.org/officeDocument/2006/relationships" r:embed="rId25"/>
        <a:stretch>
          <a:fillRect/>
        </a:stretch>
      </xdr:blipFill>
      <xdr:spPr>
        <a:xfrm>
          <a:off x="12216886" y="66948520"/>
          <a:ext cx="1821939" cy="2275817"/>
        </a:xfrm>
        <a:prstGeom prst="rect">
          <a:avLst/>
        </a:prstGeom>
        <a:ln>
          <a:solidFill>
            <a:schemeClr val="tx1"/>
          </a:solidFill>
        </a:ln>
      </xdr:spPr>
    </xdr:pic>
    <xdr:clientData/>
  </xdr:twoCellAnchor>
  <xdr:twoCellAnchor editAs="oneCell">
    <xdr:from>
      <xdr:col>14</xdr:col>
      <xdr:colOff>769858</xdr:colOff>
      <xdr:row>364</xdr:row>
      <xdr:rowOff>116637</xdr:rowOff>
    </xdr:from>
    <xdr:to>
      <xdr:col>17</xdr:col>
      <xdr:colOff>582523</xdr:colOff>
      <xdr:row>375</xdr:row>
      <xdr:rowOff>173689</xdr:rowOff>
    </xdr:to>
    <xdr:pic>
      <xdr:nvPicPr>
        <xdr:cNvPr id="60" name="Picture 59"/>
        <xdr:cNvPicPr>
          <a:picLocks noChangeAspect="1"/>
        </xdr:cNvPicPr>
      </xdr:nvPicPr>
      <xdr:blipFill rotWithShape="1">
        <a:blip xmlns:r="http://schemas.openxmlformats.org/officeDocument/2006/relationships" r:embed="rId26"/>
        <a:srcRect r="9972"/>
        <a:stretch/>
      </xdr:blipFill>
      <xdr:spPr>
        <a:xfrm>
          <a:off x="12311917" y="69436225"/>
          <a:ext cx="2009018" cy="2275817"/>
        </a:xfrm>
        <a:prstGeom prst="rect">
          <a:avLst/>
        </a:prstGeom>
        <a:ln>
          <a:solidFill>
            <a:schemeClr val="tx1"/>
          </a:solidFill>
        </a:ln>
      </xdr:spPr>
    </xdr:pic>
    <xdr:clientData/>
  </xdr:twoCellAnchor>
  <xdr:twoCellAnchor editAs="oneCell">
    <xdr:from>
      <xdr:col>9</xdr:col>
      <xdr:colOff>385953</xdr:colOff>
      <xdr:row>52</xdr:row>
      <xdr:rowOff>304800</xdr:rowOff>
    </xdr:from>
    <xdr:to>
      <xdr:col>16</xdr:col>
      <xdr:colOff>151462</xdr:colOff>
      <xdr:row>66</xdr:row>
      <xdr:rowOff>199405</xdr:rowOff>
    </xdr:to>
    <xdr:pic>
      <xdr:nvPicPr>
        <xdr:cNvPr id="24" name="Picture 23"/>
        <xdr:cNvPicPr>
          <a:picLocks noChangeAspect="1"/>
        </xdr:cNvPicPr>
      </xdr:nvPicPr>
      <xdr:blipFill>
        <a:blip xmlns:r="http://schemas.openxmlformats.org/officeDocument/2006/relationships" r:embed="rId27"/>
        <a:stretch>
          <a:fillRect/>
        </a:stretch>
      </xdr:blipFill>
      <xdr:spPr>
        <a:xfrm>
          <a:off x="7863078" y="12639675"/>
          <a:ext cx="5423359" cy="3590305"/>
        </a:xfrm>
        <a:prstGeom prst="rect">
          <a:avLst/>
        </a:prstGeom>
      </xdr:spPr>
    </xdr:pic>
    <xdr:clientData/>
  </xdr:twoCellAnchor>
  <xdr:twoCellAnchor>
    <xdr:from>
      <xdr:col>0</xdr:col>
      <xdr:colOff>85724</xdr:colOff>
      <xdr:row>249</xdr:row>
      <xdr:rowOff>95248</xdr:rowOff>
    </xdr:from>
    <xdr:to>
      <xdr:col>7</xdr:col>
      <xdr:colOff>641504</xdr:colOff>
      <xdr:row>288</xdr:row>
      <xdr:rowOff>150225</xdr:rowOff>
    </xdr:to>
    <xdr:grpSp>
      <xdr:nvGrpSpPr>
        <xdr:cNvPr id="23" name="Group 22"/>
        <xdr:cNvGrpSpPr/>
      </xdr:nvGrpSpPr>
      <xdr:grpSpPr>
        <a:xfrm>
          <a:off x="85724" y="45262798"/>
          <a:ext cx="6137430" cy="7846427"/>
          <a:chOff x="76199" y="45053248"/>
          <a:chExt cx="6137430" cy="7846427"/>
        </a:xfrm>
      </xdr:grpSpPr>
      <xdr:pic>
        <xdr:nvPicPr>
          <xdr:cNvPr id="67" name="Picture 66" descr="https://vsjcllp.vsjadon.com/upload/insp-246637-846.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a:ext>
            </a:extLst>
          </a:blip>
          <a:srcRect/>
          <a:stretch>
            <a:fillRect/>
          </a:stretch>
        </xdr:blipFill>
        <xdr:spPr bwMode="auto">
          <a:xfrm>
            <a:off x="76199" y="45056923"/>
            <a:ext cx="3860802" cy="28956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8" name="Picture 67" descr="https://vsjcllp.vsjadon.com/upload/insp-246637-848.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a:ext>
            </a:extLst>
          </a:blip>
          <a:srcRect/>
          <a:stretch>
            <a:fillRect/>
          </a:stretch>
        </xdr:blipFill>
        <xdr:spPr bwMode="auto">
          <a:xfrm>
            <a:off x="4213377" y="48044099"/>
            <a:ext cx="1950244" cy="26003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9" name="Picture 68" descr="https://vsjcllp.vsjadon.com/upload/insp-246637-850.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a:ext>
            </a:extLst>
          </a:blip>
          <a:srcRect/>
          <a:stretch>
            <a:fillRect/>
          </a:stretch>
        </xdr:blipFill>
        <xdr:spPr bwMode="auto">
          <a:xfrm>
            <a:off x="4041927" y="45053248"/>
            <a:ext cx="2171702" cy="289560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0" name="Picture 69" descr="https://vsjcllp.vsjadon.com/upload/insp-246637-852.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a:ext>
            </a:extLst>
          </a:blip>
          <a:srcRect/>
          <a:stretch>
            <a:fillRect/>
          </a:stretch>
        </xdr:blipFill>
        <xdr:spPr bwMode="auto">
          <a:xfrm>
            <a:off x="2165502" y="48044099"/>
            <a:ext cx="1950244" cy="26003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46637-943.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a:ext>
            </a:extLst>
          </a:blip>
          <a:srcRect/>
          <a:stretch>
            <a:fillRect/>
          </a:stretch>
        </xdr:blipFill>
        <xdr:spPr bwMode="auto">
          <a:xfrm>
            <a:off x="123824" y="48044099"/>
            <a:ext cx="1950244" cy="26003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2" name="Picture 71" descr="https://vsjcllp.vsjadon.com/upload/insp-246637-871.jpg"/>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a:ext>
            </a:extLst>
          </a:blip>
          <a:srcRect/>
          <a:stretch>
            <a:fillRect/>
          </a:stretch>
        </xdr:blipFill>
        <xdr:spPr bwMode="auto">
          <a:xfrm>
            <a:off x="2308378" y="50739675"/>
            <a:ext cx="16200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2</xdr:col>
      <xdr:colOff>44824</xdr:colOff>
      <xdr:row>9</xdr:row>
      <xdr:rowOff>78441</xdr:rowOff>
    </xdr:from>
    <xdr:to>
      <xdr:col>6</xdr:col>
      <xdr:colOff>803133</xdr:colOff>
      <xdr:row>30</xdr:row>
      <xdr:rowOff>117105</xdr:rowOff>
    </xdr:to>
    <xdr:pic>
      <xdr:nvPicPr>
        <xdr:cNvPr id="3" name="Picture 2"/>
        <xdr:cNvPicPr>
          <a:picLocks noChangeAspect="1"/>
        </xdr:cNvPicPr>
      </xdr:nvPicPr>
      <xdr:blipFill>
        <a:blip xmlns:r="http://schemas.openxmlformats.org/officeDocument/2006/relationships" r:embed="rId2"/>
        <a:stretch>
          <a:fillRect/>
        </a:stretch>
      </xdr:blipFill>
      <xdr:spPr>
        <a:xfrm>
          <a:off x="2106706" y="1804147"/>
          <a:ext cx="5677692" cy="40391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TXujmCVYuwquT2nG7" TargetMode="External"/><Relationship Id="rId1" Type="http://schemas.openxmlformats.org/officeDocument/2006/relationships/hyperlink" Target="https://www.indextap.com/properties/details/reliable-india-corporation/vikhroli-east/reliable-unique-platinum/66a7649a9208cee938d4d8c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408"/>
  <sheetViews>
    <sheetView tabSelected="1" view="pageBreakPreview" zoomScaleNormal="100" zoomScaleSheetLayoutView="100" zoomScalePageLayoutView="85" workbookViewId="0">
      <selection activeCell="K222" sqref="K222"/>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68" t="s">
        <v>163</v>
      </c>
      <c r="B1" s="268"/>
      <c r="C1" s="268"/>
      <c r="D1" s="268"/>
      <c r="E1" s="268"/>
      <c r="F1" s="268"/>
      <c r="G1" s="268"/>
      <c r="H1" s="268"/>
    </row>
    <row r="2" spans="1:26" ht="16.5" customHeight="1" x14ac:dyDescent="0.25">
      <c r="A2" s="269" t="s">
        <v>0</v>
      </c>
      <c r="B2" s="269"/>
      <c r="C2" s="269"/>
      <c r="D2" s="269"/>
      <c r="E2" s="269"/>
      <c r="F2" s="269"/>
      <c r="G2" s="269"/>
      <c r="H2" s="269"/>
    </row>
    <row r="3" spans="1:26" x14ac:dyDescent="0.25">
      <c r="A3" s="173" t="s">
        <v>1</v>
      </c>
      <c r="B3" s="173"/>
      <c r="C3" s="173"/>
      <c r="D3" s="173"/>
      <c r="E3" s="173" t="str">
        <f ca="1">TEXT(TODAY(),"DD/MM/YYYY")</f>
        <v>18/09/2025</v>
      </c>
      <c r="F3" s="173"/>
      <c r="G3" s="173"/>
      <c r="H3" s="173"/>
      <c r="K3" s="53" t="s">
        <v>237</v>
      </c>
      <c r="L3" s="51" t="s">
        <v>235</v>
      </c>
      <c r="M3" s="51" t="s">
        <v>240</v>
      </c>
      <c r="N3" s="51" t="s">
        <v>238</v>
      </c>
      <c r="O3" s="51" t="s">
        <v>356</v>
      </c>
      <c r="P3" s="51" t="s">
        <v>241</v>
      </c>
    </row>
    <row r="4" spans="1:26" ht="15" customHeight="1" x14ac:dyDescent="0.25">
      <c r="A4" s="173" t="s">
        <v>234</v>
      </c>
      <c r="B4" s="173"/>
      <c r="C4" s="173"/>
      <c r="D4" s="173"/>
      <c r="E4" s="173" t="s">
        <v>235</v>
      </c>
      <c r="F4" s="173"/>
      <c r="G4" s="173"/>
      <c r="H4" s="173"/>
      <c r="K4" s="50" t="s">
        <v>236</v>
      </c>
      <c r="L4" s="51" t="s">
        <v>169</v>
      </c>
      <c r="M4" s="51" t="s">
        <v>245</v>
      </c>
      <c r="N4" s="51" t="s">
        <v>247</v>
      </c>
      <c r="O4" s="51" t="s">
        <v>342</v>
      </c>
      <c r="P4" s="51"/>
    </row>
    <row r="5" spans="1:26" ht="15" customHeight="1" x14ac:dyDescent="0.25">
      <c r="A5" s="173" t="s">
        <v>2</v>
      </c>
      <c r="B5" s="173"/>
      <c r="C5" s="173"/>
      <c r="D5" s="173"/>
      <c r="E5" s="173" t="s">
        <v>243</v>
      </c>
      <c r="F5" s="173"/>
      <c r="G5" s="173"/>
      <c r="H5" s="173"/>
      <c r="K5" s="50"/>
      <c r="L5" s="51" t="s">
        <v>242</v>
      </c>
      <c r="M5" s="51" t="s">
        <v>246</v>
      </c>
      <c r="N5" s="51" t="s">
        <v>248</v>
      </c>
      <c r="O5" s="51" t="s">
        <v>343</v>
      </c>
      <c r="P5" s="51"/>
    </row>
    <row r="6" spans="1:26" x14ac:dyDescent="0.25">
      <c r="A6" s="173" t="s">
        <v>3</v>
      </c>
      <c r="B6" s="173"/>
      <c r="C6" s="173"/>
      <c r="D6" s="173"/>
      <c r="E6" s="270">
        <v>45918</v>
      </c>
      <c r="F6" s="173"/>
      <c r="G6" s="173"/>
      <c r="H6" s="173"/>
      <c r="K6" s="50"/>
      <c r="L6" s="51" t="s">
        <v>243</v>
      </c>
      <c r="M6" s="51" t="s">
        <v>354</v>
      </c>
      <c r="N6" s="51"/>
      <c r="O6" s="51" t="s">
        <v>344</v>
      </c>
      <c r="P6" s="51"/>
    </row>
    <row r="7" spans="1:26" ht="16.5" customHeight="1" x14ac:dyDescent="0.25">
      <c r="A7" s="173" t="s">
        <v>389</v>
      </c>
      <c r="B7" s="173"/>
      <c r="C7" s="173"/>
      <c r="D7" s="173"/>
      <c r="E7" s="173" t="s">
        <v>400</v>
      </c>
      <c r="F7" s="173"/>
      <c r="G7" s="173"/>
      <c r="H7" s="173"/>
      <c r="K7" s="50"/>
      <c r="L7" s="51" t="s">
        <v>244</v>
      </c>
      <c r="M7" s="51"/>
      <c r="N7" s="51"/>
      <c r="O7" s="51" t="s">
        <v>344</v>
      </c>
      <c r="P7" s="51"/>
    </row>
    <row r="8" spans="1:26" ht="15" customHeight="1" x14ac:dyDescent="0.25">
      <c r="A8" s="173" t="s">
        <v>4</v>
      </c>
      <c r="B8" s="173"/>
      <c r="C8" s="173"/>
      <c r="D8" s="173"/>
      <c r="E8" s="173" t="s">
        <v>388</v>
      </c>
      <c r="F8" s="173"/>
      <c r="G8" s="173"/>
      <c r="H8" s="173"/>
      <c r="K8" s="50"/>
      <c r="L8" s="51"/>
      <c r="M8" s="51"/>
      <c r="N8" s="51"/>
      <c r="O8" s="51" t="s">
        <v>345</v>
      </c>
      <c r="P8" s="51"/>
    </row>
    <row r="9" spans="1:26" x14ac:dyDescent="0.25">
      <c r="A9" s="173" t="s">
        <v>5</v>
      </c>
      <c r="B9" s="173"/>
      <c r="C9" s="173"/>
      <c r="D9" s="173"/>
      <c r="E9" s="168" t="s">
        <v>372</v>
      </c>
      <c r="F9" s="168"/>
      <c r="G9" s="168"/>
      <c r="H9" s="168"/>
      <c r="K9" s="50"/>
      <c r="L9" s="51"/>
      <c r="M9" s="51"/>
      <c r="N9" s="51"/>
      <c r="O9" s="51" t="s">
        <v>346</v>
      </c>
      <c r="P9" s="51"/>
    </row>
    <row r="10" spans="1:26" x14ac:dyDescent="0.25">
      <c r="A10" s="173" t="s">
        <v>166</v>
      </c>
      <c r="B10" s="173"/>
      <c r="C10" s="173"/>
      <c r="D10" s="173"/>
      <c r="E10" s="173" t="s">
        <v>401</v>
      </c>
      <c r="F10" s="173"/>
      <c r="G10" s="173"/>
      <c r="H10" s="173"/>
      <c r="K10" s="50"/>
      <c r="L10" s="51"/>
      <c r="M10" s="51"/>
      <c r="N10" s="51"/>
      <c r="O10" s="51" t="s">
        <v>347</v>
      </c>
      <c r="P10" s="51"/>
    </row>
    <row r="11" spans="1:26" hidden="1" x14ac:dyDescent="0.25">
      <c r="A11" s="173" t="s">
        <v>167</v>
      </c>
      <c r="B11" s="173"/>
      <c r="C11" s="173"/>
      <c r="D11" s="173"/>
      <c r="E11" s="173" t="s">
        <v>432</v>
      </c>
      <c r="F11" s="173"/>
      <c r="G11" s="173"/>
      <c r="H11" s="173"/>
      <c r="O11" s="51" t="s">
        <v>348</v>
      </c>
    </row>
    <row r="12" spans="1:26" x14ac:dyDescent="0.25">
      <c r="A12" s="173" t="s">
        <v>6</v>
      </c>
      <c r="B12" s="173"/>
      <c r="C12" s="173"/>
      <c r="D12" s="173"/>
      <c r="E12" s="173" t="s">
        <v>116</v>
      </c>
      <c r="F12" s="173"/>
      <c r="G12" s="173"/>
      <c r="H12" s="173"/>
    </row>
    <row r="13" spans="1:26" ht="32.25" customHeight="1" x14ac:dyDescent="0.25">
      <c r="A13" s="173" t="s">
        <v>170</v>
      </c>
      <c r="B13" s="173"/>
      <c r="C13" s="173"/>
      <c r="D13" s="173"/>
      <c r="E13" s="217" t="s">
        <v>418</v>
      </c>
      <c r="F13" s="217"/>
      <c r="G13" s="217"/>
      <c r="H13" s="217"/>
      <c r="S13" s="51" t="s">
        <v>180</v>
      </c>
      <c r="T13" s="51" t="s">
        <v>189</v>
      </c>
      <c r="U13" s="51" t="s">
        <v>171</v>
      </c>
      <c r="V13" s="51" t="s">
        <v>194</v>
      </c>
      <c r="W13" s="51" t="s">
        <v>212</v>
      </c>
      <c r="X13"/>
      <c r="Y13" t="s">
        <v>194</v>
      </c>
      <c r="Z13" t="e">
        <f ca="1">OFFSET($S$13,1,MATCH($G20,$S$13:$W$13,0)-1,15,1)</f>
        <v>#VALUE!</v>
      </c>
    </row>
    <row r="14" spans="1:26" x14ac:dyDescent="0.25">
      <c r="A14" s="172" t="s">
        <v>280</v>
      </c>
      <c r="B14" s="172"/>
      <c r="C14" s="172"/>
      <c r="D14" s="172"/>
      <c r="E14" s="217" t="s">
        <v>421</v>
      </c>
      <c r="F14" s="217"/>
      <c r="G14" s="217"/>
      <c r="H14" s="217"/>
      <c r="S14" s="51" t="s">
        <v>180</v>
      </c>
      <c r="T14" s="51" t="s">
        <v>187</v>
      </c>
      <c r="U14" s="51" t="s">
        <v>209</v>
      </c>
      <c r="V14" s="51" t="s">
        <v>195</v>
      </c>
      <c r="W14" s="51" t="s">
        <v>213</v>
      </c>
      <c r="X14"/>
      <c r="Y14"/>
      <c r="Z14"/>
    </row>
    <row r="15" spans="1:26" x14ac:dyDescent="0.25">
      <c r="A15" s="172" t="s">
        <v>7</v>
      </c>
      <c r="B15" s="172"/>
      <c r="C15" s="172"/>
      <c r="D15" s="172"/>
      <c r="E15" s="217" t="s">
        <v>399</v>
      </c>
      <c r="F15" s="173"/>
      <c r="G15" s="173"/>
      <c r="H15" s="173"/>
      <c r="I15" s="308" t="e">
        <f ca="1">OFFSET($D$5,1,MATCH($J13,$D$5:$H$5,0)-1,15,1)</f>
        <v>#N/A</v>
      </c>
      <c r="J15" s="309"/>
      <c r="K15" s="309"/>
      <c r="L15" s="309"/>
      <c r="M15" s="309"/>
      <c r="N15" s="309"/>
      <c r="O15" s="309"/>
      <c r="P15" s="309"/>
      <c r="S15" s="51" t="s">
        <v>181</v>
      </c>
      <c r="T15" s="51" t="s">
        <v>188</v>
      </c>
      <c r="U15" s="51" t="s">
        <v>210</v>
      </c>
      <c r="V15" s="51" t="s">
        <v>196</v>
      </c>
      <c r="W15" s="51" t="s">
        <v>226</v>
      </c>
      <c r="X15"/>
      <c r="Y15"/>
      <c r="Z15"/>
    </row>
    <row r="16" spans="1:26" ht="48.75" customHeight="1" x14ac:dyDescent="0.25">
      <c r="A16" s="254" t="s">
        <v>8</v>
      </c>
      <c r="B16" s="254"/>
      <c r="C16" s="254" t="str">
        <f>CONCATENATE((IF(OR(E9="",E9="NA"),"",E9)),", ",(IF(OR(A17="",A17="NA"),"",A17)),".",(IF(OR(C17="",C17="NA"),"",C17)),", near ",(IF(OR(C22="",C22="NA"),"",C22)),", ",(IF(OR(C19="",C19="NA"),"",C19)),", ",(IF(OR(C18="",C18="NA"),"",C18)),", ",(IF(OR(G19="",G19="NA"),"",G19)),", ",(IF(OR(C20="",C20="NA"),"",C20)),", ",(IF(OR(C21="",C21="NA"),"",C21)),", ",(IF(OR(G20="",G20="NA"),"",G20))," - ",(IF(OR(G21="",G21="NA"),"",G21)),".")</f>
        <v>Unique Platinum, CTS No.356 (Pt), Redevelopment of "K.N Grih Kalyan Co Operative Housing Society (Building No.233)", near Meghdoot Building, Bhakti Marg, Kannamwar Nagar, Hariyali, Vikhroli East, Kurla, Mumbai - 400083.</v>
      </c>
      <c r="D16" s="254"/>
      <c r="E16" s="254"/>
      <c r="F16" s="254"/>
      <c r="G16" s="254"/>
      <c r="H16" s="254"/>
      <c r="S16" s="51" t="s">
        <v>182</v>
      </c>
      <c r="T16" s="51" t="s">
        <v>190</v>
      </c>
      <c r="U16" s="51" t="s">
        <v>211</v>
      </c>
      <c r="V16" s="51" t="s">
        <v>197</v>
      </c>
      <c r="W16" s="51" t="s">
        <v>214</v>
      </c>
      <c r="X16"/>
      <c r="Y16"/>
      <c r="Z16"/>
    </row>
    <row r="17" spans="1:26" ht="30.75" customHeight="1" x14ac:dyDescent="0.25">
      <c r="A17" s="217" t="s">
        <v>175</v>
      </c>
      <c r="B17" s="217"/>
      <c r="C17" s="217" t="s">
        <v>403</v>
      </c>
      <c r="D17" s="217"/>
      <c r="E17" s="217"/>
      <c r="F17" s="217"/>
      <c r="G17" s="217"/>
      <c r="H17" s="217"/>
      <c r="S17" s="51" t="s">
        <v>183</v>
      </c>
      <c r="T17" s="51" t="s">
        <v>191</v>
      </c>
      <c r="U17" s="51" t="s">
        <v>171</v>
      </c>
      <c r="V17" s="51" t="s">
        <v>198</v>
      </c>
      <c r="W17" s="51" t="s">
        <v>215</v>
      </c>
      <c r="X17"/>
      <c r="Y17"/>
      <c r="Z17"/>
    </row>
    <row r="18" spans="1:26" ht="15.75" customHeight="1" x14ac:dyDescent="0.25">
      <c r="A18" s="217" t="s">
        <v>161</v>
      </c>
      <c r="B18" s="217"/>
      <c r="C18" s="217" t="s">
        <v>402</v>
      </c>
      <c r="D18" s="217"/>
      <c r="E18" s="217"/>
      <c r="F18" s="217"/>
      <c r="G18" s="217"/>
      <c r="H18" s="217"/>
      <c r="S18" s="51" t="s">
        <v>184</v>
      </c>
      <c r="T18" s="51" t="s">
        <v>189</v>
      </c>
      <c r="U18" s="51"/>
      <c r="V18" s="51" t="s">
        <v>199</v>
      </c>
      <c r="W18" s="51" t="s">
        <v>216</v>
      </c>
      <c r="X18"/>
      <c r="Y18"/>
      <c r="Z18"/>
    </row>
    <row r="19" spans="1:26" ht="15.75" customHeight="1" x14ac:dyDescent="0.25">
      <c r="A19" s="254" t="s">
        <v>9</v>
      </c>
      <c r="B19" s="254"/>
      <c r="C19" s="173" t="s">
        <v>392</v>
      </c>
      <c r="D19" s="173"/>
      <c r="E19" s="254" t="s">
        <v>68</v>
      </c>
      <c r="F19" s="254"/>
      <c r="G19" s="217" t="s">
        <v>393</v>
      </c>
      <c r="H19" s="217"/>
      <c r="S19" s="51" t="s">
        <v>185</v>
      </c>
      <c r="T19" s="51" t="s">
        <v>192</v>
      </c>
      <c r="U19" s="51"/>
      <c r="V19" s="51" t="s">
        <v>200</v>
      </c>
      <c r="W19" s="51" t="s">
        <v>217</v>
      </c>
      <c r="X19"/>
      <c r="Y19"/>
      <c r="Z19"/>
    </row>
    <row r="20" spans="1:26" x14ac:dyDescent="0.25">
      <c r="A20" s="172" t="s">
        <v>11</v>
      </c>
      <c r="B20" s="172"/>
      <c r="C20" s="217" t="s">
        <v>398</v>
      </c>
      <c r="D20" s="217"/>
      <c r="E20" s="254" t="s">
        <v>10</v>
      </c>
      <c r="F20" s="254"/>
      <c r="G20" s="267" t="s">
        <v>171</v>
      </c>
      <c r="H20" s="267"/>
      <c r="S20" s="51" t="s">
        <v>186</v>
      </c>
      <c r="T20" s="51" t="s">
        <v>193</v>
      </c>
      <c r="U20" s="51"/>
      <c r="V20" s="51" t="s">
        <v>201</v>
      </c>
      <c r="W20" s="51" t="s">
        <v>218</v>
      </c>
      <c r="X20"/>
      <c r="Y20"/>
      <c r="Z20"/>
    </row>
    <row r="21" spans="1:26" x14ac:dyDescent="0.25">
      <c r="A21" s="172" t="s">
        <v>69</v>
      </c>
      <c r="B21" s="172"/>
      <c r="C21" s="217" t="s">
        <v>211</v>
      </c>
      <c r="D21" s="217"/>
      <c r="E21" s="254" t="s">
        <v>12</v>
      </c>
      <c r="F21" s="254"/>
      <c r="G21" s="217">
        <v>400083</v>
      </c>
      <c r="H21" s="217"/>
      <c r="S21" s="51"/>
      <c r="T21" s="51"/>
      <c r="U21" s="51"/>
      <c r="V21" s="51" t="s">
        <v>202</v>
      </c>
      <c r="W21" s="51" t="s">
        <v>219</v>
      </c>
      <c r="X21"/>
      <c r="Y21"/>
      <c r="Z21"/>
    </row>
    <row r="22" spans="1:26" ht="32.25" customHeight="1" x14ac:dyDescent="0.25">
      <c r="A22" s="172" t="s">
        <v>118</v>
      </c>
      <c r="B22" s="172"/>
      <c r="C22" s="217" t="s">
        <v>391</v>
      </c>
      <c r="D22" s="217"/>
      <c r="E22" s="254" t="s">
        <v>13</v>
      </c>
      <c r="F22" s="254"/>
      <c r="G22" s="217" t="s">
        <v>397</v>
      </c>
      <c r="H22" s="217"/>
      <c r="S22" s="51"/>
      <c r="T22" s="51"/>
      <c r="U22" s="51"/>
      <c r="V22" s="51" t="s">
        <v>203</v>
      </c>
      <c r="W22" s="51" t="s">
        <v>220</v>
      </c>
      <c r="X22"/>
      <c r="Y22"/>
      <c r="Z22"/>
    </row>
    <row r="23" spans="1:26" ht="15" customHeight="1" x14ac:dyDescent="0.25">
      <c r="A23" s="254" t="s">
        <v>71</v>
      </c>
      <c r="B23" s="254"/>
      <c r="C23" s="254"/>
      <c r="D23" s="254"/>
      <c r="E23" s="173" t="s">
        <v>14</v>
      </c>
      <c r="F23" s="173"/>
      <c r="G23" s="173"/>
      <c r="H23" s="173"/>
      <c r="S23" s="51"/>
      <c r="T23" s="51"/>
      <c r="U23" s="51"/>
      <c r="V23" s="51" t="s">
        <v>204</v>
      </c>
      <c r="W23" s="51" t="s">
        <v>221</v>
      </c>
      <c r="X23"/>
      <c r="Y23"/>
      <c r="Z23"/>
    </row>
    <row r="24" spans="1:26" ht="18.75" customHeight="1" x14ac:dyDescent="0.25">
      <c r="A24" s="254"/>
      <c r="B24" s="254"/>
      <c r="C24" s="254"/>
      <c r="D24" s="254"/>
      <c r="E24" s="173"/>
      <c r="F24" s="173"/>
      <c r="G24" s="173"/>
      <c r="H24" s="173"/>
      <c r="S24" s="51"/>
      <c r="T24" s="51"/>
      <c r="U24" s="51"/>
      <c r="V24" s="51" t="s">
        <v>205</v>
      </c>
      <c r="W24" s="51" t="s">
        <v>222</v>
      </c>
      <c r="X24"/>
      <c r="Y24"/>
      <c r="Z24"/>
    </row>
    <row r="25" spans="1:26" ht="15" customHeight="1" x14ac:dyDescent="0.25">
      <c r="A25" s="254" t="s">
        <v>15</v>
      </c>
      <c r="B25" s="254"/>
      <c r="C25" s="254"/>
      <c r="D25" s="254"/>
      <c r="E25" s="217" t="s">
        <v>16</v>
      </c>
      <c r="F25" s="217"/>
      <c r="G25" s="217"/>
      <c r="H25" s="217"/>
      <c r="S25" s="51"/>
      <c r="T25" s="51"/>
      <c r="U25" s="51"/>
      <c r="V25" s="51" t="s">
        <v>206</v>
      </c>
      <c r="W25" s="51" t="s">
        <v>223</v>
      </c>
      <c r="X25"/>
      <c r="Y25"/>
      <c r="Z25"/>
    </row>
    <row r="26" spans="1:26" ht="15" customHeight="1" x14ac:dyDescent="0.25">
      <c r="A26" s="172" t="s">
        <v>17</v>
      </c>
      <c r="B26" s="172"/>
      <c r="C26" s="172"/>
      <c r="D26" s="172"/>
      <c r="E26" s="217" t="str">
        <f>IF(AND(G20="Mumbai"),"Upper Class","Middle Class")</f>
        <v>Upper Class</v>
      </c>
      <c r="F26" s="217"/>
      <c r="G26" s="217"/>
      <c r="H26" s="217"/>
      <c r="S26" s="51"/>
      <c r="T26" s="51"/>
      <c r="U26" s="51"/>
      <c r="V26" s="51" t="s">
        <v>207</v>
      </c>
      <c r="W26" s="51" t="s">
        <v>224</v>
      </c>
      <c r="X26"/>
      <c r="Y26"/>
      <c r="Z26"/>
    </row>
    <row r="27" spans="1:26" x14ac:dyDescent="0.25">
      <c r="A27" s="172" t="s">
        <v>18</v>
      </c>
      <c r="B27" s="172"/>
      <c r="C27" s="172"/>
      <c r="D27" s="172"/>
      <c r="E27" s="217" t="s">
        <v>19</v>
      </c>
      <c r="F27" s="217"/>
      <c r="G27" s="217"/>
      <c r="H27" s="217"/>
      <c r="S27" s="51"/>
      <c r="T27" s="51"/>
      <c r="U27" s="51"/>
      <c r="V27" s="51" t="s">
        <v>208</v>
      </c>
      <c r="W27" s="51" t="s">
        <v>225</v>
      </c>
      <c r="X27"/>
      <c r="Y27"/>
      <c r="Z27"/>
    </row>
    <row r="28" spans="1:26" ht="15.75" customHeight="1" x14ac:dyDescent="0.25">
      <c r="A28" s="172" t="s">
        <v>20</v>
      </c>
      <c r="B28" s="172"/>
      <c r="C28" s="172"/>
      <c r="D28" s="172"/>
      <c r="E28" s="217" t="str">
        <f>IF(AND(G20="Mumbai"),"Developed","Developing")</f>
        <v>Developed</v>
      </c>
      <c r="F28" s="217"/>
      <c r="G28" s="217"/>
      <c r="H28" s="217"/>
    </row>
    <row r="29" spans="1:26" x14ac:dyDescent="0.25">
      <c r="A29" s="172" t="s">
        <v>21</v>
      </c>
      <c r="B29" s="172"/>
      <c r="C29" s="172"/>
      <c r="D29" s="172"/>
      <c r="E29" s="217" t="s">
        <v>22</v>
      </c>
      <c r="F29" s="217"/>
      <c r="G29" s="217"/>
      <c r="H29" s="217"/>
    </row>
    <row r="30" spans="1:26" ht="15.75" customHeight="1" x14ac:dyDescent="0.25">
      <c r="A30" s="172" t="s">
        <v>76</v>
      </c>
      <c r="B30" s="172"/>
      <c r="C30" s="172"/>
      <c r="D30" s="172"/>
      <c r="E30" s="217" t="s">
        <v>77</v>
      </c>
      <c r="F30" s="217"/>
      <c r="G30" s="217"/>
      <c r="H30" s="217"/>
    </row>
    <row r="31" spans="1:26" ht="15" customHeight="1" x14ac:dyDescent="0.25">
      <c r="A31" s="172" t="s">
        <v>29</v>
      </c>
      <c r="B31" s="172"/>
      <c r="C31" s="172"/>
      <c r="D31" s="172"/>
      <c r="E31" s="217"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 + Commercial</v>
      </c>
      <c r="F31" s="217"/>
      <c r="G31" s="217"/>
      <c r="H31" s="217"/>
    </row>
    <row r="32" spans="1:26" ht="15.75" customHeight="1" x14ac:dyDescent="0.25">
      <c r="A32" s="172" t="s">
        <v>88</v>
      </c>
      <c r="B32" s="172"/>
      <c r="C32" s="172"/>
      <c r="D32" s="172"/>
      <c r="E32" s="217" t="s">
        <v>30</v>
      </c>
      <c r="F32" s="217"/>
      <c r="G32" s="217"/>
      <c r="H32" s="217"/>
    </row>
    <row r="33" spans="1:19" s="22" customFormat="1" x14ac:dyDescent="0.25">
      <c r="A33" s="265" t="s">
        <v>89</v>
      </c>
      <c r="B33" s="265"/>
      <c r="C33" s="262" t="s">
        <v>172</v>
      </c>
      <c r="D33" s="262"/>
      <c r="E33" s="262"/>
      <c r="F33" s="262" t="s">
        <v>28</v>
      </c>
      <c r="G33" s="262"/>
      <c r="H33" s="262"/>
      <c r="S33" s="22" t="e">
        <f ca="1">OFFSET($S$13,1,MATCH($G20,$S$13:$W$13,0)-1,15,1)</f>
        <v>#VALUE!</v>
      </c>
    </row>
    <row r="34" spans="1:19" s="22" customFormat="1" ht="39" customHeight="1" x14ac:dyDescent="0.25">
      <c r="A34" s="264" t="s">
        <v>23</v>
      </c>
      <c r="B34" s="264" t="s">
        <v>27</v>
      </c>
      <c r="C34" s="214" t="s">
        <v>414</v>
      </c>
      <c r="D34" s="214"/>
      <c r="E34" s="214"/>
      <c r="F34" s="264" t="s">
        <v>395</v>
      </c>
      <c r="G34" s="264"/>
      <c r="H34" s="264"/>
    </row>
    <row r="35" spans="1:19" x14ac:dyDescent="0.25">
      <c r="A35" s="266" t="s">
        <v>24</v>
      </c>
      <c r="B35" s="266" t="s">
        <v>27</v>
      </c>
      <c r="C35" s="263" t="s">
        <v>415</v>
      </c>
      <c r="D35" s="263"/>
      <c r="E35" s="263"/>
      <c r="F35" s="263" t="s">
        <v>394</v>
      </c>
      <c r="G35" s="263"/>
      <c r="H35" s="263"/>
    </row>
    <row r="36" spans="1:19" s="22" customFormat="1" x14ac:dyDescent="0.25">
      <c r="A36" s="266" t="s">
        <v>26</v>
      </c>
      <c r="B36" s="266" t="s">
        <v>27</v>
      </c>
      <c r="C36" s="263" t="s">
        <v>412</v>
      </c>
      <c r="D36" s="263"/>
      <c r="E36" s="263"/>
      <c r="F36" s="263" t="s">
        <v>391</v>
      </c>
      <c r="G36" s="263"/>
      <c r="H36" s="263"/>
    </row>
    <row r="37" spans="1:19" ht="31.5" customHeight="1" x14ac:dyDescent="0.25">
      <c r="A37" s="214" t="s">
        <v>25</v>
      </c>
      <c r="B37" s="214" t="s">
        <v>27</v>
      </c>
      <c r="C37" s="214" t="s">
        <v>413</v>
      </c>
      <c r="D37" s="214"/>
      <c r="E37" s="214"/>
      <c r="F37" s="214" t="s">
        <v>395</v>
      </c>
      <c r="G37" s="214"/>
      <c r="H37" s="214"/>
    </row>
    <row r="38" spans="1:19" x14ac:dyDescent="0.25">
      <c r="A38" s="172" t="s">
        <v>281</v>
      </c>
      <c r="B38" s="172"/>
      <c r="C38" s="172"/>
      <c r="D38" s="172"/>
      <c r="E38" s="172"/>
      <c r="F38" s="172"/>
      <c r="G38" s="172"/>
      <c r="H38" s="172"/>
    </row>
    <row r="39" spans="1:19" ht="15.75" customHeight="1" x14ac:dyDescent="0.25">
      <c r="A39" s="172" t="s">
        <v>164</v>
      </c>
      <c r="B39" s="172"/>
      <c r="C39" s="216" t="s">
        <v>396</v>
      </c>
      <c r="D39" s="216"/>
      <c r="E39" s="216"/>
      <c r="F39" s="216"/>
      <c r="G39" s="216"/>
      <c r="H39" s="216"/>
    </row>
    <row r="40" spans="1:19" x14ac:dyDescent="0.25">
      <c r="A40" s="172" t="s">
        <v>160</v>
      </c>
      <c r="B40" s="172"/>
      <c r="C40" s="241" t="s">
        <v>390</v>
      </c>
      <c r="D40" s="217"/>
      <c r="E40" s="217"/>
      <c r="F40" s="217"/>
      <c r="G40" s="217"/>
      <c r="H40" s="217"/>
    </row>
    <row r="41" spans="1:19" x14ac:dyDescent="0.25">
      <c r="A41" s="216" t="s">
        <v>31</v>
      </c>
      <c r="B41" s="216"/>
      <c r="C41" s="216"/>
      <c r="D41" s="216"/>
      <c r="E41" s="216"/>
      <c r="F41" s="216"/>
      <c r="G41" s="216"/>
      <c r="H41" s="216"/>
    </row>
    <row r="42" spans="1:19" x14ac:dyDescent="0.25">
      <c r="A42" s="172" t="s">
        <v>32</v>
      </c>
      <c r="B42" s="172"/>
      <c r="C42" s="172"/>
      <c r="D42" s="172"/>
      <c r="E42" s="215">
        <v>1033.71</v>
      </c>
      <c r="F42" s="215"/>
      <c r="G42" s="215"/>
      <c r="H42" s="215"/>
    </row>
    <row r="43" spans="1:19" x14ac:dyDescent="0.25">
      <c r="A43" s="172" t="s">
        <v>33</v>
      </c>
      <c r="B43" s="172"/>
      <c r="C43" s="172"/>
      <c r="D43" s="172"/>
      <c r="E43" s="239">
        <v>3</v>
      </c>
      <c r="F43" s="239"/>
      <c r="G43" s="239"/>
      <c r="H43" s="239"/>
    </row>
    <row r="44" spans="1:19" x14ac:dyDescent="0.25">
      <c r="A44" s="172" t="s">
        <v>34</v>
      </c>
      <c r="B44" s="172"/>
      <c r="C44" s="172"/>
      <c r="D44" s="172"/>
      <c r="E44" s="239">
        <f>E46/E42-E43</f>
        <v>4.1901016726161107</v>
      </c>
      <c r="F44" s="239"/>
      <c r="G44" s="239"/>
      <c r="H44" s="239"/>
    </row>
    <row r="45" spans="1:19" x14ac:dyDescent="0.25">
      <c r="A45" s="172" t="s">
        <v>35</v>
      </c>
      <c r="B45" s="172"/>
      <c r="C45" s="172"/>
      <c r="D45" s="172"/>
      <c r="E45" s="239">
        <f>E43+E44</f>
        <v>7.1901016726161107</v>
      </c>
      <c r="F45" s="239"/>
      <c r="G45" s="239"/>
      <c r="H45" s="239"/>
    </row>
    <row r="46" spans="1:19" x14ac:dyDescent="0.25">
      <c r="A46" s="172" t="s">
        <v>87</v>
      </c>
      <c r="B46" s="172"/>
      <c r="C46" s="172"/>
      <c r="D46" s="172"/>
      <c r="E46" s="240">
        <v>7432.48</v>
      </c>
      <c r="F46" s="240"/>
      <c r="G46" s="240"/>
      <c r="H46" s="240"/>
    </row>
    <row r="47" spans="1:19" x14ac:dyDescent="0.25">
      <c r="A47" s="173" t="s">
        <v>36</v>
      </c>
      <c r="B47" s="173"/>
      <c r="C47" s="173"/>
      <c r="D47" s="173"/>
      <c r="E47" s="173" t="s">
        <v>116</v>
      </c>
      <c r="F47" s="173"/>
      <c r="G47" s="173"/>
      <c r="H47" s="173"/>
    </row>
    <row r="48" spans="1:19" x14ac:dyDescent="0.25">
      <c r="A48" s="216" t="s">
        <v>37</v>
      </c>
      <c r="B48" s="216"/>
      <c r="C48" s="216"/>
      <c r="D48" s="216"/>
      <c r="E48" s="216"/>
      <c r="F48" s="216"/>
      <c r="G48" s="216"/>
      <c r="H48" s="216"/>
    </row>
    <row r="49" spans="1:24" ht="33.75" customHeight="1" x14ac:dyDescent="0.25">
      <c r="A49" s="218" t="s">
        <v>150</v>
      </c>
      <c r="B49" s="220"/>
      <c r="C49" s="245" t="s">
        <v>257</v>
      </c>
      <c r="D49" s="246"/>
      <c r="E49" s="246"/>
      <c r="F49" s="246"/>
      <c r="G49" s="246"/>
      <c r="H49" s="247"/>
      <c r="R49" t="s">
        <v>254</v>
      </c>
      <c r="S49" s="54" t="s">
        <v>171</v>
      </c>
      <c r="T49" s="54" t="s">
        <v>180</v>
      </c>
      <c r="U49" s="54" t="s">
        <v>194</v>
      </c>
      <c r="V49" s="54" t="s">
        <v>189</v>
      </c>
    </row>
    <row r="50" spans="1:24" ht="15.75" customHeight="1" x14ac:dyDescent="0.25">
      <c r="A50" s="218" t="s">
        <v>38</v>
      </c>
      <c r="B50" s="220"/>
      <c r="C50" s="218" t="s">
        <v>373</v>
      </c>
      <c r="D50" s="219"/>
      <c r="E50" s="220"/>
      <c r="F50" s="18" t="s">
        <v>39</v>
      </c>
      <c r="G50" s="221">
        <v>45678</v>
      </c>
      <c r="H50" s="222"/>
      <c r="R50"/>
      <c r="S50" s="54" t="s">
        <v>255</v>
      </c>
      <c r="T50" s="54" t="s">
        <v>260</v>
      </c>
      <c r="U50" s="54" t="s">
        <v>271</v>
      </c>
      <c r="V50" s="54" t="s">
        <v>276</v>
      </c>
    </row>
    <row r="51" spans="1:24" x14ac:dyDescent="0.25">
      <c r="A51" s="218" t="s">
        <v>40</v>
      </c>
      <c r="B51" s="220"/>
      <c r="C51" s="218" t="str">
        <f>C50</f>
        <v>MHADA-9/1544/2025/IOA/2/Amend.</v>
      </c>
      <c r="D51" s="219"/>
      <c r="E51" s="220"/>
      <c r="F51" s="18" t="s">
        <v>39</v>
      </c>
      <c r="G51" s="221">
        <f>G50</f>
        <v>45678</v>
      </c>
      <c r="H51" s="222"/>
      <c r="R51"/>
      <c r="S51" s="54" t="s">
        <v>256</v>
      </c>
      <c r="T51" s="54" t="s">
        <v>357</v>
      </c>
      <c r="U51" s="54" t="s">
        <v>269</v>
      </c>
      <c r="V51" s="54" t="s">
        <v>277</v>
      </c>
    </row>
    <row r="52" spans="1:24" s="23" customFormat="1" ht="15.75" customHeight="1" x14ac:dyDescent="0.25">
      <c r="A52" s="233" t="s">
        <v>153</v>
      </c>
      <c r="B52" s="234"/>
      <c r="C52" s="233" t="s">
        <v>374</v>
      </c>
      <c r="D52" s="248"/>
      <c r="E52" s="234"/>
      <c r="F52" s="18" t="s">
        <v>39</v>
      </c>
      <c r="G52" s="221">
        <v>45667</v>
      </c>
      <c r="H52" s="222"/>
      <c r="I52" s="22" t="str">
        <f ca="1">IF(G52&gt;EDATE(E3,-48),"NO REMARK","CC REMARK FOR CC")</f>
        <v>NO REMARK</v>
      </c>
      <c r="J52" s="80"/>
      <c r="R52"/>
      <c r="S52" s="54" t="s">
        <v>257</v>
      </c>
      <c r="T52" s="54" t="s">
        <v>262</v>
      </c>
      <c r="U52" s="54" t="s">
        <v>259</v>
      </c>
      <c r="V52" s="54" t="s">
        <v>278</v>
      </c>
    </row>
    <row r="53" spans="1:24" s="23" customFormat="1" ht="31.5" x14ac:dyDescent="0.25">
      <c r="A53" s="235"/>
      <c r="B53" s="236"/>
      <c r="C53" s="237"/>
      <c r="D53" s="249"/>
      <c r="E53" s="238"/>
      <c r="F53" s="18" t="s">
        <v>117</v>
      </c>
      <c r="G53" s="221">
        <v>46171</v>
      </c>
      <c r="H53" s="220"/>
      <c r="R53"/>
      <c r="S53" s="54" t="s">
        <v>258</v>
      </c>
      <c r="T53" s="54" t="s">
        <v>265</v>
      </c>
      <c r="U53" s="54" t="s">
        <v>272</v>
      </c>
      <c r="V53" s="73" t="s">
        <v>350</v>
      </c>
    </row>
    <row r="54" spans="1:24" s="23" customFormat="1" ht="36" customHeight="1" x14ac:dyDescent="0.25">
      <c r="A54" s="237"/>
      <c r="B54" s="238"/>
      <c r="C54" s="251" t="s">
        <v>404</v>
      </c>
      <c r="D54" s="252"/>
      <c r="E54" s="252"/>
      <c r="F54" s="252"/>
      <c r="G54" s="252"/>
      <c r="H54" s="253"/>
      <c r="R54"/>
      <c r="S54" s="54"/>
      <c r="T54" s="54"/>
      <c r="U54" s="54"/>
      <c r="V54" s="73"/>
    </row>
    <row r="55" spans="1:24" s="23" customFormat="1" ht="48" customHeight="1" x14ac:dyDescent="0.25">
      <c r="A55" s="223" t="s">
        <v>282</v>
      </c>
      <c r="B55" s="224"/>
      <c r="C55" s="227" t="s">
        <v>424</v>
      </c>
      <c r="D55" s="228"/>
      <c r="E55" s="229"/>
      <c r="F55" s="109" t="s">
        <v>39</v>
      </c>
      <c r="G55" s="256">
        <v>45587</v>
      </c>
      <c r="H55" s="257"/>
      <c r="K55" s="81">
        <f>EDATE(G52,-48)</f>
        <v>44206</v>
      </c>
      <c r="L55" s="23" t="str">
        <f ca="1">IF(G52&gt;EDATE(E3,-48),"NO REMARK","CC REMARK FOR CC")</f>
        <v>NO REMARK</v>
      </c>
      <c r="R55"/>
      <c r="S55" s="54" t="s">
        <v>257</v>
      </c>
      <c r="T55" s="54" t="s">
        <v>262</v>
      </c>
      <c r="U55" s="54" t="s">
        <v>259</v>
      </c>
      <c r="V55" s="54" t="s">
        <v>278</v>
      </c>
    </row>
    <row r="56" spans="1:24" s="23" customFormat="1" x14ac:dyDescent="0.25">
      <c r="A56" s="225"/>
      <c r="B56" s="226"/>
      <c r="C56" s="230" t="s">
        <v>420</v>
      </c>
      <c r="D56" s="231"/>
      <c r="E56" s="231"/>
      <c r="F56" s="231"/>
      <c r="G56" s="231"/>
      <c r="H56" s="232"/>
      <c r="R56"/>
      <c r="S56" s="54" t="s">
        <v>259</v>
      </c>
      <c r="T56" s="54" t="s">
        <v>263</v>
      </c>
      <c r="U56" s="54" t="s">
        <v>273</v>
      </c>
      <c r="V56" s="74"/>
      <c r="W56" s="21"/>
      <c r="X56" s="21"/>
    </row>
    <row r="57" spans="1:24" s="23" customFormat="1" ht="34.5" hidden="1" customHeight="1" x14ac:dyDescent="0.25">
      <c r="A57" s="258" t="s">
        <v>283</v>
      </c>
      <c r="B57" s="259"/>
      <c r="C57" s="218" t="str">
        <f>C56</f>
        <v>Gr + 1st to 23rd Floor (Height =69.95 mtrs.)</v>
      </c>
      <c r="D57" s="219"/>
      <c r="E57" s="220"/>
      <c r="F57" s="18" t="s">
        <v>39</v>
      </c>
      <c r="G57" s="221">
        <f>G56</f>
        <v>0</v>
      </c>
      <c r="H57" s="222"/>
      <c r="R57"/>
      <c r="S57" s="74"/>
      <c r="T57" s="54" t="s">
        <v>264</v>
      </c>
      <c r="U57" s="54" t="s">
        <v>274</v>
      </c>
      <c r="V57" s="74"/>
      <c r="W57" s="21"/>
      <c r="X57" s="21"/>
    </row>
    <row r="58" spans="1:24" s="23" customFormat="1" ht="41.25" hidden="1" customHeight="1" x14ac:dyDescent="0.25">
      <c r="A58" s="260"/>
      <c r="B58" s="261"/>
      <c r="C58" s="218"/>
      <c r="D58" s="219"/>
      <c r="E58" s="219"/>
      <c r="F58" s="219"/>
      <c r="G58" s="219"/>
      <c r="H58" s="220"/>
      <c r="R58"/>
      <c r="S58" s="74"/>
      <c r="T58" s="54" t="s">
        <v>266</v>
      </c>
      <c r="U58" s="54" t="s">
        <v>275</v>
      </c>
      <c r="V58" s="74"/>
      <c r="W58" s="21"/>
      <c r="X58" s="21"/>
    </row>
    <row r="59" spans="1:24" s="23" customFormat="1" ht="15.75" customHeight="1" x14ac:dyDescent="0.25">
      <c r="A59" s="223" t="s">
        <v>352</v>
      </c>
      <c r="B59" s="224"/>
      <c r="C59" s="227" t="s">
        <v>422</v>
      </c>
      <c r="D59" s="228"/>
      <c r="E59" s="229"/>
      <c r="F59" s="109" t="s">
        <v>39</v>
      </c>
      <c r="G59" s="221">
        <v>45476</v>
      </c>
      <c r="H59" s="222"/>
      <c r="R59"/>
      <c r="S59" s="74"/>
      <c r="T59" s="54" t="s">
        <v>267</v>
      </c>
      <c r="U59" s="74" t="s">
        <v>297</v>
      </c>
      <c r="V59" s="74"/>
      <c r="W59" s="21"/>
      <c r="X59" s="21"/>
    </row>
    <row r="60" spans="1:24" s="23" customFormat="1" ht="49.5" customHeight="1" x14ac:dyDescent="0.25">
      <c r="A60" s="225"/>
      <c r="B60" s="226"/>
      <c r="C60" s="217" t="s">
        <v>423</v>
      </c>
      <c r="D60" s="217"/>
      <c r="E60" s="217"/>
      <c r="F60" s="109" t="s">
        <v>353</v>
      </c>
      <c r="G60" s="221">
        <v>48397</v>
      </c>
      <c r="H60" s="222"/>
      <c r="I60" s="23">
        <f>114.07-4.07</f>
        <v>110</v>
      </c>
      <c r="R60"/>
      <c r="S60" s="74"/>
      <c r="T60" s="54" t="s">
        <v>268</v>
      </c>
      <c r="U60" s="74"/>
      <c r="V60" s="74"/>
      <c r="W60" s="21"/>
      <c r="X60" s="21"/>
    </row>
    <row r="61" spans="1:24" x14ac:dyDescent="0.25">
      <c r="A61" s="313" t="s">
        <v>41</v>
      </c>
      <c r="B61" s="314"/>
      <c r="C61" s="313" t="s">
        <v>101</v>
      </c>
      <c r="D61" s="315"/>
      <c r="E61" s="314"/>
      <c r="F61" s="43" t="s">
        <v>39</v>
      </c>
      <c r="G61" s="316" t="s">
        <v>27</v>
      </c>
      <c r="H61" s="317"/>
      <c r="R61"/>
      <c r="S61" s="74"/>
      <c r="T61" s="54" t="s">
        <v>270</v>
      </c>
      <c r="U61" s="74"/>
      <c r="V61" s="74"/>
    </row>
    <row r="62" spans="1:24" x14ac:dyDescent="0.25">
      <c r="A62" s="250" t="s">
        <v>43</v>
      </c>
      <c r="B62" s="250"/>
      <c r="C62" s="250"/>
      <c r="D62" s="250"/>
      <c r="E62" s="250"/>
      <c r="F62" s="250"/>
      <c r="G62" s="250"/>
      <c r="H62" s="250"/>
      <c r="S62" s="74"/>
      <c r="T62" s="54" t="s">
        <v>279</v>
      </c>
      <c r="U62" s="74"/>
      <c r="V62" s="74"/>
    </row>
    <row r="63" spans="1:24" x14ac:dyDescent="0.25">
      <c r="A63" s="254" t="s">
        <v>86</v>
      </c>
      <c r="B63" s="254"/>
      <c r="C63" s="254"/>
      <c r="D63" s="172">
        <f>E46</f>
        <v>7432.48</v>
      </c>
      <c r="E63" s="172"/>
      <c r="F63" s="172"/>
      <c r="G63" s="172"/>
      <c r="H63" s="172"/>
      <c r="R63"/>
    </row>
    <row r="64" spans="1:24" x14ac:dyDescent="0.25">
      <c r="A64" s="217" t="s">
        <v>44</v>
      </c>
      <c r="B64" s="173"/>
      <c r="C64" s="173"/>
      <c r="D64" s="173" t="s">
        <v>387</v>
      </c>
      <c r="E64" s="173"/>
      <c r="F64" s="173"/>
      <c r="G64" s="173"/>
      <c r="H64" s="173"/>
      <c r="I64" s="24"/>
      <c r="R64"/>
    </row>
    <row r="65" spans="1:19" x14ac:dyDescent="0.25">
      <c r="A65" s="223" t="s">
        <v>45</v>
      </c>
      <c r="B65" s="244"/>
      <c r="C65" s="224"/>
      <c r="D65" s="242" t="s">
        <v>375</v>
      </c>
      <c r="E65" s="243"/>
      <c r="F65" s="243"/>
      <c r="G65" s="243"/>
      <c r="H65" s="243"/>
      <c r="R65"/>
    </row>
    <row r="66" spans="1:19" ht="15.75" customHeight="1" x14ac:dyDescent="0.25">
      <c r="A66" s="223" t="s">
        <v>84</v>
      </c>
      <c r="B66" s="244"/>
      <c r="C66" s="244"/>
      <c r="D66" s="217" t="s">
        <v>375</v>
      </c>
      <c r="E66" s="173"/>
      <c r="F66" s="173"/>
      <c r="G66" s="173"/>
      <c r="H66" s="173"/>
      <c r="I66" s="97" t="s">
        <v>383</v>
      </c>
      <c r="R66"/>
    </row>
    <row r="67" spans="1:19" ht="15.75" customHeight="1" x14ac:dyDescent="0.25">
      <c r="A67" s="172" t="s">
        <v>42</v>
      </c>
      <c r="B67" s="172"/>
      <c r="C67" s="172"/>
      <c r="D67" s="217" t="s">
        <v>411</v>
      </c>
      <c r="E67" s="217"/>
      <c r="F67" s="217"/>
      <c r="G67" s="217"/>
      <c r="H67" s="217"/>
      <c r="J67" s="25"/>
      <c r="K67" s="24"/>
      <c r="N67" s="24"/>
      <c r="S67"/>
    </row>
    <row r="68" spans="1:19" ht="15.75" customHeight="1" x14ac:dyDescent="0.25">
      <c r="A68" s="172" t="s">
        <v>82</v>
      </c>
      <c r="B68" s="172"/>
      <c r="C68" s="172"/>
      <c r="D68" s="174" t="str">
        <f>(IF(G61="NA","60 Years After Completion",IF(G61&lt;&gt;"NA",""&amp;60-ROUNDDOWN((E3-G61)/360,0)&amp;" Years"," ")))</f>
        <v>60 Years After Completion</v>
      </c>
      <c r="E68" s="174"/>
      <c r="F68" s="174"/>
      <c r="G68" s="174"/>
      <c r="H68" s="174"/>
      <c r="N68" s="24"/>
      <c r="S68"/>
    </row>
    <row r="69" spans="1:19" ht="15.75" customHeight="1" x14ac:dyDescent="0.25">
      <c r="A69" s="172" t="s">
        <v>83</v>
      </c>
      <c r="B69" s="172"/>
      <c r="C69" s="172"/>
      <c r="D69" s="254" t="s">
        <v>22</v>
      </c>
      <c r="E69" s="254"/>
      <c r="F69" s="254"/>
      <c r="G69" s="254"/>
      <c r="H69" s="254"/>
      <c r="J69" s="26"/>
      <c r="K69" s="26"/>
      <c r="S69"/>
    </row>
    <row r="70" spans="1:19" ht="38.450000000000003" customHeight="1" x14ac:dyDescent="0.25">
      <c r="A70" s="173" t="s">
        <v>416</v>
      </c>
      <c r="B70" s="173"/>
      <c r="C70" s="173"/>
      <c r="D70" s="217" t="s">
        <v>417</v>
      </c>
      <c r="E70" s="217"/>
      <c r="F70" s="217"/>
      <c r="G70" s="217"/>
      <c r="H70" s="217"/>
      <c r="S70"/>
    </row>
    <row r="71" spans="1:19" x14ac:dyDescent="0.25">
      <c r="A71" s="254" t="s">
        <v>146</v>
      </c>
      <c r="B71" s="254"/>
      <c r="C71" s="254"/>
      <c r="D71" s="254" t="s">
        <v>27</v>
      </c>
      <c r="E71" s="254"/>
      <c r="F71" s="254"/>
      <c r="G71" s="254"/>
      <c r="H71" s="254"/>
      <c r="I71" s="27"/>
      <c r="J71" s="27"/>
      <c r="K71" s="27"/>
      <c r="L71" s="27"/>
      <c r="M71" s="27"/>
      <c r="N71" s="27"/>
    </row>
    <row r="72" spans="1:19" ht="15.75" customHeight="1" x14ac:dyDescent="0.25">
      <c r="A72" s="172" t="s">
        <v>81</v>
      </c>
      <c r="B72" s="172"/>
      <c r="C72" s="172"/>
      <c r="D72" s="217" t="str">
        <f ca="1">(IF(G78&gt;95%,"Nothing",IF(G78&gt;0%,"Cement, Aggregate, Steel, etc",IF(G78=0%,"Work not yet Started"))))</f>
        <v>Cement, Aggregate, Steel, etc</v>
      </c>
      <c r="E72" s="217"/>
      <c r="F72" s="217"/>
      <c r="G72" s="217"/>
      <c r="H72" s="217"/>
      <c r="J72" s="26"/>
      <c r="S72"/>
    </row>
    <row r="73" spans="1:19" ht="33.75" customHeight="1" thickBot="1" x14ac:dyDescent="0.3">
      <c r="A73" s="254" t="s">
        <v>114</v>
      </c>
      <c r="B73" s="254"/>
      <c r="C73" s="254"/>
      <c r="D73" s="217" t="str">
        <f ca="1">(IF(D72="Nothing","Yes",IF(D72="Cement, Aggregate, Steel, etc","Under Construction",IF(D72="Work not yet Started","Work not yet Started"))))</f>
        <v>Under Construction</v>
      </c>
      <c r="E73" s="217"/>
      <c r="F73" s="217" t="str">
        <f ca="1">(IF(D72="Nothing","Yes",IF(D72="Cement, Aggregate, Steel, etc","Under Construction",IF(D72="Work not yet Started","Work not yet Started"))))</f>
        <v>Under Construction</v>
      </c>
      <c r="G73" s="217"/>
      <c r="H73" s="217"/>
      <c r="S73"/>
    </row>
    <row r="74" spans="1:19" ht="15.75" customHeight="1" x14ac:dyDescent="0.25">
      <c r="A74" s="255" t="s">
        <v>136</v>
      </c>
      <c r="B74" s="255"/>
      <c r="C74" s="255" t="str">
        <f>D66</f>
        <v>Gr + 1st to 23rd Floor</v>
      </c>
      <c r="D74" s="255"/>
      <c r="E74" s="255"/>
      <c r="F74" s="255"/>
      <c r="G74" s="255"/>
      <c r="H74" s="255"/>
      <c r="I74" s="116" t="str">
        <f ca="1">IF(D87=100%,"All work Completed. Possession granted to the Building.",IF(D86=100%,"All work Completed, Waiting for OC",I75&amp;""&amp;I76&amp;""&amp;J75&amp;""&amp;J74&amp;" "&amp;J76))</f>
        <v>Excavation, Plinth Completed, RCC upto 10 Slab, Brickwork upto 7 Floor, Internal Plaster upto 2 Floor Completed</v>
      </c>
      <c r="J74" s="46"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10 Slab, Brickwork upto 7 Floor, Internal Plaster upto 2 Floor</v>
      </c>
      <c r="S74"/>
    </row>
    <row r="75" spans="1:19" x14ac:dyDescent="0.25">
      <c r="A75" s="115" t="s">
        <v>138</v>
      </c>
      <c r="B75" s="115">
        <f>IF(AND(ISNUMBER(SEARCH("1B",C74))),1,IF(AND(ISNUMBER(SEARCH("2B",C74))),2,IF(AND(ISNUMBER(SEARCH("3B",C74))),3,IF(AND(ISNUMBER(SEARCH("4B",C74))),4,IF(ISNUMBER(SEARCH("5B",C74)),5,0)))))</f>
        <v>0</v>
      </c>
      <c r="C75" s="115" t="s">
        <v>67</v>
      </c>
      <c r="D75" s="115">
        <v>1</v>
      </c>
      <c r="E75" s="115" t="s">
        <v>66</v>
      </c>
      <c r="F75" s="115">
        <v>0</v>
      </c>
      <c r="G75" s="115" t="s">
        <v>75</v>
      </c>
      <c r="H75" s="115">
        <f ca="1">--TRIM(RIGHT(SUBSTITUTE(LEFT(C74,_xlfn.AGGREGATE(16,6,FIND({0,1,2,3,4,5,6,7,8,9},C74,ROW(INDIRECT("1:"&amp;LEN(C74)))),1))," ",REPT(" ",LEN(C74))),LEN(C74)))</f>
        <v>23</v>
      </c>
      <c r="I75" s="117" t="str">
        <f ca="1">IF(D78=100%,"Excavation","")&amp;IF(D79=100%,", Plinth","")&amp;IF(D80=100%,", RCC Slab","")&amp;IF(D81=100%,", Brickwork","")&amp;IF(D82=100%,", Internal Plaster","")&amp;IF(D83=100%,", External Plaster","")&amp;IF(D84=100%,", Flooring","")&amp;IF(D85=100%,", Painting","")&amp;IF(D86=100%,", Building common Amenities","")</f>
        <v>Excavation, Plinth</v>
      </c>
      <c r="J75" s="48"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0.75" customHeight="1" x14ac:dyDescent="0.25">
      <c r="A76" s="168" t="s">
        <v>85</v>
      </c>
      <c r="B76" s="168"/>
      <c r="C76" s="255" t="str">
        <f ca="1">I74</f>
        <v>Excavation, Plinth Completed, RCC upto 10 Slab, Brickwork upto 7 Floor, Internal Plaster upto 2 Floor Completed</v>
      </c>
      <c r="D76" s="255"/>
      <c r="E76" s="255"/>
      <c r="F76" s="255"/>
      <c r="G76" s="255"/>
      <c r="H76" s="255"/>
      <c r="I76" s="117" t="str">
        <f ca="1">IF(I75&lt;&gt;""," Completed","")</f>
        <v xml:space="preserve"> Completed</v>
      </c>
      <c r="J76" s="48" t="str">
        <f ca="1">IF(J74&lt;&gt;"","Completed","")</f>
        <v>Completed</v>
      </c>
      <c r="S76"/>
    </row>
    <row r="77" spans="1:19" ht="15.75" customHeight="1" x14ac:dyDescent="0.25">
      <c r="A77" s="149" t="s">
        <v>46</v>
      </c>
      <c r="B77" s="149"/>
      <c r="C77" s="112" t="s">
        <v>135</v>
      </c>
      <c r="D77" s="112" t="s">
        <v>78</v>
      </c>
      <c r="E77" s="149" t="s">
        <v>80</v>
      </c>
      <c r="F77" s="149"/>
      <c r="G77" s="149" t="s">
        <v>79</v>
      </c>
      <c r="H77" s="149"/>
      <c r="I77" s="13" t="s">
        <v>137</v>
      </c>
      <c r="J77" s="28">
        <f ca="1">H75*25%</f>
        <v>5.75</v>
      </c>
      <c r="S77"/>
    </row>
    <row r="78" spans="1:19" x14ac:dyDescent="0.25">
      <c r="A78" s="149" t="s">
        <v>124</v>
      </c>
      <c r="B78" s="149"/>
      <c r="C78" s="112">
        <f ca="1">J79</f>
        <v>23</v>
      </c>
      <c r="D78" s="102">
        <f ca="1">((100/H75)*C78)/100</f>
        <v>1</v>
      </c>
      <c r="E78" s="150">
        <f ca="1">(((C79/H75*10)+(40/(D75+F75+H75)*C80)+(7.5/(H75)*C81)+(7.5/(H75)*C82)+(10/H75*C83)+(10/H75*C84)+(5/H75*C85)+(5/H75*C86)+(5/H75*C87))/100)</f>
        <v>0.29601449275362318</v>
      </c>
      <c r="F78" s="150"/>
      <c r="G78" s="150">
        <f ca="1">((((C78/H75)*20)+((C79/H75)*25)+(30/(H75+F75+D75)*C80)+(5/H75*C81)+(5/H75*C82)+(5/H75*C83)+(5/H75*C84)+(0/H75*C85)+(0/H75*C86)+(5/H75*C87))/100)</f>
        <v>0.5945652173913043</v>
      </c>
      <c r="H78" s="150"/>
      <c r="I78" s="13" t="s">
        <v>96</v>
      </c>
      <c r="J78" s="29">
        <f ca="1">H75*50%</f>
        <v>11.5</v>
      </c>
    </row>
    <row r="79" spans="1:19" x14ac:dyDescent="0.25">
      <c r="A79" s="149" t="s">
        <v>47</v>
      </c>
      <c r="B79" s="149"/>
      <c r="C79" s="112">
        <f ca="1">J87</f>
        <v>23</v>
      </c>
      <c r="D79" s="102">
        <f ca="1">((100/H75)*C79)/100</f>
        <v>1</v>
      </c>
      <c r="E79" s="150"/>
      <c r="F79" s="150"/>
      <c r="G79" s="150"/>
      <c r="H79" s="150"/>
      <c r="I79" s="13" t="s">
        <v>97</v>
      </c>
      <c r="J79" s="29">
        <f ca="1">H75</f>
        <v>23</v>
      </c>
      <c r="S79"/>
    </row>
    <row r="80" spans="1:19" ht="15.75" customHeight="1" x14ac:dyDescent="0.25">
      <c r="A80" s="149" t="s">
        <v>125</v>
      </c>
      <c r="B80" s="149"/>
      <c r="C80" s="112">
        <v>10</v>
      </c>
      <c r="D80" s="102">
        <f ca="1">((100/(D75+F75+H75))*C80)/100</f>
        <v>0.41666666666666674</v>
      </c>
      <c r="E80" s="150"/>
      <c r="F80" s="150"/>
      <c r="G80" s="150"/>
      <c r="H80" s="150"/>
      <c r="I80" s="13" t="s">
        <v>98</v>
      </c>
      <c r="J80" s="30">
        <f ca="1">(IF(B75&gt;1,(H75/(B75+2)),H75/4))</f>
        <v>5.75</v>
      </c>
      <c r="S80"/>
    </row>
    <row r="81" spans="1:19" ht="15.75" customHeight="1" x14ac:dyDescent="0.25">
      <c r="A81" s="149" t="s">
        <v>132</v>
      </c>
      <c r="B81" s="149" t="s">
        <v>126</v>
      </c>
      <c r="C81" s="112">
        <v>7</v>
      </c>
      <c r="D81" s="102">
        <f ca="1">((100/H75)*C81)/100</f>
        <v>0.30434782608695649</v>
      </c>
      <c r="E81" s="150"/>
      <c r="F81" s="150"/>
      <c r="G81" s="150"/>
      <c r="H81" s="150"/>
      <c r="I81" s="13" t="s">
        <v>99</v>
      </c>
      <c r="J81" s="30">
        <f ca="1">(IF(B75&gt;1,(H75/(B75+2)+J80),H75/4+J80))</f>
        <v>11.5</v>
      </c>
    </row>
    <row r="82" spans="1:19" ht="15.75" customHeight="1" x14ac:dyDescent="0.25">
      <c r="A82" s="149" t="s">
        <v>133</v>
      </c>
      <c r="B82" s="149" t="s">
        <v>126</v>
      </c>
      <c r="C82" s="112">
        <v>2</v>
      </c>
      <c r="D82" s="102">
        <f ca="1">((100/H75)*C82)/100</f>
        <v>8.6956521739130432E-2</v>
      </c>
      <c r="E82" s="150"/>
      <c r="F82" s="150"/>
      <c r="G82" s="150"/>
      <c r="H82" s="150"/>
      <c r="I82" s="13" t="s">
        <v>144</v>
      </c>
      <c r="J82" s="30">
        <f>(IF(B75&gt;1,(H75/(B75+2)+J81),0))</f>
        <v>0</v>
      </c>
    </row>
    <row r="83" spans="1:19" ht="15" customHeight="1" x14ac:dyDescent="0.25">
      <c r="A83" s="149" t="s">
        <v>131</v>
      </c>
      <c r="B83" s="149" t="s">
        <v>128</v>
      </c>
      <c r="C83" s="112">
        <v>0</v>
      </c>
      <c r="D83" s="102">
        <f ca="1">((100/(H75))*C83)/100</f>
        <v>0</v>
      </c>
      <c r="E83" s="150"/>
      <c r="F83" s="150"/>
      <c r="G83" s="150"/>
      <c r="H83" s="150"/>
      <c r="I83" s="13" t="s">
        <v>139</v>
      </c>
      <c r="J83" s="30">
        <f>(IF(B75&gt;2,(H75/(B75+2)+J82),0))</f>
        <v>0</v>
      </c>
    </row>
    <row r="84" spans="1:19" ht="15.75" customHeight="1" x14ac:dyDescent="0.25">
      <c r="A84" s="149" t="s">
        <v>127</v>
      </c>
      <c r="B84" s="149" t="s">
        <v>127</v>
      </c>
      <c r="C84" s="112">
        <v>0</v>
      </c>
      <c r="D84" s="102">
        <f ca="1">((100/H75)*C84)/100</f>
        <v>0</v>
      </c>
      <c r="E84" s="150"/>
      <c r="F84" s="150"/>
      <c r="G84" s="150"/>
      <c r="H84" s="150"/>
      <c r="I84" s="13" t="s">
        <v>140</v>
      </c>
      <c r="J84" s="31">
        <f>(IF(B75&gt;3,(H75/(B75+2)+J83),0))</f>
        <v>0</v>
      </c>
    </row>
    <row r="85" spans="1:19" ht="15.75" customHeight="1" x14ac:dyDescent="0.25">
      <c r="A85" s="149" t="s">
        <v>134</v>
      </c>
      <c r="B85" s="149"/>
      <c r="C85" s="112">
        <v>0</v>
      </c>
      <c r="D85" s="102">
        <f ca="1">((100/H75)*C85)/100</f>
        <v>0</v>
      </c>
      <c r="E85" s="150"/>
      <c r="F85" s="150"/>
      <c r="G85" s="150"/>
      <c r="H85" s="150"/>
      <c r="I85" s="13" t="s">
        <v>141</v>
      </c>
      <c r="J85" s="30">
        <f>(IF(B75&gt;4,(H75/(B75+2)+J84),0))</f>
        <v>0</v>
      </c>
    </row>
    <row r="86" spans="1:19" ht="15.75" customHeight="1" x14ac:dyDescent="0.25">
      <c r="A86" s="149" t="s">
        <v>129</v>
      </c>
      <c r="B86" s="149" t="s">
        <v>129</v>
      </c>
      <c r="C86" s="112">
        <v>0</v>
      </c>
      <c r="D86" s="102">
        <f ca="1">((100/(H75))*C86)/100</f>
        <v>0</v>
      </c>
      <c r="E86" s="150"/>
      <c r="F86" s="150"/>
      <c r="G86" s="150"/>
      <c r="H86" s="150"/>
      <c r="I86" s="13" t="s">
        <v>145</v>
      </c>
      <c r="J86" s="30">
        <f ca="1">(IF(B75=1,(H75/(B75+3)+J81),IF(B75=0,(H75/4+J81),IF(B75&gt;1,0))))</f>
        <v>17.25</v>
      </c>
    </row>
    <row r="87" spans="1:19" ht="16.5" thickBot="1" x14ac:dyDescent="0.3">
      <c r="A87" s="149" t="s">
        <v>130</v>
      </c>
      <c r="B87" s="149"/>
      <c r="C87" s="112">
        <v>0</v>
      </c>
      <c r="D87" s="102">
        <f ca="1">((100/(H75))*C87)/100</f>
        <v>0</v>
      </c>
      <c r="E87" s="150"/>
      <c r="F87" s="150"/>
      <c r="G87" s="150"/>
      <c r="H87" s="150"/>
      <c r="I87" s="15" t="s">
        <v>100</v>
      </c>
      <c r="J87" s="32">
        <f ca="1">(IF(B75&gt;1.5,(H75/(B75+2)+J81+MAX(0,J82-J81)+MAX(0,J83-J82)+MAX(0,J84-J83)+MAX(0,J85-J84)+MAX(0,J86-J85)),IF(B75=1,(H75/(B75+3)+J86),IF(B75=0,H75/4+J86))))</f>
        <v>23</v>
      </c>
    </row>
    <row r="88" spans="1:19" ht="15.75" hidden="1" customHeight="1" x14ac:dyDescent="0.25">
      <c r="A88" s="151" t="s">
        <v>136</v>
      </c>
      <c r="B88" s="152"/>
      <c r="C88" s="153" t="e">
        <f>#REF!</f>
        <v>#REF!</v>
      </c>
      <c r="D88" s="154"/>
      <c r="E88" s="154"/>
      <c r="F88" s="154"/>
      <c r="G88" s="154"/>
      <c r="H88" s="155"/>
      <c r="I88" s="45" t="e">
        <f ca="1">IF(D101=100%,"All work Completed. Possession granted to the Building.",IF(D100=100%,"All work Completed, Waiting for OC",I89&amp;""&amp;I90&amp;""&amp;J89&amp;""&amp;J88&amp;" "&amp;J90))</f>
        <v>#REF!</v>
      </c>
      <c r="J88" s="46" t="e">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#REF!</v>
      </c>
      <c r="S88"/>
    </row>
    <row r="89" spans="1:19" hidden="1" x14ac:dyDescent="0.25">
      <c r="A89" s="16" t="s">
        <v>138</v>
      </c>
      <c r="B89" s="49">
        <f>IF(AND(ISNUMBER(SEARCH("1B",C88))),1,IF(AND(ISNUMBER(SEARCH("2B",C88))),2,IF(AND(ISNUMBER(SEARCH("3B",C88))),3,IF(AND(ISNUMBER(SEARCH("4B",C88))),4,IF(ISNUMBER(SEARCH("5B",C88)),5,0)))))</f>
        <v>0</v>
      </c>
      <c r="C89" s="49" t="s">
        <v>67</v>
      </c>
      <c r="D89" s="49">
        <v>1</v>
      </c>
      <c r="E89" s="49" t="s">
        <v>66</v>
      </c>
      <c r="F89" s="14">
        <v>0</v>
      </c>
      <c r="G89" s="44" t="s">
        <v>75</v>
      </c>
      <c r="H89" s="17" t="e">
        <f ca="1">--TRIM(RIGHT(SUBSTITUTE(LEFT(C88,_xlfn.AGGREGATE(16,6,FIND({0,1,2,3,4,5,6,7,8,9},C88,ROW(INDIRECT("1:"&amp;LEN(C88)))),1))," ",REPT(" ",LEN(C88))),LEN(C88)))</f>
        <v>#REF!</v>
      </c>
      <c r="I89" s="47" t="e">
        <f ca="1">IF(D92=100%,"Excavation","")&amp;IF(D93=100%,", Plinth","")&amp;IF(D94=100%,", RCC Slab","")&amp;IF(D95=100%,", Brickwork","")&amp;IF(D96=100%,", Internal Plaster","")&amp;IF(D97=100%,", External Plaster","")&amp;IF(D98=100%,", Flooring","")&amp;IF(D99=100%,", Painting","")&amp;IF(D100=100%,", Building common Amenities","")</f>
        <v>#REF!</v>
      </c>
      <c r="J89" s="48" t="e">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#REF!</v>
      </c>
      <c r="S89"/>
    </row>
    <row r="90" spans="1:19" ht="36.75" hidden="1" customHeight="1" x14ac:dyDescent="0.25">
      <c r="A90" s="167" t="s">
        <v>85</v>
      </c>
      <c r="B90" s="168"/>
      <c r="C90" s="158" t="e">
        <f ca="1">I88</f>
        <v>#REF!</v>
      </c>
      <c r="D90" s="159"/>
      <c r="E90" s="159"/>
      <c r="F90" s="159"/>
      <c r="G90" s="159"/>
      <c r="H90" s="160"/>
      <c r="I90" s="47" t="e">
        <f ca="1">IF(I89&lt;&gt;""," Completed","")</f>
        <v>#REF!</v>
      </c>
      <c r="J90" s="48" t="e">
        <f ca="1">IF(J88&lt;&gt;"","Completed","")</f>
        <v>#REF!</v>
      </c>
      <c r="S90"/>
    </row>
    <row r="91" spans="1:19" ht="15.75" hidden="1" customHeight="1" x14ac:dyDescent="0.25">
      <c r="A91" s="156" t="s">
        <v>46</v>
      </c>
      <c r="B91" s="157"/>
      <c r="C91" s="76" t="s">
        <v>135</v>
      </c>
      <c r="D91" s="76" t="s">
        <v>78</v>
      </c>
      <c r="E91" s="157" t="s">
        <v>80</v>
      </c>
      <c r="F91" s="157"/>
      <c r="G91" s="157" t="s">
        <v>79</v>
      </c>
      <c r="H91" s="193"/>
      <c r="I91" s="13" t="s">
        <v>137</v>
      </c>
      <c r="J91" s="28" t="e">
        <f ca="1">H89*25%</f>
        <v>#REF!</v>
      </c>
      <c r="S91"/>
    </row>
    <row r="92" spans="1:19" hidden="1" x14ac:dyDescent="0.25">
      <c r="A92" s="156" t="s">
        <v>124</v>
      </c>
      <c r="B92" s="157"/>
      <c r="C92" s="58" t="e">
        <f ca="1">J93</f>
        <v>#REF!</v>
      </c>
      <c r="D92" s="19" t="e">
        <f ca="1">((100/H89)*C92)/100</f>
        <v>#REF!</v>
      </c>
      <c r="E92" s="161" t="e">
        <f ca="1">(((C93/H89*10)+(40/(D89+F89+H89)*C94)+(7.5/(H89)*C95)+(7.5/(H89)*C96)+(10/H89*C97)+(10/H89*C98)+(5/H89*C99)+(5/H89*C100)+(5/H89*C101))/100)</f>
        <v>#REF!</v>
      </c>
      <c r="F92" s="169"/>
      <c r="G92" s="161" t="e">
        <f ca="1">((((C92/H89)*20)+((C93/H89)*25)+(30/(H89+F89+D89)*C94)+(5/H89*C95)+(5/H89*C96)+(5/H89*C97)+(5/H89*C98)+(0/H89*C99)+(0/H89*C100)+(5/H89*C101))/100)</f>
        <v>#REF!</v>
      </c>
      <c r="H92" s="162"/>
      <c r="I92" s="13" t="s">
        <v>96</v>
      </c>
      <c r="J92" s="29" t="e">
        <f ca="1">H89*50%</f>
        <v>#REF!</v>
      </c>
    </row>
    <row r="93" spans="1:19" hidden="1" x14ac:dyDescent="0.25">
      <c r="A93" s="156" t="s">
        <v>47</v>
      </c>
      <c r="B93" s="157"/>
      <c r="C93" s="76" t="e">
        <f ca="1">J101</f>
        <v>#REF!</v>
      </c>
      <c r="D93" s="19" t="e">
        <f ca="1">((100/H89)*C93)/100</f>
        <v>#REF!</v>
      </c>
      <c r="E93" s="163"/>
      <c r="F93" s="170"/>
      <c r="G93" s="163"/>
      <c r="H93" s="164"/>
      <c r="I93" s="13" t="s">
        <v>97</v>
      </c>
      <c r="J93" s="29" t="e">
        <f ca="1">H89</f>
        <v>#REF!</v>
      </c>
      <c r="S93"/>
    </row>
    <row r="94" spans="1:19" ht="15.75" hidden="1" customHeight="1" x14ac:dyDescent="0.25">
      <c r="A94" s="156" t="s">
        <v>125</v>
      </c>
      <c r="B94" s="157"/>
      <c r="C94" s="76">
        <v>0</v>
      </c>
      <c r="D94" s="19" t="e">
        <f ca="1">((100/(D89+F89+H89))*C94)/100</f>
        <v>#REF!</v>
      </c>
      <c r="E94" s="163"/>
      <c r="F94" s="170"/>
      <c r="G94" s="163"/>
      <c r="H94" s="164"/>
      <c r="I94" s="13" t="s">
        <v>98</v>
      </c>
      <c r="J94" s="30" t="e">
        <f ca="1">(IF(B89&gt;1,(H89/(B89+2)),H89/4))</f>
        <v>#REF!</v>
      </c>
      <c r="S94"/>
    </row>
    <row r="95" spans="1:19" ht="15.75" hidden="1" customHeight="1" x14ac:dyDescent="0.25">
      <c r="A95" s="156" t="s">
        <v>132</v>
      </c>
      <c r="B95" s="157" t="s">
        <v>126</v>
      </c>
      <c r="C95" s="76">
        <v>0</v>
      </c>
      <c r="D95" s="19" t="e">
        <f ca="1">((100/H89)*C95)/100</f>
        <v>#REF!</v>
      </c>
      <c r="E95" s="163"/>
      <c r="F95" s="170"/>
      <c r="G95" s="163"/>
      <c r="H95" s="164"/>
      <c r="I95" s="13" t="s">
        <v>99</v>
      </c>
      <c r="J95" s="30" t="e">
        <f ca="1">(IF(B89&gt;1,(H89/(B89+2)+J94),H89/4+J94))</f>
        <v>#REF!</v>
      </c>
    </row>
    <row r="96" spans="1:19" ht="15.75" hidden="1" customHeight="1" x14ac:dyDescent="0.25">
      <c r="A96" s="156" t="s">
        <v>133</v>
      </c>
      <c r="B96" s="157" t="s">
        <v>126</v>
      </c>
      <c r="C96" s="76">
        <v>0</v>
      </c>
      <c r="D96" s="19" t="e">
        <f ca="1">((100/H89)*C96)/100</f>
        <v>#REF!</v>
      </c>
      <c r="E96" s="163"/>
      <c r="F96" s="170"/>
      <c r="G96" s="163"/>
      <c r="H96" s="164"/>
      <c r="I96" s="13" t="s">
        <v>144</v>
      </c>
      <c r="J96" s="30">
        <f>(IF(B89&gt;1,(H89/(B89+2)+J95),0))</f>
        <v>0</v>
      </c>
    </row>
    <row r="97" spans="1:19" ht="15" hidden="1" customHeight="1" x14ac:dyDescent="0.25">
      <c r="A97" s="156" t="s">
        <v>131</v>
      </c>
      <c r="B97" s="157" t="s">
        <v>128</v>
      </c>
      <c r="C97" s="76">
        <v>0</v>
      </c>
      <c r="D97" s="19" t="e">
        <f ca="1">((100/(H89))*C97)/100</f>
        <v>#REF!</v>
      </c>
      <c r="E97" s="163"/>
      <c r="F97" s="170"/>
      <c r="G97" s="163"/>
      <c r="H97" s="164"/>
      <c r="I97" s="13" t="s">
        <v>139</v>
      </c>
      <c r="J97" s="30">
        <f>(IF(B89&gt;2,(H89/(B89+2)+J96),0))</f>
        <v>0</v>
      </c>
    </row>
    <row r="98" spans="1:19" ht="15.75" hidden="1" customHeight="1" x14ac:dyDescent="0.25">
      <c r="A98" s="156" t="s">
        <v>127</v>
      </c>
      <c r="B98" s="157" t="s">
        <v>127</v>
      </c>
      <c r="C98" s="76">
        <v>0</v>
      </c>
      <c r="D98" s="19" t="e">
        <f ca="1">((100/H89)*C98)/100</f>
        <v>#REF!</v>
      </c>
      <c r="E98" s="163"/>
      <c r="F98" s="170"/>
      <c r="G98" s="163"/>
      <c r="H98" s="164"/>
      <c r="I98" s="13" t="s">
        <v>140</v>
      </c>
      <c r="J98" s="31">
        <f>(IF(B89&gt;3,(H89/(B89+2)+J97),0))</f>
        <v>0</v>
      </c>
    </row>
    <row r="99" spans="1:19" ht="15.75" hidden="1" customHeight="1" x14ac:dyDescent="0.25">
      <c r="A99" s="156" t="s">
        <v>134</v>
      </c>
      <c r="B99" s="157"/>
      <c r="C99" s="76">
        <v>0</v>
      </c>
      <c r="D99" s="19" t="e">
        <f ca="1">((100/H89)*C99)/100</f>
        <v>#REF!</v>
      </c>
      <c r="E99" s="163"/>
      <c r="F99" s="170"/>
      <c r="G99" s="163"/>
      <c r="H99" s="164"/>
      <c r="I99" s="13" t="s">
        <v>141</v>
      </c>
      <c r="J99" s="30">
        <f>(IF(B89&gt;4,(H89/(B89+2)+J98),0))</f>
        <v>0</v>
      </c>
    </row>
    <row r="100" spans="1:19" ht="15.75" hidden="1" customHeight="1" x14ac:dyDescent="0.25">
      <c r="A100" s="156" t="s">
        <v>129</v>
      </c>
      <c r="B100" s="157" t="s">
        <v>129</v>
      </c>
      <c r="C100" s="76">
        <v>0</v>
      </c>
      <c r="D100" s="19" t="e">
        <f ca="1">((100/(H89))*C100)/100</f>
        <v>#REF!</v>
      </c>
      <c r="E100" s="163"/>
      <c r="F100" s="170"/>
      <c r="G100" s="163"/>
      <c r="H100" s="164"/>
      <c r="I100" s="13" t="s">
        <v>145</v>
      </c>
      <c r="J100" s="30" t="e">
        <f ca="1">(IF(B89=1,(H89/(B89+3)+J95),IF(B89=0,(H89/4+J95),IF(B89&gt;1,0))))</f>
        <v>#REF!</v>
      </c>
    </row>
    <row r="101" spans="1:19" ht="16.5" hidden="1" thickBot="1" x14ac:dyDescent="0.3">
      <c r="A101" s="201" t="s">
        <v>130</v>
      </c>
      <c r="B101" s="202"/>
      <c r="C101" s="75">
        <v>0</v>
      </c>
      <c r="D101" s="20" t="e">
        <f ca="1">((100/(H89))*C101)/100</f>
        <v>#REF!</v>
      </c>
      <c r="E101" s="165"/>
      <c r="F101" s="171"/>
      <c r="G101" s="165"/>
      <c r="H101" s="166"/>
      <c r="I101" s="15" t="s">
        <v>100</v>
      </c>
      <c r="J101" s="32" t="e">
        <f ca="1">(IF(B89&gt;1.5,(H89/(B89+2)+J95+MAX(0,J96-J95)+MAX(0,J97-J96)+MAX(0,J98-J97)+MAX(0,J99-J98)+MAX(0,J100-J99)),IF(B89=1,(H89/(B89+3)+J100),IF(B89=0,H89/4+J100))))</f>
        <v>#REF!</v>
      </c>
    </row>
    <row r="102" spans="1:19" ht="15.75" hidden="1" customHeight="1" x14ac:dyDescent="0.25">
      <c r="A102" s="194" t="s">
        <v>136</v>
      </c>
      <c r="B102" s="195"/>
      <c r="C102" s="196" t="e">
        <f>#REF!</f>
        <v>#REF!</v>
      </c>
      <c r="D102" s="197"/>
      <c r="E102" s="197"/>
      <c r="F102" s="197"/>
      <c r="G102" s="197"/>
      <c r="H102" s="198"/>
      <c r="I102" s="45" t="e">
        <f ca="1">IF(D115=100%,"All work Completed. Possession granted to the Building.",IF(D114=100%,"All work Completed, Waiting for OC",I103&amp;""&amp;I104&amp;""&amp;J103&amp;""&amp;J102&amp;" "&amp;J104))</f>
        <v>#REF!</v>
      </c>
      <c r="J102" s="46" t="e">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#REF!</v>
      </c>
      <c r="S102"/>
    </row>
    <row r="103" spans="1:19" hidden="1" x14ac:dyDescent="0.25">
      <c r="A103" s="16" t="s">
        <v>138</v>
      </c>
      <c r="B103" s="49">
        <f>IF(AND(ISNUMBER(SEARCH("1B",C102))),1,IF(AND(ISNUMBER(SEARCH("2B",C102))),2,IF(AND(ISNUMBER(SEARCH("3B",C102))),3,IF(AND(ISNUMBER(SEARCH("4B",C102))),4,IF(ISNUMBER(SEARCH("5B",C102)),5,0)))))</f>
        <v>0</v>
      </c>
      <c r="C103" s="49" t="s">
        <v>67</v>
      </c>
      <c r="D103" s="49">
        <v>1</v>
      </c>
      <c r="E103" s="49" t="s">
        <v>66</v>
      </c>
      <c r="F103" s="14">
        <v>0</v>
      </c>
      <c r="G103" s="44" t="s">
        <v>75</v>
      </c>
      <c r="H103" s="17" t="e">
        <f ca="1">--TRIM(RIGHT(SUBSTITUTE(LEFT(C102,_xlfn.AGGREGATE(16,6,FIND({0,1,2,3,4,5,6,7,8,9},C102,ROW(INDIRECT("1:"&amp;LEN(C102)))),1))," ",REPT(" ",LEN(C102))),LEN(C102)))</f>
        <v>#REF!</v>
      </c>
      <c r="I103" s="47" t="e">
        <f ca="1">IF(D106=100%,"Excavation","")&amp;IF(D107=100%,", Plinth","")&amp;IF(D108=100%,", RCC Slab","")&amp;IF(D109=100%,", Brickwork","")&amp;IF(D110=100%,", Internal Plaster","")&amp;IF(D111=100%,", External Plaster","")&amp;IF(D112=100%,", Flooring","")&amp;IF(D113=100%,", Painting","")&amp;IF(D114=100%,", Building common Amenities","")</f>
        <v>#REF!</v>
      </c>
      <c r="J103" s="48" t="e">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#REF!</v>
      </c>
      <c r="S103"/>
    </row>
    <row r="104" spans="1:19" hidden="1" x14ac:dyDescent="0.25">
      <c r="A104" s="167" t="s">
        <v>85</v>
      </c>
      <c r="B104" s="168"/>
      <c r="C104" s="158" t="e">
        <f ca="1">I102</f>
        <v>#REF!</v>
      </c>
      <c r="D104" s="159"/>
      <c r="E104" s="159"/>
      <c r="F104" s="159"/>
      <c r="G104" s="159"/>
      <c r="H104" s="160"/>
      <c r="I104" s="47" t="e">
        <f ca="1">IF(I103&lt;&gt;""," Completed","")</f>
        <v>#REF!</v>
      </c>
      <c r="J104" s="48" t="e">
        <f ca="1">IF(J102&lt;&gt;"","Completed","")</f>
        <v>#REF!</v>
      </c>
      <c r="S104"/>
    </row>
    <row r="105" spans="1:19" ht="15.75" hidden="1" customHeight="1" x14ac:dyDescent="0.25">
      <c r="A105" s="156" t="s">
        <v>46</v>
      </c>
      <c r="B105" s="157"/>
      <c r="C105" s="76" t="s">
        <v>135</v>
      </c>
      <c r="D105" s="76" t="s">
        <v>78</v>
      </c>
      <c r="E105" s="157" t="s">
        <v>80</v>
      </c>
      <c r="F105" s="157"/>
      <c r="G105" s="157" t="s">
        <v>79</v>
      </c>
      <c r="H105" s="193"/>
      <c r="I105" s="13" t="s">
        <v>137</v>
      </c>
      <c r="J105" s="28" t="e">
        <f ca="1">H103*25%</f>
        <v>#REF!</v>
      </c>
      <c r="S105"/>
    </row>
    <row r="106" spans="1:19" hidden="1" x14ac:dyDescent="0.25">
      <c r="A106" s="156" t="s">
        <v>124</v>
      </c>
      <c r="B106" s="157"/>
      <c r="C106" s="58" t="e">
        <f ca="1">J107</f>
        <v>#REF!</v>
      </c>
      <c r="D106" s="19" t="e">
        <f ca="1">((100/H103)*C106)/100</f>
        <v>#REF!</v>
      </c>
      <c r="E106" s="161" t="e">
        <f ca="1">(((C107/H103*10)+(40/(D103+F103+H103)*C108)+(7.5/(H103)*C109)+(7.5/(H103)*C110)+(10/H103*C111)+(10/H103*C112)+(5/H103*C113)+(5/H103*C114)+(5/H103*C115))/100)</f>
        <v>#REF!</v>
      </c>
      <c r="F106" s="169"/>
      <c r="G106" s="161" t="e">
        <f ca="1">((((C106/H103)*20)+((C107/H103)*25)+(30/(H103+F103+D103)*C108)+(5/H103*C109)+(5/H103*C110)+(5/H103*C111)+(5/H103*C112)+(0/H103*C113)+(0/H103*C114)+(5/H103*C115))/100)</f>
        <v>#REF!</v>
      </c>
      <c r="H106" s="162"/>
      <c r="I106" s="13" t="s">
        <v>96</v>
      </c>
      <c r="J106" s="29" t="e">
        <f ca="1">H103*50%</f>
        <v>#REF!</v>
      </c>
    </row>
    <row r="107" spans="1:19" hidden="1" x14ac:dyDescent="0.25">
      <c r="A107" s="156" t="s">
        <v>47</v>
      </c>
      <c r="B107" s="157"/>
      <c r="C107" s="76" t="e">
        <f ca="1">J115</f>
        <v>#REF!</v>
      </c>
      <c r="D107" s="19" t="e">
        <f ca="1">((100/H103)*C107)/100</f>
        <v>#REF!</v>
      </c>
      <c r="E107" s="163"/>
      <c r="F107" s="170"/>
      <c r="G107" s="163"/>
      <c r="H107" s="164"/>
      <c r="I107" s="13" t="s">
        <v>97</v>
      </c>
      <c r="J107" s="29" t="e">
        <f ca="1">H103</f>
        <v>#REF!</v>
      </c>
      <c r="S107"/>
    </row>
    <row r="108" spans="1:19" ht="15.75" hidden="1" customHeight="1" x14ac:dyDescent="0.25">
      <c r="A108" s="156" t="s">
        <v>125</v>
      </c>
      <c r="B108" s="157"/>
      <c r="C108" s="76">
        <v>0</v>
      </c>
      <c r="D108" s="19" t="e">
        <f ca="1">((100/(D103+F103+H103))*C108)/100</f>
        <v>#REF!</v>
      </c>
      <c r="E108" s="163"/>
      <c r="F108" s="170"/>
      <c r="G108" s="163"/>
      <c r="H108" s="164"/>
      <c r="I108" s="13" t="s">
        <v>98</v>
      </c>
      <c r="J108" s="30" t="e">
        <f ca="1">(IF(B103&gt;1,(H103/(B103+2)),H103/4))</f>
        <v>#REF!</v>
      </c>
      <c r="S108"/>
    </row>
    <row r="109" spans="1:19" ht="15.75" hidden="1" customHeight="1" x14ac:dyDescent="0.25">
      <c r="A109" s="156" t="s">
        <v>132</v>
      </c>
      <c r="B109" s="157" t="s">
        <v>126</v>
      </c>
      <c r="C109" s="76">
        <v>0</v>
      </c>
      <c r="D109" s="19" t="e">
        <f ca="1">((100/H103)*C109)/100</f>
        <v>#REF!</v>
      </c>
      <c r="E109" s="163"/>
      <c r="F109" s="170"/>
      <c r="G109" s="163"/>
      <c r="H109" s="164"/>
      <c r="I109" s="13" t="s">
        <v>99</v>
      </c>
      <c r="J109" s="30" t="e">
        <f ca="1">(IF(B103&gt;1,(H103/(B103+2)+J108),H103/4+J108))</f>
        <v>#REF!</v>
      </c>
    </row>
    <row r="110" spans="1:19" ht="15.75" hidden="1" customHeight="1" x14ac:dyDescent="0.25">
      <c r="A110" s="156" t="s">
        <v>133</v>
      </c>
      <c r="B110" s="157" t="s">
        <v>126</v>
      </c>
      <c r="C110" s="76">
        <v>0</v>
      </c>
      <c r="D110" s="19" t="e">
        <f ca="1">((100/H103)*C110)/100</f>
        <v>#REF!</v>
      </c>
      <c r="E110" s="163"/>
      <c r="F110" s="170"/>
      <c r="G110" s="163"/>
      <c r="H110" s="164"/>
      <c r="I110" s="13" t="s">
        <v>144</v>
      </c>
      <c r="J110" s="30">
        <f>(IF(B103&gt;1,(H103/(B103+2)+J109),0))</f>
        <v>0</v>
      </c>
    </row>
    <row r="111" spans="1:19" ht="15" hidden="1" customHeight="1" x14ac:dyDescent="0.25">
      <c r="A111" s="156" t="s">
        <v>131</v>
      </c>
      <c r="B111" s="157" t="s">
        <v>128</v>
      </c>
      <c r="C111" s="76">
        <v>0</v>
      </c>
      <c r="D111" s="19" t="e">
        <f ca="1">((100/(H103))*C111)/100</f>
        <v>#REF!</v>
      </c>
      <c r="E111" s="163"/>
      <c r="F111" s="170"/>
      <c r="G111" s="163"/>
      <c r="H111" s="164"/>
      <c r="I111" s="13" t="s">
        <v>139</v>
      </c>
      <c r="J111" s="30">
        <f>(IF(B103&gt;2,(H103/(B103+2)+J110),0))</f>
        <v>0</v>
      </c>
    </row>
    <row r="112" spans="1:19" ht="15.75" hidden="1" customHeight="1" x14ac:dyDescent="0.25">
      <c r="A112" s="156" t="s">
        <v>127</v>
      </c>
      <c r="B112" s="157" t="s">
        <v>127</v>
      </c>
      <c r="C112" s="76">
        <v>0</v>
      </c>
      <c r="D112" s="19" t="e">
        <f ca="1">((100/H103)*C112)/100</f>
        <v>#REF!</v>
      </c>
      <c r="E112" s="163"/>
      <c r="F112" s="170"/>
      <c r="G112" s="163"/>
      <c r="H112" s="164"/>
      <c r="I112" s="13" t="s">
        <v>140</v>
      </c>
      <c r="J112" s="31">
        <f>(IF(B103&gt;3,(H103/(B103+2)+J111),0))</f>
        <v>0</v>
      </c>
    </row>
    <row r="113" spans="1:22" ht="15.75" hidden="1" customHeight="1" x14ac:dyDescent="0.25">
      <c r="A113" s="156" t="s">
        <v>134</v>
      </c>
      <c r="B113" s="157"/>
      <c r="C113" s="76">
        <v>0</v>
      </c>
      <c r="D113" s="19" t="e">
        <f ca="1">((100/H103)*C113)/100</f>
        <v>#REF!</v>
      </c>
      <c r="E113" s="163"/>
      <c r="F113" s="170"/>
      <c r="G113" s="163"/>
      <c r="H113" s="164"/>
      <c r="I113" s="13" t="s">
        <v>141</v>
      </c>
      <c r="J113" s="30">
        <f>(IF(B103&gt;4,(H103/(B103+2)+J112),0))</f>
        <v>0</v>
      </c>
    </row>
    <row r="114" spans="1:22" ht="15.75" hidden="1" customHeight="1" x14ac:dyDescent="0.25">
      <c r="A114" s="156" t="s">
        <v>129</v>
      </c>
      <c r="B114" s="157" t="s">
        <v>129</v>
      </c>
      <c r="C114" s="76">
        <v>0</v>
      </c>
      <c r="D114" s="19" t="e">
        <f ca="1">((100/(H103))*C114)/100</f>
        <v>#REF!</v>
      </c>
      <c r="E114" s="163"/>
      <c r="F114" s="170"/>
      <c r="G114" s="163"/>
      <c r="H114" s="164"/>
      <c r="I114" s="13" t="s">
        <v>145</v>
      </c>
      <c r="J114" s="30" t="e">
        <f ca="1">(IF(B103=1,(H103/(B103+3)+J109),IF(B103=0,(H103/4+J109),IF(B103&gt;1,0))))</f>
        <v>#REF!</v>
      </c>
    </row>
    <row r="115" spans="1:22" ht="16.5" hidden="1" thickBot="1" x14ac:dyDescent="0.3">
      <c r="A115" s="201" t="s">
        <v>130</v>
      </c>
      <c r="B115" s="202"/>
      <c r="C115" s="75">
        <v>0</v>
      </c>
      <c r="D115" s="20" t="e">
        <f ca="1">((100/(H103))*C115)/100</f>
        <v>#REF!</v>
      </c>
      <c r="E115" s="165"/>
      <c r="F115" s="171"/>
      <c r="G115" s="165"/>
      <c r="H115" s="166"/>
      <c r="I115" s="15" t="s">
        <v>100</v>
      </c>
      <c r="J115" s="32" t="e">
        <f ca="1">(IF(B103&gt;1.5,(H103/(B103+2)+J109+MAX(0,J110-J109)+MAX(0,J111-J110)+MAX(0,J112-J111)+MAX(0,J113-J112)+MAX(0,J114-J113)),IF(B103=1,(H103/(B103+3)+J114),IF(B103=0,H103/4+J114))))</f>
        <v>#REF!</v>
      </c>
    </row>
    <row r="116" spans="1:22" x14ac:dyDescent="0.25">
      <c r="A116" s="203" t="s">
        <v>155</v>
      </c>
      <c r="B116" s="204"/>
      <c r="C116" s="204"/>
      <c r="D116" s="204"/>
      <c r="E116" s="205"/>
      <c r="F116" s="294" t="s">
        <v>159</v>
      </c>
      <c r="G116" s="294"/>
      <c r="H116" s="294"/>
      <c r="R116" t="s">
        <v>254</v>
      </c>
      <c r="S116" t="s">
        <v>171</v>
      </c>
      <c r="T116" t="s">
        <v>180</v>
      </c>
      <c r="U116" t="s">
        <v>194</v>
      </c>
      <c r="V116" t="s">
        <v>189</v>
      </c>
    </row>
    <row r="117" spans="1:22" x14ac:dyDescent="0.25">
      <c r="A117" s="175" t="s">
        <v>157</v>
      </c>
      <c r="B117" s="176"/>
      <c r="C117" s="176"/>
      <c r="D117" s="176"/>
      <c r="E117" s="177"/>
      <c r="F117" s="211">
        <v>12000</v>
      </c>
      <c r="G117" s="211"/>
      <c r="H117" s="211"/>
      <c r="R117"/>
      <c r="S117">
        <v>800000</v>
      </c>
      <c r="T117">
        <v>150000</v>
      </c>
      <c r="U117">
        <v>100000</v>
      </c>
      <c r="V117">
        <v>100000</v>
      </c>
    </row>
    <row r="118" spans="1:22" x14ac:dyDescent="0.25">
      <c r="A118" s="175" t="s">
        <v>156</v>
      </c>
      <c r="B118" s="176"/>
      <c r="C118" s="176"/>
      <c r="D118" s="176"/>
      <c r="E118" s="177"/>
      <c r="F118" s="211">
        <v>22000</v>
      </c>
      <c r="G118" s="211"/>
      <c r="H118" s="211"/>
      <c r="R118"/>
      <c r="S118">
        <v>900000</v>
      </c>
      <c r="T118">
        <v>200000</v>
      </c>
      <c r="U118">
        <v>150000</v>
      </c>
      <c r="V118">
        <v>150000</v>
      </c>
    </row>
    <row r="119" spans="1:22" hidden="1" x14ac:dyDescent="0.25">
      <c r="A119" s="175" t="s">
        <v>158</v>
      </c>
      <c r="B119" s="176"/>
      <c r="C119" s="176"/>
      <c r="D119" s="176"/>
      <c r="E119" s="177"/>
      <c r="F119" s="211"/>
      <c r="G119" s="211"/>
      <c r="H119" s="211"/>
      <c r="R119"/>
      <c r="S119">
        <v>1000000</v>
      </c>
      <c r="T119">
        <v>250000</v>
      </c>
      <c r="U119">
        <v>200000</v>
      </c>
      <c r="V119">
        <v>200000</v>
      </c>
    </row>
    <row r="120" spans="1:22" s="33" customFormat="1" hidden="1" x14ac:dyDescent="0.25">
      <c r="A120" s="175" t="s">
        <v>174</v>
      </c>
      <c r="B120" s="176"/>
      <c r="C120" s="176"/>
      <c r="D120" s="176"/>
      <c r="E120" s="177"/>
      <c r="F120" s="211"/>
      <c r="G120" s="211"/>
      <c r="H120" s="211"/>
      <c r="R120"/>
      <c r="S120">
        <v>1100000</v>
      </c>
      <c r="T120">
        <v>300000</v>
      </c>
      <c r="U120">
        <v>250000</v>
      </c>
      <c r="V120" s="23">
        <v>250000</v>
      </c>
    </row>
    <row r="121" spans="1:22" s="33" customFormat="1" hidden="1" x14ac:dyDescent="0.25">
      <c r="A121" s="175" t="s">
        <v>90</v>
      </c>
      <c r="B121" s="176"/>
      <c r="C121" s="176"/>
      <c r="D121" s="176"/>
      <c r="E121" s="177"/>
      <c r="F121" s="211"/>
      <c r="G121" s="211"/>
      <c r="H121" s="211"/>
      <c r="R121"/>
      <c r="S121">
        <v>1200000</v>
      </c>
      <c r="T121">
        <v>350000</v>
      </c>
      <c r="U121">
        <v>300000</v>
      </c>
      <c r="V121">
        <v>300000</v>
      </c>
    </row>
    <row r="122" spans="1:22" s="33" customFormat="1" hidden="1" x14ac:dyDescent="0.25">
      <c r="A122" s="175" t="s">
        <v>91</v>
      </c>
      <c r="B122" s="176"/>
      <c r="C122" s="176"/>
      <c r="D122" s="176"/>
      <c r="E122" s="177"/>
      <c r="F122" s="211"/>
      <c r="G122" s="211"/>
      <c r="H122" s="211"/>
      <c r="R122"/>
      <c r="S122">
        <v>1300000</v>
      </c>
      <c r="T122">
        <v>400000</v>
      </c>
      <c r="U122">
        <v>350000</v>
      </c>
      <c r="V122" s="23">
        <v>400000</v>
      </c>
    </row>
    <row r="123" spans="1:22" s="33" customFormat="1" hidden="1" x14ac:dyDescent="0.25">
      <c r="A123" s="175" t="s">
        <v>92</v>
      </c>
      <c r="B123" s="176"/>
      <c r="C123" s="176"/>
      <c r="D123" s="176"/>
      <c r="E123" s="177"/>
      <c r="F123" s="211"/>
      <c r="G123" s="211"/>
      <c r="H123" s="211"/>
      <c r="R123"/>
      <c r="S123">
        <v>1400000</v>
      </c>
      <c r="T123">
        <v>500000</v>
      </c>
      <c r="U123">
        <v>400000</v>
      </c>
      <c r="V123"/>
    </row>
    <row r="124" spans="1:22" s="33" customFormat="1" hidden="1" x14ac:dyDescent="0.25">
      <c r="A124" s="175" t="s">
        <v>93</v>
      </c>
      <c r="B124" s="176"/>
      <c r="C124" s="176"/>
      <c r="D124" s="176"/>
      <c r="E124" s="177"/>
      <c r="F124" s="211"/>
      <c r="G124" s="211"/>
      <c r="H124" s="211"/>
      <c r="R124"/>
      <c r="S124">
        <v>1500000</v>
      </c>
      <c r="T124">
        <v>600000</v>
      </c>
      <c r="U124">
        <v>500000</v>
      </c>
      <c r="V124" s="23"/>
    </row>
    <row r="125" spans="1:22" s="33" customFormat="1" hidden="1" x14ac:dyDescent="0.25">
      <c r="A125" s="175" t="s">
        <v>94</v>
      </c>
      <c r="B125" s="176"/>
      <c r="C125" s="176"/>
      <c r="D125" s="176"/>
      <c r="E125" s="177"/>
      <c r="F125" s="211"/>
      <c r="G125" s="211"/>
      <c r="H125" s="211"/>
      <c r="R125"/>
      <c r="S125">
        <v>1600000</v>
      </c>
      <c r="T125">
        <v>700000</v>
      </c>
      <c r="U125">
        <v>600000</v>
      </c>
      <c r="V125"/>
    </row>
    <row r="126" spans="1:22" s="33" customFormat="1" hidden="1" x14ac:dyDescent="0.25">
      <c r="A126" s="175" t="s">
        <v>95</v>
      </c>
      <c r="B126" s="176"/>
      <c r="C126" s="176"/>
      <c r="D126" s="176"/>
      <c r="E126" s="177"/>
      <c r="F126" s="211"/>
      <c r="G126" s="211"/>
      <c r="H126" s="211"/>
      <c r="R126"/>
      <c r="S126">
        <v>1700000</v>
      </c>
      <c r="T126">
        <v>800000</v>
      </c>
      <c r="U126"/>
      <c r="V126" s="23"/>
    </row>
    <row r="127" spans="1:22" x14ac:dyDescent="0.25">
      <c r="A127" s="175" t="s">
        <v>48</v>
      </c>
      <c r="B127" s="176"/>
      <c r="C127" s="176"/>
      <c r="D127" s="176"/>
      <c r="E127" s="177"/>
      <c r="F127" s="211">
        <v>800000</v>
      </c>
      <c r="G127" s="211"/>
      <c r="H127" s="211"/>
      <c r="R127"/>
      <c r="S127">
        <v>1800000</v>
      </c>
      <c r="T127">
        <v>900000</v>
      </c>
      <c r="U127"/>
    </row>
    <row r="128" spans="1:22" s="34" customFormat="1" x14ac:dyDescent="0.25">
      <c r="A128" s="245" t="s">
        <v>49</v>
      </c>
      <c r="B128" s="246"/>
      <c r="C128" s="246"/>
      <c r="D128" s="246"/>
      <c r="E128" s="247"/>
      <c r="F128" s="211">
        <f>F117*0.8</f>
        <v>9600</v>
      </c>
      <c r="G128" s="211"/>
      <c r="H128" s="211"/>
      <c r="R128" s="21"/>
      <c r="S128" s="21"/>
      <c r="T128">
        <v>1000000</v>
      </c>
      <c r="U128"/>
      <c r="V128" s="21"/>
    </row>
    <row r="129" spans="1:22" s="35" customFormat="1" ht="15.75" customHeight="1" x14ac:dyDescent="0.25">
      <c r="A129" s="274" t="s">
        <v>70</v>
      </c>
      <c r="B129" s="275"/>
      <c r="C129" s="275"/>
      <c r="D129" s="275"/>
      <c r="E129" s="275"/>
      <c r="F129" s="275"/>
      <c r="G129" s="275"/>
      <c r="H129" s="276"/>
      <c r="R129"/>
      <c r="S129" s="21"/>
      <c r="T129"/>
      <c r="U129"/>
      <c r="V129" s="21"/>
    </row>
    <row r="130" spans="1:22" s="35" customFormat="1" ht="15.75" customHeight="1" x14ac:dyDescent="0.25">
      <c r="A130" s="191" t="s">
        <v>50</v>
      </c>
      <c r="B130" s="191"/>
      <c r="C130" s="303" t="s">
        <v>73</v>
      </c>
      <c r="D130" s="188"/>
      <c r="E130" s="190" t="s">
        <v>51</v>
      </c>
      <c r="F130" s="190"/>
      <c r="G130" s="191" t="s">
        <v>52</v>
      </c>
      <c r="H130" s="191"/>
      <c r="R130"/>
      <c r="S130" s="21"/>
      <c r="T130"/>
      <c r="U130" s="21"/>
      <c r="V130" s="21"/>
    </row>
    <row r="131" spans="1:22" s="35" customFormat="1" x14ac:dyDescent="0.25">
      <c r="A131" s="192" t="s">
        <v>376</v>
      </c>
      <c r="B131" s="192"/>
      <c r="C131" s="199">
        <f>COUNT(D145:D155)</f>
        <v>11</v>
      </c>
      <c r="D131" s="183"/>
      <c r="E131" s="199">
        <f t="shared" ref="E131" si="0">SUM(F145:F155)</f>
        <v>1849.4241948000001</v>
      </c>
      <c r="F131" s="183"/>
      <c r="G131" s="199">
        <f t="shared" ref="G131" si="1">SUM(H145:H155)</f>
        <v>2774.1362922000003</v>
      </c>
      <c r="H131" s="183"/>
      <c r="R131"/>
      <c r="S131" s="21"/>
      <c r="T131"/>
      <c r="U131" s="21"/>
      <c r="V131" s="21"/>
    </row>
    <row r="132" spans="1:22" s="35" customFormat="1" hidden="1" x14ac:dyDescent="0.25">
      <c r="A132" s="192"/>
      <c r="B132" s="192"/>
      <c r="C132" s="182"/>
      <c r="D132" s="183"/>
      <c r="E132" s="184"/>
      <c r="F132" s="184"/>
      <c r="G132" s="185"/>
      <c r="H132" s="185"/>
      <c r="R132"/>
      <c r="S132" s="21"/>
      <c r="T132"/>
      <c r="U132" s="21"/>
      <c r="V132" s="21"/>
    </row>
    <row r="133" spans="1:22" s="35" customFormat="1" x14ac:dyDescent="0.25">
      <c r="A133" s="186" t="s">
        <v>149</v>
      </c>
      <c r="B133" s="186"/>
      <c r="C133" s="187">
        <f>SUM(C131:D132)</f>
        <v>11</v>
      </c>
      <c r="D133" s="188"/>
      <c r="E133" s="189">
        <f>SUM(E131:F132)</f>
        <v>1849.4241948000001</v>
      </c>
      <c r="F133" s="190"/>
      <c r="G133" s="191">
        <f>SUM(G131:H132)</f>
        <v>2774.1362922000003</v>
      </c>
      <c r="H133" s="191"/>
      <c r="R133"/>
      <c r="S133" s="21"/>
      <c r="T133"/>
      <c r="U133" s="21"/>
      <c r="V133" s="21"/>
    </row>
    <row r="134" spans="1:22" s="35" customFormat="1" ht="15.75" customHeight="1" x14ac:dyDescent="0.25">
      <c r="A134" s="281" t="s">
        <v>65</v>
      </c>
      <c r="B134" s="282"/>
      <c r="C134" s="282"/>
      <c r="D134" s="282"/>
      <c r="E134" s="282"/>
      <c r="F134" s="282"/>
      <c r="G134" s="282"/>
      <c r="H134" s="283"/>
      <c r="T134"/>
    </row>
    <row r="135" spans="1:22" s="35" customFormat="1" ht="15.75" customHeight="1" x14ac:dyDescent="0.25">
      <c r="A135" s="191" t="s">
        <v>50</v>
      </c>
      <c r="B135" s="191"/>
      <c r="C135" s="303" t="s">
        <v>73</v>
      </c>
      <c r="D135" s="188"/>
      <c r="E135" s="190" t="s">
        <v>51</v>
      </c>
      <c r="F135" s="190"/>
      <c r="G135" s="191" t="s">
        <v>52</v>
      </c>
      <c r="H135" s="191"/>
      <c r="T135"/>
    </row>
    <row r="136" spans="1:22" s="35" customFormat="1" x14ac:dyDescent="0.25">
      <c r="A136" s="277" t="s">
        <v>64</v>
      </c>
      <c r="B136" s="277"/>
      <c r="C136" s="199">
        <f>COUNT(D161:D162,D166:D167)+COUNT(D169:D175)*6+COUNT(D177:D183)*8+COUNT(D185:D191)*7+COUNT(D193:D194,D198:D199)</f>
        <v>155</v>
      </c>
      <c r="D136" s="200"/>
      <c r="E136" s="199">
        <f t="shared" ref="E136" si="2">SUM(F161:F162,F166:F167)+SUM(F169:F175)*6+SUM(F177:F183)*8+SUM(F185:F191)*7+SUM(F193:F194,F198:F199)</f>
        <v>70872.759359999996</v>
      </c>
      <c r="F136" s="200"/>
      <c r="G136" s="199">
        <f t="shared" ref="G136" si="3">SUM(H161:H162,H166:H167)+SUM(H169:H175)*6+SUM(H177:H183)*8+SUM(H185:H191)*7+SUM(H193:H194,H198:H199)</f>
        <v>106309.13903999998</v>
      </c>
      <c r="H136" s="200"/>
      <c r="T136"/>
    </row>
    <row r="137" spans="1:22" s="35" customFormat="1" hidden="1" x14ac:dyDescent="0.25">
      <c r="A137" s="192"/>
      <c r="B137" s="192"/>
      <c r="C137" s="182"/>
      <c r="D137" s="183"/>
      <c r="E137" s="184"/>
      <c r="F137" s="184"/>
      <c r="G137" s="185"/>
      <c r="H137" s="185"/>
      <c r="T137"/>
    </row>
    <row r="138" spans="1:22" s="35" customFormat="1" ht="16.5" thickBot="1" x14ac:dyDescent="0.3">
      <c r="A138" s="178" t="s">
        <v>149</v>
      </c>
      <c r="B138" s="178"/>
      <c r="C138" s="304">
        <f>SUM(C136:D137)</f>
        <v>155</v>
      </c>
      <c r="D138" s="305"/>
      <c r="E138" s="179">
        <f>SUM(E136:F137)</f>
        <v>70872.759359999996</v>
      </c>
      <c r="F138" s="180"/>
      <c r="G138" s="181">
        <f>SUM(G136:H137)</f>
        <v>106309.13903999998</v>
      </c>
      <c r="H138" s="181"/>
      <c r="T138"/>
    </row>
    <row r="139" spans="1:22" s="35" customFormat="1" ht="16.5" thickBot="1" x14ac:dyDescent="0.3">
      <c r="A139" s="296" t="s">
        <v>165</v>
      </c>
      <c r="B139" s="297"/>
      <c r="C139" s="322">
        <f>C133+C138</f>
        <v>166</v>
      </c>
      <c r="D139" s="323"/>
      <c r="E139" s="321">
        <f>E133+E138</f>
        <v>72722.183554799994</v>
      </c>
      <c r="F139" s="321"/>
      <c r="G139" s="212">
        <f>G133+G138</f>
        <v>109083.27533219998</v>
      </c>
      <c r="H139" s="213"/>
      <c r="T139"/>
    </row>
    <row r="140" spans="1:22" s="34" customFormat="1" x14ac:dyDescent="0.25">
      <c r="A140" s="206" t="s">
        <v>355</v>
      </c>
      <c r="B140" s="207"/>
      <c r="C140" s="207"/>
      <c r="D140" s="207"/>
      <c r="E140" s="207"/>
      <c r="F140" s="207"/>
      <c r="G140" s="207"/>
      <c r="H140" s="208"/>
      <c r="T140" s="35"/>
    </row>
    <row r="141" spans="1:22" x14ac:dyDescent="0.25">
      <c r="A141" s="310" t="s">
        <v>173</v>
      </c>
      <c r="B141" s="311"/>
      <c r="C141" s="311"/>
      <c r="D141" s="311"/>
      <c r="E141" s="311"/>
      <c r="F141" s="311"/>
      <c r="G141" s="311"/>
      <c r="H141" s="312"/>
      <c r="T141" s="35"/>
    </row>
    <row r="142" spans="1:22" ht="47.25" customHeight="1" x14ac:dyDescent="0.25">
      <c r="A142" s="209" t="s">
        <v>406</v>
      </c>
      <c r="B142" s="209" t="s">
        <v>176</v>
      </c>
      <c r="C142" s="209" t="s">
        <v>53</v>
      </c>
      <c r="D142" s="209" t="s">
        <v>233</v>
      </c>
      <c r="E142" s="306" t="s">
        <v>154</v>
      </c>
      <c r="F142" s="209" t="s">
        <v>54</v>
      </c>
      <c r="G142" s="306" t="s">
        <v>55</v>
      </c>
      <c r="H142" s="103" t="s">
        <v>147</v>
      </c>
      <c r="T142" s="35"/>
    </row>
    <row r="143" spans="1:22" s="37" customFormat="1" x14ac:dyDescent="0.25">
      <c r="A143" s="210"/>
      <c r="B143" s="210"/>
      <c r="C143" s="210"/>
      <c r="D143" s="210"/>
      <c r="E143" s="307"/>
      <c r="F143" s="210"/>
      <c r="G143" s="307"/>
      <c r="H143" s="104">
        <v>0.5</v>
      </c>
      <c r="T143" s="35"/>
    </row>
    <row r="144" spans="1:22" s="37" customFormat="1" ht="15.75" customHeight="1" x14ac:dyDescent="0.25">
      <c r="A144" s="318" t="s">
        <v>405</v>
      </c>
      <c r="B144" s="319"/>
      <c r="C144" s="319"/>
      <c r="D144" s="319"/>
      <c r="E144" s="319"/>
      <c r="F144" s="319"/>
      <c r="G144" s="319"/>
      <c r="H144" s="320"/>
      <c r="J144" s="36">
        <f>10.764</f>
        <v>10.763999999999999</v>
      </c>
      <c r="T144" s="35"/>
    </row>
    <row r="145" spans="1:20" s="95" customFormat="1" ht="15.75" customHeight="1" x14ac:dyDescent="0.25">
      <c r="A145" s="133">
        <v>1</v>
      </c>
      <c r="B145" s="134"/>
      <c r="C145" s="105" t="s">
        <v>376</v>
      </c>
      <c r="D145" s="106">
        <f>(2.91*5.4+1.91*1.3+0.9*1.2+0.26*3.32)*(10.764)</f>
        <v>216.7891128</v>
      </c>
      <c r="E145" s="105">
        <v>0</v>
      </c>
      <c r="F145" s="105">
        <f t="shared" ref="F145:F155" si="4">D145+(IF(E145&lt;201,E145,IF(E145&lt;301,E145/2,E145/3)))</f>
        <v>216.7891128</v>
      </c>
      <c r="G145" s="107">
        <v>0</v>
      </c>
      <c r="H145" s="105">
        <f t="shared" ref="H145:H155" si="5">(F145+(IF(G145&lt;101,G145,IF(G145&lt;201,G145/2,IF(G145&lt;=301,G145/3,G145/4)))))*(($H$143)+1)</f>
        <v>325.1836692</v>
      </c>
      <c r="I145" s="36">
        <f>2.91*5.4+1.91*1.3+0.9*1.2</f>
        <v>19.277000000000001</v>
      </c>
      <c r="L145" s="124"/>
      <c r="M145" s="124"/>
      <c r="N145" s="36"/>
      <c r="T145" s="35"/>
    </row>
    <row r="146" spans="1:20" s="95" customFormat="1" ht="15.75" customHeight="1" x14ac:dyDescent="0.25">
      <c r="A146" s="133">
        <v>2</v>
      </c>
      <c r="B146" s="134"/>
      <c r="C146" s="105" t="s">
        <v>376</v>
      </c>
      <c r="D146" s="106">
        <f>(3.2*5.3+1.4*1.3+0.9*1.2+0.7*0.4)*(10.764)</f>
        <v>216.78695999999999</v>
      </c>
      <c r="E146" s="105">
        <v>0</v>
      </c>
      <c r="F146" s="105">
        <f t="shared" si="4"/>
        <v>216.78695999999999</v>
      </c>
      <c r="G146" s="105">
        <v>0</v>
      </c>
      <c r="H146" s="105">
        <f t="shared" si="5"/>
        <v>325.18043999999998</v>
      </c>
      <c r="I146" s="36"/>
      <c r="L146" s="124"/>
      <c r="M146" s="124"/>
      <c r="N146" s="36"/>
      <c r="T146" s="34"/>
    </row>
    <row r="147" spans="1:20" s="95" customFormat="1" ht="15.75" customHeight="1" x14ac:dyDescent="0.25">
      <c r="A147" s="133">
        <v>3</v>
      </c>
      <c r="B147" s="134"/>
      <c r="C147" s="105" t="s">
        <v>376</v>
      </c>
      <c r="D147" s="106">
        <f>(3.05*3.96+2.05*1.22+0.9*1.2)*(10.764)</f>
        <v>168.55347599999999</v>
      </c>
      <c r="E147" s="105">
        <v>0</v>
      </c>
      <c r="F147" s="105">
        <f t="shared" si="4"/>
        <v>168.55347599999999</v>
      </c>
      <c r="G147" s="105">
        <v>0</v>
      </c>
      <c r="H147" s="105">
        <f t="shared" si="5"/>
        <v>252.83021399999998</v>
      </c>
      <c r="I147" s="36"/>
      <c r="L147" s="124"/>
      <c r="M147" s="124"/>
      <c r="N147" s="36"/>
      <c r="T147" s="21"/>
    </row>
    <row r="148" spans="1:20" s="95" customFormat="1" ht="15.75" customHeight="1" x14ac:dyDescent="0.25">
      <c r="A148" s="133">
        <v>4</v>
      </c>
      <c r="B148" s="134"/>
      <c r="C148" s="105" t="s">
        <v>376</v>
      </c>
      <c r="D148" s="106">
        <f>(2.75*3.96+1.75*1.3+0.9*1.2)*(10.764)</f>
        <v>153.33318</v>
      </c>
      <c r="E148" s="105">
        <v>0</v>
      </c>
      <c r="F148" s="105">
        <f t="shared" si="4"/>
        <v>153.33318</v>
      </c>
      <c r="G148" s="105">
        <v>0</v>
      </c>
      <c r="H148" s="105">
        <f t="shared" si="5"/>
        <v>229.99977000000001</v>
      </c>
      <c r="I148" s="36"/>
      <c r="L148" s="124"/>
      <c r="M148" s="124"/>
      <c r="N148" s="36"/>
      <c r="T148" s="21"/>
    </row>
    <row r="149" spans="1:20" s="37" customFormat="1" ht="15.75" customHeight="1" x14ac:dyDescent="0.25">
      <c r="A149" s="133">
        <v>5</v>
      </c>
      <c r="B149" s="134"/>
      <c r="C149" s="105" t="s">
        <v>376</v>
      </c>
      <c r="D149" s="106">
        <f>(2.2*4.83+0.37*2.83+0.4+1.02*1.2)*(10.764)</f>
        <v>143.12998440000001</v>
      </c>
      <c r="E149" s="105">
        <v>0</v>
      </c>
      <c r="F149" s="105">
        <f t="shared" si="4"/>
        <v>143.12998440000001</v>
      </c>
      <c r="G149" s="107">
        <v>0</v>
      </c>
      <c r="H149" s="105">
        <f t="shared" si="5"/>
        <v>214.69497660000002</v>
      </c>
      <c r="I149" s="36"/>
      <c r="L149" s="124"/>
      <c r="M149" s="124"/>
      <c r="N149" s="36"/>
      <c r="T149" s="35"/>
    </row>
    <row r="150" spans="1:20" s="95" customFormat="1" ht="15.75" customHeight="1" x14ac:dyDescent="0.25">
      <c r="A150" s="132">
        <v>6</v>
      </c>
      <c r="B150" s="132"/>
      <c r="C150" s="105" t="s">
        <v>376</v>
      </c>
      <c r="D150" s="106">
        <f>(2.56*4.03+0.9*1.2+0.37*0.95)*(10.764)</f>
        <v>126.45870119999999</v>
      </c>
      <c r="E150" s="105">
        <v>0</v>
      </c>
      <c r="F150" s="105">
        <f t="shared" si="4"/>
        <v>126.45870119999999</v>
      </c>
      <c r="G150" s="105">
        <v>0</v>
      </c>
      <c r="H150" s="105">
        <f t="shared" si="5"/>
        <v>189.68805179999998</v>
      </c>
      <c r="I150" s="36"/>
      <c r="L150" s="124"/>
      <c r="M150" s="124"/>
      <c r="N150" s="36"/>
      <c r="T150" s="34"/>
    </row>
    <row r="151" spans="1:20" s="95" customFormat="1" ht="15.75" customHeight="1" x14ac:dyDescent="0.25">
      <c r="A151" s="125">
        <v>7</v>
      </c>
      <c r="B151" s="125"/>
      <c r="C151" s="113" t="s">
        <v>376</v>
      </c>
      <c r="D151" s="98">
        <f>(2.56*4.03+0.9*1.2+0.37*0.95)*(10.764)</f>
        <v>126.45870119999999</v>
      </c>
      <c r="E151" s="113">
        <v>0</v>
      </c>
      <c r="F151" s="113">
        <f t="shared" si="4"/>
        <v>126.45870119999999</v>
      </c>
      <c r="G151" s="113">
        <v>0</v>
      </c>
      <c r="H151" s="113">
        <f t="shared" si="5"/>
        <v>189.68805179999998</v>
      </c>
      <c r="I151" s="36"/>
      <c r="L151" s="124"/>
      <c r="M151" s="124"/>
      <c r="N151" s="36"/>
      <c r="T151" s="21"/>
    </row>
    <row r="152" spans="1:20" s="95" customFormat="1" ht="15.75" customHeight="1" x14ac:dyDescent="0.25">
      <c r="A152" s="125">
        <v>8</v>
      </c>
      <c r="B152" s="125"/>
      <c r="C152" s="113" t="s">
        <v>376</v>
      </c>
      <c r="D152" s="98">
        <f>(2.2*4.83+1.02*1.2+0.4+0.37*2.83)*(10.764)</f>
        <v>143.12998440000001</v>
      </c>
      <c r="E152" s="113">
        <v>0</v>
      </c>
      <c r="F152" s="113">
        <f t="shared" si="4"/>
        <v>143.12998440000001</v>
      </c>
      <c r="G152" s="113">
        <v>0</v>
      </c>
      <c r="H152" s="113">
        <f t="shared" si="5"/>
        <v>214.69497660000002</v>
      </c>
      <c r="I152" s="36"/>
      <c r="L152" s="124"/>
      <c r="M152" s="124"/>
      <c r="N152" s="36"/>
      <c r="T152" s="21"/>
    </row>
    <row r="153" spans="1:20" s="37" customFormat="1" ht="15.75" customHeight="1" x14ac:dyDescent="0.25">
      <c r="A153" s="125">
        <v>9</v>
      </c>
      <c r="B153" s="125"/>
      <c r="C153" s="113" t="s">
        <v>376</v>
      </c>
      <c r="D153" s="98">
        <f>(3.05*4.13+0.9*1.2+2.05*1.3)*(10.764)</f>
        <v>175.89990599999999</v>
      </c>
      <c r="E153" s="113">
        <v>0</v>
      </c>
      <c r="F153" s="113">
        <f t="shared" si="4"/>
        <v>175.89990599999999</v>
      </c>
      <c r="G153" s="113">
        <v>0</v>
      </c>
      <c r="H153" s="113">
        <f t="shared" si="5"/>
        <v>263.84985899999998</v>
      </c>
      <c r="I153" s="36"/>
      <c r="L153" s="124"/>
      <c r="M153" s="124"/>
      <c r="N153" s="36"/>
      <c r="T153" s="34"/>
    </row>
    <row r="154" spans="1:20" s="37" customFormat="1" ht="15.75" customHeight="1" x14ac:dyDescent="0.25">
      <c r="A154" s="125">
        <v>10</v>
      </c>
      <c r="B154" s="125"/>
      <c r="C154" s="113" t="s">
        <v>376</v>
      </c>
      <c r="D154" s="98">
        <f>(3.06*4.61+0.9*1.2+2.06*0.38+1.26*0.92)*(10.764)</f>
        <v>184.37225040000001</v>
      </c>
      <c r="E154" s="113">
        <v>0</v>
      </c>
      <c r="F154" s="113">
        <f t="shared" si="4"/>
        <v>184.37225040000001</v>
      </c>
      <c r="G154" s="113">
        <v>0</v>
      </c>
      <c r="H154" s="113">
        <f t="shared" si="5"/>
        <v>276.55837560000003</v>
      </c>
      <c r="I154" s="36"/>
      <c r="L154" s="124"/>
      <c r="M154" s="124"/>
      <c r="N154" s="36"/>
      <c r="T154" s="21"/>
    </row>
    <row r="155" spans="1:20" s="37" customFormat="1" ht="15.75" customHeight="1" x14ac:dyDescent="0.25">
      <c r="A155" s="125">
        <v>11</v>
      </c>
      <c r="B155" s="125"/>
      <c r="C155" s="113" t="s">
        <v>376</v>
      </c>
      <c r="D155" s="98">
        <f>(3.06*4.61+0.9*1.2+2.06*1.4)*(10.764)</f>
        <v>194.51193840000002</v>
      </c>
      <c r="E155" s="113">
        <v>0</v>
      </c>
      <c r="F155" s="113">
        <f t="shared" si="4"/>
        <v>194.51193840000002</v>
      </c>
      <c r="G155" s="113">
        <v>0</v>
      </c>
      <c r="H155" s="113">
        <f t="shared" si="5"/>
        <v>291.76790760000006</v>
      </c>
      <c r="I155" s="36"/>
      <c r="L155" s="124"/>
      <c r="M155" s="124"/>
      <c r="N155" s="36"/>
      <c r="T155" s="21"/>
    </row>
    <row r="156" spans="1:20" s="37" customFormat="1" x14ac:dyDescent="0.25">
      <c r="A156" s="125"/>
      <c r="B156" s="125"/>
      <c r="C156" s="125"/>
      <c r="D156" s="125"/>
      <c r="E156" s="125"/>
      <c r="F156" s="125"/>
      <c r="G156" s="125"/>
      <c r="H156" s="125"/>
      <c r="I156" s="36"/>
      <c r="N156" s="36"/>
    </row>
    <row r="157" spans="1:20" ht="47.25" customHeight="1" x14ac:dyDescent="0.25">
      <c r="A157" s="295" t="s">
        <v>115</v>
      </c>
      <c r="B157" s="135" t="s">
        <v>177</v>
      </c>
      <c r="C157" s="135" t="s">
        <v>53</v>
      </c>
      <c r="D157" s="135" t="s">
        <v>382</v>
      </c>
      <c r="E157" s="135" t="s">
        <v>232</v>
      </c>
      <c r="F157" s="135" t="s">
        <v>54</v>
      </c>
      <c r="G157" s="136" t="s">
        <v>55</v>
      </c>
      <c r="H157" s="118" t="s">
        <v>147</v>
      </c>
      <c r="I157" s="36"/>
      <c r="T157" s="37"/>
    </row>
    <row r="158" spans="1:20" s="37" customFormat="1" x14ac:dyDescent="0.25">
      <c r="A158" s="295"/>
      <c r="B158" s="135"/>
      <c r="C158" s="135"/>
      <c r="D158" s="135"/>
      <c r="E158" s="135"/>
      <c r="F158" s="135"/>
      <c r="G158" s="136"/>
      <c r="H158" s="119">
        <v>0.5</v>
      </c>
      <c r="I158" s="36"/>
    </row>
    <row r="159" spans="1:20" s="95" customFormat="1" ht="15.75" customHeight="1" x14ac:dyDescent="0.25">
      <c r="A159" s="121" t="s">
        <v>377</v>
      </c>
      <c r="B159" s="122"/>
      <c r="C159" s="122"/>
      <c r="D159" s="122"/>
      <c r="E159" s="122"/>
      <c r="F159" s="122"/>
      <c r="G159" s="122"/>
      <c r="H159" s="123"/>
      <c r="J159" s="36"/>
    </row>
    <row r="160" spans="1:20" s="37" customFormat="1" ht="15.75" customHeight="1" x14ac:dyDescent="0.25">
      <c r="A160" s="121" t="s">
        <v>386</v>
      </c>
      <c r="B160" s="122"/>
      <c r="C160" s="122"/>
      <c r="D160" s="122"/>
      <c r="E160" s="122"/>
      <c r="F160" s="122"/>
      <c r="G160" s="122"/>
      <c r="H160" s="123"/>
      <c r="I160" s="37">
        <v>1</v>
      </c>
      <c r="J160" s="36"/>
    </row>
    <row r="161" spans="1:20" s="37" customFormat="1" ht="15.75" customHeight="1" x14ac:dyDescent="0.25">
      <c r="A161" s="130">
        <v>1</v>
      </c>
      <c r="B161" s="131"/>
      <c r="C161" s="42" t="s">
        <v>380</v>
      </c>
      <c r="D161" s="98">
        <f>(37.49)*(10.764)</f>
        <v>403.54235999999997</v>
      </c>
      <c r="E161" s="42">
        <v>0</v>
      </c>
      <c r="F161" s="42">
        <f>D161+E161</f>
        <v>403.54235999999997</v>
      </c>
      <c r="G161" s="52">
        <v>0</v>
      </c>
      <c r="H161" s="52">
        <f>F161*(($H$158)+1)+(IF(G161&lt;101,G161,IF(G161&lt;201,G161/2,IF(G161&lt;=301,G161/3,G161/4))))</f>
        <v>605.31353999999999</v>
      </c>
      <c r="I161" s="36">
        <f>2.75*5.11+1.85*2.45+3.33*3.35+2*1.1+1.1*2+2*0.9</f>
        <v>35.9405</v>
      </c>
      <c r="L161" s="124"/>
      <c r="M161" s="124"/>
      <c r="N161" s="36"/>
    </row>
    <row r="162" spans="1:20" s="95" customFormat="1" ht="15.75" customHeight="1" x14ac:dyDescent="0.25">
      <c r="A162" s="130">
        <v>2</v>
      </c>
      <c r="B162" s="131"/>
      <c r="C162" s="96" t="s">
        <v>381</v>
      </c>
      <c r="D162" s="98">
        <f>(60.1)*(10.764)</f>
        <v>646.91639999999995</v>
      </c>
      <c r="E162" s="96">
        <v>0</v>
      </c>
      <c r="F162" s="96">
        <f>D162+E162</f>
        <v>646.91639999999995</v>
      </c>
      <c r="G162" s="96">
        <v>0</v>
      </c>
      <c r="H162" s="96">
        <f>F162*(($H$158)+1)+(IF(G162&lt;101,G162,IF(G162&lt;201,G162/2,IF(G162&lt;=301,G162/3,G162/4))))</f>
        <v>970.37459999999987</v>
      </c>
      <c r="I162" s="36">
        <f>3.05*5.03+2.4*3.38+3.71*3.23+3.73*3.32+1.2*2.12+1.2*2.12+2.75*0.95+0.85*2.25</f>
        <v>57.433399999999992</v>
      </c>
      <c r="L162" s="124"/>
      <c r="M162" s="124"/>
      <c r="N162" s="36"/>
    </row>
    <row r="163" spans="1:20" s="95" customFormat="1" ht="15.75" customHeight="1" x14ac:dyDescent="0.25">
      <c r="A163" s="130">
        <v>3</v>
      </c>
      <c r="B163" s="131"/>
      <c r="C163" s="130" t="s">
        <v>378</v>
      </c>
      <c r="D163" s="287"/>
      <c r="E163" s="287"/>
      <c r="F163" s="287"/>
      <c r="G163" s="287"/>
      <c r="H163" s="131"/>
      <c r="I163" s="36"/>
      <c r="L163" s="124"/>
      <c r="M163" s="124"/>
      <c r="N163" s="36"/>
    </row>
    <row r="164" spans="1:20" s="95" customFormat="1" ht="15.75" customHeight="1" x14ac:dyDescent="0.25">
      <c r="A164" s="130">
        <v>4</v>
      </c>
      <c r="B164" s="131"/>
      <c r="C164" s="288" t="s">
        <v>379</v>
      </c>
      <c r="D164" s="289"/>
      <c r="E164" s="289"/>
      <c r="F164" s="289"/>
      <c r="G164" s="289"/>
      <c r="H164" s="290"/>
      <c r="I164" s="36"/>
      <c r="L164" s="124"/>
      <c r="M164" s="124"/>
      <c r="N164" s="36"/>
      <c r="T164" s="21"/>
    </row>
    <row r="165" spans="1:20" s="37" customFormat="1" ht="15.75" customHeight="1" x14ac:dyDescent="0.25">
      <c r="A165" s="130">
        <v>5</v>
      </c>
      <c r="B165" s="131"/>
      <c r="C165" s="291"/>
      <c r="D165" s="292"/>
      <c r="E165" s="292"/>
      <c r="F165" s="292"/>
      <c r="G165" s="292"/>
      <c r="H165" s="293"/>
      <c r="I165" s="36"/>
      <c r="J165" s="36">
        <f>10.764</f>
        <v>10.763999999999999</v>
      </c>
      <c r="L165" s="124"/>
      <c r="M165" s="124"/>
      <c r="N165" s="36"/>
    </row>
    <row r="166" spans="1:20" s="37" customFormat="1" ht="15.75" customHeight="1" x14ac:dyDescent="0.25">
      <c r="A166" s="130">
        <v>6</v>
      </c>
      <c r="B166" s="131"/>
      <c r="C166" s="42" t="s">
        <v>381</v>
      </c>
      <c r="D166" s="98">
        <f>(60.1)*(10.764)</f>
        <v>646.91639999999995</v>
      </c>
      <c r="E166" s="42">
        <v>0</v>
      </c>
      <c r="F166" s="52">
        <f>D166+E166</f>
        <v>646.91639999999995</v>
      </c>
      <c r="G166" s="52">
        <v>0</v>
      </c>
      <c r="H166" s="52">
        <f>F166*(($H$158)+1)+(IF(G166&lt;101,G166,IF(G166&lt;201,G166/2,IF(G166&lt;=301,G166/3,G166/4))))</f>
        <v>970.37459999999987</v>
      </c>
      <c r="I166" s="36"/>
      <c r="L166" s="124"/>
      <c r="M166" s="124"/>
      <c r="N166" s="36"/>
    </row>
    <row r="167" spans="1:20" s="37" customFormat="1" ht="15.75" customHeight="1" x14ac:dyDescent="0.25">
      <c r="A167" s="130">
        <v>7</v>
      </c>
      <c r="B167" s="131"/>
      <c r="C167" s="96" t="s">
        <v>380</v>
      </c>
      <c r="D167" s="98">
        <f>(37.49)*(10.764)</f>
        <v>403.54235999999997</v>
      </c>
      <c r="E167" s="42">
        <v>0</v>
      </c>
      <c r="F167" s="52">
        <f>D167+E167</f>
        <v>403.54235999999997</v>
      </c>
      <c r="G167" s="52">
        <v>0</v>
      </c>
      <c r="H167" s="52">
        <f>F167*(($H$158)+1)+(IF(G167&lt;101,G167,IF(G167&lt;201,G167/2,IF(G167&lt;=301,G167/3,G167/4))))</f>
        <v>605.31353999999999</v>
      </c>
      <c r="I167" s="36"/>
      <c r="L167" s="124"/>
      <c r="M167" s="124"/>
      <c r="N167" s="36"/>
      <c r="T167" s="21"/>
    </row>
    <row r="168" spans="1:20" s="37" customFormat="1" x14ac:dyDescent="0.25">
      <c r="A168" s="121" t="s">
        <v>407</v>
      </c>
      <c r="B168" s="122"/>
      <c r="C168" s="122"/>
      <c r="D168" s="122"/>
      <c r="E168" s="122"/>
      <c r="F168" s="122"/>
      <c r="G168" s="122"/>
      <c r="H168" s="123"/>
      <c r="I168" s="36">
        <v>6</v>
      </c>
      <c r="L168" s="124"/>
      <c r="M168" s="124"/>
    </row>
    <row r="169" spans="1:20" s="37" customFormat="1" x14ac:dyDescent="0.25">
      <c r="A169" s="125">
        <v>1</v>
      </c>
      <c r="B169" s="125"/>
      <c r="C169" s="42" t="s">
        <v>380</v>
      </c>
      <c r="D169" s="98">
        <f>(37.49)*(10.764)</f>
        <v>403.54235999999997</v>
      </c>
      <c r="E169" s="52">
        <v>0</v>
      </c>
      <c r="F169" s="52">
        <f t="shared" ref="F169:F175" si="6">D169+E169</f>
        <v>403.54235999999997</v>
      </c>
      <c r="G169" s="52">
        <v>0</v>
      </c>
      <c r="H169" s="52">
        <f t="shared" ref="H169:H175" si="7">F169*(($H$158)+1)+(IF(G169&lt;101,G169,IF(G169&lt;201,G169/2,IF(G169&lt;=301,G169/3,G169/4))))</f>
        <v>605.31353999999999</v>
      </c>
      <c r="I169" s="36"/>
      <c r="J169" s="37">
        <f>17000/1.5</f>
        <v>11333.333333333334</v>
      </c>
      <c r="N169" s="36"/>
    </row>
    <row r="170" spans="1:20" s="37" customFormat="1" x14ac:dyDescent="0.25">
      <c r="A170" s="125">
        <v>2</v>
      </c>
      <c r="B170" s="125"/>
      <c r="C170" s="96" t="s">
        <v>381</v>
      </c>
      <c r="D170" s="98">
        <f>(60.1)*(10.764)</f>
        <v>646.91639999999995</v>
      </c>
      <c r="E170" s="52">
        <v>0</v>
      </c>
      <c r="F170" s="52">
        <f t="shared" si="6"/>
        <v>646.91639999999995</v>
      </c>
      <c r="G170" s="52">
        <v>0</v>
      </c>
      <c r="H170" s="52">
        <f t="shared" si="7"/>
        <v>970.37459999999987</v>
      </c>
      <c r="I170" s="36"/>
      <c r="N170" s="36"/>
    </row>
    <row r="171" spans="1:20" s="37" customFormat="1" x14ac:dyDescent="0.25">
      <c r="A171" s="125">
        <v>3</v>
      </c>
      <c r="B171" s="125"/>
      <c r="C171" s="96" t="s">
        <v>380</v>
      </c>
      <c r="D171" s="98">
        <f>(35.44)*(10.764)</f>
        <v>381.47615999999994</v>
      </c>
      <c r="E171" s="52">
        <v>0</v>
      </c>
      <c r="F171" s="52">
        <f t="shared" si="6"/>
        <v>381.47615999999994</v>
      </c>
      <c r="G171" s="52">
        <v>0</v>
      </c>
      <c r="H171" s="52">
        <f t="shared" si="7"/>
        <v>572.2142399999999</v>
      </c>
      <c r="I171" s="36"/>
      <c r="N171" s="36"/>
    </row>
    <row r="172" spans="1:20" s="95" customFormat="1" x14ac:dyDescent="0.25">
      <c r="A172" s="125">
        <v>4</v>
      </c>
      <c r="B172" s="125"/>
      <c r="C172" s="96" t="s">
        <v>380</v>
      </c>
      <c r="D172" s="98">
        <f>(31.59)*(10.764)</f>
        <v>340.03476000000001</v>
      </c>
      <c r="E172" s="96">
        <v>0</v>
      </c>
      <c r="F172" s="96">
        <f t="shared" si="6"/>
        <v>340.03476000000001</v>
      </c>
      <c r="G172" s="96">
        <v>0</v>
      </c>
      <c r="H172" s="96">
        <f t="shared" si="7"/>
        <v>510.05214000000001</v>
      </c>
      <c r="I172" s="36"/>
      <c r="J172" s="95">
        <f>5484000/H172</f>
        <v>10751.84195874563</v>
      </c>
      <c r="N172" s="36"/>
    </row>
    <row r="173" spans="1:20" s="95" customFormat="1" x14ac:dyDescent="0.25">
      <c r="A173" s="125">
        <v>5</v>
      </c>
      <c r="B173" s="125"/>
      <c r="C173" s="96" t="s">
        <v>380</v>
      </c>
      <c r="D173" s="98">
        <f>(31.59)*(10.764)</f>
        <v>340.03476000000001</v>
      </c>
      <c r="E173" s="96">
        <v>0</v>
      </c>
      <c r="F173" s="96">
        <f t="shared" si="6"/>
        <v>340.03476000000001</v>
      </c>
      <c r="G173" s="96">
        <v>0</v>
      </c>
      <c r="H173" s="96">
        <f t="shared" si="7"/>
        <v>510.05214000000001</v>
      </c>
      <c r="I173" s="36"/>
      <c r="N173" s="36"/>
    </row>
    <row r="174" spans="1:20" s="37" customFormat="1" x14ac:dyDescent="0.25">
      <c r="A174" s="125">
        <v>6</v>
      </c>
      <c r="B174" s="125"/>
      <c r="C174" s="96" t="s">
        <v>381</v>
      </c>
      <c r="D174" s="98">
        <f>(60.1)*(10.764)</f>
        <v>646.91639999999995</v>
      </c>
      <c r="E174" s="52">
        <v>0</v>
      </c>
      <c r="F174" s="52">
        <f t="shared" si="6"/>
        <v>646.91639999999995</v>
      </c>
      <c r="G174" s="52">
        <v>0</v>
      </c>
      <c r="H174" s="52">
        <f t="shared" si="7"/>
        <v>970.37459999999987</v>
      </c>
      <c r="I174" s="36"/>
      <c r="N174" s="36"/>
    </row>
    <row r="175" spans="1:20" s="37" customFormat="1" x14ac:dyDescent="0.25">
      <c r="A175" s="125">
        <v>7</v>
      </c>
      <c r="B175" s="125"/>
      <c r="C175" s="96" t="s">
        <v>380</v>
      </c>
      <c r="D175" s="98">
        <f>(37.49)*(10.764)</f>
        <v>403.54235999999997</v>
      </c>
      <c r="E175" s="52">
        <v>0</v>
      </c>
      <c r="F175" s="52">
        <f t="shared" si="6"/>
        <v>403.54235999999997</v>
      </c>
      <c r="G175" s="52">
        <v>0</v>
      </c>
      <c r="H175" s="52">
        <f t="shared" si="7"/>
        <v>605.31353999999999</v>
      </c>
      <c r="I175" s="36"/>
      <c r="N175" s="36"/>
    </row>
    <row r="176" spans="1:20" s="95" customFormat="1" x14ac:dyDescent="0.25">
      <c r="A176" s="121" t="s">
        <v>408</v>
      </c>
      <c r="B176" s="122"/>
      <c r="C176" s="122"/>
      <c r="D176" s="122"/>
      <c r="E176" s="122"/>
      <c r="F176" s="122"/>
      <c r="G176" s="122"/>
      <c r="H176" s="123"/>
      <c r="I176" s="36">
        <v>8</v>
      </c>
      <c r="L176" s="124"/>
      <c r="M176" s="124"/>
    </row>
    <row r="177" spans="1:14" s="95" customFormat="1" x14ac:dyDescent="0.25">
      <c r="A177" s="125">
        <v>1</v>
      </c>
      <c r="B177" s="125"/>
      <c r="C177" s="101" t="s">
        <v>380</v>
      </c>
      <c r="D177" s="98">
        <f>(37.49)*(10.764)</f>
        <v>403.54235999999997</v>
      </c>
      <c r="E177" s="96">
        <v>0</v>
      </c>
      <c r="F177" s="96">
        <f t="shared" ref="F177:F183" si="8">D177+E177</f>
        <v>403.54235999999997</v>
      </c>
      <c r="G177" s="96">
        <v>0</v>
      </c>
      <c r="H177" s="96">
        <f t="shared" ref="H177:H183" si="9">F177*(($H$158)+1)+(IF(G177&lt;101,G177,IF(G177&lt;201,G177/2,IF(G177&lt;=301,G177/3,G177/4))))</f>
        <v>605.31353999999999</v>
      </c>
      <c r="I177" s="36"/>
      <c r="N177" s="36"/>
    </row>
    <row r="178" spans="1:14" s="95" customFormat="1" x14ac:dyDescent="0.25">
      <c r="A178" s="125">
        <v>2</v>
      </c>
      <c r="B178" s="125"/>
      <c r="C178" s="101" t="s">
        <v>381</v>
      </c>
      <c r="D178" s="98">
        <f>(60.1)*(10.764)</f>
        <v>646.91639999999995</v>
      </c>
      <c r="E178" s="96">
        <v>0</v>
      </c>
      <c r="F178" s="96">
        <f t="shared" si="8"/>
        <v>646.91639999999995</v>
      </c>
      <c r="G178" s="96">
        <v>0</v>
      </c>
      <c r="H178" s="96">
        <f t="shared" si="9"/>
        <v>970.37459999999987</v>
      </c>
      <c r="I178" s="36"/>
      <c r="N178" s="36"/>
    </row>
    <row r="179" spans="1:14" s="95" customFormat="1" x14ac:dyDescent="0.25">
      <c r="A179" s="125">
        <v>3</v>
      </c>
      <c r="B179" s="125"/>
      <c r="C179" s="101" t="s">
        <v>380</v>
      </c>
      <c r="D179" s="98">
        <f>(35.44)*(10.764)</f>
        <v>381.47615999999994</v>
      </c>
      <c r="E179" s="96">
        <v>0</v>
      </c>
      <c r="F179" s="96">
        <f t="shared" si="8"/>
        <v>381.47615999999994</v>
      </c>
      <c r="G179" s="96">
        <v>0</v>
      </c>
      <c r="H179" s="96">
        <f t="shared" si="9"/>
        <v>572.2142399999999</v>
      </c>
      <c r="I179" s="36"/>
      <c r="N179" s="36"/>
    </row>
    <row r="180" spans="1:14" s="95" customFormat="1" x14ac:dyDescent="0.25">
      <c r="A180" s="125">
        <v>4</v>
      </c>
      <c r="B180" s="125"/>
      <c r="C180" s="101" t="s">
        <v>380</v>
      </c>
      <c r="D180" s="98">
        <f>(31.59)*(10.764)</f>
        <v>340.03476000000001</v>
      </c>
      <c r="E180" s="96">
        <v>0</v>
      </c>
      <c r="F180" s="96">
        <f t="shared" si="8"/>
        <v>340.03476000000001</v>
      </c>
      <c r="G180" s="96">
        <v>0</v>
      </c>
      <c r="H180" s="96">
        <f t="shared" si="9"/>
        <v>510.05214000000001</v>
      </c>
      <c r="I180" s="36"/>
      <c r="N180" s="36"/>
    </row>
    <row r="181" spans="1:14" s="95" customFormat="1" x14ac:dyDescent="0.25">
      <c r="A181" s="125">
        <v>5</v>
      </c>
      <c r="B181" s="125"/>
      <c r="C181" s="101" t="s">
        <v>380</v>
      </c>
      <c r="D181" s="98">
        <f>(31.59)*(10.764)</f>
        <v>340.03476000000001</v>
      </c>
      <c r="E181" s="96">
        <v>0</v>
      </c>
      <c r="F181" s="96">
        <f t="shared" si="8"/>
        <v>340.03476000000001</v>
      </c>
      <c r="G181" s="96">
        <v>0</v>
      </c>
      <c r="H181" s="96">
        <f t="shared" si="9"/>
        <v>510.05214000000001</v>
      </c>
      <c r="I181" s="36"/>
      <c r="N181" s="36"/>
    </row>
    <row r="182" spans="1:14" s="95" customFormat="1" x14ac:dyDescent="0.25">
      <c r="A182" s="125">
        <v>6</v>
      </c>
      <c r="B182" s="125"/>
      <c r="C182" s="101" t="s">
        <v>381</v>
      </c>
      <c r="D182" s="98">
        <f>(60.1)*(10.764)</f>
        <v>646.91639999999995</v>
      </c>
      <c r="E182" s="96">
        <v>0</v>
      </c>
      <c r="F182" s="96">
        <f t="shared" si="8"/>
        <v>646.91639999999995</v>
      </c>
      <c r="G182" s="96">
        <v>0</v>
      </c>
      <c r="H182" s="96">
        <f t="shared" si="9"/>
        <v>970.37459999999987</v>
      </c>
      <c r="I182" s="36"/>
      <c r="N182" s="36"/>
    </row>
    <row r="183" spans="1:14" s="95" customFormat="1" x14ac:dyDescent="0.25">
      <c r="A183" s="125">
        <v>7</v>
      </c>
      <c r="B183" s="125"/>
      <c r="C183" s="101" t="s">
        <v>380</v>
      </c>
      <c r="D183" s="98">
        <f>(37.49)*(10.764)</f>
        <v>403.54235999999997</v>
      </c>
      <c r="E183" s="96">
        <v>0</v>
      </c>
      <c r="F183" s="96">
        <f t="shared" si="8"/>
        <v>403.54235999999997</v>
      </c>
      <c r="G183" s="96">
        <v>0</v>
      </c>
      <c r="H183" s="96">
        <f t="shared" si="9"/>
        <v>605.31353999999999</v>
      </c>
      <c r="I183" s="36"/>
      <c r="N183" s="36"/>
    </row>
    <row r="184" spans="1:14" s="95" customFormat="1" x14ac:dyDescent="0.25">
      <c r="A184" s="121" t="s">
        <v>409</v>
      </c>
      <c r="B184" s="122"/>
      <c r="C184" s="122"/>
      <c r="D184" s="122"/>
      <c r="E184" s="122"/>
      <c r="F184" s="122"/>
      <c r="G184" s="122"/>
      <c r="H184" s="123"/>
      <c r="I184" s="36">
        <v>7</v>
      </c>
      <c r="L184" s="124"/>
      <c r="M184" s="124"/>
    </row>
    <row r="185" spans="1:14" s="95" customFormat="1" x14ac:dyDescent="0.25">
      <c r="A185" s="125">
        <v>1</v>
      </c>
      <c r="B185" s="125"/>
      <c r="C185" s="101" t="s">
        <v>380</v>
      </c>
      <c r="D185" s="98">
        <f>(37.49)*(10.764)</f>
        <v>403.54235999999997</v>
      </c>
      <c r="E185" s="96">
        <v>0</v>
      </c>
      <c r="F185" s="96">
        <f t="shared" ref="F185:F191" si="10">D185+E185</f>
        <v>403.54235999999997</v>
      </c>
      <c r="G185" s="96">
        <v>0</v>
      </c>
      <c r="H185" s="96">
        <f t="shared" ref="H185:H191" si="11">F185*(($H$158)+1)+(IF(G185&lt;101,G185,IF(G185&lt;201,G185/2,IF(G185&lt;=301,G185/3,G185/4))))</f>
        <v>605.31353999999999</v>
      </c>
      <c r="I185" s="36"/>
      <c r="N185" s="36"/>
    </row>
    <row r="186" spans="1:14" s="95" customFormat="1" x14ac:dyDescent="0.25">
      <c r="A186" s="125">
        <v>2</v>
      </c>
      <c r="B186" s="125"/>
      <c r="C186" s="101" t="s">
        <v>381</v>
      </c>
      <c r="D186" s="98">
        <f>(60.1)*(10.764)</f>
        <v>646.91639999999995</v>
      </c>
      <c r="E186" s="96">
        <v>0</v>
      </c>
      <c r="F186" s="96">
        <f t="shared" si="10"/>
        <v>646.91639999999995</v>
      </c>
      <c r="G186" s="96">
        <v>0</v>
      </c>
      <c r="H186" s="96">
        <f t="shared" si="11"/>
        <v>970.37459999999987</v>
      </c>
      <c r="I186" s="36"/>
      <c r="N186" s="36"/>
    </row>
    <row r="187" spans="1:14" s="95" customFormat="1" x14ac:dyDescent="0.25">
      <c r="A187" s="125">
        <v>3</v>
      </c>
      <c r="B187" s="125"/>
      <c r="C187" s="101" t="s">
        <v>380</v>
      </c>
      <c r="D187" s="98">
        <f>(35.44)*(10.764)</f>
        <v>381.47615999999994</v>
      </c>
      <c r="E187" s="96">
        <v>0</v>
      </c>
      <c r="F187" s="96">
        <f t="shared" si="10"/>
        <v>381.47615999999994</v>
      </c>
      <c r="G187" s="96">
        <v>0</v>
      </c>
      <c r="H187" s="96">
        <f t="shared" si="11"/>
        <v>572.2142399999999</v>
      </c>
      <c r="I187" s="36"/>
      <c r="N187" s="36"/>
    </row>
    <row r="188" spans="1:14" s="95" customFormat="1" x14ac:dyDescent="0.25">
      <c r="A188" s="125">
        <v>4</v>
      </c>
      <c r="B188" s="125"/>
      <c r="C188" s="101" t="s">
        <v>380</v>
      </c>
      <c r="D188" s="98">
        <f>(31.59)*(10.764)</f>
        <v>340.03476000000001</v>
      </c>
      <c r="E188" s="96">
        <v>0</v>
      </c>
      <c r="F188" s="96">
        <f t="shared" si="10"/>
        <v>340.03476000000001</v>
      </c>
      <c r="G188" s="96">
        <v>0</v>
      </c>
      <c r="H188" s="96">
        <f t="shared" si="11"/>
        <v>510.05214000000001</v>
      </c>
      <c r="I188" s="36"/>
      <c r="N188" s="36"/>
    </row>
    <row r="189" spans="1:14" s="95" customFormat="1" x14ac:dyDescent="0.25">
      <c r="A189" s="125">
        <v>5</v>
      </c>
      <c r="B189" s="125"/>
      <c r="C189" s="101" t="s">
        <v>380</v>
      </c>
      <c r="D189" s="98">
        <f>(31.59)*(10.764)</f>
        <v>340.03476000000001</v>
      </c>
      <c r="E189" s="96">
        <v>0</v>
      </c>
      <c r="F189" s="96">
        <f t="shared" si="10"/>
        <v>340.03476000000001</v>
      </c>
      <c r="G189" s="96">
        <v>0</v>
      </c>
      <c r="H189" s="96">
        <f t="shared" si="11"/>
        <v>510.05214000000001</v>
      </c>
      <c r="I189" s="36"/>
      <c r="N189" s="36"/>
    </row>
    <row r="190" spans="1:14" s="95" customFormat="1" x14ac:dyDescent="0.25">
      <c r="A190" s="125">
        <v>6</v>
      </c>
      <c r="B190" s="125"/>
      <c r="C190" s="101" t="s">
        <v>381</v>
      </c>
      <c r="D190" s="98">
        <f>(60.1)*(10.764)</f>
        <v>646.91639999999995</v>
      </c>
      <c r="E190" s="96">
        <v>0</v>
      </c>
      <c r="F190" s="96">
        <f t="shared" si="10"/>
        <v>646.91639999999995</v>
      </c>
      <c r="G190" s="96">
        <v>0</v>
      </c>
      <c r="H190" s="96">
        <f t="shared" si="11"/>
        <v>970.37459999999987</v>
      </c>
      <c r="I190" s="36"/>
      <c r="N190" s="36"/>
    </row>
    <row r="191" spans="1:14" s="95" customFormat="1" x14ac:dyDescent="0.25">
      <c r="A191" s="125">
        <v>7</v>
      </c>
      <c r="B191" s="125"/>
      <c r="C191" s="101" t="s">
        <v>380</v>
      </c>
      <c r="D191" s="98">
        <f>(37.49)*(10.764)</f>
        <v>403.54235999999997</v>
      </c>
      <c r="E191" s="96">
        <v>0</v>
      </c>
      <c r="F191" s="96">
        <f t="shared" si="10"/>
        <v>403.54235999999997</v>
      </c>
      <c r="G191" s="96">
        <v>0</v>
      </c>
      <c r="H191" s="96">
        <f t="shared" si="11"/>
        <v>605.31353999999999</v>
      </c>
      <c r="I191" s="36"/>
      <c r="N191" s="36"/>
    </row>
    <row r="192" spans="1:14" s="95" customFormat="1" x14ac:dyDescent="0.25">
      <c r="A192" s="129" t="s">
        <v>385</v>
      </c>
      <c r="B192" s="129"/>
      <c r="C192" s="129"/>
      <c r="D192" s="129"/>
      <c r="E192" s="129"/>
      <c r="F192" s="129"/>
      <c r="G192" s="129"/>
      <c r="H192" s="129"/>
      <c r="I192" s="36">
        <v>1</v>
      </c>
      <c r="L192" s="124"/>
      <c r="M192" s="124"/>
    </row>
    <row r="193" spans="1:14" s="95" customFormat="1" x14ac:dyDescent="0.25">
      <c r="A193" s="125">
        <v>1</v>
      </c>
      <c r="B193" s="125"/>
      <c r="C193" s="113" t="s">
        <v>380</v>
      </c>
      <c r="D193" s="98">
        <f>(37.49)*(10.764)</f>
        <v>403.54235999999997</v>
      </c>
      <c r="E193" s="113">
        <v>0</v>
      </c>
      <c r="F193" s="113">
        <f>D193+E193</f>
        <v>403.54235999999997</v>
      </c>
      <c r="G193" s="113">
        <v>0</v>
      </c>
      <c r="H193" s="113">
        <f>F193*(($H$158)+1)+(IF(G193&lt;101,G193,IF(G193&lt;201,G193/2,IF(G193&lt;=301,G193/3,G193/4))))</f>
        <v>605.31353999999999</v>
      </c>
      <c r="I193" s="36">
        <f>2.75*5.11+1.85*2.45+3.33*3.35+2*1.1+1.1*2+2*0.9</f>
        <v>35.9405</v>
      </c>
      <c r="N193" s="36"/>
    </row>
    <row r="194" spans="1:14" s="95" customFormat="1" x14ac:dyDescent="0.25">
      <c r="A194" s="125">
        <v>2</v>
      </c>
      <c r="B194" s="125"/>
      <c r="C194" s="113" t="s">
        <v>381</v>
      </c>
      <c r="D194" s="98">
        <f>(72.14)*(10.764)</f>
        <v>776.51495999999997</v>
      </c>
      <c r="E194" s="113">
        <v>0</v>
      </c>
      <c r="F194" s="113">
        <f>D194+E194</f>
        <v>776.51495999999997</v>
      </c>
      <c r="G194" s="113">
        <v>0</v>
      </c>
      <c r="H194" s="113">
        <f>F194*(($H$158)+1)+(IF(G194&lt;101,G194,IF(G194&lt;201,G194/2,IF(G194&lt;=301,G194/3,G194/4))))</f>
        <v>1164.77244</v>
      </c>
      <c r="I194" s="36">
        <f>3.05*5.03+2.4*3.38+3.71*3.23+3.73*3.32+1.2*2.12+1.2*2.12+2.75*0.95+0.85*2.25+3.05*1.52+6.3*0.92</f>
        <v>67.865399999999994</v>
      </c>
      <c r="N194" s="36"/>
    </row>
    <row r="195" spans="1:14" s="95" customFormat="1" x14ac:dyDescent="0.25">
      <c r="A195" s="125">
        <v>3</v>
      </c>
      <c r="B195" s="125"/>
      <c r="C195" s="125" t="s">
        <v>384</v>
      </c>
      <c r="D195" s="125"/>
      <c r="E195" s="125"/>
      <c r="F195" s="125"/>
      <c r="G195" s="125"/>
      <c r="H195" s="125"/>
      <c r="I195" s="36"/>
      <c r="N195" s="36"/>
    </row>
    <row r="196" spans="1:14" s="95" customFormat="1" x14ac:dyDescent="0.25">
      <c r="A196" s="125">
        <v>4</v>
      </c>
      <c r="B196" s="125"/>
      <c r="C196" s="125"/>
      <c r="D196" s="125"/>
      <c r="E196" s="125"/>
      <c r="F196" s="125"/>
      <c r="G196" s="125"/>
      <c r="H196" s="125"/>
      <c r="I196" s="36"/>
      <c r="N196" s="36"/>
    </row>
    <row r="197" spans="1:14" s="95" customFormat="1" x14ac:dyDescent="0.25">
      <c r="A197" s="125">
        <v>5</v>
      </c>
      <c r="B197" s="125"/>
      <c r="C197" s="125"/>
      <c r="D197" s="125"/>
      <c r="E197" s="125"/>
      <c r="F197" s="125"/>
      <c r="G197" s="125"/>
      <c r="H197" s="125"/>
      <c r="I197" s="36"/>
      <c r="N197" s="36"/>
    </row>
    <row r="198" spans="1:14" s="95" customFormat="1" x14ac:dyDescent="0.25">
      <c r="A198" s="125">
        <v>6</v>
      </c>
      <c r="B198" s="125"/>
      <c r="C198" s="113" t="s">
        <v>381</v>
      </c>
      <c r="D198" s="98">
        <f>(72.14)*(10.764)</f>
        <v>776.51495999999997</v>
      </c>
      <c r="E198" s="113">
        <v>0</v>
      </c>
      <c r="F198" s="113">
        <f>D198+E198</f>
        <v>776.51495999999997</v>
      </c>
      <c r="G198" s="113">
        <v>0</v>
      </c>
      <c r="H198" s="113">
        <f>F198*(($H$158)+1)+(IF(G198&lt;101,G198,IF(G198&lt;201,G198/2,IF(G198&lt;=301,G198/3,G198/4))))</f>
        <v>1164.77244</v>
      </c>
      <c r="I198" s="36"/>
      <c r="N198" s="36"/>
    </row>
    <row r="199" spans="1:14" s="95" customFormat="1" x14ac:dyDescent="0.25">
      <c r="A199" s="125">
        <v>7</v>
      </c>
      <c r="B199" s="125"/>
      <c r="C199" s="113" t="s">
        <v>380</v>
      </c>
      <c r="D199" s="98">
        <f>(37.49)*(10.764)</f>
        <v>403.54235999999997</v>
      </c>
      <c r="E199" s="113">
        <v>0</v>
      </c>
      <c r="F199" s="113">
        <f>D199+E199</f>
        <v>403.54235999999997</v>
      </c>
      <c r="G199" s="113">
        <v>0</v>
      </c>
      <c r="H199" s="113">
        <f>F199*(($H$158)+1)+(IF(G199&lt;101,G199,IF(G199&lt;201,G199/2,IF(G199&lt;=301,G199/3,G199/4))))</f>
        <v>605.31353999999999</v>
      </c>
      <c r="I199" s="36"/>
      <c r="N199" s="36"/>
    </row>
    <row r="200" spans="1:14" s="37" customFormat="1" ht="15.75" hidden="1" customHeight="1" x14ac:dyDescent="0.25">
      <c r="A200" s="129" t="s">
        <v>148</v>
      </c>
      <c r="B200" s="129"/>
      <c r="C200" s="129"/>
      <c r="D200" s="129"/>
      <c r="E200" s="129"/>
      <c r="F200" s="129"/>
      <c r="G200" s="129"/>
      <c r="H200" s="129"/>
      <c r="I200" s="36"/>
    </row>
    <row r="201" spans="1:14" s="37" customFormat="1" ht="15.75" hidden="1" customHeight="1" x14ac:dyDescent="0.25">
      <c r="A201" s="125"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10^ROW(INDIRECT("1:"&amp;LEN((LEFT(A200,SUM(LEN(A200)-LEN(SUBSTITUTE(A200,{"0","1","2"},""))))))))/10))*100+1&amp;""&amp;"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301 ,.., 1501</v>
      </c>
      <c r="B201" s="125"/>
      <c r="C201" s="113"/>
      <c r="D201" s="113"/>
      <c r="E201" s="113">
        <v>0</v>
      </c>
      <c r="F201" s="113">
        <f>D201+E201</f>
        <v>0</v>
      </c>
      <c r="G201" s="113">
        <v>0</v>
      </c>
      <c r="H201" s="113">
        <f>F201*(($H$158)+1)+(IF(G201&lt;101,G201,IF(G201&lt;201,G201/2,IF(G201&lt;=301,G201/3,G201/4))))</f>
        <v>0</v>
      </c>
      <c r="I201" s="36"/>
    </row>
    <row r="202" spans="1:14" s="37" customFormat="1" ht="15.75" hidden="1" customHeight="1" x14ac:dyDescent="0.25">
      <c r="A202" s="125"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302 ,.., 1502</v>
      </c>
      <c r="B202" s="125"/>
      <c r="C202" s="113"/>
      <c r="D202" s="113"/>
      <c r="E202" s="113">
        <v>0</v>
      </c>
      <c r="F202" s="113">
        <f>D202+E202</f>
        <v>0</v>
      </c>
      <c r="G202" s="113">
        <v>0</v>
      </c>
      <c r="H202" s="113">
        <f>F202*(($H$158)+1)+(IF(G202&lt;101,G202,IF(G202&lt;201,G202/2,IF(G202&lt;=301,G202/3,G202/4))))</f>
        <v>0</v>
      </c>
      <c r="I202" s="36"/>
    </row>
    <row r="203" spans="1:14" s="37" customFormat="1" ht="15.75" hidden="1" customHeight="1" x14ac:dyDescent="0.25">
      <c r="A203" s="125"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303 ,.., 1503</v>
      </c>
      <c r="B203" s="125"/>
      <c r="C203" s="113"/>
      <c r="D203" s="113"/>
      <c r="E203" s="113">
        <v>0</v>
      </c>
      <c r="F203" s="113">
        <f>D203+E203</f>
        <v>0</v>
      </c>
      <c r="G203" s="113">
        <v>0</v>
      </c>
      <c r="H203" s="113">
        <f>F203*(($H$158)+1)+(IF(G203&lt;101,G203,IF(G203&lt;201,G203/2,IF(G203&lt;=301,G203/3,G203/4))))</f>
        <v>0</v>
      </c>
      <c r="I203" s="36"/>
    </row>
    <row r="204" spans="1:14" s="37" customFormat="1" ht="15.75" hidden="1" customHeight="1" x14ac:dyDescent="0.25">
      <c r="A204" s="125"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304 ,.., 1504</v>
      </c>
      <c r="B204" s="125"/>
      <c r="C204" s="113"/>
      <c r="D204" s="113"/>
      <c r="E204" s="113">
        <v>0</v>
      </c>
      <c r="F204" s="113">
        <f>D204+E204</f>
        <v>0</v>
      </c>
      <c r="G204" s="113">
        <v>0</v>
      </c>
      <c r="H204" s="113">
        <f>F204*(($H$158)+1)+(IF(G204&lt;101,G204,IF(G204&lt;201,G204/2,IF(G204&lt;=301,G204/3,G204/4))))</f>
        <v>0</v>
      </c>
      <c r="I204" s="36"/>
    </row>
    <row r="205" spans="1:14" s="37" customFormat="1" ht="15.75" hidden="1" customHeight="1" x14ac:dyDescent="0.25">
      <c r="A205" s="125"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305 ,.., 1505</v>
      </c>
      <c r="B205" s="125"/>
      <c r="C205" s="113"/>
      <c r="D205" s="113"/>
      <c r="E205" s="113">
        <v>0</v>
      </c>
      <c r="F205" s="113">
        <f>D205+E205</f>
        <v>0</v>
      </c>
      <c r="G205" s="113">
        <v>0</v>
      </c>
      <c r="H205" s="113">
        <f>F205*(($H$158)+1)+(IF(G205&lt;101,G205,IF(G205&lt;201,G205/2,IF(G205&lt;=301,G205/3,G205/4))))</f>
        <v>0</v>
      </c>
      <c r="I205" s="36"/>
    </row>
    <row r="206" spans="1:14" s="37" customFormat="1" ht="15.75" hidden="1" customHeight="1" x14ac:dyDescent="0.25">
      <c r="A206" s="129" t="s">
        <v>142</v>
      </c>
      <c r="B206" s="129"/>
      <c r="C206" s="129"/>
      <c r="D206" s="129"/>
      <c r="E206" s="129"/>
      <c r="F206" s="129"/>
      <c r="G206" s="129"/>
      <c r="H206" s="129"/>
      <c r="I206" s="36"/>
    </row>
    <row r="207" spans="1:14" s="37" customFormat="1" ht="15.75" hidden="1" customHeight="1" x14ac:dyDescent="0.25">
      <c r="A207" s="125"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10^ROW(INDIRECT("1:"&amp;LEN((LEFT(A206,SUM(LEN(A206)-LEN(SUBSTITUTE(A206,{"0","1","2"},""))))))))/10))*100+1&amp;""&amp;"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",LEN(A206))),LEN(A206)))))))/10))*100+1</f>
        <v>201 to 501</v>
      </c>
      <c r="B207" s="125"/>
      <c r="C207" s="113"/>
      <c r="D207" s="113"/>
      <c r="E207" s="113">
        <v>0</v>
      </c>
      <c r="F207" s="113">
        <f>D207+E207</f>
        <v>0</v>
      </c>
      <c r="G207" s="113">
        <v>0</v>
      </c>
      <c r="H207" s="113">
        <f>F207*(($H$158)+1)+(IF(G207&lt;101,G207,IF(G207&lt;201,G207/2,IF(G207&lt;=301,G207/3,G207/4))))</f>
        <v>0</v>
      </c>
      <c r="I207" s="36"/>
    </row>
    <row r="208" spans="1:14" s="37" customFormat="1" ht="15.75" hidden="1" customHeight="1" x14ac:dyDescent="0.25">
      <c r="A208" s="125"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202 to 502</v>
      </c>
      <c r="B208" s="125"/>
      <c r="C208" s="113"/>
      <c r="D208" s="113"/>
      <c r="E208" s="113">
        <v>0</v>
      </c>
      <c r="F208" s="113">
        <f>D208+E208</f>
        <v>0</v>
      </c>
      <c r="G208" s="113">
        <v>0</v>
      </c>
      <c r="H208" s="113">
        <f>F208*(($H$158)+1)+(IF(G208&lt;101,G208,IF(G208&lt;201,G208/2,IF(G208&lt;=301,G208/3,G208/4))))</f>
        <v>0</v>
      </c>
      <c r="I208" s="36"/>
    </row>
    <row r="209" spans="1:20" s="37" customFormat="1" ht="15.75" hidden="1" customHeight="1" x14ac:dyDescent="0.25">
      <c r="A209" s="125"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to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203 to 503</v>
      </c>
      <c r="B209" s="125"/>
      <c r="C209" s="113"/>
      <c r="D209" s="113"/>
      <c r="E209" s="113">
        <v>0</v>
      </c>
      <c r="F209" s="113">
        <f>D209+E209</f>
        <v>0</v>
      </c>
      <c r="G209" s="113">
        <v>0</v>
      </c>
      <c r="H209" s="113">
        <f>F209*(($H$158)+1)+(IF(G209&lt;101,G209,IF(G209&lt;201,G209/2,IF(G209&lt;=301,G209/3,G209/4))))</f>
        <v>0</v>
      </c>
      <c r="I209" s="36"/>
    </row>
    <row r="210" spans="1:20" s="37" customFormat="1" ht="15.75" hidden="1" customHeight="1" x14ac:dyDescent="0.25">
      <c r="A210" s="125"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to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204 to 504</v>
      </c>
      <c r="B210" s="125"/>
      <c r="C210" s="113"/>
      <c r="D210" s="113"/>
      <c r="E210" s="113">
        <v>0</v>
      </c>
      <c r="F210" s="113">
        <f>D210+E210</f>
        <v>0</v>
      </c>
      <c r="G210" s="113">
        <v>0</v>
      </c>
      <c r="H210" s="113">
        <f>F210*(($H$158)+1)+(IF(G210&lt;101,G210,IF(G210&lt;201,G210/2,IF(G210&lt;=301,G210/3,G210/4))))</f>
        <v>0</v>
      </c>
      <c r="I210" s="36"/>
    </row>
    <row r="211" spans="1:20" s="37" customFormat="1" ht="15.75" hidden="1" customHeight="1" x14ac:dyDescent="0.25">
      <c r="A211" s="125"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to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205 to 505</v>
      </c>
      <c r="B211" s="125"/>
      <c r="C211" s="113"/>
      <c r="D211" s="113"/>
      <c r="E211" s="113">
        <v>0</v>
      </c>
      <c r="F211" s="113">
        <f>D211+E211</f>
        <v>0</v>
      </c>
      <c r="G211" s="113">
        <v>0</v>
      </c>
      <c r="H211" s="113">
        <f>F211*(($H$158)+1)+(IF(G211&lt;101,G211,IF(G211&lt;201,G211/2,IF(G211&lt;=301,G211/3,G211/4))))</f>
        <v>0</v>
      </c>
      <c r="I211" s="36"/>
    </row>
    <row r="212" spans="1:20" s="37" customFormat="1" ht="15.75" hidden="1" customHeight="1" x14ac:dyDescent="0.25">
      <c r="A212" s="129" t="s">
        <v>143</v>
      </c>
      <c r="B212" s="129"/>
      <c r="C212" s="129"/>
      <c r="D212" s="129"/>
      <c r="E212" s="129"/>
      <c r="F212" s="129"/>
      <c r="G212" s="129"/>
      <c r="H212" s="129"/>
      <c r="I212" s="36"/>
    </row>
    <row r="213" spans="1:20" s="37" customFormat="1" ht="15.75" hidden="1" customHeight="1" x14ac:dyDescent="0.25">
      <c r="A213" s="125"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10^ROW(INDIRECT("1:"&amp;LEN((LEFT(A212,SUM(LEN(A212)-LEN(SUBSTITUTE(A212,{"0","1","2"},""))))))))/10))*100+1&amp;""&amp;"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",LEN(A212))),LEN(A212)))))))/10))*100+1</f>
        <v>201 &amp; 501</v>
      </c>
      <c r="B213" s="125"/>
      <c r="C213" s="113"/>
      <c r="D213" s="113"/>
      <c r="E213" s="113">
        <v>0</v>
      </c>
      <c r="F213" s="113">
        <f>D213+E213</f>
        <v>0</v>
      </c>
      <c r="G213" s="113">
        <v>0</v>
      </c>
      <c r="H213" s="113">
        <f>F213*(($H$158)+1)+(IF(G213&lt;101,G213,IF(G213&lt;201,G213/2,IF(G213&lt;=301,G213/3,G213/4))))</f>
        <v>0</v>
      </c>
      <c r="I213" s="36"/>
    </row>
    <row r="214" spans="1:20" s="37" customFormat="1" ht="15.75" hidden="1" customHeight="1" x14ac:dyDescent="0.25">
      <c r="A214" s="125"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202 &amp; 502</v>
      </c>
      <c r="B214" s="125"/>
      <c r="C214" s="113"/>
      <c r="D214" s="113"/>
      <c r="E214" s="113">
        <v>0</v>
      </c>
      <c r="F214" s="113">
        <f>D214+E214</f>
        <v>0</v>
      </c>
      <c r="G214" s="113">
        <v>0</v>
      </c>
      <c r="H214" s="113">
        <f>F214*(($H$158)+1)+(IF(G214&lt;101,G214,IF(G214&lt;201,G214/2,IF(G214&lt;=301,G214/3,G214/4))))</f>
        <v>0</v>
      </c>
      <c r="I214" s="36"/>
    </row>
    <row r="215" spans="1:20" s="37" customFormat="1" ht="15.75" hidden="1" customHeight="1" x14ac:dyDescent="0.25">
      <c r="A215" s="125"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&amp;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203 &amp; 503</v>
      </c>
      <c r="B215" s="125"/>
      <c r="C215" s="113"/>
      <c r="D215" s="113"/>
      <c r="E215" s="113">
        <v>0</v>
      </c>
      <c r="F215" s="113">
        <f>D215+E215</f>
        <v>0</v>
      </c>
      <c r="G215" s="113">
        <v>0</v>
      </c>
      <c r="H215" s="113">
        <f>F215*(($H$158)+1)+(IF(G215&lt;101,G215,IF(G215&lt;201,G215/2,IF(G215&lt;=301,G215/3,G215/4))))</f>
        <v>0</v>
      </c>
      <c r="I215" s="36"/>
    </row>
    <row r="216" spans="1:20" s="37" customFormat="1" ht="15.75" hidden="1" customHeight="1" x14ac:dyDescent="0.25">
      <c r="A216" s="125" t="str">
        <f ca="1">(SUMPRODUCT(MID(0&amp;(LEFT(A215,SUM(LEN(A215)-LEN(SUBSTITUTE(A215,{"0","1","2"},""))))), LARGE(INDEX(ISNUMBER(--MID((LEFT(A215,SUM(LEN(A215)-LEN(SUBSTITUTE(A215,{"0","1","2"},""))))), ROW(INDIRECT("1:"&amp;LEN((LEFT(A215,SUM(LEN(A215)-LEN(SUBSTITUTE(A215,{"0","1","2"},"")))))))), 1)) * ROW(INDIRECT("1:"&amp;LEN((LEFT(A215,SUM(LEN(A215)-LEN(SUBSTITUTE(A215,{"0","1","2"},"")))))))), 0), ROW(INDIRECT("1:"&amp;LEN((LEFT(A215,SUM(LEN(A215)-LEN(SUBSTITUTE(A215,{"0","1","2"},"")))))))))+1, 1) * 10^ROW(INDIRECT("1:"&amp;LEN((LEFT(A215,SUM(LEN(A215)-LEN(SUBSTITUTE(A215,{"0","1","2"},""))))))))/10))*1+1&amp;""&amp;" &amp; "&amp;""&amp;(SUMPRODUCT(MID(0&amp;(--TRIM(RIGHT(SUBSTITUTE(LEFT(A215,_xlfn.AGGREGATE(16,6,FIND({0,1,2,3,4,5,6,7,8,9},A215,ROW(INDIRECT("1:"&amp;LEN(A215)))),1)),"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",LEN(A215))),LEN(A215)))))))/10))*1+1</f>
        <v>204 &amp; 504</v>
      </c>
      <c r="B216" s="125"/>
      <c r="C216" s="113"/>
      <c r="D216" s="113"/>
      <c r="E216" s="113">
        <v>0</v>
      </c>
      <c r="F216" s="113">
        <f>D216+E216</f>
        <v>0</v>
      </c>
      <c r="G216" s="113">
        <v>0</v>
      </c>
      <c r="H216" s="113">
        <f>F216*(($H$158)+1)+(IF(G216&lt;101,G216,IF(G216&lt;201,G216/2,IF(G216&lt;=301,G216/3,G216/4))))</f>
        <v>0</v>
      </c>
      <c r="I216" s="36"/>
    </row>
    <row r="217" spans="1:20" s="37" customFormat="1" ht="15.75" hidden="1" customHeight="1" x14ac:dyDescent="0.25">
      <c r="A217" s="125"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10^ROW(INDIRECT("1:"&amp;LEN((LEFT(A216,SUM(LEN(A216)-LEN(SUBSTITUTE(A216,{"0","1","2"},""))))))))/10))*1+1&amp;""&amp;" &amp;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",LEN(A216))),LEN(A216)))))))/10))*1+1</f>
        <v>205 &amp; 505</v>
      </c>
      <c r="B217" s="125"/>
      <c r="C217" s="113"/>
      <c r="D217" s="113"/>
      <c r="E217" s="113">
        <v>0</v>
      </c>
      <c r="F217" s="113">
        <f>D217+E217</f>
        <v>0</v>
      </c>
      <c r="G217" s="113">
        <v>0</v>
      </c>
      <c r="H217" s="113">
        <f>F217*(($H$158)+1)+(IF(G217&lt;101,G217,IF(G217&lt;201,G217/2,IF(G217&lt;=301,G217/3,G217/4))))</f>
        <v>0</v>
      </c>
      <c r="I217" s="36"/>
    </row>
    <row r="218" spans="1:20" s="35" customFormat="1" x14ac:dyDescent="0.25">
      <c r="A218" s="299" t="s">
        <v>63</v>
      </c>
      <c r="B218" s="299"/>
      <c r="C218" s="299"/>
      <c r="D218" s="299"/>
      <c r="E218" s="299"/>
      <c r="F218" s="299"/>
      <c r="G218" s="299"/>
      <c r="H218" s="299"/>
      <c r="T218" s="37"/>
    </row>
    <row r="219" spans="1:20" s="35" customFormat="1" x14ac:dyDescent="0.25">
      <c r="A219" s="114">
        <v>1</v>
      </c>
      <c r="B219" s="298" t="s">
        <v>438</v>
      </c>
      <c r="C219" s="298"/>
      <c r="D219" s="298"/>
      <c r="E219" s="298"/>
      <c r="F219" s="298"/>
      <c r="G219" s="298"/>
      <c r="H219" s="298"/>
      <c r="T219" s="37"/>
    </row>
    <row r="220" spans="1:20" s="35" customFormat="1" ht="15.75" customHeight="1" x14ac:dyDescent="0.25">
      <c r="A220" s="111">
        <f>A219+1</f>
        <v>2</v>
      </c>
      <c r="B220" s="298" t="str">
        <f>(IF(H157="Saleable area Loading :","We have considered Saleable area of Flats as per our Calculation.","We considered Saleable area of Flat as per Builder area Sheet."))</f>
        <v>We have considered Saleable area of Flats as per our Calculation.</v>
      </c>
      <c r="C220" s="298"/>
      <c r="D220" s="298"/>
      <c r="E220" s="298"/>
      <c r="F220" s="298"/>
      <c r="G220" s="298"/>
      <c r="H220" s="298"/>
      <c r="T220" s="37"/>
    </row>
    <row r="221" spans="1:20" s="35" customFormat="1" ht="15.75" customHeight="1" x14ac:dyDescent="0.25">
      <c r="A221" s="108">
        <f t="shared" ref="A221:A236" si="12">A220+1</f>
        <v>3</v>
      </c>
      <c r="B221" s="126" t="str">
        <f>(IF(H142="Saleable area Loading :","We have considered Saleable area of Commercial as per our Calculation.","We considered Saleable area of Commercial as per Builder area Sheet."))</f>
        <v>We have considered Saleable area of Commercial as per our Calculation.</v>
      </c>
      <c r="C221" s="127"/>
      <c r="D221" s="127"/>
      <c r="E221" s="127"/>
      <c r="F221" s="127"/>
      <c r="G221" s="127"/>
      <c r="H221" s="128"/>
      <c r="T221" s="37"/>
    </row>
    <row r="222" spans="1:20" s="35" customFormat="1" ht="15.75" customHeight="1" x14ac:dyDescent="0.25">
      <c r="A222" s="108">
        <f t="shared" si="12"/>
        <v>4</v>
      </c>
      <c r="B222" s="146" t="s">
        <v>119</v>
      </c>
      <c r="C222" s="147"/>
      <c r="D222" s="147"/>
      <c r="E222" s="147"/>
      <c r="F222" s="147"/>
      <c r="G222" s="147"/>
      <c r="H222" s="148"/>
      <c r="T222" s="37"/>
    </row>
    <row r="223" spans="1:20" s="35" customFormat="1" x14ac:dyDescent="0.25">
      <c r="A223" s="108">
        <f t="shared" si="12"/>
        <v>5</v>
      </c>
      <c r="B223" s="126" t="s">
        <v>410</v>
      </c>
      <c r="C223" s="127"/>
      <c r="D223" s="127"/>
      <c r="E223" s="127"/>
      <c r="F223" s="127"/>
      <c r="G223" s="127"/>
      <c r="H223" s="128"/>
      <c r="T223" s="37"/>
    </row>
    <row r="224" spans="1:20" s="35" customFormat="1" ht="15.75" customHeight="1" x14ac:dyDescent="0.25">
      <c r="A224" s="108">
        <f t="shared" si="12"/>
        <v>6</v>
      </c>
      <c r="B224" s="146" t="s">
        <v>151</v>
      </c>
      <c r="C224" s="147"/>
      <c r="D224" s="147"/>
      <c r="E224" s="147"/>
      <c r="F224" s="147"/>
      <c r="G224" s="147"/>
      <c r="H224" s="148"/>
    </row>
    <row r="225" spans="1:20" s="35" customFormat="1" ht="15.75" customHeight="1" x14ac:dyDescent="0.25">
      <c r="A225" s="108">
        <f t="shared" si="12"/>
        <v>7</v>
      </c>
      <c r="B225" s="146" t="s">
        <v>120</v>
      </c>
      <c r="C225" s="147"/>
      <c r="D225" s="147"/>
      <c r="E225" s="147"/>
      <c r="F225" s="147"/>
      <c r="G225" s="147"/>
      <c r="H225" s="148"/>
    </row>
    <row r="226" spans="1:20" s="35" customFormat="1" ht="34.5" customHeight="1" x14ac:dyDescent="0.25">
      <c r="A226" s="108">
        <f t="shared" si="12"/>
        <v>8</v>
      </c>
      <c r="B226" s="126" t="s">
        <v>152</v>
      </c>
      <c r="C226" s="127"/>
      <c r="D226" s="127"/>
      <c r="E226" s="127"/>
      <c r="F226" s="127"/>
      <c r="G226" s="127"/>
      <c r="H226" s="128"/>
    </row>
    <row r="227" spans="1:20" s="35" customFormat="1" ht="15.75" customHeight="1" x14ac:dyDescent="0.25">
      <c r="A227" s="108">
        <f t="shared" si="12"/>
        <v>9</v>
      </c>
      <c r="B227" s="146" t="s">
        <v>121</v>
      </c>
      <c r="C227" s="147"/>
      <c r="D227" s="147"/>
      <c r="E227" s="147"/>
      <c r="F227" s="147"/>
      <c r="G227" s="147"/>
      <c r="H227" s="148"/>
    </row>
    <row r="228" spans="1:20" s="35" customFormat="1" ht="32.25" customHeight="1" x14ac:dyDescent="0.25">
      <c r="A228" s="108">
        <f>A227+1</f>
        <v>10</v>
      </c>
      <c r="B228" s="126" t="s">
        <v>178</v>
      </c>
      <c r="C228" s="127"/>
      <c r="D228" s="127"/>
      <c r="E228" s="127"/>
      <c r="F228" s="127"/>
      <c r="G228" s="127"/>
      <c r="H228" s="128"/>
    </row>
    <row r="229" spans="1:20" s="35" customFormat="1" ht="15.75" customHeight="1" x14ac:dyDescent="0.25">
      <c r="A229" s="108">
        <f t="shared" si="12"/>
        <v>11</v>
      </c>
      <c r="B229" s="126" t="s">
        <v>426</v>
      </c>
      <c r="C229" s="127"/>
      <c r="D229" s="127"/>
      <c r="E229" s="127"/>
      <c r="F229" s="127"/>
      <c r="G229" s="127"/>
      <c r="H229" s="128"/>
    </row>
    <row r="230" spans="1:20" s="35" customFormat="1" ht="15.75" customHeight="1" x14ac:dyDescent="0.25">
      <c r="A230" s="108">
        <f t="shared" si="12"/>
        <v>12</v>
      </c>
      <c r="B230" s="126" t="s">
        <v>419</v>
      </c>
      <c r="C230" s="127"/>
      <c r="D230" s="127"/>
      <c r="E230" s="127"/>
      <c r="F230" s="127"/>
      <c r="G230" s="127"/>
      <c r="H230" s="128"/>
    </row>
    <row r="231" spans="1:20" s="35" customFormat="1" ht="15.75" customHeight="1" x14ac:dyDescent="0.25">
      <c r="A231" s="108">
        <f t="shared" si="12"/>
        <v>13</v>
      </c>
      <c r="B231" s="126" t="s">
        <v>425</v>
      </c>
      <c r="C231" s="127"/>
      <c r="D231" s="127"/>
      <c r="E231" s="127"/>
      <c r="F231" s="127"/>
      <c r="G231" s="127"/>
      <c r="H231" s="128"/>
    </row>
    <row r="232" spans="1:20" s="35" customFormat="1" x14ac:dyDescent="0.25">
      <c r="A232" s="108">
        <f t="shared" si="12"/>
        <v>14</v>
      </c>
      <c r="B232" s="126" t="s">
        <v>430</v>
      </c>
      <c r="C232" s="127"/>
      <c r="D232" s="127"/>
      <c r="E232" s="127"/>
      <c r="F232" s="127"/>
      <c r="G232" s="127"/>
      <c r="H232" s="128"/>
    </row>
    <row r="233" spans="1:20" s="35" customFormat="1" ht="83.25" customHeight="1" x14ac:dyDescent="0.25">
      <c r="A233" s="110">
        <f t="shared" si="12"/>
        <v>15</v>
      </c>
      <c r="B233" s="126" t="s">
        <v>429</v>
      </c>
      <c r="C233" s="127"/>
      <c r="D233" s="127"/>
      <c r="E233" s="127"/>
      <c r="F233" s="127"/>
      <c r="G233" s="127"/>
      <c r="H233" s="128"/>
      <c r="I233" s="126" t="s">
        <v>427</v>
      </c>
      <c r="J233" s="127"/>
      <c r="K233" s="127"/>
      <c r="L233" s="127"/>
      <c r="M233" s="127"/>
      <c r="N233" s="127"/>
      <c r="O233" s="128"/>
    </row>
    <row r="234" spans="1:20" s="35" customFormat="1" ht="84.95" customHeight="1" x14ac:dyDescent="0.25">
      <c r="A234" s="120">
        <f t="shared" si="12"/>
        <v>16</v>
      </c>
      <c r="B234" s="126" t="s">
        <v>431</v>
      </c>
      <c r="C234" s="127"/>
      <c r="D234" s="127"/>
      <c r="E234" s="127"/>
      <c r="F234" s="127"/>
      <c r="G234" s="127"/>
      <c r="H234" s="128"/>
    </row>
    <row r="235" spans="1:20" s="35" customFormat="1" x14ac:dyDescent="0.25">
      <c r="A235" s="120">
        <f t="shared" si="12"/>
        <v>17</v>
      </c>
      <c r="B235" s="126" t="s">
        <v>436</v>
      </c>
      <c r="C235" s="127"/>
      <c r="D235" s="127"/>
      <c r="E235" s="127"/>
      <c r="F235" s="127"/>
      <c r="G235" s="127"/>
      <c r="H235" s="128"/>
    </row>
    <row r="236" spans="1:20" s="35" customFormat="1" ht="15.75" hidden="1" customHeight="1" x14ac:dyDescent="0.25">
      <c r="A236" s="114">
        <f t="shared" si="12"/>
        <v>18</v>
      </c>
      <c r="B236" s="126" t="s">
        <v>434</v>
      </c>
      <c r="C236" s="127"/>
      <c r="D236" s="127"/>
      <c r="E236" s="127"/>
      <c r="F236" s="127"/>
      <c r="G236" s="127"/>
      <c r="H236" s="128"/>
    </row>
    <row r="237" spans="1:20" x14ac:dyDescent="0.25">
      <c r="A237" s="284" t="s">
        <v>56</v>
      </c>
      <c r="B237" s="285"/>
      <c r="C237" s="285"/>
      <c r="D237" s="285"/>
      <c r="E237" s="285"/>
      <c r="F237" s="285"/>
      <c r="G237" s="285"/>
      <c r="H237" s="286"/>
      <c r="T237" s="35"/>
    </row>
    <row r="238" spans="1:20" x14ac:dyDescent="0.25">
      <c r="A238" s="278" t="s">
        <v>57</v>
      </c>
      <c r="B238" s="279"/>
      <c r="C238" s="279"/>
      <c r="D238" s="279"/>
      <c r="E238" s="279"/>
      <c r="F238" s="279"/>
      <c r="G238" s="279"/>
      <c r="H238" s="280"/>
      <c r="T238" s="35"/>
    </row>
    <row r="239" spans="1:20" ht="15.75" customHeight="1" x14ac:dyDescent="0.25">
      <c r="A239" s="300" t="s">
        <v>58</v>
      </c>
      <c r="B239" s="301"/>
      <c r="C239" s="301"/>
      <c r="D239" s="301"/>
      <c r="E239" s="301"/>
      <c r="F239" s="301"/>
      <c r="G239" s="301"/>
      <c r="H239" s="302"/>
      <c r="T239" s="35"/>
    </row>
    <row r="240" spans="1:20" x14ac:dyDescent="0.25">
      <c r="A240" s="278" t="s">
        <v>59</v>
      </c>
      <c r="B240" s="279"/>
      <c r="C240" s="279"/>
      <c r="D240" s="279"/>
      <c r="E240" s="279"/>
      <c r="F240" s="279"/>
      <c r="G240" s="279"/>
      <c r="H240" s="280"/>
      <c r="T240" s="35"/>
    </row>
    <row r="241" spans="1:20" x14ac:dyDescent="0.25">
      <c r="A241" s="278" t="s">
        <v>60</v>
      </c>
      <c r="B241" s="279"/>
      <c r="C241" s="279"/>
      <c r="D241" s="279"/>
      <c r="E241" s="279"/>
      <c r="F241" s="279"/>
      <c r="G241" s="279"/>
      <c r="H241" s="280"/>
      <c r="T241" s="35"/>
    </row>
    <row r="242" spans="1:20" x14ac:dyDescent="0.25">
      <c r="A242" s="278" t="s">
        <v>122</v>
      </c>
      <c r="B242" s="279"/>
      <c r="C242" s="279"/>
      <c r="D242" s="279"/>
      <c r="E242" s="279"/>
      <c r="F242" s="279"/>
      <c r="G242" s="279"/>
      <c r="H242" s="280"/>
      <c r="T242" s="35"/>
    </row>
    <row r="243" spans="1:20" ht="33.950000000000003" customHeight="1" x14ac:dyDescent="0.25">
      <c r="A243" s="218" t="s">
        <v>123</v>
      </c>
      <c r="B243" s="219"/>
      <c r="C243" s="219"/>
      <c r="D243" s="219"/>
      <c r="E243" s="219"/>
      <c r="F243" s="219"/>
      <c r="G243" s="219"/>
      <c r="H243" s="220"/>
    </row>
    <row r="244" spans="1:20" x14ac:dyDescent="0.25">
      <c r="A244" s="271" t="s">
        <v>72</v>
      </c>
      <c r="B244" s="271"/>
      <c r="C244" s="272" t="s">
        <v>437</v>
      </c>
      <c r="D244" s="273"/>
      <c r="E244" s="271" t="s">
        <v>102</v>
      </c>
      <c r="F244" s="271"/>
      <c r="G244" s="271" t="s">
        <v>435</v>
      </c>
      <c r="H244" s="271"/>
    </row>
    <row r="245" spans="1:20" ht="15.75" customHeight="1" x14ac:dyDescent="0.25">
      <c r="A245" s="137" t="s">
        <v>74</v>
      </c>
      <c r="B245" s="138"/>
      <c r="C245" s="138"/>
      <c r="D245" s="138"/>
      <c r="E245" s="138"/>
      <c r="F245" s="138"/>
      <c r="G245" s="138"/>
      <c r="H245" s="139"/>
    </row>
    <row r="246" spans="1:20" x14ac:dyDescent="0.25">
      <c r="A246" s="140"/>
      <c r="B246" s="141"/>
      <c r="C246" s="141"/>
      <c r="D246" s="141"/>
      <c r="E246" s="141"/>
      <c r="F246" s="141"/>
      <c r="G246" s="141"/>
      <c r="H246" s="142"/>
    </row>
    <row r="247" spans="1:20" x14ac:dyDescent="0.25">
      <c r="A247" s="140"/>
      <c r="B247" s="141"/>
      <c r="C247" s="141"/>
      <c r="D247" s="141"/>
      <c r="E247" s="141"/>
      <c r="F247" s="141"/>
      <c r="G247" s="141"/>
      <c r="H247" s="142"/>
    </row>
    <row r="248" spans="1:20" x14ac:dyDescent="0.25">
      <c r="A248" s="143"/>
      <c r="B248" s="144"/>
      <c r="C248" s="144"/>
      <c r="D248" s="144"/>
      <c r="E248" s="144"/>
      <c r="F248" s="144"/>
      <c r="G248" s="144"/>
      <c r="H248" s="145"/>
    </row>
    <row r="249" spans="1:20" x14ac:dyDescent="0.25">
      <c r="A249" s="38" t="s">
        <v>61</v>
      </c>
      <c r="B249" s="39"/>
      <c r="C249" s="39"/>
      <c r="D249" s="38" t="str">
        <f>E9</f>
        <v>Unique Platinum</v>
      </c>
      <c r="F249" s="39"/>
      <c r="G249" s="39"/>
      <c r="H249" s="39"/>
    </row>
    <row r="250" spans="1:20" x14ac:dyDescent="0.25">
      <c r="A250" s="39"/>
      <c r="B250" s="39"/>
      <c r="C250" s="39"/>
      <c r="D250" s="39"/>
      <c r="E250" s="39"/>
      <c r="F250" s="39"/>
      <c r="G250" s="39"/>
      <c r="H250" s="39"/>
    </row>
    <row r="251" spans="1:20" x14ac:dyDescent="0.25">
      <c r="A251" s="39"/>
      <c r="B251" s="39"/>
      <c r="C251" s="39"/>
      <c r="D251" s="39"/>
      <c r="E251" s="39"/>
      <c r="F251" s="39"/>
      <c r="G251" s="39"/>
      <c r="H251" s="39"/>
    </row>
    <row r="252" spans="1:20" ht="15" customHeight="1" x14ac:dyDescent="0.25"/>
    <row r="292" spans="1:1" x14ac:dyDescent="0.25">
      <c r="A292" s="41" t="s">
        <v>162</v>
      </c>
    </row>
    <row r="334" spans="1:1" x14ac:dyDescent="0.25">
      <c r="A334" s="41" t="s">
        <v>428</v>
      </c>
    </row>
    <row r="345" spans="9:10" ht="18.75" x14ac:dyDescent="0.25">
      <c r="J345" s="99"/>
    </row>
    <row r="346" spans="9:10" ht="18.75" x14ac:dyDescent="0.25">
      <c r="I346" s="99"/>
    </row>
    <row r="355" spans="9:9" x14ac:dyDescent="0.25">
      <c r="I355" s="100"/>
    </row>
    <row r="378" spans="1:1" x14ac:dyDescent="0.25">
      <c r="A378" s="41" t="s">
        <v>433</v>
      </c>
    </row>
    <row r="408" spans="1:1" x14ac:dyDescent="0.25">
      <c r="A408" s="41" t="s">
        <v>62</v>
      </c>
    </row>
  </sheetData>
  <mergeCells count="421">
    <mergeCell ref="L145:M145"/>
    <mergeCell ref="B236:H236"/>
    <mergeCell ref="A71:C71"/>
    <mergeCell ref="D72:H72"/>
    <mergeCell ref="A78:B78"/>
    <mergeCell ref="G77:H77"/>
    <mergeCell ref="A86:B86"/>
    <mergeCell ref="A87:B87"/>
    <mergeCell ref="A82:B82"/>
    <mergeCell ref="A81:B81"/>
    <mergeCell ref="E77:F77"/>
    <mergeCell ref="A79:B79"/>
    <mergeCell ref="A146:B146"/>
    <mergeCell ref="L146:M146"/>
    <mergeCell ref="A147:B147"/>
    <mergeCell ref="L147:M147"/>
    <mergeCell ref="A148:B148"/>
    <mergeCell ref="C136:D136"/>
    <mergeCell ref="A144:H144"/>
    <mergeCell ref="E142:E143"/>
    <mergeCell ref="F118:H118"/>
    <mergeCell ref="A118:E118"/>
    <mergeCell ref="E139:F139"/>
    <mergeCell ref="C139:D139"/>
    <mergeCell ref="I15:P15"/>
    <mergeCell ref="F126:H126"/>
    <mergeCell ref="F124:H124"/>
    <mergeCell ref="A202:B202"/>
    <mergeCell ref="A141:H141"/>
    <mergeCell ref="G130:H130"/>
    <mergeCell ref="A125:E125"/>
    <mergeCell ref="A153:B153"/>
    <mergeCell ref="A61:B61"/>
    <mergeCell ref="C61:E61"/>
    <mergeCell ref="D63:H63"/>
    <mergeCell ref="F125:H125"/>
    <mergeCell ref="E130:F130"/>
    <mergeCell ref="A130:B130"/>
    <mergeCell ref="A132:B132"/>
    <mergeCell ref="C135:D135"/>
    <mergeCell ref="D71:H71"/>
    <mergeCell ref="D64:H64"/>
    <mergeCell ref="G61:H61"/>
    <mergeCell ref="A55:B56"/>
    <mergeCell ref="A156:H156"/>
    <mergeCell ref="E43:H43"/>
    <mergeCell ref="A43:D43"/>
    <mergeCell ref="A83:B83"/>
    <mergeCell ref="A242:H242"/>
    <mergeCell ref="A239:H239"/>
    <mergeCell ref="A169:B169"/>
    <mergeCell ref="A135:B135"/>
    <mergeCell ref="D157:D158"/>
    <mergeCell ref="E157:E158"/>
    <mergeCell ref="A96:B96"/>
    <mergeCell ref="A98:B98"/>
    <mergeCell ref="F117:H117"/>
    <mergeCell ref="G131:H131"/>
    <mergeCell ref="A101:B101"/>
    <mergeCell ref="F123:H123"/>
    <mergeCell ref="C130:D130"/>
    <mergeCell ref="C138:D138"/>
    <mergeCell ref="A160:H160"/>
    <mergeCell ref="A204:B204"/>
    <mergeCell ref="B223:H223"/>
    <mergeCell ref="A213:B213"/>
    <mergeCell ref="A214:B214"/>
    <mergeCell ref="A217:B217"/>
    <mergeCell ref="B232:H232"/>
    <mergeCell ref="F119:H119"/>
    <mergeCell ref="A123:E123"/>
    <mergeCell ref="G142:G143"/>
    <mergeCell ref="A238:H238"/>
    <mergeCell ref="A208:B208"/>
    <mergeCell ref="A216:B216"/>
    <mergeCell ref="F116:H116"/>
    <mergeCell ref="F121:H121"/>
    <mergeCell ref="A161:B161"/>
    <mergeCell ref="A157:A158"/>
    <mergeCell ref="F157:F158"/>
    <mergeCell ref="D142:D143"/>
    <mergeCell ref="G137:H137"/>
    <mergeCell ref="A139:B139"/>
    <mergeCell ref="A172:B172"/>
    <mergeCell ref="A173:B173"/>
    <mergeCell ref="A187:B187"/>
    <mergeCell ref="A188:B188"/>
    <mergeCell ref="A189:B189"/>
    <mergeCell ref="A190:B190"/>
    <mergeCell ref="A191:B191"/>
    <mergeCell ref="A192:H192"/>
    <mergeCell ref="A122:E122"/>
    <mergeCell ref="B220:H220"/>
    <mergeCell ref="B219:H219"/>
    <mergeCell ref="A218:H218"/>
    <mergeCell ref="A145:B145"/>
    <mergeCell ref="E14:H14"/>
    <mergeCell ref="A15:D15"/>
    <mergeCell ref="A155:B155"/>
    <mergeCell ref="A154:B154"/>
    <mergeCell ref="F122:H122"/>
    <mergeCell ref="A124:E124"/>
    <mergeCell ref="A26:D26"/>
    <mergeCell ref="E26:H26"/>
    <mergeCell ref="A25:D25"/>
    <mergeCell ref="E25:H25"/>
    <mergeCell ref="A30:D30"/>
    <mergeCell ref="E30:H30"/>
    <mergeCell ref="A27:D27"/>
    <mergeCell ref="A21:B21"/>
    <mergeCell ref="C21:D21"/>
    <mergeCell ref="E21:F21"/>
    <mergeCell ref="G21:H21"/>
    <mergeCell ref="A22:B22"/>
    <mergeCell ref="C22:D22"/>
    <mergeCell ref="E22:F22"/>
    <mergeCell ref="G22:H22"/>
    <mergeCell ref="E27:H27"/>
    <mergeCell ref="A36:B36"/>
    <mergeCell ref="C36:E36"/>
    <mergeCell ref="A244:B244"/>
    <mergeCell ref="E244:F244"/>
    <mergeCell ref="C244:D244"/>
    <mergeCell ref="G244:H244"/>
    <mergeCell ref="A129:H129"/>
    <mergeCell ref="A127:E127"/>
    <mergeCell ref="F127:H127"/>
    <mergeCell ref="A128:E128"/>
    <mergeCell ref="F128:H128"/>
    <mergeCell ref="A168:H168"/>
    <mergeCell ref="A136:B136"/>
    <mergeCell ref="A203:B203"/>
    <mergeCell ref="A131:B131"/>
    <mergeCell ref="A240:H240"/>
    <mergeCell ref="A134:H134"/>
    <mergeCell ref="A243:H243"/>
    <mergeCell ref="A241:H241"/>
    <mergeCell ref="A237:H237"/>
    <mergeCell ref="C142:C143"/>
    <mergeCell ref="B157:B158"/>
    <mergeCell ref="A209:B209"/>
    <mergeCell ref="A174:B174"/>
    <mergeCell ref="C163:H163"/>
    <mergeCell ref="C164:H16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29:D29"/>
    <mergeCell ref="E29:H29"/>
    <mergeCell ref="A66:C66"/>
    <mergeCell ref="D66:H66"/>
    <mergeCell ref="G53:H53"/>
    <mergeCell ref="G52:H52"/>
    <mergeCell ref="A62:H62"/>
    <mergeCell ref="C54:H54"/>
    <mergeCell ref="A63:C63"/>
    <mergeCell ref="A76:B76"/>
    <mergeCell ref="A74:B74"/>
    <mergeCell ref="C74:H74"/>
    <mergeCell ref="A69:C69"/>
    <mergeCell ref="D69:H69"/>
    <mergeCell ref="C76:H76"/>
    <mergeCell ref="A70:C70"/>
    <mergeCell ref="D70:H70"/>
    <mergeCell ref="A73:C73"/>
    <mergeCell ref="D73:H73"/>
    <mergeCell ref="A72:C72"/>
    <mergeCell ref="A64:C64"/>
    <mergeCell ref="C57:E57"/>
    <mergeCell ref="C60:E60"/>
    <mergeCell ref="G55:H55"/>
    <mergeCell ref="A57:B58"/>
    <mergeCell ref="G60:H60"/>
    <mergeCell ref="E45:H45"/>
    <mergeCell ref="E46:H46"/>
    <mergeCell ref="E47:H47"/>
    <mergeCell ref="A40:B40"/>
    <mergeCell ref="C40:H40"/>
    <mergeCell ref="C58:H58"/>
    <mergeCell ref="A48:H48"/>
    <mergeCell ref="D65:H65"/>
    <mergeCell ref="A65:C65"/>
    <mergeCell ref="A45:D45"/>
    <mergeCell ref="A49:B49"/>
    <mergeCell ref="C49:H49"/>
    <mergeCell ref="C52:E53"/>
    <mergeCell ref="A50:B50"/>
    <mergeCell ref="G51:H51"/>
    <mergeCell ref="A38:H38"/>
    <mergeCell ref="A37:B37"/>
    <mergeCell ref="C37:E37"/>
    <mergeCell ref="A42:D42"/>
    <mergeCell ref="E42:H42"/>
    <mergeCell ref="A41:H41"/>
    <mergeCell ref="A67:C67"/>
    <mergeCell ref="A68:C68"/>
    <mergeCell ref="D67:H67"/>
    <mergeCell ref="F37:H37"/>
    <mergeCell ref="C51:E51"/>
    <mergeCell ref="C50:E50"/>
    <mergeCell ref="G50:H50"/>
    <mergeCell ref="A51:B51"/>
    <mergeCell ref="G57:H57"/>
    <mergeCell ref="A59:B60"/>
    <mergeCell ref="C59:E59"/>
    <mergeCell ref="G59:H59"/>
    <mergeCell ref="A39:B39"/>
    <mergeCell ref="C39:H39"/>
    <mergeCell ref="C56:H56"/>
    <mergeCell ref="A52:B54"/>
    <mergeCell ref="C55:E55"/>
    <mergeCell ref="E44:H44"/>
    <mergeCell ref="A140:H140"/>
    <mergeCell ref="A120:E120"/>
    <mergeCell ref="F142:F143"/>
    <mergeCell ref="C131:D131"/>
    <mergeCell ref="E131:F131"/>
    <mergeCell ref="B142:B143"/>
    <mergeCell ref="A142:A143"/>
    <mergeCell ref="A119:E119"/>
    <mergeCell ref="F120:H120"/>
    <mergeCell ref="G139:H139"/>
    <mergeCell ref="A102:B102"/>
    <mergeCell ref="C102:H102"/>
    <mergeCell ref="A104:B104"/>
    <mergeCell ref="C104:H104"/>
    <mergeCell ref="A105:B105"/>
    <mergeCell ref="E105:F105"/>
    <mergeCell ref="G105:H105"/>
    <mergeCell ref="A106:B106"/>
    <mergeCell ref="E136:F136"/>
    <mergeCell ref="G136:H136"/>
    <mergeCell ref="A117:E117"/>
    <mergeCell ref="E106:F115"/>
    <mergeCell ref="G106:H115"/>
    <mergeCell ref="A107:B107"/>
    <mergeCell ref="A108:B108"/>
    <mergeCell ref="A109:B109"/>
    <mergeCell ref="A111:B111"/>
    <mergeCell ref="A112:B112"/>
    <mergeCell ref="A114:B114"/>
    <mergeCell ref="A115:B115"/>
    <mergeCell ref="A116:E116"/>
    <mergeCell ref="A110:B110"/>
    <mergeCell ref="A113:B113"/>
    <mergeCell ref="E135:F135"/>
    <mergeCell ref="A77:B77"/>
    <mergeCell ref="A46:D46"/>
    <mergeCell ref="A47:D47"/>
    <mergeCell ref="D68:H68"/>
    <mergeCell ref="A44:D44"/>
    <mergeCell ref="G78:H87"/>
    <mergeCell ref="A121:E121"/>
    <mergeCell ref="A138:B138"/>
    <mergeCell ref="E138:F138"/>
    <mergeCell ref="A126:E126"/>
    <mergeCell ref="G138:H138"/>
    <mergeCell ref="C132:D132"/>
    <mergeCell ref="E132:F132"/>
    <mergeCell ref="G132:H132"/>
    <mergeCell ref="A133:B133"/>
    <mergeCell ref="C133:D133"/>
    <mergeCell ref="E133:F133"/>
    <mergeCell ref="G133:H133"/>
    <mergeCell ref="A137:B137"/>
    <mergeCell ref="C137:D137"/>
    <mergeCell ref="E137:F137"/>
    <mergeCell ref="A97:B97"/>
    <mergeCell ref="G91:H91"/>
    <mergeCell ref="G135:H135"/>
    <mergeCell ref="A80:B80"/>
    <mergeCell ref="E78:F87"/>
    <mergeCell ref="A85:B85"/>
    <mergeCell ref="A88:B88"/>
    <mergeCell ref="C88:H88"/>
    <mergeCell ref="A92:B92"/>
    <mergeCell ref="C90:H90"/>
    <mergeCell ref="A93:B93"/>
    <mergeCell ref="A94:B94"/>
    <mergeCell ref="G92:H101"/>
    <mergeCell ref="A95:B95"/>
    <mergeCell ref="A90:B90"/>
    <mergeCell ref="A91:B91"/>
    <mergeCell ref="E91:F91"/>
    <mergeCell ref="E92:F101"/>
    <mergeCell ref="A84:B84"/>
    <mergeCell ref="A99:B99"/>
    <mergeCell ref="A100:B100"/>
    <mergeCell ref="A163:B163"/>
    <mergeCell ref="L163:M163"/>
    <mergeCell ref="A164:B164"/>
    <mergeCell ref="L164:M164"/>
    <mergeCell ref="A245:H248"/>
    <mergeCell ref="B233:H233"/>
    <mergeCell ref="B230:H230"/>
    <mergeCell ref="B228:H228"/>
    <mergeCell ref="B227:H227"/>
    <mergeCell ref="B226:H226"/>
    <mergeCell ref="B225:H225"/>
    <mergeCell ref="B222:H222"/>
    <mergeCell ref="B221:H221"/>
    <mergeCell ref="B229:H229"/>
    <mergeCell ref="A201:B201"/>
    <mergeCell ref="L168:M168"/>
    <mergeCell ref="A175:B175"/>
    <mergeCell ref="A170:B170"/>
    <mergeCell ref="A171:B171"/>
    <mergeCell ref="A207:B207"/>
    <mergeCell ref="L167:M167"/>
    <mergeCell ref="B224:H224"/>
    <mergeCell ref="A181:B181"/>
    <mergeCell ref="A182:B182"/>
    <mergeCell ref="L148:M148"/>
    <mergeCell ref="A150:B150"/>
    <mergeCell ref="L150:M150"/>
    <mergeCell ref="A151:B151"/>
    <mergeCell ref="L151:M151"/>
    <mergeCell ref="A152:B152"/>
    <mergeCell ref="L152:M152"/>
    <mergeCell ref="A159:H159"/>
    <mergeCell ref="A162:B162"/>
    <mergeCell ref="L162:M162"/>
    <mergeCell ref="L155:M155"/>
    <mergeCell ref="L154:M154"/>
    <mergeCell ref="L153:M153"/>
    <mergeCell ref="L149:M149"/>
    <mergeCell ref="A149:B149"/>
    <mergeCell ref="L161:M161"/>
    <mergeCell ref="C157:C158"/>
    <mergeCell ref="G157:G158"/>
    <mergeCell ref="A165:B165"/>
    <mergeCell ref="A167:B167"/>
    <mergeCell ref="A183:B183"/>
    <mergeCell ref="A176:H176"/>
    <mergeCell ref="L176:M176"/>
    <mergeCell ref="A177:B177"/>
    <mergeCell ref="A178:B178"/>
    <mergeCell ref="A179:B179"/>
    <mergeCell ref="A180:B180"/>
    <mergeCell ref="L165:M165"/>
    <mergeCell ref="A166:B166"/>
    <mergeCell ref="L166:M166"/>
    <mergeCell ref="A184:H184"/>
    <mergeCell ref="L184:M184"/>
    <mergeCell ref="A199:B199"/>
    <mergeCell ref="C195:H197"/>
    <mergeCell ref="B235:H235"/>
    <mergeCell ref="A185:B185"/>
    <mergeCell ref="A186:B186"/>
    <mergeCell ref="L192:M192"/>
    <mergeCell ref="A193:B193"/>
    <mergeCell ref="A194:B194"/>
    <mergeCell ref="A195:B195"/>
    <mergeCell ref="A196:B196"/>
    <mergeCell ref="A197:B197"/>
    <mergeCell ref="A198:B198"/>
    <mergeCell ref="B231:H231"/>
    <mergeCell ref="A210:B210"/>
    <mergeCell ref="A211:B211"/>
    <mergeCell ref="A206:H206"/>
    <mergeCell ref="A200:H200"/>
    <mergeCell ref="A215:B215"/>
    <mergeCell ref="A212:H212"/>
    <mergeCell ref="A205:B205"/>
    <mergeCell ref="I233:O233"/>
    <mergeCell ref="B234:H234"/>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2:E143">
      <formula1>"Attached Loft area,Attached Otla area,Attached Mezzanine area"</formula1>
    </dataValidation>
    <dataValidation type="list" allowBlank="1" showInputMessage="1" showErrorMessage="1" sqref="G244:H244">
      <formula1>"Kunal Kadam,Pranita Mhatre,Diptee Gotawade,Shruti Fule,Pooja Kawale,Gaurav Panchal,Shruti Tathare, Dipti Gothawade,Saurav Panse,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7:H127">
      <formula1>OFFSET($S$116,1,MATCH($G20,$S$116:$W$116,0)-1,15,1)</formula1>
    </dataValidation>
    <dataValidation type="list" allowBlank="1" showInputMessage="1" showErrorMessage="1" sqref="B142:B143">
      <formula1>"Shop No. (Sale Plan),Sale / Rehab,Sale / Mhada"</formula1>
    </dataValidation>
    <dataValidation type="list" allowBlank="1" showInputMessage="1" showErrorMessage="1" sqref="B157:B15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7:E158">
      <formula1>"Fungible area,Balcony Area,Chajja Area,Cornice Area,AP Area,WS Area"</formula1>
    </dataValidation>
    <dataValidation type="list" allowBlank="1" showInputMessage="1" showErrorMessage="1" sqref="H143 H15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2 H157">
      <formula1>"Saleable area Loading :,Builder Saleable Area"</formula1>
    </dataValidation>
    <dataValidation type="list" allowBlank="1" showInputMessage="1" showErrorMessage="1" sqref="D142:D143 D157:D158">
      <formula1>"Carpet area,RERA Carpet area"</formula1>
    </dataValidation>
  </dataValidations>
  <hyperlinks>
    <hyperlink ref="I66" r:id="rId1"/>
    <hyperlink ref="C40" r:id="rId2"/>
  </hyperlinks>
  <printOptions horizontalCentered="1"/>
  <pageMargins left="0.39370078740157483" right="0.39370078740157483" top="0.82677165354330717" bottom="0.78740157480314965" header="0.15748031496062992" footer="0.19685039370078741"/>
  <pageSetup paperSize="9" fitToHeight="0" orientation="portrait" r:id="rId3"/>
  <headerFooter>
    <oddHeader>&amp;C&amp;G</oddHeader>
    <oddFooter>&amp;L&amp;"Times New Roman,Bold"&amp;12Ref No: &amp;F&amp;C&amp;G&amp;R&amp;"Times New Roman,Bold"&amp;12&amp;P</oddFooter>
  </headerFooter>
  <rowBreaks count="6" manualBreakCount="6">
    <brk id="191" max="16383" man="1"/>
    <brk id="248" max="16383" man="1"/>
    <brk id="291" max="16383" man="1"/>
    <brk id="333" max="16383" man="1"/>
    <brk id="376" max="16383" man="1"/>
    <brk id="407"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7" zoomScale="85" zoomScaleNormal="85" workbookViewId="0">
      <selection activeCell="C20" sqref="C20"/>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324" t="s">
        <v>103</v>
      </c>
      <c r="C3" s="324"/>
      <c r="D3" s="324"/>
      <c r="E3" s="324"/>
      <c r="F3" s="324"/>
      <c r="G3" s="324"/>
      <c r="H3" s="324"/>
    </row>
    <row r="4" spans="1:9" x14ac:dyDescent="0.25">
      <c r="A4" s="2"/>
      <c r="B4" s="3" t="s">
        <v>104</v>
      </c>
      <c r="C4" s="3" t="s">
        <v>105</v>
      </c>
      <c r="D4" s="3" t="s">
        <v>64</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0"/>
      <c r="C4" s="50" t="s">
        <v>10</v>
      </c>
      <c r="D4" s="51" t="s">
        <v>179</v>
      </c>
      <c r="E4" s="51" t="s">
        <v>189</v>
      </c>
      <c r="F4" s="51" t="s">
        <v>171</v>
      </c>
      <c r="G4" s="51" t="s">
        <v>194</v>
      </c>
      <c r="H4" s="51" t="s">
        <v>212</v>
      </c>
      <c r="J4" t="s">
        <v>194</v>
      </c>
      <c r="K4" t="s">
        <v>210</v>
      </c>
    </row>
    <row r="5" spans="2:11" x14ac:dyDescent="0.25">
      <c r="B5" s="50"/>
      <c r="C5" s="50"/>
      <c r="D5" s="51" t="s">
        <v>180</v>
      </c>
      <c r="E5" s="51" t="s">
        <v>187</v>
      </c>
      <c r="F5" s="51" t="s">
        <v>209</v>
      </c>
      <c r="G5" s="51" t="s">
        <v>195</v>
      </c>
      <c r="H5" s="51" t="s">
        <v>213</v>
      </c>
    </row>
    <row r="6" spans="2:11" x14ac:dyDescent="0.25">
      <c r="B6" s="50"/>
      <c r="C6" s="50"/>
      <c r="D6" s="51" t="s">
        <v>181</v>
      </c>
      <c r="E6" s="51" t="s">
        <v>188</v>
      </c>
      <c r="F6" s="51" t="s">
        <v>210</v>
      </c>
      <c r="G6" s="51" t="s">
        <v>196</v>
      </c>
      <c r="H6" s="51" t="s">
        <v>226</v>
      </c>
    </row>
    <row r="7" spans="2:11" x14ac:dyDescent="0.25">
      <c r="B7" s="50"/>
      <c r="C7" s="50"/>
      <c r="D7" s="51" t="s">
        <v>182</v>
      </c>
      <c r="E7" s="51" t="s">
        <v>190</v>
      </c>
      <c r="F7" s="51" t="s">
        <v>211</v>
      </c>
      <c r="G7" s="51" t="s">
        <v>197</v>
      </c>
      <c r="H7" s="51" t="s">
        <v>214</v>
      </c>
    </row>
    <row r="8" spans="2:11" x14ac:dyDescent="0.25">
      <c r="B8" s="50"/>
      <c r="C8" s="50"/>
      <c r="D8" s="51" t="s">
        <v>183</v>
      </c>
      <c r="E8" s="51" t="s">
        <v>191</v>
      </c>
      <c r="F8" s="51"/>
      <c r="G8" s="51" t="s">
        <v>198</v>
      </c>
      <c r="H8" s="51" t="s">
        <v>215</v>
      </c>
    </row>
    <row r="9" spans="2:11" x14ac:dyDescent="0.25">
      <c r="B9" s="50"/>
      <c r="C9" s="50"/>
      <c r="D9" s="51" t="s">
        <v>184</v>
      </c>
      <c r="E9" s="51" t="s">
        <v>189</v>
      </c>
      <c r="F9" s="51"/>
      <c r="G9" s="51" t="s">
        <v>199</v>
      </c>
      <c r="H9" s="51" t="s">
        <v>216</v>
      </c>
    </row>
    <row r="10" spans="2:11" x14ac:dyDescent="0.25">
      <c r="B10" s="50"/>
      <c r="C10" s="50"/>
      <c r="D10" s="51" t="s">
        <v>185</v>
      </c>
      <c r="E10" s="51" t="s">
        <v>192</v>
      </c>
      <c r="F10" s="51"/>
      <c r="G10" s="51" t="s">
        <v>200</v>
      </c>
      <c r="H10" s="51" t="s">
        <v>217</v>
      </c>
    </row>
    <row r="11" spans="2:11" x14ac:dyDescent="0.25">
      <c r="B11" s="50"/>
      <c r="C11" s="50"/>
      <c r="D11" s="51" t="s">
        <v>186</v>
      </c>
      <c r="E11" s="51" t="s">
        <v>193</v>
      </c>
      <c r="F11" s="51"/>
      <c r="G11" s="51" t="s">
        <v>201</v>
      </c>
      <c r="H11" s="51" t="s">
        <v>218</v>
      </c>
    </row>
    <row r="12" spans="2:11" x14ac:dyDescent="0.25">
      <c r="B12" s="50"/>
      <c r="C12" s="50"/>
      <c r="D12" s="51"/>
      <c r="E12" s="51"/>
      <c r="F12" s="51"/>
      <c r="G12" s="51" t="s">
        <v>202</v>
      </c>
      <c r="H12" s="51" t="s">
        <v>219</v>
      </c>
    </row>
    <row r="13" spans="2:11" x14ac:dyDescent="0.25">
      <c r="B13" s="50"/>
      <c r="C13" s="50"/>
      <c r="D13" s="51"/>
      <c r="E13" s="51"/>
      <c r="F13" s="51"/>
      <c r="G13" s="51" t="s">
        <v>203</v>
      </c>
      <c r="H13" s="51" t="s">
        <v>220</v>
      </c>
    </row>
    <row r="14" spans="2:11" x14ac:dyDescent="0.25">
      <c r="B14" s="50"/>
      <c r="C14" s="50"/>
      <c r="D14" s="51"/>
      <c r="E14" s="51"/>
      <c r="F14" s="51"/>
      <c r="G14" s="51" t="s">
        <v>204</v>
      </c>
      <c r="H14" s="51" t="s">
        <v>221</v>
      </c>
    </row>
    <row r="15" spans="2:11" x14ac:dyDescent="0.25">
      <c r="B15" s="50"/>
      <c r="C15" s="50"/>
      <c r="D15" s="51"/>
      <c r="E15" s="51"/>
      <c r="F15" s="51"/>
      <c r="G15" s="51" t="s">
        <v>205</v>
      </c>
      <c r="H15" s="51" t="s">
        <v>222</v>
      </c>
    </row>
    <row r="16" spans="2:11" x14ac:dyDescent="0.25">
      <c r="B16" s="50"/>
      <c r="C16" s="50"/>
      <c r="D16" s="51"/>
      <c r="E16" s="51"/>
      <c r="F16" s="51"/>
      <c r="G16" s="51" t="s">
        <v>206</v>
      </c>
      <c r="H16" s="51" t="s">
        <v>223</v>
      </c>
    </row>
    <row r="17" spans="2:8" x14ac:dyDescent="0.25">
      <c r="B17" s="50"/>
      <c r="C17" s="50"/>
      <c r="D17" s="51"/>
      <c r="E17" s="51"/>
      <c r="F17" s="51"/>
      <c r="G17" s="51" t="s">
        <v>207</v>
      </c>
      <c r="H17" s="51" t="s">
        <v>224</v>
      </c>
    </row>
    <row r="18" spans="2:8" x14ac:dyDescent="0.25">
      <c r="B18" s="50"/>
      <c r="C18" s="50"/>
      <c r="D18" s="51"/>
      <c r="E18" s="51"/>
      <c r="F18" s="51"/>
      <c r="G18" s="51" t="s">
        <v>208</v>
      </c>
      <c r="H18" s="51" t="s">
        <v>225</v>
      </c>
    </row>
    <row r="24" spans="2:8" x14ac:dyDescent="0.25">
      <c r="C24" t="s">
        <v>168</v>
      </c>
    </row>
    <row r="25" spans="2:8" x14ac:dyDescent="0.25">
      <c r="C25" t="s">
        <v>227</v>
      </c>
    </row>
    <row r="26" spans="2:8" x14ac:dyDescent="0.25">
      <c r="C26" t="s">
        <v>228</v>
      </c>
    </row>
    <row r="27" spans="2:8" x14ac:dyDescent="0.25">
      <c r="C27" t="s">
        <v>229</v>
      </c>
    </row>
    <row r="28" spans="2:8" x14ac:dyDescent="0.25">
      <c r="C28" t="s">
        <v>230</v>
      </c>
    </row>
    <row r="29" spans="2:8" x14ac:dyDescent="0.25">
      <c r="C29" t="s">
        <v>231</v>
      </c>
    </row>
    <row r="30" spans="2:8" x14ac:dyDescent="0.25">
      <c r="C30" t="s">
        <v>168</v>
      </c>
    </row>
    <row r="33" spans="3:11" x14ac:dyDescent="0.25">
      <c r="J33">
        <v>1</v>
      </c>
      <c r="K33">
        <v>2</v>
      </c>
    </row>
    <row r="34" spans="3:11" x14ac:dyDescent="0.25">
      <c r="C34" s="53" t="s">
        <v>237</v>
      </c>
      <c r="D34" s="51" t="s">
        <v>235</v>
      </c>
      <c r="E34" s="51" t="s">
        <v>240</v>
      </c>
      <c r="F34" s="51" t="s">
        <v>238</v>
      </c>
      <c r="G34" s="51" t="s">
        <v>239</v>
      </c>
      <c r="H34" s="51" t="s">
        <v>241</v>
      </c>
      <c r="J34" t="s">
        <v>194</v>
      </c>
      <c r="K34" t="s">
        <v>210</v>
      </c>
    </row>
    <row r="35" spans="3:11" x14ac:dyDescent="0.25">
      <c r="C35" s="50" t="s">
        <v>236</v>
      </c>
      <c r="D35" s="51" t="s">
        <v>169</v>
      </c>
      <c r="E35" s="51" t="s">
        <v>245</v>
      </c>
      <c r="F35" s="51" t="s">
        <v>247</v>
      </c>
      <c r="G35" s="51" t="s">
        <v>249</v>
      </c>
      <c r="H35" s="51"/>
    </row>
    <row r="36" spans="3:11" x14ac:dyDescent="0.25">
      <c r="C36" s="50"/>
      <c r="D36" s="51" t="s">
        <v>242</v>
      </c>
      <c r="E36" s="51" t="s">
        <v>246</v>
      </c>
      <c r="F36" s="51" t="s">
        <v>248</v>
      </c>
      <c r="G36" s="51" t="s">
        <v>250</v>
      </c>
      <c r="H36" s="51"/>
    </row>
    <row r="37" spans="3:11" x14ac:dyDescent="0.25">
      <c r="C37" s="50"/>
      <c r="D37" s="51" t="s">
        <v>243</v>
      </c>
      <c r="E37" s="51"/>
      <c r="F37" s="51"/>
      <c r="G37" s="51" t="s">
        <v>251</v>
      </c>
      <c r="H37" s="51"/>
    </row>
    <row r="38" spans="3:11" x14ac:dyDescent="0.25">
      <c r="C38" s="50"/>
      <c r="D38" s="51" t="s">
        <v>244</v>
      </c>
      <c r="E38" s="51"/>
      <c r="F38" s="51"/>
      <c r="G38" s="51" t="s">
        <v>251</v>
      </c>
      <c r="H38" s="51"/>
    </row>
    <row r="39" spans="3:11" x14ac:dyDescent="0.25">
      <c r="C39" s="50"/>
      <c r="D39" s="51"/>
      <c r="E39" s="51"/>
      <c r="F39" s="51"/>
      <c r="G39" s="51" t="s">
        <v>252</v>
      </c>
      <c r="H39" s="51"/>
    </row>
    <row r="40" spans="3:11" x14ac:dyDescent="0.25">
      <c r="C40" s="50"/>
      <c r="D40" s="51"/>
      <c r="E40" s="51"/>
      <c r="F40" s="51"/>
      <c r="G40" s="51" t="s">
        <v>253</v>
      </c>
      <c r="H40" s="51"/>
    </row>
    <row r="41" spans="3:11" x14ac:dyDescent="0.25">
      <c r="C41" s="50"/>
      <c r="D41" s="51"/>
      <c r="E41" s="51"/>
      <c r="F41" s="51"/>
      <c r="G41" s="51"/>
      <c r="H41" s="51"/>
    </row>
    <row r="43" spans="3:11" x14ac:dyDescent="0.25">
      <c r="C43" t="s">
        <v>254</v>
      </c>
    </row>
    <row r="44" spans="3:11" x14ac:dyDescent="0.25">
      <c r="C44" t="s">
        <v>171</v>
      </c>
      <c r="D44" t="s">
        <v>255</v>
      </c>
    </row>
    <row r="45" spans="3:11" x14ac:dyDescent="0.25">
      <c r="D45" t="s">
        <v>256</v>
      </c>
    </row>
    <row r="46" spans="3:11" x14ac:dyDescent="0.25">
      <c r="D46" t="s">
        <v>257</v>
      </c>
    </row>
    <row r="47" spans="3:11" x14ac:dyDescent="0.25">
      <c r="D47" t="s">
        <v>258</v>
      </c>
    </row>
    <row r="48" spans="3:11" x14ac:dyDescent="0.25">
      <c r="D48" t="s">
        <v>259</v>
      </c>
    </row>
    <row r="49" spans="3:4" x14ac:dyDescent="0.25">
      <c r="C49" t="s">
        <v>179</v>
      </c>
      <c r="D49" t="s">
        <v>260</v>
      </c>
    </row>
    <row r="50" spans="3:4" x14ac:dyDescent="0.25">
      <c r="D50" t="s">
        <v>261</v>
      </c>
    </row>
    <row r="51" spans="3:4" x14ac:dyDescent="0.25">
      <c r="D51" t="s">
        <v>262</v>
      </c>
    </row>
    <row r="52" spans="3:4" x14ac:dyDescent="0.25">
      <c r="D52" t="s">
        <v>265</v>
      </c>
    </row>
    <row r="53" spans="3:4" x14ac:dyDescent="0.25">
      <c r="D53" t="s">
        <v>263</v>
      </c>
    </row>
    <row r="54" spans="3:4" x14ac:dyDescent="0.25">
      <c r="D54" t="s">
        <v>264</v>
      </c>
    </row>
    <row r="55" spans="3:4" x14ac:dyDescent="0.25">
      <c r="D55" t="s">
        <v>266</v>
      </c>
    </row>
    <row r="56" spans="3:4" x14ac:dyDescent="0.25">
      <c r="D56" t="s">
        <v>267</v>
      </c>
    </row>
    <row r="57" spans="3:4" x14ac:dyDescent="0.25">
      <c r="D57" t="s">
        <v>268</v>
      </c>
    </row>
    <row r="58" spans="3:4" x14ac:dyDescent="0.25">
      <c r="D58" t="s">
        <v>270</v>
      </c>
    </row>
    <row r="59" spans="3:4" x14ac:dyDescent="0.25">
      <c r="D59" t="s">
        <v>279</v>
      </c>
    </row>
    <row r="60" spans="3:4" x14ac:dyDescent="0.25">
      <c r="C60" t="s">
        <v>194</v>
      </c>
      <c r="D60" t="s">
        <v>271</v>
      </c>
    </row>
    <row r="61" spans="3:4" x14ac:dyDescent="0.25">
      <c r="D61" t="s">
        <v>269</v>
      </c>
    </row>
    <row r="62" spans="3:4" x14ac:dyDescent="0.25">
      <c r="D62" t="s">
        <v>259</v>
      </c>
    </row>
    <row r="63" spans="3:4" x14ac:dyDescent="0.25">
      <c r="D63" t="s">
        <v>272</v>
      </c>
    </row>
    <row r="64" spans="3:4" x14ac:dyDescent="0.25">
      <c r="D64" t="s">
        <v>273</v>
      </c>
    </row>
    <row r="65" spans="3:4" x14ac:dyDescent="0.25">
      <c r="D65" t="s">
        <v>274</v>
      </c>
    </row>
    <row r="66" spans="3:4" x14ac:dyDescent="0.25">
      <c r="D66" t="s">
        <v>275</v>
      </c>
    </row>
    <row r="67" spans="3:4" x14ac:dyDescent="0.25">
      <c r="C67" t="s">
        <v>189</v>
      </c>
      <c r="D67" t="s">
        <v>276</v>
      </c>
    </row>
    <row r="68" spans="3:4" x14ac:dyDescent="0.25">
      <c r="D68" t="s">
        <v>277</v>
      </c>
    </row>
    <row r="69" spans="3:4" x14ac:dyDescent="0.2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49"/>
  <sheetViews>
    <sheetView topLeftCell="A38" zoomScaleNormal="100" workbookViewId="0">
      <selection activeCell="C50" sqref="C50"/>
    </sheetView>
  </sheetViews>
  <sheetFormatPr defaultRowHeight="15" x14ac:dyDescent="0.25"/>
  <cols>
    <col min="2" max="2" width="3" bestFit="1" customWidth="1"/>
    <col min="3" max="3" width="155.28515625" customWidth="1"/>
  </cols>
  <sheetData>
    <row r="2" spans="2:3" ht="15" customHeight="1" x14ac:dyDescent="0.25">
      <c r="B2" s="54">
        <v>1</v>
      </c>
      <c r="C2" s="57" t="s">
        <v>284</v>
      </c>
    </row>
    <row r="3" spans="2:3" x14ac:dyDescent="0.25">
      <c r="B3" s="54">
        <v>2</v>
      </c>
      <c r="C3" s="55" t="s">
        <v>285</v>
      </c>
    </row>
    <row r="4" spans="2:3" x14ac:dyDescent="0.25">
      <c r="B4" s="54">
        <v>3</v>
      </c>
      <c r="C4" s="56" t="s">
        <v>286</v>
      </c>
    </row>
    <row r="5" spans="2:3" x14ac:dyDescent="0.25">
      <c r="B5" s="54">
        <v>4</v>
      </c>
      <c r="C5" s="55" t="s">
        <v>287</v>
      </c>
    </row>
    <row r="6" spans="2:3" x14ac:dyDescent="0.25">
      <c r="B6" s="54">
        <v>5</v>
      </c>
      <c r="C6" s="56" t="s">
        <v>288</v>
      </c>
    </row>
    <row r="7" spans="2:3" ht="30" x14ac:dyDescent="0.25">
      <c r="B7" s="54">
        <v>6</v>
      </c>
      <c r="C7" s="55" t="s">
        <v>289</v>
      </c>
    </row>
    <row r="8" spans="2:3" ht="75" x14ac:dyDescent="0.25">
      <c r="B8" s="54">
        <v>7</v>
      </c>
      <c r="C8" s="55" t="s">
        <v>290</v>
      </c>
    </row>
    <row r="9" spans="2:3" x14ac:dyDescent="0.25">
      <c r="B9" s="54">
        <v>8</v>
      </c>
      <c r="C9" s="56" t="s">
        <v>291</v>
      </c>
    </row>
    <row r="10" spans="2:3" x14ac:dyDescent="0.25">
      <c r="B10" s="54">
        <v>9</v>
      </c>
      <c r="C10" s="56" t="s">
        <v>292</v>
      </c>
    </row>
    <row r="11" spans="2:3" x14ac:dyDescent="0.25">
      <c r="B11" s="54">
        <v>10</v>
      </c>
      <c r="C11" s="56" t="s">
        <v>293</v>
      </c>
    </row>
    <row r="12" spans="2:3" x14ac:dyDescent="0.25">
      <c r="B12" s="54">
        <v>11</v>
      </c>
      <c r="C12" s="56" t="s">
        <v>294</v>
      </c>
    </row>
    <row r="13" spans="2:3" x14ac:dyDescent="0.25">
      <c r="B13" s="54">
        <v>12</v>
      </c>
      <c r="C13" s="56" t="s">
        <v>295</v>
      </c>
    </row>
    <row r="14" spans="2:3" x14ac:dyDescent="0.25">
      <c r="B14" s="54">
        <v>13</v>
      </c>
      <c r="C14" s="56" t="s">
        <v>296</v>
      </c>
    </row>
    <row r="15" spans="2:3" x14ac:dyDescent="0.25">
      <c r="B15" s="54">
        <v>14</v>
      </c>
      <c r="C15" s="56" t="s">
        <v>286</v>
      </c>
    </row>
    <row r="16" spans="2:3" x14ac:dyDescent="0.25">
      <c r="B16" s="54">
        <v>15</v>
      </c>
      <c r="C16" s="56" t="s">
        <v>298</v>
      </c>
    </row>
    <row r="17" spans="2:3" x14ac:dyDescent="0.25">
      <c r="B17" s="78">
        <v>16</v>
      </c>
      <c r="C17" s="61" t="s">
        <v>299</v>
      </c>
    </row>
    <row r="18" spans="2:3" x14ac:dyDescent="0.25">
      <c r="B18" s="60">
        <v>17</v>
      </c>
      <c r="C18" s="61" t="s">
        <v>300</v>
      </c>
    </row>
    <row r="19" spans="2:3" x14ac:dyDescent="0.25">
      <c r="B19" s="59">
        <v>18</v>
      </c>
      <c r="C19" s="54" t="s">
        <v>301</v>
      </c>
    </row>
    <row r="20" spans="2:3" x14ac:dyDescent="0.25">
      <c r="B20" s="60">
        <v>19</v>
      </c>
      <c r="C20" s="54" t="s">
        <v>337</v>
      </c>
    </row>
    <row r="21" spans="2:3" x14ac:dyDescent="0.25">
      <c r="B21" s="62">
        <v>20</v>
      </c>
      <c r="C21" s="54" t="s">
        <v>302</v>
      </c>
    </row>
    <row r="22" spans="2:3" x14ac:dyDescent="0.25">
      <c r="B22" s="60">
        <v>21</v>
      </c>
      <c r="C22" s="54" t="s">
        <v>301</v>
      </c>
    </row>
    <row r="23" spans="2:3" s="70" customFormat="1" ht="29.25" customHeight="1" x14ac:dyDescent="0.25">
      <c r="B23" s="69">
        <v>22</v>
      </c>
      <c r="C23" s="57" t="s">
        <v>329</v>
      </c>
    </row>
    <row r="24" spans="2:3" s="70" customFormat="1" ht="30.75" customHeight="1" x14ac:dyDescent="0.25">
      <c r="B24" s="71">
        <v>23</v>
      </c>
      <c r="C24" s="57" t="s">
        <v>330</v>
      </c>
    </row>
    <row r="25" spans="2:3" x14ac:dyDescent="0.25">
      <c r="B25" s="62">
        <v>24</v>
      </c>
      <c r="C25" s="54" t="s">
        <v>333</v>
      </c>
    </row>
    <row r="26" spans="2:3" x14ac:dyDescent="0.25">
      <c r="B26" s="60">
        <v>25</v>
      </c>
      <c r="C26" s="54" t="s">
        <v>331</v>
      </c>
    </row>
    <row r="27" spans="2:3" x14ac:dyDescent="0.25">
      <c r="B27" s="71">
        <v>26</v>
      </c>
      <c r="C27" s="62" t="s">
        <v>332</v>
      </c>
    </row>
    <row r="28" spans="2:3" x14ac:dyDescent="0.25">
      <c r="B28" s="72">
        <v>27</v>
      </c>
      <c r="C28" s="54" t="s">
        <v>334</v>
      </c>
    </row>
    <row r="29" spans="2:3" ht="60" x14ac:dyDescent="0.25">
      <c r="B29" s="77">
        <v>28</v>
      </c>
      <c r="C29" s="55" t="s">
        <v>335</v>
      </c>
    </row>
    <row r="30" spans="2:3" x14ac:dyDescent="0.25">
      <c r="B30" s="71">
        <v>29</v>
      </c>
      <c r="C30" s="54" t="s">
        <v>336</v>
      </c>
    </row>
    <row r="31" spans="2:3" ht="30" x14ac:dyDescent="0.25">
      <c r="B31" s="79">
        <v>30</v>
      </c>
      <c r="C31" s="55" t="s">
        <v>338</v>
      </c>
    </row>
    <row r="32" spans="2:3" x14ac:dyDescent="0.25">
      <c r="B32" s="71">
        <v>31</v>
      </c>
      <c r="C32" s="54" t="s">
        <v>339</v>
      </c>
    </row>
    <row r="33" spans="2:4" x14ac:dyDescent="0.25">
      <c r="B33" s="71">
        <v>32</v>
      </c>
      <c r="C33" s="54" t="s">
        <v>340</v>
      </c>
    </row>
    <row r="34" spans="2:4" ht="36.75" customHeight="1" x14ac:dyDescent="0.25">
      <c r="B34" s="79">
        <v>33</v>
      </c>
      <c r="C34" s="61" t="s">
        <v>341</v>
      </c>
    </row>
    <row r="35" spans="2:4" x14ac:dyDescent="0.25">
      <c r="B35" s="82">
        <v>34</v>
      </c>
      <c r="C35" s="54" t="s">
        <v>349</v>
      </c>
    </row>
    <row r="36" spans="2:4" ht="60" x14ac:dyDescent="0.25">
      <c r="B36" s="69">
        <v>35</v>
      </c>
      <c r="C36" s="55" t="s">
        <v>351</v>
      </c>
    </row>
    <row r="37" spans="2:4" x14ac:dyDescent="0.25">
      <c r="B37" s="54">
        <v>36</v>
      </c>
      <c r="C37" s="55" t="s">
        <v>362</v>
      </c>
    </row>
    <row r="38" spans="2:4" x14ac:dyDescent="0.25">
      <c r="B38" s="54">
        <f t="shared" ref="B38:B44" si="0">B37+1</f>
        <v>37</v>
      </c>
      <c r="C38" s="54" t="s">
        <v>358</v>
      </c>
    </row>
    <row r="39" spans="2:4" x14ac:dyDescent="0.25">
      <c r="B39" s="54">
        <f t="shared" si="0"/>
        <v>38</v>
      </c>
      <c r="C39" s="54" t="s">
        <v>359</v>
      </c>
    </row>
    <row r="40" spans="2:4" x14ac:dyDescent="0.25">
      <c r="B40" s="54">
        <f t="shared" si="0"/>
        <v>39</v>
      </c>
      <c r="C40" s="54" t="s">
        <v>360</v>
      </c>
    </row>
    <row r="41" spans="2:4" x14ac:dyDescent="0.25">
      <c r="B41" s="54">
        <f t="shared" si="0"/>
        <v>40</v>
      </c>
      <c r="C41" s="54" t="s">
        <v>361</v>
      </c>
    </row>
    <row r="42" spans="2:4" ht="30.75" thickBot="1" x14ac:dyDescent="0.3">
      <c r="B42" s="83">
        <f t="shared" si="0"/>
        <v>41</v>
      </c>
      <c r="C42" s="84" t="s">
        <v>363</v>
      </c>
    </row>
    <row r="43" spans="2:4" ht="30" x14ac:dyDescent="0.25">
      <c r="B43" s="87">
        <f t="shared" si="0"/>
        <v>42</v>
      </c>
      <c r="C43" s="92" t="s">
        <v>368</v>
      </c>
      <c r="D43" t="s">
        <v>369</v>
      </c>
    </row>
    <row r="44" spans="2:4" ht="15.75" thickBot="1" x14ac:dyDescent="0.3">
      <c r="B44" s="89">
        <f t="shared" si="0"/>
        <v>43</v>
      </c>
      <c r="C44" s="91" t="s">
        <v>364</v>
      </c>
    </row>
    <row r="45" spans="2:4" ht="15.75" thickBot="1" x14ac:dyDescent="0.3">
      <c r="B45" s="85">
        <f t="shared" ref="B45:B49" si="1">B44+1</f>
        <v>44</v>
      </c>
      <c r="C45" s="86" t="s">
        <v>365</v>
      </c>
    </row>
    <row r="46" spans="2:4" ht="30" x14ac:dyDescent="0.25">
      <c r="B46" s="87">
        <f t="shared" si="1"/>
        <v>45</v>
      </c>
      <c r="C46" s="88" t="s">
        <v>366</v>
      </c>
    </row>
    <row r="47" spans="2:4" ht="15.75" thickBot="1" x14ac:dyDescent="0.3">
      <c r="B47" s="89">
        <f t="shared" si="1"/>
        <v>46</v>
      </c>
      <c r="C47" s="90" t="s">
        <v>367</v>
      </c>
    </row>
    <row r="48" spans="2:4" x14ac:dyDescent="0.25">
      <c r="B48" s="93">
        <f t="shared" si="1"/>
        <v>47</v>
      </c>
      <c r="C48" s="94" t="s">
        <v>370</v>
      </c>
    </row>
    <row r="49" spans="2:3" x14ac:dyDescent="0.25">
      <c r="B49" s="93">
        <f t="shared" si="1"/>
        <v>48</v>
      </c>
      <c r="C49" s="94" t="s">
        <v>371</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0"/>
    <col min="2" max="2" width="12.28515625" style="50" customWidth="1"/>
    <col min="3" max="16384" width="9.140625" style="50"/>
  </cols>
  <sheetData>
    <row r="2" spans="1:12" x14ac:dyDescent="0.25">
      <c r="B2" s="63" t="s">
        <v>303</v>
      </c>
      <c r="C2" s="325"/>
      <c r="D2" s="325"/>
    </row>
    <row r="3" spans="1:12" x14ac:dyDescent="0.25">
      <c r="D3" s="64"/>
      <c r="E3" s="64"/>
      <c r="F3" s="64"/>
      <c r="G3" s="64"/>
      <c r="H3" s="64"/>
      <c r="I3" s="64"/>
    </row>
    <row r="4" spans="1:12" x14ac:dyDescent="0.25">
      <c r="A4" s="63" t="s">
        <v>64</v>
      </c>
      <c r="B4" s="65" t="s">
        <v>304</v>
      </c>
      <c r="C4" s="326" t="s">
        <v>305</v>
      </c>
      <c r="D4" s="326"/>
      <c r="E4" s="326"/>
      <c r="F4" s="65"/>
      <c r="G4" s="327" t="s">
        <v>306</v>
      </c>
      <c r="H4" s="327"/>
      <c r="I4" s="327"/>
      <c r="J4" s="328" t="s">
        <v>307</v>
      </c>
      <c r="K4" s="328"/>
      <c r="L4" s="328"/>
    </row>
    <row r="5" spans="1:12" x14ac:dyDescent="0.25">
      <c r="A5" s="63"/>
      <c r="B5" s="65"/>
      <c r="C5" s="65" t="s">
        <v>308</v>
      </c>
      <c r="D5" s="65" t="s">
        <v>309</v>
      </c>
      <c r="E5" s="65" t="s">
        <v>310</v>
      </c>
      <c r="F5" s="65"/>
      <c r="G5" s="65" t="s">
        <v>308</v>
      </c>
      <c r="H5" s="65" t="s">
        <v>309</v>
      </c>
      <c r="I5" s="65" t="s">
        <v>310</v>
      </c>
      <c r="J5" s="65" t="s">
        <v>308</v>
      </c>
      <c r="K5" s="65" t="s">
        <v>309</v>
      </c>
      <c r="L5" s="65" t="s">
        <v>310</v>
      </c>
    </row>
    <row r="6" spans="1:12" x14ac:dyDescent="0.25">
      <c r="B6" s="51" t="s">
        <v>311</v>
      </c>
      <c r="C6" s="51"/>
      <c r="D6" s="51"/>
      <c r="E6" s="51">
        <f>C6*D6</f>
        <v>0</v>
      </c>
      <c r="F6" s="51" t="s">
        <v>328</v>
      </c>
      <c r="G6" s="51"/>
      <c r="H6" s="51"/>
      <c r="I6" s="51">
        <f>G6*H6</f>
        <v>0</v>
      </c>
      <c r="J6" s="51"/>
      <c r="K6" s="51"/>
      <c r="L6" s="51">
        <f>J6*K6</f>
        <v>0</v>
      </c>
    </row>
    <row r="7" spans="1:12" x14ac:dyDescent="0.25">
      <c r="B7" s="51"/>
      <c r="C7" s="51"/>
      <c r="D7" s="51"/>
      <c r="E7" s="51">
        <f t="shared" ref="E7:E41" si="0">C7*D7</f>
        <v>0</v>
      </c>
      <c r="F7" s="51" t="s">
        <v>328</v>
      </c>
      <c r="G7" s="51"/>
      <c r="H7" s="51"/>
      <c r="I7" s="51">
        <f t="shared" ref="I7:I35" si="1">G7*H7</f>
        <v>0</v>
      </c>
      <c r="J7" s="51"/>
      <c r="K7" s="51"/>
      <c r="L7" s="51">
        <f t="shared" ref="L7:L35" si="2">J7*K7</f>
        <v>0</v>
      </c>
    </row>
    <row r="8" spans="1:12" x14ac:dyDescent="0.25">
      <c r="B8" s="51"/>
      <c r="C8" s="51"/>
      <c r="D8" s="51"/>
      <c r="E8" s="51">
        <f t="shared" si="0"/>
        <v>0</v>
      </c>
      <c r="F8" s="51"/>
      <c r="G8" s="51"/>
      <c r="H8" s="51"/>
      <c r="I8" s="51">
        <f t="shared" si="1"/>
        <v>0</v>
      </c>
      <c r="J8" s="51"/>
      <c r="K8" s="51"/>
      <c r="L8" s="51">
        <f t="shared" si="2"/>
        <v>0</v>
      </c>
    </row>
    <row r="9" spans="1:12" x14ac:dyDescent="0.25">
      <c r="B9" s="51"/>
      <c r="C9" s="51"/>
      <c r="D9" s="51"/>
      <c r="E9" s="51">
        <f t="shared" si="0"/>
        <v>0</v>
      </c>
      <c r="F9" s="51" t="s">
        <v>312</v>
      </c>
      <c r="G9" s="51"/>
      <c r="H9" s="51"/>
      <c r="I9" s="51">
        <f t="shared" si="1"/>
        <v>0</v>
      </c>
      <c r="J9" s="51"/>
      <c r="K9" s="51"/>
      <c r="L9" s="51">
        <f t="shared" si="2"/>
        <v>0</v>
      </c>
    </row>
    <row r="10" spans="1:12" x14ac:dyDescent="0.25">
      <c r="B10" s="51" t="s">
        <v>313</v>
      </c>
      <c r="C10" s="51"/>
      <c r="D10" s="51"/>
      <c r="E10" s="51">
        <f t="shared" si="0"/>
        <v>0</v>
      </c>
      <c r="F10" s="51" t="s">
        <v>312</v>
      </c>
      <c r="G10" s="51"/>
      <c r="H10" s="51"/>
      <c r="I10" s="51">
        <f t="shared" si="1"/>
        <v>0</v>
      </c>
      <c r="J10" s="51"/>
      <c r="K10" s="51"/>
      <c r="L10" s="51">
        <f t="shared" si="2"/>
        <v>0</v>
      </c>
    </row>
    <row r="11" spans="1:12" x14ac:dyDescent="0.25">
      <c r="B11" s="51"/>
      <c r="C11" s="51"/>
      <c r="D11" s="51"/>
      <c r="E11" s="51">
        <f t="shared" si="0"/>
        <v>0</v>
      </c>
      <c r="F11" s="51" t="s">
        <v>314</v>
      </c>
      <c r="G11" s="51"/>
      <c r="H11" s="51"/>
      <c r="I11" s="51">
        <f t="shared" si="1"/>
        <v>0</v>
      </c>
      <c r="J11" s="51"/>
      <c r="K11" s="51"/>
      <c r="L11" s="51">
        <f t="shared" si="2"/>
        <v>0</v>
      </c>
    </row>
    <row r="12" spans="1:12" x14ac:dyDescent="0.25">
      <c r="B12" s="51"/>
      <c r="C12" s="51"/>
      <c r="D12" s="51"/>
      <c r="E12" s="51">
        <f t="shared" si="0"/>
        <v>0</v>
      </c>
      <c r="F12" s="51"/>
      <c r="G12" s="51"/>
      <c r="H12" s="51"/>
      <c r="I12" s="51">
        <f t="shared" si="1"/>
        <v>0</v>
      </c>
      <c r="J12" s="51"/>
      <c r="K12" s="51"/>
      <c r="L12" s="51">
        <f t="shared" si="2"/>
        <v>0</v>
      </c>
    </row>
    <row r="13" spans="1:12" x14ac:dyDescent="0.25">
      <c r="B13" s="51"/>
      <c r="C13" s="51"/>
      <c r="D13" s="51"/>
      <c r="E13" s="51">
        <f t="shared" si="0"/>
        <v>0</v>
      </c>
      <c r="F13" s="51"/>
      <c r="G13" s="51"/>
      <c r="H13" s="51"/>
      <c r="I13" s="51">
        <f t="shared" si="1"/>
        <v>0</v>
      </c>
      <c r="J13" s="51"/>
      <c r="K13" s="51"/>
      <c r="L13" s="51">
        <f t="shared" si="2"/>
        <v>0</v>
      </c>
    </row>
    <row r="14" spans="1:12" x14ac:dyDescent="0.25">
      <c r="B14" s="51" t="s">
        <v>315</v>
      </c>
      <c r="C14" s="51"/>
      <c r="D14" s="51"/>
      <c r="E14" s="51">
        <f t="shared" si="0"/>
        <v>0</v>
      </c>
      <c r="F14" s="51" t="s">
        <v>312</v>
      </c>
      <c r="G14" s="51"/>
      <c r="H14" s="51"/>
      <c r="I14" s="51">
        <f t="shared" si="1"/>
        <v>0</v>
      </c>
      <c r="J14" s="51"/>
      <c r="K14" s="51"/>
      <c r="L14" s="51">
        <f t="shared" si="2"/>
        <v>0</v>
      </c>
    </row>
    <row r="15" spans="1:12" x14ac:dyDescent="0.25">
      <c r="B15" s="51"/>
      <c r="C15" s="51"/>
      <c r="D15" s="51"/>
      <c r="E15" s="51">
        <f t="shared" si="0"/>
        <v>0</v>
      </c>
      <c r="F15" s="51" t="s">
        <v>314</v>
      </c>
      <c r="G15" s="51"/>
      <c r="H15" s="51"/>
      <c r="I15" s="51">
        <f t="shared" si="1"/>
        <v>0</v>
      </c>
      <c r="J15" s="51"/>
      <c r="K15" s="51"/>
      <c r="L15" s="51">
        <f t="shared" si="2"/>
        <v>0</v>
      </c>
    </row>
    <row r="16" spans="1:12" x14ac:dyDescent="0.25">
      <c r="B16" s="51"/>
      <c r="C16" s="51"/>
      <c r="D16" s="51"/>
      <c r="E16" s="51">
        <f t="shared" si="0"/>
        <v>0</v>
      </c>
      <c r="F16" s="51"/>
      <c r="G16" s="51"/>
      <c r="H16" s="51"/>
      <c r="I16" s="51">
        <f t="shared" si="1"/>
        <v>0</v>
      </c>
      <c r="J16" s="51"/>
      <c r="K16" s="51"/>
      <c r="L16" s="51">
        <f t="shared" si="2"/>
        <v>0</v>
      </c>
    </row>
    <row r="17" spans="2:12" x14ac:dyDescent="0.25">
      <c r="B17" s="51"/>
      <c r="C17" s="51"/>
      <c r="D17" s="51"/>
      <c r="E17" s="51">
        <f t="shared" si="0"/>
        <v>0</v>
      </c>
      <c r="F17" s="51"/>
      <c r="G17" s="51"/>
      <c r="H17" s="51"/>
      <c r="I17" s="51">
        <f t="shared" si="1"/>
        <v>0</v>
      </c>
      <c r="J17" s="51"/>
      <c r="K17" s="51"/>
      <c r="L17" s="51">
        <f t="shared" si="2"/>
        <v>0</v>
      </c>
    </row>
    <row r="18" spans="2:12" x14ac:dyDescent="0.25">
      <c r="B18" s="51" t="s">
        <v>316</v>
      </c>
      <c r="C18" s="51"/>
      <c r="D18" s="51"/>
      <c r="E18" s="51">
        <f t="shared" si="0"/>
        <v>0</v>
      </c>
      <c r="F18" s="51" t="s">
        <v>312</v>
      </c>
      <c r="G18" s="51"/>
      <c r="H18" s="51"/>
      <c r="I18" s="51">
        <f t="shared" si="1"/>
        <v>0</v>
      </c>
      <c r="J18" s="51"/>
      <c r="K18" s="51"/>
      <c r="L18" s="51">
        <f t="shared" si="2"/>
        <v>0</v>
      </c>
    </row>
    <row r="19" spans="2:12" x14ac:dyDescent="0.25">
      <c r="B19" s="51"/>
      <c r="C19" s="51"/>
      <c r="D19" s="51"/>
      <c r="E19" s="51">
        <f t="shared" si="0"/>
        <v>0</v>
      </c>
      <c r="F19" s="51" t="s">
        <v>314</v>
      </c>
      <c r="G19" s="51"/>
      <c r="H19" s="51"/>
      <c r="I19" s="51">
        <f t="shared" si="1"/>
        <v>0</v>
      </c>
      <c r="J19" s="51"/>
      <c r="K19" s="51"/>
      <c r="L19" s="51">
        <f t="shared" si="2"/>
        <v>0</v>
      </c>
    </row>
    <row r="20" spans="2:12" x14ac:dyDescent="0.25">
      <c r="B20" s="51"/>
      <c r="C20" s="51"/>
      <c r="D20" s="51"/>
      <c r="E20" s="51">
        <f t="shared" si="0"/>
        <v>0</v>
      </c>
      <c r="F20" s="51"/>
      <c r="G20" s="51"/>
      <c r="H20" s="51"/>
      <c r="I20" s="51">
        <f t="shared" si="1"/>
        <v>0</v>
      </c>
      <c r="J20" s="51"/>
      <c r="K20" s="51"/>
      <c r="L20" s="51">
        <f t="shared" si="2"/>
        <v>0</v>
      </c>
    </row>
    <row r="21" spans="2:12" x14ac:dyDescent="0.25">
      <c r="B21" s="51" t="s">
        <v>317</v>
      </c>
      <c r="C21" s="51"/>
      <c r="D21" s="51"/>
      <c r="E21" s="51">
        <f t="shared" si="0"/>
        <v>0</v>
      </c>
      <c r="F21" s="51" t="s">
        <v>312</v>
      </c>
      <c r="G21" s="51"/>
      <c r="H21" s="51"/>
      <c r="I21" s="51">
        <f t="shared" si="1"/>
        <v>0</v>
      </c>
      <c r="J21" s="51"/>
      <c r="K21" s="51"/>
      <c r="L21" s="51">
        <f t="shared" si="2"/>
        <v>0</v>
      </c>
    </row>
    <row r="22" spans="2:12" x14ac:dyDescent="0.25">
      <c r="B22" s="51"/>
      <c r="C22" s="51"/>
      <c r="D22" s="51"/>
      <c r="E22" s="51">
        <f t="shared" si="0"/>
        <v>0</v>
      </c>
      <c r="F22" s="51" t="s">
        <v>314</v>
      </c>
      <c r="G22" s="51"/>
      <c r="H22" s="51"/>
      <c r="I22" s="51">
        <f t="shared" si="1"/>
        <v>0</v>
      </c>
      <c r="J22" s="51"/>
      <c r="K22" s="51"/>
      <c r="L22" s="51">
        <f t="shared" si="2"/>
        <v>0</v>
      </c>
    </row>
    <row r="23" spans="2:12" x14ac:dyDescent="0.25">
      <c r="B23" s="51"/>
      <c r="C23" s="51"/>
      <c r="D23" s="51"/>
      <c r="E23" s="51">
        <f t="shared" si="0"/>
        <v>0</v>
      </c>
      <c r="F23" s="51"/>
      <c r="G23" s="51"/>
      <c r="H23" s="51"/>
      <c r="I23" s="51">
        <f t="shared" si="1"/>
        <v>0</v>
      </c>
      <c r="J23" s="51"/>
      <c r="K23" s="51"/>
      <c r="L23" s="51">
        <f t="shared" si="2"/>
        <v>0</v>
      </c>
    </row>
    <row r="24" spans="2:12" x14ac:dyDescent="0.25">
      <c r="B24" s="51" t="s">
        <v>318</v>
      </c>
      <c r="C24" s="51"/>
      <c r="D24" s="51"/>
      <c r="E24" s="51">
        <f t="shared" si="0"/>
        <v>0</v>
      </c>
      <c r="F24" s="51" t="s">
        <v>319</v>
      </c>
      <c r="G24" s="51"/>
      <c r="H24" s="51"/>
      <c r="I24" s="51">
        <f t="shared" si="1"/>
        <v>0</v>
      </c>
      <c r="J24" s="51"/>
      <c r="K24" s="51"/>
      <c r="L24" s="51">
        <f t="shared" si="2"/>
        <v>0</v>
      </c>
    </row>
    <row r="25" spans="2:12" x14ac:dyDescent="0.25">
      <c r="B25" s="51"/>
      <c r="C25" s="51"/>
      <c r="D25" s="51"/>
      <c r="E25" s="51">
        <f>C25*D25</f>
        <v>0</v>
      </c>
      <c r="F25" s="51" t="s">
        <v>319</v>
      </c>
      <c r="G25" s="51"/>
      <c r="H25" s="51"/>
      <c r="I25" s="51">
        <f>G25*H25</f>
        <v>0</v>
      </c>
      <c r="J25" s="51"/>
      <c r="K25" s="51"/>
      <c r="L25" s="51">
        <f>J25*K25</f>
        <v>0</v>
      </c>
    </row>
    <row r="26" spans="2:12" x14ac:dyDescent="0.25">
      <c r="B26" s="51"/>
      <c r="C26" s="51"/>
      <c r="D26" s="51"/>
      <c r="E26" s="51">
        <f>C26*D26</f>
        <v>0</v>
      </c>
      <c r="F26" s="51" t="s">
        <v>319</v>
      </c>
      <c r="G26" s="51"/>
      <c r="H26" s="51"/>
      <c r="I26" s="51">
        <f>G26*H26</f>
        <v>0</v>
      </c>
      <c r="J26" s="51"/>
      <c r="K26" s="51"/>
      <c r="L26" s="51">
        <f>J26*K26</f>
        <v>0</v>
      </c>
    </row>
    <row r="27" spans="2:12" x14ac:dyDescent="0.25">
      <c r="B27" s="51"/>
      <c r="C27" s="51"/>
      <c r="D27" s="51"/>
      <c r="E27" s="51">
        <f>C27*D27</f>
        <v>0</v>
      </c>
      <c r="F27" s="51" t="s">
        <v>319</v>
      </c>
      <c r="G27" s="51"/>
      <c r="H27" s="51"/>
      <c r="I27" s="51">
        <f>G27*H27</f>
        <v>0</v>
      </c>
      <c r="J27" s="51"/>
      <c r="K27" s="51"/>
      <c r="L27" s="51">
        <f>J27*K27</f>
        <v>0</v>
      </c>
    </row>
    <row r="28" spans="2:12" x14ac:dyDescent="0.25">
      <c r="B28" s="51" t="s">
        <v>320</v>
      </c>
      <c r="C28" s="51"/>
      <c r="D28" s="51"/>
      <c r="E28" s="51">
        <f t="shared" si="0"/>
        <v>0</v>
      </c>
      <c r="F28" s="51" t="s">
        <v>319</v>
      </c>
      <c r="G28" s="51"/>
      <c r="H28" s="51"/>
      <c r="I28" s="51">
        <f t="shared" si="1"/>
        <v>0</v>
      </c>
      <c r="J28" s="51"/>
      <c r="K28" s="51"/>
      <c r="L28" s="51">
        <f t="shared" si="2"/>
        <v>0</v>
      </c>
    </row>
    <row r="29" spans="2:12" x14ac:dyDescent="0.25">
      <c r="B29" s="51" t="s">
        <v>321</v>
      </c>
      <c r="C29" s="51"/>
      <c r="D29" s="51"/>
      <c r="E29" s="51">
        <f t="shared" si="0"/>
        <v>0</v>
      </c>
      <c r="F29" s="51" t="s">
        <v>319</v>
      </c>
      <c r="G29" s="51"/>
      <c r="H29" s="51"/>
      <c r="I29" s="51">
        <f t="shared" si="1"/>
        <v>0</v>
      </c>
      <c r="J29" s="51"/>
      <c r="K29" s="51"/>
      <c r="L29" s="51">
        <f t="shared" si="2"/>
        <v>0</v>
      </c>
    </row>
    <row r="30" spans="2:12" x14ac:dyDescent="0.25">
      <c r="B30" s="51" t="s">
        <v>325</v>
      </c>
      <c r="C30" s="51"/>
      <c r="D30" s="51"/>
      <c r="E30" s="51">
        <f t="shared" si="0"/>
        <v>0</v>
      </c>
      <c r="F30" s="51"/>
      <c r="G30" s="51"/>
      <c r="H30" s="51"/>
      <c r="I30" s="51">
        <f t="shared" si="1"/>
        <v>0</v>
      </c>
      <c r="J30" s="51"/>
      <c r="K30" s="51"/>
      <c r="L30" s="51">
        <f t="shared" si="2"/>
        <v>0</v>
      </c>
    </row>
    <row r="31" spans="2:12" x14ac:dyDescent="0.25">
      <c r="B31" s="51"/>
      <c r="C31" s="51"/>
      <c r="D31" s="51"/>
      <c r="E31" s="51">
        <f>C31*D31</f>
        <v>0</v>
      </c>
      <c r="F31" s="51"/>
      <c r="G31" s="51"/>
      <c r="H31" s="51"/>
      <c r="I31" s="51">
        <f>G31*H31</f>
        <v>0</v>
      </c>
      <c r="J31" s="51"/>
      <c r="K31" s="51"/>
      <c r="L31" s="51">
        <f>J31*K31</f>
        <v>0</v>
      </c>
    </row>
    <row r="32" spans="2:12" x14ac:dyDescent="0.25">
      <c r="B32" s="51"/>
      <c r="C32" s="51"/>
      <c r="D32" s="51"/>
      <c r="E32" s="51">
        <f>C32*D32</f>
        <v>0</v>
      </c>
      <c r="F32" s="51"/>
      <c r="G32" s="51"/>
      <c r="H32" s="51"/>
      <c r="I32" s="51">
        <f>G32*H32</f>
        <v>0</v>
      </c>
      <c r="J32" s="51"/>
      <c r="K32" s="51"/>
      <c r="L32" s="51">
        <f>J32*K32</f>
        <v>0</v>
      </c>
    </row>
    <row r="33" spans="2:12" x14ac:dyDescent="0.25">
      <c r="B33" s="51" t="s">
        <v>322</v>
      </c>
      <c r="C33" s="51"/>
      <c r="D33" s="51"/>
      <c r="E33" s="51">
        <f t="shared" si="0"/>
        <v>0</v>
      </c>
      <c r="F33" s="51"/>
      <c r="G33" s="51"/>
      <c r="H33" s="51"/>
      <c r="I33" s="51">
        <f t="shared" si="1"/>
        <v>0</v>
      </c>
      <c r="J33" s="51"/>
      <c r="K33" s="51"/>
      <c r="L33" s="51">
        <f t="shared" si="2"/>
        <v>0</v>
      </c>
    </row>
    <row r="34" spans="2:12" x14ac:dyDescent="0.25">
      <c r="B34" s="51" t="s">
        <v>326</v>
      </c>
      <c r="C34" s="51"/>
      <c r="D34" s="51"/>
      <c r="E34" s="51">
        <f t="shared" si="0"/>
        <v>0</v>
      </c>
      <c r="F34" s="51"/>
      <c r="G34" s="51"/>
      <c r="H34" s="51"/>
      <c r="I34" s="51">
        <f t="shared" si="1"/>
        <v>0</v>
      </c>
      <c r="J34" s="51"/>
      <c r="K34" s="51"/>
      <c r="L34" s="51">
        <f t="shared" si="2"/>
        <v>0</v>
      </c>
    </row>
    <row r="35" spans="2:12" x14ac:dyDescent="0.25">
      <c r="B35" s="51" t="s">
        <v>323</v>
      </c>
      <c r="C35" s="51"/>
      <c r="D35" s="51"/>
      <c r="E35" s="51">
        <f t="shared" si="0"/>
        <v>0</v>
      </c>
      <c r="F35" s="51"/>
      <c r="G35" s="51"/>
      <c r="H35" s="51"/>
      <c r="I35" s="51">
        <f t="shared" si="1"/>
        <v>0</v>
      </c>
      <c r="J35" s="51"/>
      <c r="K35" s="51"/>
      <c r="L35" s="51">
        <f t="shared" si="2"/>
        <v>0</v>
      </c>
    </row>
    <row r="36" spans="2:12" x14ac:dyDescent="0.25">
      <c r="B36" s="51" t="s">
        <v>324</v>
      </c>
      <c r="C36" s="51"/>
      <c r="D36" s="51"/>
      <c r="E36" s="51">
        <f t="shared" si="0"/>
        <v>0</v>
      </c>
      <c r="F36" s="51"/>
      <c r="G36" s="51"/>
      <c r="H36" s="51"/>
      <c r="I36" s="51">
        <f t="shared" ref="I36:I41" si="3">G36*H36</f>
        <v>0</v>
      </c>
      <c r="J36" s="51"/>
      <c r="K36" s="51"/>
      <c r="L36" s="51">
        <f t="shared" ref="L36:L41" si="4">J36*K36</f>
        <v>0</v>
      </c>
    </row>
    <row r="37" spans="2:12" x14ac:dyDescent="0.25">
      <c r="B37" s="51"/>
      <c r="C37" s="51"/>
      <c r="D37" s="51"/>
      <c r="E37" s="51">
        <f>C37*D37</f>
        <v>0</v>
      </c>
      <c r="F37" s="51"/>
      <c r="G37" s="51"/>
      <c r="H37" s="51"/>
      <c r="I37" s="51">
        <f t="shared" si="3"/>
        <v>0</v>
      </c>
      <c r="J37" s="51"/>
      <c r="K37" s="51"/>
      <c r="L37" s="51">
        <f t="shared" si="4"/>
        <v>0</v>
      </c>
    </row>
    <row r="38" spans="2:12" x14ac:dyDescent="0.25">
      <c r="B38" s="51" t="s">
        <v>327</v>
      </c>
      <c r="C38" s="51"/>
      <c r="D38" s="51"/>
      <c r="E38" s="51">
        <f>C38*D38</f>
        <v>0</v>
      </c>
      <c r="F38" s="51"/>
      <c r="G38" s="51"/>
      <c r="H38" s="51"/>
      <c r="I38" s="51">
        <f t="shared" si="3"/>
        <v>0</v>
      </c>
      <c r="J38" s="51"/>
      <c r="K38" s="51"/>
      <c r="L38" s="51">
        <f t="shared" si="4"/>
        <v>0</v>
      </c>
    </row>
    <row r="39" spans="2:12" x14ac:dyDescent="0.25">
      <c r="B39" s="51"/>
      <c r="C39" s="51"/>
      <c r="D39" s="51"/>
      <c r="E39" s="51">
        <f t="shared" si="0"/>
        <v>0</v>
      </c>
      <c r="F39" s="51"/>
      <c r="G39" s="51"/>
      <c r="H39" s="51"/>
      <c r="I39" s="51">
        <f t="shared" si="3"/>
        <v>0</v>
      </c>
      <c r="J39" s="51"/>
      <c r="K39" s="51"/>
      <c r="L39" s="51">
        <f t="shared" si="4"/>
        <v>0</v>
      </c>
    </row>
    <row r="40" spans="2:12" x14ac:dyDescent="0.25">
      <c r="B40" s="51"/>
      <c r="C40" s="51"/>
      <c r="D40" s="51"/>
      <c r="E40" s="51">
        <f t="shared" si="0"/>
        <v>0</v>
      </c>
      <c r="F40" s="51"/>
      <c r="G40" s="51"/>
      <c r="H40" s="51"/>
      <c r="I40" s="51">
        <f t="shared" si="3"/>
        <v>0</v>
      </c>
      <c r="J40" s="51"/>
      <c r="K40" s="51"/>
      <c r="L40" s="51">
        <f t="shared" si="4"/>
        <v>0</v>
      </c>
    </row>
    <row r="41" spans="2:12" x14ac:dyDescent="0.25">
      <c r="B41" s="51"/>
      <c r="C41" s="51"/>
      <c r="D41" s="51"/>
      <c r="E41" s="51">
        <f t="shared" si="0"/>
        <v>0</v>
      </c>
      <c r="F41" s="51"/>
      <c r="G41" s="51"/>
      <c r="H41" s="51"/>
      <c r="I41" s="51">
        <f t="shared" si="3"/>
        <v>0</v>
      </c>
      <c r="J41" s="51"/>
      <c r="K41" s="51"/>
      <c r="L41" s="51">
        <f t="shared" si="4"/>
        <v>0</v>
      </c>
    </row>
    <row r="42" spans="2:12" x14ac:dyDescent="0.25">
      <c r="B42" s="51" t="s">
        <v>149</v>
      </c>
      <c r="C42" s="51"/>
      <c r="D42" s="51">
        <f>E42*10.764</f>
        <v>0</v>
      </c>
      <c r="E42" s="68">
        <f>SUM(E6:E41)</f>
        <v>0</v>
      </c>
      <c r="F42" s="51"/>
      <c r="G42" s="51"/>
      <c r="H42" s="51">
        <f>I42*10.764</f>
        <v>0</v>
      </c>
      <c r="I42" s="67">
        <f>SUM(I6:I41)</f>
        <v>0</v>
      </c>
      <c r="J42" s="51"/>
      <c r="K42" s="51">
        <f>L42*10.764</f>
        <v>0</v>
      </c>
      <c r="L42" s="66">
        <f>SUM(L6:L41)</f>
        <v>0</v>
      </c>
    </row>
    <row r="44" spans="2:12" x14ac:dyDescent="0.25">
      <c r="D44" s="50">
        <f>D42+H42</f>
        <v>0</v>
      </c>
      <c r="E44" s="50">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2025-09-18T12:47:43Z</cp:lastPrinted>
  <dcterms:created xsi:type="dcterms:W3CDTF">2019-07-16T09:29:46Z</dcterms:created>
  <dcterms:modified xsi:type="dcterms:W3CDTF">2025-09-18T12:50:07Z</dcterms:modified>
</cp:coreProperties>
</file>