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7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Report!$A$1:$H$409</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1" i="1" l="1"/>
  <c r="F211" i="1" s="1"/>
  <c r="H211" i="1" s="1"/>
  <c r="D210" i="1"/>
  <c r="F210" i="1" s="1"/>
  <c r="H210" i="1" s="1"/>
  <c r="F209" i="1"/>
  <c r="H209" i="1" s="1"/>
  <c r="D209" i="1"/>
  <c r="D208" i="1"/>
  <c r="F208" i="1" s="1"/>
  <c r="H208" i="1" s="1"/>
  <c r="D207" i="1"/>
  <c r="F207" i="1" s="1"/>
  <c r="H207" i="1" s="1"/>
  <c r="D206" i="1"/>
  <c r="F206" i="1" s="1"/>
  <c r="D205" i="1"/>
  <c r="F205" i="1" s="1"/>
  <c r="H205" i="1" s="1"/>
  <c r="D204" i="1"/>
  <c r="F204" i="1" s="1"/>
  <c r="H204" i="1" s="1"/>
  <c r="A204" i="1"/>
  <c r="A205" i="1" s="1"/>
  <c r="A206" i="1" s="1"/>
  <c r="A207" i="1" s="1"/>
  <c r="A208" i="1" s="1"/>
  <c r="A209" i="1" s="1"/>
  <c r="A210" i="1" s="1"/>
  <c r="A211" i="1" s="1"/>
  <c r="D203" i="1"/>
  <c r="F203" i="1" s="1"/>
  <c r="H203" i="1" s="1"/>
  <c r="K203" i="1" s="1"/>
  <c r="A203" i="1"/>
  <c r="D202" i="1"/>
  <c r="F202" i="1" s="1"/>
  <c r="H202" i="1" s="1"/>
  <c r="I204" i="1" l="1"/>
  <c r="J204" i="1"/>
  <c r="C16" i="1"/>
  <c r="G216" i="1" l="1"/>
  <c r="G214" i="1"/>
  <c r="D216" i="1"/>
  <c r="D215" i="1"/>
  <c r="D214" i="1"/>
  <c r="E43" i="1"/>
  <c r="F216" i="1" l="1"/>
  <c r="H216" i="1" s="1"/>
  <c r="F215" i="1"/>
  <c r="H215" i="1" s="1"/>
  <c r="J215" i="1" s="1"/>
  <c r="D200" i="1"/>
  <c r="F200" i="1" s="1"/>
  <c r="H200" i="1" s="1"/>
  <c r="D199" i="1"/>
  <c r="F199" i="1" s="1"/>
  <c r="H199" i="1" s="1"/>
  <c r="D198" i="1"/>
  <c r="D197" i="1"/>
  <c r="F197" i="1" s="1"/>
  <c r="H197" i="1" s="1"/>
  <c r="D196" i="1"/>
  <c r="F196" i="1" s="1"/>
  <c r="H196" i="1" s="1"/>
  <c r="D195" i="1"/>
  <c r="F195" i="1" s="1"/>
  <c r="H195" i="1" s="1"/>
  <c r="D194" i="1"/>
  <c r="F194" i="1" s="1"/>
  <c r="H194" i="1" s="1"/>
  <c r="D193" i="1"/>
  <c r="F193" i="1" s="1"/>
  <c r="H193" i="1" s="1"/>
  <c r="D192" i="1"/>
  <c r="F192" i="1" s="1"/>
  <c r="H192" i="1" s="1"/>
  <c r="K192" i="1" s="1"/>
  <c r="D191" i="1"/>
  <c r="F191" i="1" s="1"/>
  <c r="H191" i="1" s="1"/>
  <c r="D189" i="1"/>
  <c r="F189" i="1" s="1"/>
  <c r="H189" i="1" s="1"/>
  <c r="D188" i="1"/>
  <c r="F188" i="1" s="1"/>
  <c r="H188" i="1" s="1"/>
  <c r="D187" i="1"/>
  <c r="F187" i="1" s="1"/>
  <c r="H187" i="1" s="1"/>
  <c r="J187" i="1" s="1"/>
  <c r="D186" i="1"/>
  <c r="F186" i="1" s="1"/>
  <c r="H186" i="1" s="1"/>
  <c r="J186" i="1" s="1"/>
  <c r="D185" i="1"/>
  <c r="F185" i="1" s="1"/>
  <c r="H185" i="1" s="1"/>
  <c r="D184" i="1"/>
  <c r="F184" i="1" s="1"/>
  <c r="H184" i="1" s="1"/>
  <c r="D183" i="1"/>
  <c r="F183" i="1" s="1"/>
  <c r="H183" i="1" s="1"/>
  <c r="D182" i="1"/>
  <c r="F182" i="1" s="1"/>
  <c r="H182" i="1" s="1"/>
  <c r="J182" i="1" s="1"/>
  <c r="D181" i="1"/>
  <c r="F181" i="1" s="1"/>
  <c r="H181" i="1" s="1"/>
  <c r="J181" i="1" s="1"/>
  <c r="D180" i="1"/>
  <c r="F180" i="1" s="1"/>
  <c r="H180" i="1" s="1"/>
  <c r="J180" i="1" s="1"/>
  <c r="D173" i="1"/>
  <c r="F173" i="1" s="1"/>
  <c r="H173" i="1" s="1"/>
  <c r="D172" i="1"/>
  <c r="F172" i="1" s="1"/>
  <c r="H172" i="1" s="1"/>
  <c r="D171" i="1"/>
  <c r="F171" i="1" s="1"/>
  <c r="H171" i="1" s="1"/>
  <c r="D170" i="1"/>
  <c r="F170" i="1" s="1"/>
  <c r="H170" i="1" s="1"/>
  <c r="D169" i="1"/>
  <c r="F169" i="1" s="1"/>
  <c r="H169" i="1" s="1"/>
  <c r="D168" i="1"/>
  <c r="F168" i="1" s="1"/>
  <c r="H168" i="1" s="1"/>
  <c r="D167" i="1"/>
  <c r="F167" i="1" s="1"/>
  <c r="H167" i="1" s="1"/>
  <c r="D166" i="1"/>
  <c r="F166" i="1" s="1"/>
  <c r="H166" i="1" s="1"/>
  <c r="D165" i="1"/>
  <c r="F165" i="1" s="1"/>
  <c r="H165" i="1" s="1"/>
  <c r="D164" i="1"/>
  <c r="F164" i="1" s="1"/>
  <c r="H164" i="1" s="1"/>
  <c r="D163" i="1"/>
  <c r="F163" i="1" s="1"/>
  <c r="H163" i="1" s="1"/>
  <c r="D162" i="1"/>
  <c r="D161" i="1"/>
  <c r="D160" i="1"/>
  <c r="D159" i="1"/>
  <c r="F214" i="1"/>
  <c r="H214" i="1" s="1"/>
  <c r="A214" i="1"/>
  <c r="A215" i="1" s="1"/>
  <c r="A216" i="1" s="1"/>
  <c r="A217" i="1" s="1"/>
  <c r="A218" i="1" s="1"/>
  <c r="A219" i="1" s="1"/>
  <c r="A220" i="1" s="1"/>
  <c r="A221" i="1" s="1"/>
  <c r="A222" i="1" s="1"/>
  <c r="F198" i="1"/>
  <c r="H198" i="1" s="1"/>
  <c r="A192" i="1"/>
  <c r="A193" i="1" s="1"/>
  <c r="A194" i="1" s="1"/>
  <c r="A195" i="1" s="1"/>
  <c r="A196" i="1" s="1"/>
  <c r="A197" i="1" s="1"/>
  <c r="A198" i="1" s="1"/>
  <c r="A199" i="1" s="1"/>
  <c r="A200" i="1" s="1"/>
  <c r="I180" i="1"/>
  <c r="A181" i="1"/>
  <c r="A182" i="1" s="1"/>
  <c r="A183" i="1" s="1"/>
  <c r="A184" i="1" s="1"/>
  <c r="A185" i="1" s="1"/>
  <c r="A186" i="1" s="1"/>
  <c r="A187" i="1" s="1"/>
  <c r="A188" i="1" s="1"/>
  <c r="A189" i="1" s="1"/>
  <c r="I159" i="1"/>
  <c r="G52" i="1"/>
  <c r="I193" i="1" l="1"/>
  <c r="J193" i="1"/>
  <c r="G151" i="1"/>
  <c r="G152" i="1" s="1"/>
  <c r="C151" i="1"/>
  <c r="C152" i="1" s="1"/>
  <c r="E151" i="1"/>
  <c r="E152"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81" i="1"/>
  <c r="B255" i="1"/>
  <c r="B254" i="1"/>
  <c r="F251" i="1"/>
  <c r="H251" i="1" s="1"/>
  <c r="F250" i="1"/>
  <c r="H250" i="1" s="1"/>
  <c r="F249" i="1"/>
  <c r="H249" i="1" s="1"/>
  <c r="F248" i="1"/>
  <c r="H248" i="1" s="1"/>
  <c r="F247" i="1"/>
  <c r="H247" i="1" s="1"/>
  <c r="F245" i="1"/>
  <c r="H245" i="1" s="1"/>
  <c r="F244" i="1"/>
  <c r="H244" i="1" s="1"/>
  <c r="F243" i="1"/>
  <c r="H243" i="1" s="1"/>
  <c r="F242" i="1"/>
  <c r="H242" i="1" s="1"/>
  <c r="F241" i="1"/>
  <c r="H241" i="1" s="1"/>
  <c r="F239" i="1"/>
  <c r="H239" i="1" s="1"/>
  <c r="F238" i="1"/>
  <c r="H238" i="1" s="1"/>
  <c r="F237" i="1"/>
  <c r="H237" i="1" s="1"/>
  <c r="F236" i="1"/>
  <c r="H236" i="1" s="1"/>
  <c r="F235" i="1"/>
  <c r="H235" i="1" s="1"/>
  <c r="F233" i="1"/>
  <c r="H233" i="1" s="1"/>
  <c r="F232" i="1"/>
  <c r="H232" i="1" s="1"/>
  <c r="F231" i="1"/>
  <c r="H231" i="1" s="1"/>
  <c r="F230" i="1"/>
  <c r="H230" i="1" s="1"/>
  <c r="F229" i="1"/>
  <c r="H229" i="1" s="1"/>
  <c r="A229" i="1"/>
  <c r="A230" i="1" s="1"/>
  <c r="A231" i="1" s="1"/>
  <c r="A232" i="1" s="1"/>
  <c r="A233" i="1" s="1"/>
  <c r="F227" i="1"/>
  <c r="H227" i="1" s="1"/>
  <c r="F226" i="1"/>
  <c r="H226" i="1" s="1"/>
  <c r="F225" i="1"/>
  <c r="H225" i="1" s="1"/>
  <c r="A225" i="1"/>
  <c r="A226" i="1" s="1"/>
  <c r="A227" i="1" s="1"/>
  <c r="F224" i="1"/>
  <c r="H224" i="1" s="1"/>
  <c r="F162" i="1"/>
  <c r="H162" i="1" s="1"/>
  <c r="F161" i="1"/>
  <c r="H161" i="1" s="1"/>
  <c r="F160" i="1"/>
  <c r="H160" i="1" s="1"/>
  <c r="A160" i="1"/>
  <c r="A161" i="1" s="1"/>
  <c r="A162" i="1" s="1"/>
  <c r="A163" i="1" s="1"/>
  <c r="A164" i="1" s="1"/>
  <c r="A165" i="1" s="1"/>
  <c r="A166" i="1" s="1"/>
  <c r="A167" i="1" s="1"/>
  <c r="A168" i="1" s="1"/>
  <c r="A169" i="1" s="1"/>
  <c r="A170" i="1" s="1"/>
  <c r="A171" i="1" s="1"/>
  <c r="A172" i="1" s="1"/>
  <c r="A173" i="1" s="1"/>
  <c r="F159" i="1"/>
  <c r="F144" i="1"/>
  <c r="C103" i="1"/>
  <c r="B104" i="1" s="1"/>
  <c r="J112" i="1" s="1"/>
  <c r="C89" i="1"/>
  <c r="B76" i="1"/>
  <c r="J83" i="1" s="1"/>
  <c r="D69" i="1"/>
  <c r="D62" i="1"/>
  <c r="G56" i="1"/>
  <c r="K54" i="1"/>
  <c r="G51" i="1"/>
  <c r="C51" i="1"/>
  <c r="E44" i="1"/>
  <c r="E45" i="1" s="1"/>
  <c r="S33" i="1"/>
  <c r="E31" i="1"/>
  <c r="E28" i="1"/>
  <c r="E26" i="1"/>
  <c r="I15" i="1"/>
  <c r="Z13" i="1"/>
  <c r="E8" i="1"/>
  <c r="E3" i="1"/>
  <c r="B266" i="1" s="1"/>
  <c r="A247" i="1"/>
  <c r="H90" i="1"/>
  <c r="A235" i="1"/>
  <c r="A241" i="1"/>
  <c r="H159" i="1" l="1"/>
  <c r="G147" i="1" s="1"/>
  <c r="G148" i="1" s="1"/>
  <c r="G153" i="1" s="1"/>
  <c r="E147" i="1"/>
  <c r="E148" i="1" s="1"/>
  <c r="E153" i="1" s="1"/>
  <c r="C147" i="1"/>
  <c r="C148" i="1" s="1"/>
  <c r="C153" i="1" s="1"/>
  <c r="J84" i="1"/>
  <c r="E42" i="7"/>
  <c r="I42" i="7"/>
  <c r="H42" i="7" s="1"/>
  <c r="L42" i="7"/>
  <c r="K42" i="7" s="1"/>
  <c r="J89" i="1"/>
  <c r="J91" i="1" s="1"/>
  <c r="D98" i="1"/>
  <c r="D97" i="1"/>
  <c r="D102" i="1"/>
  <c r="D96" i="1"/>
  <c r="J92" i="1"/>
  <c r="D101" i="1"/>
  <c r="J94" i="1"/>
  <c r="C93" i="1" s="1"/>
  <c r="D95" i="1"/>
  <c r="D100" i="1"/>
  <c r="J93" i="1"/>
  <c r="D99" i="1"/>
  <c r="D42" i="7"/>
  <c r="L54" i="1"/>
  <c r="B90" i="1"/>
  <c r="J85" i="1"/>
  <c r="J114" i="1"/>
  <c r="J86" i="1"/>
  <c r="I52" i="1"/>
  <c r="J113" i="1"/>
  <c r="J111" i="1"/>
  <c r="H104" i="1"/>
  <c r="A236" i="1"/>
  <c r="H76" i="1"/>
  <c r="A242" i="1"/>
  <c r="A248" i="1"/>
  <c r="D82" i="1" l="1"/>
  <c r="J81" i="1"/>
  <c r="J82" i="1" s="1"/>
  <c r="J87" i="1" s="1"/>
  <c r="J88" i="1" s="1"/>
  <c r="C80" i="1" s="1"/>
  <c r="D83" i="1"/>
  <c r="J79" i="1"/>
  <c r="D87" i="1"/>
  <c r="D81" i="1"/>
  <c r="J80" i="1"/>
  <c r="C79" i="1" s="1"/>
  <c r="D79" i="1" s="1"/>
  <c r="D84" i="1"/>
  <c r="D86" i="1"/>
  <c r="J78" i="1"/>
  <c r="D85" i="1"/>
  <c r="D88" i="1"/>
  <c r="J75" i="1"/>
  <c r="J77" i="1" s="1"/>
  <c r="J106" i="1"/>
  <c r="D114" i="1"/>
  <c r="J109" i="1"/>
  <c r="J110" i="1" s="1"/>
  <c r="J115" i="1" s="1"/>
  <c r="J116" i="1" s="1"/>
  <c r="C108" i="1" s="1"/>
  <c r="E107" i="1" s="1"/>
  <c r="J107" i="1"/>
  <c r="D111" i="1"/>
  <c r="D113" i="1"/>
  <c r="D109" i="1"/>
  <c r="D112" i="1"/>
  <c r="J103" i="1"/>
  <c r="J105" i="1" s="1"/>
  <c r="J108" i="1"/>
  <c r="C107" i="1" s="1"/>
  <c r="D107" i="1" s="1"/>
  <c r="D116" i="1"/>
  <c r="D110" i="1"/>
  <c r="D115" i="1"/>
  <c r="D44" i="7"/>
  <c r="E44" i="7"/>
  <c r="D93" i="1"/>
  <c r="J98" i="1"/>
  <c r="J95" i="1"/>
  <c r="J96" i="1" s="1"/>
  <c r="J101" i="1" s="1"/>
  <c r="J102" i="1" s="1"/>
  <c r="C94" i="1" s="1"/>
  <c r="J100" i="1"/>
  <c r="J97" i="1"/>
  <c r="J99" i="1"/>
  <c r="A249" i="1"/>
  <c r="A243" i="1"/>
  <c r="A237" i="1"/>
  <c r="B118" i="1" l="1"/>
  <c r="J76" i="1"/>
  <c r="G107" i="1"/>
  <c r="J104" i="1"/>
  <c r="D108" i="1"/>
  <c r="I104" i="1" s="1"/>
  <c r="I105" i="1" s="1"/>
  <c r="E93" i="1"/>
  <c r="D94" i="1"/>
  <c r="I90" i="1" s="1"/>
  <c r="J90" i="1"/>
  <c r="G93" i="1"/>
  <c r="A238" i="1"/>
  <c r="A250" i="1"/>
  <c r="H118" i="1"/>
  <c r="A244" i="1"/>
  <c r="D130" i="1" l="1"/>
  <c r="D124" i="1"/>
  <c r="J120" i="1"/>
  <c r="D125" i="1"/>
  <c r="D129" i="1"/>
  <c r="D123" i="1"/>
  <c r="D127" i="1"/>
  <c r="J117" i="1"/>
  <c r="J119" i="1" s="1"/>
  <c r="D128" i="1"/>
  <c r="J122" i="1"/>
  <c r="C121" i="1" s="1"/>
  <c r="J121" i="1"/>
  <c r="D126" i="1"/>
  <c r="J127" i="1"/>
  <c r="J123" i="1"/>
  <c r="J124" i="1" s="1"/>
  <c r="J129" i="1" s="1"/>
  <c r="J130" i="1" s="1"/>
  <c r="C122" i="1" s="1"/>
  <c r="J128" i="1"/>
  <c r="J125" i="1"/>
  <c r="J126" i="1"/>
  <c r="G79" i="1"/>
  <c r="D80" i="1"/>
  <c r="I76" i="1" s="1"/>
  <c r="I77" i="1" s="1"/>
  <c r="E79" i="1"/>
  <c r="I103" i="1"/>
  <c r="C105" i="1" s="1"/>
  <c r="I91" i="1"/>
  <c r="I89" i="1" s="1"/>
  <c r="C91" i="1" s="1"/>
  <c r="A239" i="1"/>
  <c r="A251" i="1"/>
  <c r="A245" i="1"/>
  <c r="D73" i="1" l="1"/>
  <c r="D74" i="1" s="1"/>
  <c r="E121" i="1"/>
  <c r="C131" i="1" s="1"/>
  <c r="D122" i="1"/>
  <c r="G121" i="1"/>
  <c r="G131" i="1" s="1"/>
  <c r="D121" i="1"/>
  <c r="I75" i="1"/>
  <c r="C77" i="1" s="1"/>
  <c r="F74" i="1" l="1"/>
  <c r="I118" i="1"/>
  <c r="I119" i="1" s="1"/>
  <c r="J118" i="1"/>
  <c r="I117" i="1" l="1"/>
  <c r="C119" i="1" s="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137"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76"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<sst xmlns="http://schemas.openxmlformats.org/spreadsheetml/2006/main" count="786" uniqueCount="420">
  <si>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</si>
  <si>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</si>
  <si>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</si>
  <si>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</si>
  <si>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</si>
  <si>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</si>
  <si>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</si>
  <si>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</si>
  <si>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</si>
  <si>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</si>
  <si>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</si>
  <si>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</si>
  <si>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</si>
  <si>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</si>
  <si>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</si>
  <si>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</si>
  <si>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</si>
  <si>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</si>
  <si>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</si>
  <si>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</si>
  <si>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</si>
  <si>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</si>
  <si>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</si>
  <si>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</si>
  <si>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</si>
  <si>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</si>
  <si>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</si>
  <si>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</si>
  <si>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</si>
  <si>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</si>
  <si>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</si>
  <si>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</si>
  <si>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</si>
  <si>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</si>
  <si>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</si>
  <si>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</si>
  <si>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</si>
  <si>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</si>
  <si>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</si>
  <si>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</si>
  <si>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</si>
  <si>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</si>
  <si>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</si>
  <si>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</si>
  <si>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</si>
  <si>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</si>
  <si>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</si>
  <si>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</si>
  <si>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</si>
  <si>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</si>
  <si>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</si>
  <si>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</si>
  <si>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</si>
  <si>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</si>
  <si>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</si>
  <si>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</si>
  <si>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</si>
  <si>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</si>
  <si>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</si>
  <si>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</si>
  <si>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</si>
  <si>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</si>
  <si>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</si>
  <si>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</si>
  <si>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</si>
  <si>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</si>
  <si>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</si>
  <si>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</si>
  <si>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</si>
  <si>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</si>
  <si>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</si>
  <si>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</si>
  <si>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</si>
  <si>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</si>
  <si>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</si>
  <si>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</si>
  <si>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</si>
  <si>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</si>
  <si>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</si>
  <si>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</si>
  <si>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</si>
  <si>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</si>
  <si>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</si>
  <si>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</si>
  <si>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</si>
  <si>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</si>
  <si>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</si>
  <si>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</si>
  <si>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</si>
  <si>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</si>
  <si>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</si>
  <si>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</si>
  <si>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</si>
  <si>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</si>
  <si>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</si>
  <si>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</si>
  <si>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</si>
  <si>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</si>
  <si>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</si>
  <si>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</si>
  <si>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</si>
  <si>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</si>
  <si>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</si>
  <si>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</si>
  <si>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</si>
  <si>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</si>
  <si>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</si>
  <si>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</si>
  <si>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</si>
  <si>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</si>
  <si>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</si>
  <si>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</si>
  <si>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</si>
  <si>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</si>
  <si>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</si>
  <si>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</si>
  <si>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</si>
  <si>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</si>
  <si>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</si>
  <si>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</si>
  <si>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</si>
  <si>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</si>
  <si>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</si>
  <si>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</si>
  <si>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</si>
  <si>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</si>
  <si>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</si>
  <si>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</si>
  <si>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</si>
  <si>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</si>
  <si>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</si>
  <si>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</si>
  <si>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</si>
  <si>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</si>
  <si>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</si>
  <si>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</si>
  <si>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</si>
  <si>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</si>
  <si>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</si>
  <si>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</si>
  <si>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</si>
  <si>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</si>
  <si>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</si>
  <si>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</si>
  <si>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</si>
  <si>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</si>
  <si>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</si>
  <si>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</si>
  <si>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</si>
  <si>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</si>
  <si>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</si>
  <si>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</si>
  <si>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</si>
  <si>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</si>
  <si>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</si>
  <si>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</si>
  <si>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</si>
  <si>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</si>
  <si>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</si>
  <si>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</si>
  <si>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</si>
  <si>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</si>
  <si>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</si>
  <si>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</si>
  <si>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</si>
  <si>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</si>
  <si>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</si>
  <si>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</si>
  <si>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</si>
  <si>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</si>
  <si>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</si>
  <si>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</si>
  <si>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</si>
  <si>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</si>
  <si>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</si>
  <si>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</si>
  <si>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</si>
  <si>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</si>
  <si>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</si>
  <si>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</si>
  <si>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</si>
  <si>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</si>
  <si>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</si>
  <si>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</si>
  <si>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</si>
  <si>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</si>
  <si>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</si>
  <si>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</si>
  <si>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</si>
  <si>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</si>
  <si>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</si>
  <si>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</si>
  <si>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</si>
  <si>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</si>
  <si>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</si>
  <si>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</si>
  <si>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</si>
  <si>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</si>
  <si>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</si>
  <si>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</si>
  <si>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</si>
  <si>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</si>
  <si>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</si>
  <si>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</si>
  <si>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</si>
  <si>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</si>
  <si>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</si>
  <si>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</si>
  <si>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</si>
  <si>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</si>
  <si>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</si>
  <si>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</si>
  <si>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</si>
  <si>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</si>
  <si>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</si>
  <si>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</si>
  <si>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</si>
  <si>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</si>
  <si>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</si>
  <si>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</si>
  <si>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</si>
  <si>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</si>
  <si>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</si>
  <si>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</si>
  <si>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</si>
  <si>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</si>
  <si>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</si>
  <si>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</si>
  <si>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</si>
  <si>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</si>
  <si>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</si>
  <si>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</si>
  <si>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</si>
  <si>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</si>
  <si>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</si>
  <si>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</si>
  <si>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</si>
  <si>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</si>
  <si>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</si>
  <si>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</si>
  <si>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</si>
  <si>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</si>
  <si>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</si>
  <si>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</si>
  <si>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</si>
  <si>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</si>
  <si>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</si>
  <si>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</si>
  <si>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</si>
  <si>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</si>
  <si>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</si>
  <si>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</si>
  <si>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</si>
  <si>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</si>
  <si>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</si>
  <si>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</si>
  <si>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</si>
  <si>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</si>
  <si>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</si>
  <si>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</si>
  <si>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</si>
  <si>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</si>
  <si>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</si>
  <si>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</si>
  <si>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</si>
  <si>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</si>
  <si>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</si>
  <si>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</si>
  <si>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</si>
  <si>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</si>
  <si>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</si>
  <si>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</si>
  <si>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</si>
  <si>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</si>
  <si>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</si>
  <si>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</si>
  <si>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</si>
  <si>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</si>
  <si>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</si>
  <si>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</si>
  <si>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</si>
  <si>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</si>
  <si>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</si>
  <si>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</si>
  <si>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</si>
  <si>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</si>
  <si>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</si>
  <si>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</si>
  <si>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</si>
  <si>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</si>
  <si>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</si>
  <si>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</si>
  <si>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</si>
  <si>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</si>
  <si>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</si>
  <si>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</si>
  <si>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</si>
  <si>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</si>
  <si>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</si>
  <si>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</si>
  <si>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</si>
  <si>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</si>
  <si>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</si>
  <si>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</si>
  <si>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</si>
  <si>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</si>
  <si>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</si>
  <si>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</si>
  <si>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</si>
  <si>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</si>
  <si>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</si>
  <si>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</si>
  <si>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</si>
  <si>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</si>
  <si>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</si>
  <si>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</si>
  <si>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</si>
  <si>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</si>
  <si>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</si>
  <si>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</si>
  <si>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</si>
  <si>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</si>
  <si>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</si>
  <si>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</si>
  <si>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</si>
  <si>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</si>
  <si>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</si>
  <si>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</si>
  <si>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</si>
  <si>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</si>
  <si>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</si>
  <si>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</si>
  <si>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</si>
  <si>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</si>
  <si>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</si>
  <si>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</si>
  <si>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</si>
  <si>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</si>
  <si>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</si>
  <si>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</si>
  <si>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</si>
  <si>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</si>
  <si>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</si>
  <si>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</si>
  <si>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</si>
  <si>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</si>
  <si>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</si>
  <si>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</si>
  <si>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</si>
  <si>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</si>
  <si>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</si>
  <si>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</si>
  <si>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</si>
  <si>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</si>
  <si>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</si>
  <si>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</si>
  <si>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</si>
  <si>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</si>
  <si>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</si>
  <si>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P52000054513</t>
  </si>
  <si>
    <t>Tricity Realty LLP</t>
  </si>
  <si>
    <t>Tricity Bayview</t>
  </si>
  <si>
    <t>https://maps.app.goo.gl/bmg3eeohbyDqXUkY8</t>
  </si>
  <si>
    <t>19.0426961,73.0964952</t>
  </si>
  <si>
    <t>Plot No</t>
  </si>
  <si>
    <t>Kalamboli</t>
  </si>
  <si>
    <t>Roadpali</t>
  </si>
  <si>
    <t>Roadpali Road</t>
  </si>
  <si>
    <t>Tricity WaterFront</t>
  </si>
  <si>
    <t>Internal Road</t>
  </si>
  <si>
    <t>Open Plot</t>
  </si>
  <si>
    <t>Other Plot</t>
  </si>
  <si>
    <t>30.0 M Wide Road</t>
  </si>
  <si>
    <t>15.0 M Wide Road</t>
  </si>
  <si>
    <t>PMP/NRV/16287/J.K.1299/2024</t>
  </si>
  <si>
    <t>PMC/TP/Kalamboli/17/76/2/21-24/16287/1299/2024</t>
  </si>
  <si>
    <t>Gr/St + 1st to 13th Floor
Total Built Up Area = 8834.444 Sq.M.
Residential Units = 93 Nos., Commercial Units = 15 Nos.</t>
  </si>
  <si>
    <t>As per RERA - 31/12/2027</t>
  </si>
  <si>
    <t>Shop</t>
  </si>
  <si>
    <t>RERA Carpet area</t>
  </si>
  <si>
    <t>Ground Floor for Meter Room, Commercial &amp; Parking</t>
  </si>
  <si>
    <t>1st to 2nd Floor for Parking</t>
  </si>
  <si>
    <t>2BHK</t>
  </si>
  <si>
    <t>4th Floor for Residential &amp; Tower Parking</t>
  </si>
  <si>
    <t>13th Floor (Part Terrace Area)</t>
  </si>
  <si>
    <t>-</t>
  </si>
  <si>
    <t>Terrace Area</t>
  </si>
  <si>
    <r>
      <t xml:space="preserve">Flat No.
</t>
    </r>
    <r>
      <rPr>
        <b/>
        <sz val="11"/>
        <rFont val="Times New Roman"/>
        <family val="1"/>
      </rPr>
      <t>(Approved Plan)</t>
    </r>
  </si>
  <si>
    <t>Flats</t>
  </si>
  <si>
    <r>
      <t xml:space="preserve">Shop No.
</t>
    </r>
    <r>
      <rPr>
        <b/>
        <sz val="11"/>
        <rFont val="Times New Roman"/>
        <family val="1"/>
      </rPr>
      <t>(Approved Plan)</t>
    </r>
  </si>
  <si>
    <t>Flats - 93, Shops - 15</t>
  </si>
  <si>
    <t>Gr/St + P1 to P3 + 4th to 13th Floor</t>
  </si>
  <si>
    <t>We considered Gross carpet area = Net carpet.</t>
  </si>
  <si>
    <t>Gr/St + P1 to P3 + 4th to 20th Floor</t>
  </si>
  <si>
    <t xml:space="preserve">Multipurpose Hall For Events, Shared Work Space, Toddlers Play Zone, Mini Theatre, Sky Lounge, Barbeque Zone, Net Cricket, Hi-Tech Gymnasium, Indoor Games, Yoga &amp; Zumba Space, Swimming Pool, Kids Play Zonex, Reflexology Garden, Gaming Zone
</t>
  </si>
  <si>
    <r>
      <t xml:space="preserve">Proposed Amenities :                                                                                                                                                                                                                         </t>
    </r>
    <r>
      <rPr>
        <b/>
        <sz val="12"/>
        <rFont val="Times New Roman"/>
        <family val="1"/>
      </rPr>
      <t xml:space="preserve">                                               </t>
    </r>
  </si>
  <si>
    <t>Mr. Gaurav : 8779356170</t>
  </si>
  <si>
    <t>76/2, Sector : 17</t>
  </si>
  <si>
    <t>3rd Floor for Society Office, Party Hall, Garden, Drivers Room &amp; Other Amenities</t>
  </si>
  <si>
    <t>1BHK</t>
  </si>
  <si>
    <t>Please check for Fire NOC &amp; Airport Noc.</t>
  </si>
  <si>
    <t>Outword/No/Pmc/Fire/2121/Ref.No.956/3313</t>
  </si>
  <si>
    <t>Gr/Stilt + P1 to P2 + 3rd Podium Floor (Amenity) + 4th to 20th upper floor
Total Height = 68.15 Mtrs.</t>
  </si>
  <si>
    <t>NAVI/WEST/B/081921/571620</t>
  </si>
  <si>
    <t>Site Elevation = 5.45 M
Permissible Top Elevation = 98.3 M (Restricted) (AMSL)</t>
  </si>
  <si>
    <t>4.4 KM from Mansarovar Railway Station</t>
  </si>
  <si>
    <t>7500 to 8000 Staff Case 605 Salable Area Changed From 842 to 866 by smith on 27/01/2025.</t>
  </si>
  <si>
    <t>6th Floor</t>
  </si>
  <si>
    <t>Staff Case 842 to 866 on 27/01/2025.</t>
  </si>
  <si>
    <t>5th &amp; 7th to 12th Floor (Refuge Area at Mid landing between 7th - 8th, 9th - 10th &amp; 11th - 12th Floor)</t>
  </si>
  <si>
    <t>Part II = Gr/St + P1 to P3 + 4th to 20th Floor</t>
  </si>
  <si>
    <t>Average Progress
of Part I &amp; Part II</t>
  </si>
  <si>
    <t>Average Disbursement
of Part I &amp; Part II</t>
  </si>
  <si>
    <t>All Other Charges</t>
  </si>
  <si>
    <t>Recommended Rates/Other Charges of the Property have been revised on 27/01/2025 &amp; 25/02/2025</t>
  </si>
  <si>
    <t>Mr. Jasmit Singh 8779364227</t>
  </si>
  <si>
    <t>Shruti Tathare</t>
  </si>
  <si>
    <t>Pratiksha 9137852514/9920300662</t>
  </si>
  <si>
    <t>Mayur Ranvare</t>
  </si>
  <si>
    <t>Construction work is in process at the time of Visit. Internal visit was not allowed.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</si>
</sst>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sz val="11"/>
      <color rgb="FFFF0000"/>
      <name val="Times New Roman"/>
      <family val="1"/>
    </font>
    <font>
      <b/>
      <sz val="11"/>
      <color rgb="FF000000"/>
      <name val="Calibri"/>
      <family val="2"/>
    </font>
    <font>
      <b/>
      <sz val="11.5"/>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30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3" fillId="0" borderId="1" xfId="1" applyFont="1" applyBorder="1" applyAlignment="1" applyProtection="1">
      <alignment horizontal="center" vertical="top"/>
      <protection locked="0"/>
    </xf>
    <xf numFmtId="0" fontId="16"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3"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0" fillId="0" borderId="1" xfId="1" applyFont="1" applyBorder="1"/>
    <xf numFmtId="0" fontId="6" fillId="0" borderId="1" xfId="1" applyFont="1" applyBorder="1"/>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3" fillId="2" borderId="0" xfId="1" applyFont="1" applyFill="1"/>
    <xf numFmtId="14" fontId="10" fillId="0" borderId="0" xfId="1" applyNumberFormat="1" applyFont="1"/>
    <xf numFmtId="0" fontId="0" fillId="0" borderId="1" xfId="0" applyBorder="1" applyAlignment="1">
      <alignment horizontal="left" vertical="top"/>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wrapText="1"/>
      <protection locked="0"/>
    </xf>
    <xf numFmtId="0" fontId="13" fillId="0" borderId="0" xfId="1" applyFont="1" applyAlignment="1">
      <alignment horizontal="center" vertical="center"/>
    </xf>
    <xf numFmtId="0" fontId="27" fillId="0" borderId="0" xfId="1" applyFont="1" applyAlignment="1">
      <alignment horizontal="center" vertical="center"/>
    </xf>
    <xf numFmtId="1" fontId="13" fillId="0" borderId="0" xfId="1" applyNumberFormat="1" applyFont="1" applyAlignment="1">
      <alignment horizontal="center" vertical="center"/>
    </xf>
    <xf numFmtId="0" fontId="22" fillId="0" borderId="1" xfId="0" applyFont="1" applyBorder="1" applyAlignment="1">
      <alignment horizontal="center" vertical="center"/>
    </xf>
    <xf numFmtId="0" fontId="22" fillId="0" borderId="0" xfId="0" applyFont="1"/>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10" fillId="0" borderId="1" xfId="1" applyFont="1" applyBorder="1" applyAlignment="1" applyProtection="1">
      <alignment horizontal="center" vertical="top" wrapText="1"/>
      <protection locked="0"/>
    </xf>
    <xf numFmtId="0" fontId="16" fillId="0" borderId="0" xfId="0" applyFont="1" applyBorder="1" applyProtection="1">
      <protection hidden="1"/>
    </xf>
    <xf numFmtId="1" fontId="0" fillId="0" borderId="0" xfId="0" applyNumberFormat="1" applyBorder="1"/>
    <xf numFmtId="0" fontId="10" fillId="0" borderId="3" xfId="1" applyFont="1" applyBorder="1" applyAlignment="1" applyProtection="1">
      <alignment horizontal="center" vertical="top" wrapText="1"/>
      <protection locked="0"/>
    </xf>
    <xf numFmtId="9" fontId="10" fillId="0" borderId="3" xfId="8" applyFont="1" applyFill="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9" fontId="11" fillId="5" borderId="33" xfId="8" applyFont="1" applyFill="1" applyBorder="1" applyAlignment="1" applyProtection="1">
      <alignment horizontal="center" vertical="center" wrapText="1"/>
      <protection locked="0"/>
    </xf>
    <xf numFmtId="9" fontId="11" fillId="5" borderId="34" xfId="8" applyFont="1" applyFill="1" applyBorder="1" applyAlignment="1" applyProtection="1">
      <alignment horizontal="center" vertical="center" wrapText="1"/>
      <protection locked="0"/>
    </xf>
    <xf numFmtId="0" fontId="6" fillId="0" borderId="0" xfId="1" applyFont="1" applyAlignment="1">
      <alignment horizontal="center" vertical="center"/>
    </xf>
    <xf numFmtId="0" fontId="10" fillId="0" borderId="1" xfId="1" applyFont="1" applyBorder="1" applyAlignment="1" applyProtection="1">
      <alignment horizontal="left" vertical="top"/>
      <protection locked="0"/>
    </xf>
    <xf numFmtId="1" fontId="5" fillId="0" borderId="2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25"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5" fillId="0" borderId="8" xfId="0" applyNumberFormat="1" applyFont="1" applyBorder="1" applyAlignment="1" applyProtection="1">
      <alignment vertical="top" wrapText="1"/>
      <protection locked="0"/>
    </xf>
    <xf numFmtId="1" fontId="15" fillId="0" borderId="21" xfId="0" applyNumberFormat="1" applyFont="1" applyBorder="1" applyAlignment="1" applyProtection="1">
      <alignment vertical="top" wrapText="1"/>
      <protection locked="0"/>
    </xf>
    <xf numFmtId="1" fontId="15" fillId="0" borderId="9"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9" fontId="10" fillId="0" borderId="17" xfId="8" applyFont="1" applyFill="1" applyBorder="1" applyAlignment="1" applyProtection="1">
      <alignment horizontal="center" vertical="center" wrapText="1"/>
      <protection locked="0"/>
    </xf>
    <xf numFmtId="9" fontId="10" fillId="0" borderId="18"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9"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0" fontId="6" fillId="0" borderId="5" xfId="1" applyFont="1" applyBorder="1" applyAlignment="1" applyProtection="1">
      <alignment horizontal="center" vertical="top" wrapText="1"/>
      <protection locked="0"/>
    </xf>
    <xf numFmtId="0" fontId="11" fillId="0" borderId="4"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24"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1" fontId="30" fillId="0" borderId="3" xfId="1" applyNumberFormat="1" applyFont="1" applyBorder="1" applyAlignment="1" applyProtection="1">
      <alignment horizontal="center" vertical="top" wrapText="1"/>
      <protection locked="0"/>
    </xf>
    <xf numFmtId="1" fontId="30" fillId="0" borderId="16" xfId="1" applyNumberFormat="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7" fontId="6" fillId="0" borderId="1" xfId="9" applyNumberFormat="1" applyFont="1" applyFill="1" applyBorder="1" applyAlignment="1" applyProtection="1">
      <alignment horizontal="left" vertical="top"/>
      <protection locked="0"/>
    </xf>
    <xf numFmtId="1" fontId="9" fillId="0" borderId="33" xfId="0" applyNumberFormat="1" applyFont="1" applyBorder="1" applyAlignment="1" applyProtection="1">
      <alignment horizontal="center" vertical="top" wrapText="1"/>
      <protection locked="0"/>
    </xf>
    <xf numFmtId="0" fontId="9" fillId="0" borderId="16" xfId="1" applyFont="1" applyBorder="1" applyAlignment="1" applyProtection="1">
      <alignment horizontal="center" vertical="top"/>
      <protection locked="0"/>
    </xf>
    <xf numFmtId="0" fontId="10" fillId="0" borderId="1" xfId="1" applyFont="1" applyBorder="1" applyAlignment="1" applyProtection="1">
      <alignment horizontal="center"/>
      <protection locked="0"/>
    </xf>
    <xf numFmtId="0" fontId="10" fillId="0" borderId="8" xfId="1" applyFont="1" applyBorder="1" applyAlignment="1" applyProtection="1">
      <alignment horizontal="center" vertical="top"/>
      <protection locked="0"/>
    </xf>
    <xf numFmtId="0" fontId="10" fillId="0" borderId="21" xfId="1" applyFont="1" applyBorder="1" applyAlignment="1" applyProtection="1">
      <alignment horizontal="center" vertical="top"/>
      <protection locked="0"/>
    </xf>
    <xf numFmtId="0" fontId="10"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10" fillId="0" borderId="17"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0"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0" fillId="0" borderId="3" xfId="1" applyFont="1" applyBorder="1" applyAlignment="1" applyProtection="1">
      <alignment horizontal="left" vertical="top" wrapText="1"/>
      <protection locked="0"/>
    </xf>
    <xf numFmtId="0" fontId="10" fillId="0" borderId="3" xfId="1" applyFont="1" applyBorder="1" applyAlignment="1" applyProtection="1">
      <alignment horizontal="left" vertical="top"/>
      <protection locked="0"/>
    </xf>
    <xf numFmtId="0" fontId="10" fillId="0" borderId="24"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10" fillId="0" borderId="25" xfId="1" applyFont="1" applyBorder="1" applyAlignment="1" applyProtection="1">
      <alignment horizontal="left" vertical="top" wrapText="1"/>
      <protection locked="0"/>
    </xf>
    <xf numFmtId="0" fontId="10" fillId="0" borderId="0" xfId="1" applyFont="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3" fillId="0" borderId="25" xfId="1" applyFont="1" applyBorder="1" applyAlignment="1" applyProtection="1">
      <alignment horizontal="left" vertical="top"/>
      <protection locked="0"/>
    </xf>
    <xf numFmtId="0" fontId="13" fillId="0" borderId="0" xfId="1" applyFont="1" applyAlignment="1" applyProtection="1">
      <alignment horizontal="left" vertical="top"/>
      <protection locked="0"/>
    </xf>
    <xf numFmtId="0" fontId="13" fillId="0" borderId="26"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0" fillId="0" borderId="1" xfId="1" applyFont="1" applyBorder="1" applyAlignment="1" applyProtection="1">
      <alignment horizontal="left"/>
      <protection locked="0"/>
    </xf>
    <xf numFmtId="0" fontId="29"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4" fontId="10"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7" fillId="0" borderId="16" xfId="1" applyFont="1" applyBorder="1" applyAlignment="1" applyProtection="1">
      <alignment horizontal="left" vertical="top"/>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9" fillId="0" borderId="33" xfId="0" applyFont="1" applyBorder="1" applyAlignment="1" applyProtection="1">
      <alignment horizontal="center" vertical="center"/>
      <protection locked="0"/>
    </xf>
    <xf numFmtId="0" fontId="5" fillId="0" borderId="1" xfId="1" applyFont="1" applyBorder="1" applyAlignment="1" applyProtection="1">
      <alignment vertical="top"/>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2"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1" fillId="5" borderId="33" xfId="1" applyNumberFormat="1" applyFont="1" applyFill="1" applyBorder="1" applyAlignment="1" applyProtection="1">
      <alignment horizontal="center" vertical="center" wrapText="1"/>
      <protection locked="0"/>
    </xf>
    <xf numFmtId="0" fontId="11" fillId="5" borderId="33" xfId="1" applyFont="1" applyFill="1" applyBorder="1" applyAlignment="1" applyProtection="1">
      <alignment horizontal="center" vertical="center" wrapText="1"/>
      <protection locked="0"/>
    </xf>
    <xf numFmtId="0" fontId="11" fillId="5" borderId="32" xfId="1" applyFont="1" applyFill="1" applyBorder="1" applyAlignment="1" applyProtection="1">
      <alignment horizontal="center" vertical="center" wrapText="1"/>
      <protection locked="0"/>
    </xf>
    <xf numFmtId="0" fontId="10" fillId="0" borderId="35"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8</xdr:col>
      <xdr:colOff>196850</xdr:colOff>
      <xdr:row>15</xdr:row>
      <xdr:rowOff>133350</xdr:rowOff>
    </xdr:from>
    <xdr:to>
      <xdr:col>12</xdr:col>
      <xdr:colOff>744950</xdr:colOff>
      <xdr:row>18</xdr:row>
      <xdr:rowOff>185224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6819900" y="3695700"/>
          <a:ext cx="4320000" cy="871024"/>
        </a:xfrm>
        <a:prstGeom prst="rect">
          <a:avLst/>
        </a:prstGeom>
        <a:ln>
          <a:solidFill>
            <a:schemeClr val="tx1"/>
          </a:solidFill>
        </a:ln>
      </xdr:spPr>
    </xdr:pic>
    <xdr:clientData/>
  </xdr:twoCellAnchor>
  <xdr:twoCellAnchor editAs="oneCell">
    <xdr:from>
      <xdr:col>8</xdr:col>
      <xdr:colOff>1041400</xdr:colOff>
      <xdr:row>40</xdr:row>
      <xdr:rowOff>139701</xdr:rowOff>
    </xdr:from>
    <xdr:to>
      <xdr:col>12</xdr:col>
      <xdr:colOff>190775</xdr:colOff>
      <xdr:row>51</xdr:row>
      <xdr:rowOff>168236</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356475" y="9121776"/>
          <a:ext cx="2749825" cy="2457410"/>
        </a:xfrm>
        <a:prstGeom prst="rect">
          <a:avLst/>
        </a:prstGeom>
        <a:ln>
          <a:solidFill>
            <a:schemeClr val="tx1"/>
          </a:solidFill>
        </a:ln>
      </xdr:spPr>
    </xdr:pic>
    <xdr:clientData/>
  </xdr:twoCellAnchor>
  <xdr:twoCellAnchor editAs="oneCell">
    <xdr:from>
      <xdr:col>8</xdr:col>
      <xdr:colOff>977900</xdr:colOff>
      <xdr:row>52</xdr:row>
      <xdr:rowOff>273050</xdr:rowOff>
    </xdr:from>
    <xdr:to>
      <xdr:col>15</xdr:col>
      <xdr:colOff>94575</xdr:colOff>
      <xdr:row>61</xdr:row>
      <xdr:rowOff>141429</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292975" y="12065000"/>
          <a:ext cx="5155525" cy="2497279"/>
        </a:xfrm>
        <a:prstGeom prst="rect">
          <a:avLst/>
        </a:prstGeom>
        <a:ln>
          <a:solidFill>
            <a:schemeClr val="tx1"/>
          </a:solidFill>
        </a:ln>
      </xdr:spPr>
    </xdr:pic>
    <xdr:clientData/>
  </xdr:twoCellAnchor>
  <xdr:twoCellAnchor editAs="oneCell">
    <xdr:from>
      <xdr:col>9</xdr:col>
      <xdr:colOff>355600</xdr:colOff>
      <xdr:row>158</xdr:row>
      <xdr:rowOff>127000</xdr:rowOff>
    </xdr:from>
    <xdr:to>
      <xdr:col>14</xdr:col>
      <xdr:colOff>421100</xdr:colOff>
      <xdr:row>171</xdr:row>
      <xdr:rowOff>12690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197850" y="31280100"/>
          <a:ext cx="4320000" cy="2444740"/>
        </a:xfrm>
        <a:prstGeom prst="rect">
          <a:avLst/>
        </a:prstGeom>
        <a:ln>
          <a:solidFill>
            <a:schemeClr val="tx1"/>
          </a:solidFill>
        </a:ln>
      </xdr:spPr>
    </xdr:pic>
    <xdr:clientData/>
  </xdr:twoCellAnchor>
  <xdr:twoCellAnchor editAs="oneCell">
    <xdr:from>
      <xdr:col>10</xdr:col>
      <xdr:colOff>546100</xdr:colOff>
      <xdr:row>174</xdr:row>
      <xdr:rowOff>552451</xdr:rowOff>
    </xdr:from>
    <xdr:to>
      <xdr:col>16</xdr:col>
      <xdr:colOff>101650</xdr:colOff>
      <xdr:row>189</xdr:row>
      <xdr:rowOff>342469</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9188450" y="28200351"/>
          <a:ext cx="4680000" cy="3142818"/>
        </a:xfrm>
        <a:prstGeom prst="rect">
          <a:avLst/>
        </a:prstGeom>
        <a:ln>
          <a:solidFill>
            <a:schemeClr val="tx1"/>
          </a:solidFill>
        </a:ln>
      </xdr:spPr>
    </xdr:pic>
    <xdr:clientData/>
  </xdr:twoCellAnchor>
  <xdr:twoCellAnchor editAs="oneCell">
    <xdr:from>
      <xdr:col>11</xdr:col>
      <xdr:colOff>231775</xdr:colOff>
      <xdr:row>70</xdr:row>
      <xdr:rowOff>650876</xdr:rowOff>
    </xdr:from>
    <xdr:to>
      <xdr:col>13</xdr:col>
      <xdr:colOff>601075</xdr:colOff>
      <xdr:row>83</xdr:row>
      <xdr:rowOff>127000</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223375" y="16471901"/>
          <a:ext cx="2083800" cy="3095624"/>
        </a:xfrm>
        <a:prstGeom prst="rect">
          <a:avLst/>
        </a:prstGeom>
        <a:ln>
          <a:solidFill>
            <a:schemeClr val="tx1"/>
          </a:solidFill>
        </a:ln>
      </xdr:spPr>
    </xdr:pic>
    <xdr:clientData/>
  </xdr:twoCellAnchor>
  <xdr:twoCellAnchor editAs="oneCell">
    <xdr:from>
      <xdr:col>2</xdr:col>
      <xdr:colOff>398378</xdr:colOff>
      <xdr:row>324</xdr:row>
      <xdr:rowOff>76200</xdr:rowOff>
    </xdr:from>
    <xdr:to>
      <xdr:col>5</xdr:col>
      <xdr:colOff>394923</xdr:colOff>
      <xdr:row>349</xdr:row>
      <xdr:rowOff>194950</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7"/>
        <a:stretch>
          <a:fillRect/>
        </a:stretch>
      </xdr:blipFill>
      <xdr:spPr>
        <a:xfrm>
          <a:off x="2036678" y="49066450"/>
          <a:ext cx="2663545" cy="5040000"/>
        </a:xfrm>
        <a:prstGeom prst="rect">
          <a:avLst/>
        </a:prstGeom>
        <a:ln>
          <a:solidFill>
            <a:schemeClr val="tx1"/>
          </a:solidFill>
        </a:ln>
      </xdr:spPr>
    </xdr:pic>
    <xdr:clientData/>
  </xdr:twoCellAnchor>
  <xdr:twoCellAnchor editAs="oneCell">
    <xdr:from>
      <xdr:col>2</xdr:col>
      <xdr:colOff>304800</xdr:colOff>
      <xdr:row>350</xdr:row>
      <xdr:rowOff>130151</xdr:rowOff>
    </xdr:from>
    <xdr:to>
      <xdr:col>5</xdr:col>
      <xdr:colOff>517800</xdr:colOff>
      <xdr:row>364</xdr:row>
      <xdr:rowOff>27965</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3100" y="54238501"/>
          <a:ext cx="2880000" cy="2653714"/>
        </a:xfrm>
        <a:prstGeom prst="rect">
          <a:avLst/>
        </a:prstGeom>
        <a:ln>
          <a:solidFill>
            <a:schemeClr val="tx1"/>
          </a:solidFill>
        </a:ln>
      </xdr:spPr>
    </xdr:pic>
    <xdr:clientData/>
  </xdr:twoCellAnchor>
  <xdr:twoCellAnchor editAs="oneCell">
    <xdr:from>
      <xdr:col>1</xdr:col>
      <xdr:colOff>364784</xdr:colOff>
      <xdr:row>367</xdr:row>
      <xdr:rowOff>69850</xdr:rowOff>
    </xdr:from>
    <xdr:to>
      <xdr:col>6</xdr:col>
      <xdr:colOff>398534</xdr:colOff>
      <xdr:row>386</xdr:row>
      <xdr:rowOff>180135</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164884" y="57435750"/>
          <a:ext cx="4320000" cy="3850435"/>
        </a:xfrm>
        <a:prstGeom prst="rect">
          <a:avLst/>
        </a:prstGeom>
        <a:ln>
          <a:solidFill>
            <a:schemeClr val="tx1"/>
          </a:solidFill>
        </a:ln>
      </xdr:spPr>
    </xdr:pic>
    <xdr:clientData/>
  </xdr:twoCellAnchor>
  <xdr:twoCellAnchor editAs="oneCell">
    <xdr:from>
      <xdr:col>1</xdr:col>
      <xdr:colOff>120650</xdr:colOff>
      <xdr:row>387</xdr:row>
      <xdr:rowOff>67182</xdr:rowOff>
    </xdr:from>
    <xdr:to>
      <xdr:col>6</xdr:col>
      <xdr:colOff>514400</xdr:colOff>
      <xdr:row>407</xdr:row>
      <xdr:rowOff>186182</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920750" y="61370082"/>
          <a:ext cx="4680000" cy="4056000"/>
        </a:xfrm>
        <a:prstGeom prst="rect">
          <a:avLst/>
        </a:prstGeom>
        <a:ln>
          <a:solidFill>
            <a:schemeClr val="tx1"/>
          </a:solidFill>
        </a:ln>
      </xdr:spPr>
    </xdr:pic>
    <xdr:clientData/>
  </xdr:twoCellAnchor>
  <xdr:twoCellAnchor>
    <xdr:from>
      <xdr:col>3</xdr:col>
      <xdr:colOff>853961</xdr:colOff>
      <xdr:row>394</xdr:row>
      <xdr:rowOff>184743</xdr:rowOff>
    </xdr:from>
    <xdr:to>
      <xdr:col>4</xdr:col>
      <xdr:colOff>522517</xdr:colOff>
      <xdr:row>399</xdr:row>
      <xdr:rowOff>139702</xdr:rowOff>
    </xdr:to>
    <xdr:sp macro="" textlink="">
      <xdr:nvSpPr>
        <xdr:cNvPr id="23" name="Rectangle 22">
          <a:extLst>
            <a:ext uri="{FF2B5EF4-FFF2-40B4-BE49-F238E27FC236}">
              <a16:creationId xmlns:a16="http://schemas.microsoft.com/office/drawing/2014/main" xmlns="" id="{00000000-0008-0000-0000-000017000000}"/>
            </a:ext>
          </a:extLst>
        </xdr:cNvPr>
        <xdr:cNvSpPr/>
      </xdr:nvSpPr>
      <xdr:spPr>
        <a:xfrm rot="19712155">
          <a:off x="3381261" y="62865593"/>
          <a:ext cx="627406" cy="93920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0</xdr:col>
      <xdr:colOff>180975</xdr:colOff>
      <xdr:row>281</xdr:row>
      <xdr:rowOff>65086</xdr:rowOff>
    </xdr:from>
    <xdr:to>
      <xdr:col>7</xdr:col>
      <xdr:colOff>523875</xdr:colOff>
      <xdr:row>319</xdr:row>
      <xdr:rowOff>121649</xdr:rowOff>
    </xdr:to>
    <xdr:grpSp>
      <xdr:nvGrpSpPr>
        <xdr:cNvPr id="9" name="Group 8"/>
        <xdr:cNvGrpSpPr/>
      </xdr:nvGrpSpPr>
      <xdr:grpSpPr>
        <a:xfrm>
          <a:off x="180975" y="43794361"/>
          <a:ext cx="5924550" cy="7647988"/>
          <a:chOff x="180975" y="43794361"/>
          <a:chExt cx="5924550" cy="7647988"/>
        </a:xfrm>
      </xdr:grpSpPr>
      <xdr:pic>
        <xdr:nvPicPr>
          <xdr:cNvPr id="25" name="Picture 24" descr="https://vsjcllp.vsjadon.com/upload/insp-246639-152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495800" y="49501424"/>
            <a:ext cx="1460243" cy="1940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6639-843.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390775" y="46680436"/>
            <a:ext cx="3592272" cy="27066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6639-84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76226" y="49480786"/>
            <a:ext cx="2575962" cy="1940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6639-88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47650" y="46691549"/>
            <a:ext cx="2036362" cy="27066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6639-93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390774" y="43794361"/>
            <a:ext cx="3714751" cy="27989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639-92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80975" y="43795949"/>
            <a:ext cx="2105791" cy="27989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6639-1512.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952751" y="49501424"/>
            <a:ext cx="1454178" cy="1940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41220</xdr:colOff>
      <xdr:row>14</xdr:row>
      <xdr:rowOff>0</xdr:rowOff>
    </xdr:from>
    <xdr:to>
      <xdr:col>2</xdr:col>
      <xdr:colOff>1383458</xdr:colOff>
      <xdr:row>29</xdr:row>
      <xdr:rowOff>63588</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53808" y="2696882"/>
          <a:ext cx="2888650" cy="2880000"/>
        </a:xfrm>
        <a:prstGeom prst="rect">
          <a:avLst/>
        </a:prstGeom>
        <a:ln>
          <a:solidFill>
            <a:schemeClr val="tx1"/>
          </a:solidFill>
        </a:ln>
      </xdr:spPr>
    </xdr:pic>
    <xdr:clientData/>
  </xdr:twoCellAnchor>
  <xdr:twoCellAnchor editAs="oneCell">
    <xdr:from>
      <xdr:col>2</xdr:col>
      <xdr:colOff>1500610</xdr:colOff>
      <xdr:row>14</xdr:row>
      <xdr:rowOff>0</xdr:rowOff>
    </xdr:from>
    <xdr:to>
      <xdr:col>5</xdr:col>
      <xdr:colOff>370147</xdr:colOff>
      <xdr:row>29</xdr:row>
      <xdr:rowOff>63588</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59610" y="2696882"/>
          <a:ext cx="3053066" cy="2880000"/>
        </a:xfrm>
        <a:prstGeom prst="rect">
          <a:avLst/>
        </a:prstGeom>
        <a:ln>
          <a:solidFill>
            <a:schemeClr val="tx1"/>
          </a:solidFill>
        </a:ln>
      </xdr:spPr>
    </xdr:pic>
    <xdr:clientData/>
  </xdr:twoCellAnchor>
  <xdr:twoCellAnchor editAs="oneCell">
    <xdr:from>
      <xdr:col>1</xdr:col>
      <xdr:colOff>0</xdr:colOff>
      <xdr:row>29</xdr:row>
      <xdr:rowOff>173725</xdr:rowOff>
    </xdr:from>
    <xdr:to>
      <xdr:col>2</xdr:col>
      <xdr:colOff>1500610</xdr:colOff>
      <xdr:row>45</xdr:row>
      <xdr:rowOff>65490</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12588" y="5687019"/>
          <a:ext cx="3047022" cy="2880000"/>
        </a:xfrm>
        <a:prstGeom prst="rect">
          <a:avLst/>
        </a:prstGeom>
        <a:ln>
          <a:solidFill>
            <a:schemeClr val="tx1"/>
          </a:solidFill>
        </a:ln>
      </xdr:spPr>
    </xdr:pic>
    <xdr:clientData/>
  </xdr:twoCellAnchor>
  <xdr:twoCellAnchor editAs="oneCell">
    <xdr:from>
      <xdr:col>2</xdr:col>
      <xdr:colOff>1576499</xdr:colOff>
      <xdr:row>29</xdr:row>
      <xdr:rowOff>173725</xdr:rowOff>
    </xdr:from>
    <xdr:to>
      <xdr:col>5</xdr:col>
      <xdr:colOff>370147</xdr:colOff>
      <xdr:row>45</xdr:row>
      <xdr:rowOff>65490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35499" y="5687019"/>
          <a:ext cx="2977177" cy="2880000"/>
        </a:xfrm>
        <a:prstGeom prst="rect">
          <a:avLst/>
        </a:prstGeom>
        <a:ln>
          <a:solidFill>
            <a:schemeClr val="tx1"/>
          </a:solidFill>
        </a:ln>
      </xdr:spPr>
    </xdr:pic>
    <xdr:clientData/>
  </xdr:twoCellAnchor>
  <xdr:twoCellAnchor editAs="oneCell">
    <xdr:from>
      <xdr:col>1</xdr:col>
      <xdr:colOff>56165</xdr:colOff>
      <xdr:row>45</xdr:row>
      <xdr:rowOff>175627</xdr:rowOff>
    </xdr:from>
    <xdr:to>
      <xdr:col>2</xdr:col>
      <xdr:colOff>1515555</xdr:colOff>
      <xdr:row>61</xdr:row>
      <xdr:rowOff>67391</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68753" y="8677156"/>
          <a:ext cx="3005802" cy="2880000"/>
        </a:xfrm>
        <a:prstGeom prst="rect">
          <a:avLst/>
        </a:prstGeom>
        <a:ln>
          <a:solidFill>
            <a:schemeClr val="tx1"/>
          </a:solidFill>
        </a:ln>
      </xdr:spPr>
    </xdr:pic>
    <xdr:clientData/>
  </xdr:twoCellAnchor>
  <xdr:twoCellAnchor editAs="oneCell">
    <xdr:from>
      <xdr:col>2</xdr:col>
      <xdr:colOff>1576499</xdr:colOff>
      <xdr:row>45</xdr:row>
      <xdr:rowOff>175627</xdr:rowOff>
    </xdr:from>
    <xdr:to>
      <xdr:col>5</xdr:col>
      <xdr:colOff>759509</xdr:colOff>
      <xdr:row>61</xdr:row>
      <xdr:rowOff>67391</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7"/>
        <a:stretch>
          <a:fillRect/>
        </a:stretch>
      </xdr:blipFill>
      <xdr:spPr>
        <a:xfrm>
          <a:off x="3735499" y="8677156"/>
          <a:ext cx="3366539" cy="288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mg3eeohbyDqXUkY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67"/>
  <sheetViews>
    <sheetView tabSelected="1" view="pageBreakPreview" zoomScaleNormal="100" zoomScaleSheetLayoutView="100" zoomScalePageLayoutView="85" workbookViewId="0">
      <selection activeCell="K22" sqref="K22"/>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52" t="s">
        <v>165</v>
      </c>
      <c r="B1" s="252"/>
      <c r="C1" s="252"/>
      <c r="D1" s="252"/>
      <c r="E1" s="252"/>
      <c r="F1" s="252"/>
      <c r="G1" s="252"/>
      <c r="H1" s="252"/>
    </row>
    <row r="2" spans="1:26" ht="16.5" customHeight="1" x14ac:dyDescent="0.25">
      <c r="A2" s="253" t="s">
        <v>0</v>
      </c>
      <c r="B2" s="253"/>
      <c r="C2" s="253"/>
      <c r="D2" s="253"/>
      <c r="E2" s="253"/>
      <c r="F2" s="253"/>
      <c r="G2" s="253"/>
      <c r="H2" s="253"/>
    </row>
    <row r="3" spans="1:26" x14ac:dyDescent="0.25">
      <c r="A3" s="122" t="s">
        <v>1</v>
      </c>
      <c r="B3" s="122"/>
      <c r="C3" s="122"/>
      <c r="D3" s="122"/>
      <c r="E3" s="122" t="str">
        <f ca="1">TEXT(TODAY(),"DD/MM/YYYY")</f>
        <v>10/09/2025</v>
      </c>
      <c r="F3" s="122"/>
      <c r="G3" s="122"/>
      <c r="H3" s="122"/>
      <c r="K3" s="56" t="s">
        <v>238</v>
      </c>
      <c r="L3" s="53" t="s">
        <v>236</v>
      </c>
      <c r="M3" s="53" t="s">
        <v>241</v>
      </c>
      <c r="N3" s="53" t="s">
        <v>239</v>
      </c>
      <c r="O3" s="53" t="s">
        <v>344</v>
      </c>
      <c r="P3" s="53" t="s">
        <v>242</v>
      </c>
    </row>
    <row r="4" spans="1:26" ht="15" customHeight="1" x14ac:dyDescent="0.25">
      <c r="A4" s="122" t="s">
        <v>235</v>
      </c>
      <c r="B4" s="122"/>
      <c r="C4" s="122"/>
      <c r="D4" s="122"/>
      <c r="E4" s="122" t="s">
        <v>236</v>
      </c>
      <c r="F4" s="122"/>
      <c r="G4" s="122"/>
      <c r="H4" s="122"/>
      <c r="K4" s="52" t="s">
        <v>237</v>
      </c>
      <c r="L4" s="53" t="s">
        <v>172</v>
      </c>
      <c r="M4" s="53" t="s">
        <v>246</v>
      </c>
      <c r="N4" s="53" t="s">
        <v>248</v>
      </c>
      <c r="O4" s="53" t="s">
        <v>345</v>
      </c>
      <c r="P4" s="53"/>
    </row>
    <row r="5" spans="1:26" ht="15" customHeight="1" x14ac:dyDescent="0.25">
      <c r="A5" s="122" t="s">
        <v>2</v>
      </c>
      <c r="B5" s="122"/>
      <c r="C5" s="122"/>
      <c r="D5" s="122"/>
      <c r="E5" s="122" t="s">
        <v>244</v>
      </c>
      <c r="F5" s="122"/>
      <c r="G5" s="122"/>
      <c r="H5" s="122"/>
      <c r="K5" s="52"/>
      <c r="L5" s="53" t="s">
        <v>243</v>
      </c>
      <c r="M5" s="53" t="s">
        <v>247</v>
      </c>
      <c r="N5" s="53" t="s">
        <v>249</v>
      </c>
      <c r="O5" s="53" t="s">
        <v>346</v>
      </c>
      <c r="P5" s="53"/>
    </row>
    <row r="6" spans="1:26" x14ac:dyDescent="0.25">
      <c r="A6" s="122" t="s">
        <v>3</v>
      </c>
      <c r="B6" s="122"/>
      <c r="C6" s="122"/>
      <c r="D6" s="122"/>
      <c r="E6" s="254">
        <v>45908</v>
      </c>
      <c r="F6" s="122"/>
      <c r="G6" s="122"/>
      <c r="H6" s="122"/>
      <c r="K6" s="52"/>
      <c r="L6" s="53" t="s">
        <v>244</v>
      </c>
      <c r="M6" s="53"/>
      <c r="N6" s="53"/>
      <c r="O6" s="53" t="s">
        <v>347</v>
      </c>
      <c r="P6" s="53"/>
    </row>
    <row r="7" spans="1:26" ht="16.5" customHeight="1" x14ac:dyDescent="0.25">
      <c r="A7" s="122" t="s">
        <v>4</v>
      </c>
      <c r="B7" s="122"/>
      <c r="C7" s="122"/>
      <c r="D7" s="122"/>
      <c r="E7" s="122" t="s">
        <v>360</v>
      </c>
      <c r="F7" s="122"/>
      <c r="G7" s="122"/>
      <c r="H7" s="122"/>
      <c r="K7" s="52"/>
      <c r="L7" s="53" t="s">
        <v>245</v>
      </c>
      <c r="M7" s="53"/>
      <c r="N7" s="53"/>
      <c r="O7" s="53" t="s">
        <v>347</v>
      </c>
      <c r="P7" s="53"/>
    </row>
    <row r="8" spans="1:26" ht="15" customHeight="1" x14ac:dyDescent="0.25">
      <c r="A8" s="122" t="s">
        <v>5</v>
      </c>
      <c r="B8" s="122"/>
      <c r="C8" s="122"/>
      <c r="D8" s="122"/>
      <c r="E8" s="122" t="str">
        <f>E7</f>
        <v>Tricity Realty LLP</v>
      </c>
      <c r="F8" s="122"/>
      <c r="G8" s="122"/>
      <c r="H8" s="122"/>
      <c r="K8" s="52"/>
      <c r="L8" s="53"/>
      <c r="M8" s="53"/>
      <c r="N8" s="53"/>
      <c r="O8" s="53" t="s">
        <v>348</v>
      </c>
      <c r="P8" s="53"/>
    </row>
    <row r="9" spans="1:26" x14ac:dyDescent="0.25">
      <c r="A9" s="122" t="s">
        <v>6</v>
      </c>
      <c r="B9" s="122"/>
      <c r="C9" s="122"/>
      <c r="D9" s="122"/>
      <c r="E9" s="167" t="s">
        <v>361</v>
      </c>
      <c r="F9" s="167"/>
      <c r="G9" s="167"/>
      <c r="H9" s="167"/>
      <c r="K9" s="52"/>
      <c r="L9" s="53"/>
      <c r="M9" s="53"/>
      <c r="N9" s="53"/>
      <c r="O9" s="53" t="s">
        <v>349</v>
      </c>
      <c r="P9" s="53"/>
    </row>
    <row r="10" spans="1:26" x14ac:dyDescent="0.25">
      <c r="A10" s="122" t="s">
        <v>168</v>
      </c>
      <c r="B10" s="122"/>
      <c r="C10" s="122"/>
      <c r="D10" s="122"/>
      <c r="E10" s="122" t="s">
        <v>417</v>
      </c>
      <c r="F10" s="122"/>
      <c r="G10" s="122"/>
      <c r="H10" s="122"/>
      <c r="K10" s="52"/>
      <c r="L10" s="53"/>
      <c r="M10" s="53"/>
      <c r="N10" s="53"/>
      <c r="O10" s="53" t="s">
        <v>350</v>
      </c>
      <c r="P10" s="53"/>
    </row>
    <row r="11" spans="1:26" x14ac:dyDescent="0.25">
      <c r="A11" s="122" t="s">
        <v>169</v>
      </c>
      <c r="B11" s="122"/>
      <c r="C11" s="122"/>
      <c r="D11" s="122"/>
      <c r="E11" s="122" t="s">
        <v>415</v>
      </c>
      <c r="F11" s="122"/>
      <c r="G11" s="122"/>
      <c r="H11" s="122"/>
      <c r="I11" s="122" t="s">
        <v>396</v>
      </c>
      <c r="J11" s="122"/>
      <c r="K11" s="122"/>
      <c r="L11" s="122"/>
      <c r="O11" s="53" t="s">
        <v>351</v>
      </c>
    </row>
    <row r="12" spans="1:26" x14ac:dyDescent="0.25">
      <c r="A12" s="122" t="s">
        <v>7</v>
      </c>
      <c r="B12" s="122"/>
      <c r="C12" s="122"/>
      <c r="D12" s="122"/>
      <c r="E12" s="122" t="s">
        <v>118</v>
      </c>
      <c r="F12" s="122"/>
      <c r="G12" s="122"/>
      <c r="H12" s="122"/>
    </row>
    <row r="13" spans="1:26" x14ac:dyDescent="0.25">
      <c r="A13" s="122" t="s">
        <v>173</v>
      </c>
      <c r="B13" s="122"/>
      <c r="C13" s="122"/>
      <c r="D13" s="122"/>
      <c r="E13" s="122" t="s">
        <v>28</v>
      </c>
      <c r="F13" s="122"/>
      <c r="G13" s="122"/>
      <c r="H13" s="122"/>
      <c r="S13" s="53" t="s">
        <v>182</v>
      </c>
      <c r="T13" s="53" t="s">
        <v>191</v>
      </c>
      <c r="U13" s="53" t="s">
        <v>174</v>
      </c>
      <c r="V13" s="53" t="s">
        <v>196</v>
      </c>
      <c r="W13" s="53" t="s">
        <v>214</v>
      </c>
      <c r="X13"/>
      <c r="Y13" t="s">
        <v>196</v>
      </c>
      <c r="Z13" t="e">
        <f ca="1">OFFSET($S$13,1,MATCH($G20,$S$13:$W$13,0)-1,15,1)</f>
        <v>#VALUE!</v>
      </c>
    </row>
    <row r="14" spans="1:26" s="23" customFormat="1" x14ac:dyDescent="0.25">
      <c r="A14" s="122" t="s">
        <v>281</v>
      </c>
      <c r="B14" s="122"/>
      <c r="C14" s="122"/>
      <c r="D14" s="122"/>
      <c r="E14" s="188" t="s">
        <v>229</v>
      </c>
      <c r="F14" s="188"/>
      <c r="G14" s="188"/>
      <c r="H14" s="188"/>
      <c r="S14" s="106" t="s">
        <v>182</v>
      </c>
      <c r="T14" s="106" t="s">
        <v>189</v>
      </c>
      <c r="U14" s="106" t="s">
        <v>211</v>
      </c>
      <c r="V14" s="106" t="s">
        <v>197</v>
      </c>
      <c r="W14" s="106" t="s">
        <v>215</v>
      </c>
      <c r="X14" s="107"/>
      <c r="Y14" s="107"/>
      <c r="Z14" s="107"/>
    </row>
    <row r="15" spans="1:26" x14ac:dyDescent="0.25">
      <c r="A15" s="186" t="s">
        <v>8</v>
      </c>
      <c r="B15" s="186"/>
      <c r="C15" s="186"/>
      <c r="D15" s="186"/>
      <c r="E15" s="188" t="s">
        <v>359</v>
      </c>
      <c r="F15" s="122"/>
      <c r="G15" s="122"/>
      <c r="H15" s="122"/>
      <c r="I15" s="279" t="e">
        <f ca="1">OFFSET($D$5,1,MATCH($J13,$D$5:$H$5,0)-1,15,1)</f>
        <v>#N/A</v>
      </c>
      <c r="J15" s="280"/>
      <c r="K15" s="280"/>
      <c r="L15" s="280"/>
      <c r="M15" s="280"/>
      <c r="N15" s="280"/>
      <c r="O15" s="280"/>
      <c r="P15" s="280"/>
      <c r="S15" s="53" t="s">
        <v>183</v>
      </c>
      <c r="T15" s="53" t="s">
        <v>190</v>
      </c>
      <c r="U15" s="53" t="s">
        <v>212</v>
      </c>
      <c r="V15" s="53" t="s">
        <v>198</v>
      </c>
      <c r="W15" s="53" t="s">
        <v>228</v>
      </c>
      <c r="X15"/>
      <c r="Y15"/>
      <c r="Z15"/>
    </row>
    <row r="16" spans="1:26" ht="33.6" customHeight="1" x14ac:dyDescent="0.25">
      <c r="A16" s="188" t="s">
        <v>9</v>
      </c>
      <c r="B16" s="188"/>
      <c r="C16" s="188" t="str">
        <f>CONCATENATE((IF(OR(E9="",E9="NA"),"",E9)),", ",(IF(OR(A17="",A17="NA"),"",A17)),".",(IF(OR(C17="",C17="NA"),"",C17)),", near ",(IF(OR(C22="",C22="NA"),"",C22)),", ",(IF(OR(C19="",C19="NA"),"",C19)),", ",(IF(OR(C18="",C18="NA"),"",C18)),", ",(IF(OR(G19="",G19="NA"),"",G19)),", ",(IF(OR(C20="",C20="NA"),"",C20)),", ",(IF(OR(C21="",C21="NA"),"",C21)),", ",(IF(OR(G20="",G20="NA"),"",G20))," - ",(IF(OR(G21="",G21="NA"),"",G21)),".")</f>
        <v>Tricity Bayview, Plot No.76/2, Sector : 17, near Tricity WaterFront, Roadpali Road, Roadpali, Kalamboli, Panvel, Panvel, Raigad - 410218.</v>
      </c>
      <c r="D16" s="188"/>
      <c r="E16" s="188"/>
      <c r="F16" s="188"/>
      <c r="G16" s="188"/>
      <c r="H16" s="188"/>
      <c r="S16" s="53" t="s">
        <v>184</v>
      </c>
      <c r="T16" s="53" t="s">
        <v>192</v>
      </c>
      <c r="U16" s="53" t="s">
        <v>213</v>
      </c>
      <c r="V16" s="53" t="s">
        <v>199</v>
      </c>
      <c r="W16" s="53" t="s">
        <v>216</v>
      </c>
      <c r="X16"/>
      <c r="Y16"/>
      <c r="Z16"/>
    </row>
    <row r="17" spans="1:26" x14ac:dyDescent="0.25">
      <c r="A17" s="188" t="s">
        <v>364</v>
      </c>
      <c r="B17" s="188"/>
      <c r="C17" s="188" t="s">
        <v>397</v>
      </c>
      <c r="D17" s="188"/>
      <c r="E17" s="188"/>
      <c r="F17" s="188"/>
      <c r="G17" s="188"/>
      <c r="H17" s="188"/>
      <c r="S17" s="53" t="s">
        <v>185</v>
      </c>
      <c r="T17" s="53" t="s">
        <v>193</v>
      </c>
      <c r="U17" s="53" t="s">
        <v>174</v>
      </c>
      <c r="V17" s="53" t="s">
        <v>200</v>
      </c>
      <c r="W17" s="53" t="s">
        <v>217</v>
      </c>
      <c r="X17"/>
      <c r="Y17"/>
      <c r="Z17"/>
    </row>
    <row r="18" spans="1:26" ht="15.75" customHeight="1" x14ac:dyDescent="0.25">
      <c r="A18" s="188" t="s">
        <v>163</v>
      </c>
      <c r="B18" s="188"/>
      <c r="C18" s="188" t="s">
        <v>366</v>
      </c>
      <c r="D18" s="188"/>
      <c r="E18" s="188"/>
      <c r="F18" s="188"/>
      <c r="G18" s="188"/>
      <c r="H18" s="188"/>
      <c r="S18" s="53" t="s">
        <v>186</v>
      </c>
      <c r="T18" s="53" t="s">
        <v>191</v>
      </c>
      <c r="U18" s="53"/>
      <c r="V18" s="53" t="s">
        <v>201</v>
      </c>
      <c r="W18" s="53" t="s">
        <v>218</v>
      </c>
      <c r="X18"/>
      <c r="Y18"/>
      <c r="Z18"/>
    </row>
    <row r="19" spans="1:26" ht="15.75" customHeight="1" x14ac:dyDescent="0.25">
      <c r="A19" s="188" t="s">
        <v>10</v>
      </c>
      <c r="B19" s="188"/>
      <c r="C19" s="122" t="s">
        <v>367</v>
      </c>
      <c r="D19" s="122"/>
      <c r="E19" s="188" t="s">
        <v>70</v>
      </c>
      <c r="F19" s="188"/>
      <c r="G19" s="188" t="s">
        <v>365</v>
      </c>
      <c r="H19" s="188"/>
      <c r="S19" s="53" t="s">
        <v>187</v>
      </c>
      <c r="T19" s="53" t="s">
        <v>194</v>
      </c>
      <c r="U19" s="53"/>
      <c r="V19" s="53" t="s">
        <v>202</v>
      </c>
      <c r="W19" s="53" t="s">
        <v>219</v>
      </c>
      <c r="X19"/>
      <c r="Y19"/>
      <c r="Z19"/>
    </row>
    <row r="20" spans="1:26" x14ac:dyDescent="0.25">
      <c r="A20" s="122" t="s">
        <v>12</v>
      </c>
      <c r="B20" s="122"/>
      <c r="C20" s="188" t="s">
        <v>198</v>
      </c>
      <c r="D20" s="188"/>
      <c r="E20" s="188" t="s">
        <v>11</v>
      </c>
      <c r="F20" s="188"/>
      <c r="G20" s="251" t="s">
        <v>196</v>
      </c>
      <c r="H20" s="251"/>
      <c r="S20" s="53" t="s">
        <v>188</v>
      </c>
      <c r="T20" s="53" t="s">
        <v>195</v>
      </c>
      <c r="U20" s="53"/>
      <c r="V20" s="53" t="s">
        <v>203</v>
      </c>
      <c r="W20" s="53" t="s">
        <v>220</v>
      </c>
      <c r="X20"/>
      <c r="Y20"/>
      <c r="Z20"/>
    </row>
    <row r="21" spans="1:26" x14ac:dyDescent="0.25">
      <c r="A21" s="122" t="s">
        <v>71</v>
      </c>
      <c r="B21" s="122"/>
      <c r="C21" s="188" t="s">
        <v>198</v>
      </c>
      <c r="D21" s="188"/>
      <c r="E21" s="188" t="s">
        <v>13</v>
      </c>
      <c r="F21" s="188"/>
      <c r="G21" s="188">
        <v>410218</v>
      </c>
      <c r="H21" s="188"/>
      <c r="S21" s="53"/>
      <c r="T21" s="53"/>
      <c r="U21" s="53"/>
      <c r="V21" s="53" t="s">
        <v>204</v>
      </c>
      <c r="W21" s="53" t="s">
        <v>221</v>
      </c>
      <c r="X21"/>
      <c r="Y21"/>
      <c r="Z21"/>
    </row>
    <row r="22" spans="1:26" ht="45.95" customHeight="1" x14ac:dyDescent="0.25">
      <c r="A22" s="122" t="s">
        <v>119</v>
      </c>
      <c r="B22" s="122"/>
      <c r="C22" s="188" t="s">
        <v>368</v>
      </c>
      <c r="D22" s="188"/>
      <c r="E22" s="188" t="s">
        <v>14</v>
      </c>
      <c r="F22" s="188"/>
      <c r="G22" s="188" t="s">
        <v>405</v>
      </c>
      <c r="H22" s="188"/>
      <c r="S22" s="53"/>
      <c r="T22" s="53"/>
      <c r="U22" s="53"/>
      <c r="V22" s="53" t="s">
        <v>205</v>
      </c>
      <c r="W22" s="53" t="s">
        <v>222</v>
      </c>
      <c r="X22"/>
      <c r="Y22"/>
      <c r="Z22"/>
    </row>
    <row r="23" spans="1:26" ht="15" customHeight="1" x14ac:dyDescent="0.25">
      <c r="A23" s="188" t="s">
        <v>73</v>
      </c>
      <c r="B23" s="188"/>
      <c r="C23" s="188"/>
      <c r="D23" s="188"/>
      <c r="E23" s="122" t="s">
        <v>15</v>
      </c>
      <c r="F23" s="122"/>
      <c r="G23" s="122"/>
      <c r="H23" s="122"/>
      <c r="S23" s="53"/>
      <c r="T23" s="53"/>
      <c r="U23" s="53"/>
      <c r="V23" s="53" t="s">
        <v>206</v>
      </c>
      <c r="W23" s="53" t="s">
        <v>223</v>
      </c>
      <c r="X23"/>
      <c r="Y23"/>
      <c r="Z23"/>
    </row>
    <row r="24" spans="1:26" ht="18.75" customHeight="1" x14ac:dyDescent="0.25">
      <c r="A24" s="188"/>
      <c r="B24" s="188"/>
      <c r="C24" s="188"/>
      <c r="D24" s="188"/>
      <c r="E24" s="122"/>
      <c r="F24" s="122"/>
      <c r="G24" s="122"/>
      <c r="H24" s="122"/>
      <c r="S24" s="53"/>
      <c r="T24" s="53"/>
      <c r="U24" s="53"/>
      <c r="V24" s="53" t="s">
        <v>207</v>
      </c>
      <c r="W24" s="53" t="s">
        <v>224</v>
      </c>
      <c r="X24"/>
      <c r="Y24"/>
      <c r="Z24"/>
    </row>
    <row r="25" spans="1:26" ht="15" customHeight="1" x14ac:dyDescent="0.25">
      <c r="A25" s="235" t="s">
        <v>16</v>
      </c>
      <c r="B25" s="235"/>
      <c r="C25" s="235"/>
      <c r="D25" s="235"/>
      <c r="E25" s="188" t="s">
        <v>17</v>
      </c>
      <c r="F25" s="188"/>
      <c r="G25" s="188"/>
      <c r="H25" s="188"/>
      <c r="S25" s="53"/>
      <c r="T25" s="53"/>
      <c r="U25" s="53"/>
      <c r="V25" s="53" t="s">
        <v>208</v>
      </c>
      <c r="W25" s="53" t="s">
        <v>225</v>
      </c>
      <c r="X25"/>
      <c r="Y25"/>
      <c r="Z25"/>
    </row>
    <row r="26" spans="1:26" ht="15" customHeight="1" x14ac:dyDescent="0.25">
      <c r="A26" s="186" t="s">
        <v>18</v>
      </c>
      <c r="B26" s="186"/>
      <c r="C26" s="186"/>
      <c r="D26" s="186"/>
      <c r="E26" s="188" t="str">
        <f>IF(AND(G20="Mumbai"),"Upper Class","Middle Class")</f>
        <v>Middle Class</v>
      </c>
      <c r="F26" s="188"/>
      <c r="G26" s="188"/>
      <c r="H26" s="188"/>
      <c r="S26" s="53"/>
      <c r="T26" s="53"/>
      <c r="U26" s="53"/>
      <c r="V26" s="53" t="s">
        <v>209</v>
      </c>
      <c r="W26" s="53" t="s">
        <v>226</v>
      </c>
      <c r="X26"/>
      <c r="Y26"/>
      <c r="Z26"/>
    </row>
    <row r="27" spans="1:26" x14ac:dyDescent="0.25">
      <c r="A27" s="186" t="s">
        <v>19</v>
      </c>
      <c r="B27" s="186"/>
      <c r="C27" s="186"/>
      <c r="D27" s="186"/>
      <c r="E27" s="188" t="s">
        <v>20</v>
      </c>
      <c r="F27" s="188"/>
      <c r="G27" s="188"/>
      <c r="H27" s="188"/>
      <c r="S27" s="53"/>
      <c r="T27" s="53"/>
      <c r="U27" s="53"/>
      <c r="V27" s="53" t="s">
        <v>210</v>
      </c>
      <c r="W27" s="53" t="s">
        <v>227</v>
      </c>
      <c r="X27"/>
      <c r="Y27"/>
      <c r="Z27"/>
    </row>
    <row r="28" spans="1:26" ht="15.75" customHeight="1" x14ac:dyDescent="0.25">
      <c r="A28" s="186" t="s">
        <v>21</v>
      </c>
      <c r="B28" s="186"/>
      <c r="C28" s="186"/>
      <c r="D28" s="186"/>
      <c r="E28" s="188" t="str">
        <f>IF(AND(G20="Mumbai"),"Developed","Developing")</f>
        <v>Developing</v>
      </c>
      <c r="F28" s="188"/>
      <c r="G28" s="188"/>
      <c r="H28" s="188"/>
    </row>
    <row r="29" spans="1:26" x14ac:dyDescent="0.25">
      <c r="A29" s="186" t="s">
        <v>22</v>
      </c>
      <c r="B29" s="186"/>
      <c r="C29" s="186"/>
      <c r="D29" s="186"/>
      <c r="E29" s="188" t="s">
        <v>23</v>
      </c>
      <c r="F29" s="188"/>
      <c r="G29" s="188"/>
      <c r="H29" s="188"/>
    </row>
    <row r="30" spans="1:26" ht="15.75" customHeight="1" x14ac:dyDescent="0.25">
      <c r="A30" s="186" t="s">
        <v>78</v>
      </c>
      <c r="B30" s="186"/>
      <c r="C30" s="186"/>
      <c r="D30" s="186"/>
      <c r="E30" s="188" t="s">
        <v>79</v>
      </c>
      <c r="F30" s="188"/>
      <c r="G30" s="188"/>
      <c r="H30" s="188"/>
    </row>
    <row r="31" spans="1:26" ht="15" customHeight="1" x14ac:dyDescent="0.25">
      <c r="A31" s="186" t="s">
        <v>30</v>
      </c>
      <c r="B31" s="186"/>
      <c r="C31" s="186"/>
      <c r="D31" s="186"/>
      <c r="E31" s="18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88"/>
      <c r="G31" s="188"/>
      <c r="H31" s="188"/>
    </row>
    <row r="32" spans="1:26" ht="15.75" customHeight="1" x14ac:dyDescent="0.25">
      <c r="A32" s="186" t="s">
        <v>90</v>
      </c>
      <c r="B32" s="186"/>
      <c r="C32" s="186"/>
      <c r="D32" s="186"/>
      <c r="E32" s="188" t="s">
        <v>31</v>
      </c>
      <c r="F32" s="188"/>
      <c r="G32" s="188"/>
      <c r="H32" s="188"/>
    </row>
    <row r="33" spans="1:19" s="22" customFormat="1" x14ac:dyDescent="0.25">
      <c r="A33" s="250" t="s">
        <v>91</v>
      </c>
      <c r="B33" s="250"/>
      <c r="C33" s="247" t="s">
        <v>175</v>
      </c>
      <c r="D33" s="248"/>
      <c r="E33" s="249"/>
      <c r="F33" s="247" t="s">
        <v>29</v>
      </c>
      <c r="G33" s="248"/>
      <c r="H33" s="249"/>
      <c r="S33" s="22" t="e">
        <f ca="1">OFFSET($S$13,1,MATCH($G20,$S$13:$W$13,0)-1,15,1)</f>
        <v>#VALUE!</v>
      </c>
    </row>
    <row r="34" spans="1:19" s="22" customFormat="1" x14ac:dyDescent="0.25">
      <c r="A34" s="200" t="s">
        <v>24</v>
      </c>
      <c r="B34" s="200" t="s">
        <v>28</v>
      </c>
      <c r="C34" s="201" t="s">
        <v>371</v>
      </c>
      <c r="D34" s="202"/>
      <c r="E34" s="203"/>
      <c r="F34" s="201" t="s">
        <v>370</v>
      </c>
      <c r="G34" s="202"/>
      <c r="H34" s="203"/>
    </row>
    <row r="35" spans="1:19" x14ac:dyDescent="0.25">
      <c r="A35" s="200" t="s">
        <v>25</v>
      </c>
      <c r="B35" s="200" t="s">
        <v>28</v>
      </c>
      <c r="C35" s="201" t="s">
        <v>371</v>
      </c>
      <c r="D35" s="202"/>
      <c r="E35" s="203"/>
      <c r="F35" s="201" t="s">
        <v>368</v>
      </c>
      <c r="G35" s="202"/>
      <c r="H35" s="203"/>
    </row>
    <row r="36" spans="1:19" s="22" customFormat="1" x14ac:dyDescent="0.25">
      <c r="A36" s="200" t="s">
        <v>27</v>
      </c>
      <c r="B36" s="200" t="s">
        <v>28</v>
      </c>
      <c r="C36" s="201" t="s">
        <v>372</v>
      </c>
      <c r="D36" s="202"/>
      <c r="E36" s="203"/>
      <c r="F36" s="201" t="s">
        <v>367</v>
      </c>
      <c r="G36" s="202"/>
      <c r="H36" s="203"/>
    </row>
    <row r="37" spans="1:19" x14ac:dyDescent="0.25">
      <c r="A37" s="200" t="s">
        <v>26</v>
      </c>
      <c r="B37" s="200" t="s">
        <v>28</v>
      </c>
      <c r="C37" s="201" t="s">
        <v>373</v>
      </c>
      <c r="D37" s="202"/>
      <c r="E37" s="203"/>
      <c r="F37" s="201" t="s">
        <v>369</v>
      </c>
      <c r="G37" s="202"/>
      <c r="H37" s="203"/>
    </row>
    <row r="38" spans="1:19" x14ac:dyDescent="0.25">
      <c r="A38" s="186" t="s">
        <v>282</v>
      </c>
      <c r="B38" s="186"/>
      <c r="C38" s="186"/>
      <c r="D38" s="186"/>
      <c r="E38" s="186"/>
      <c r="F38" s="186"/>
      <c r="G38" s="186"/>
      <c r="H38" s="186"/>
    </row>
    <row r="39" spans="1:19" ht="15.75" customHeight="1" x14ac:dyDescent="0.25">
      <c r="A39" s="186" t="s">
        <v>166</v>
      </c>
      <c r="B39" s="186"/>
      <c r="C39" s="205" t="s">
        <v>363</v>
      </c>
      <c r="D39" s="205"/>
      <c r="E39" s="205"/>
      <c r="F39" s="205"/>
      <c r="G39" s="205"/>
      <c r="H39" s="205"/>
    </row>
    <row r="40" spans="1:19" x14ac:dyDescent="0.25">
      <c r="A40" s="186" t="s">
        <v>162</v>
      </c>
      <c r="B40" s="186"/>
      <c r="C40" s="187" t="s">
        <v>362</v>
      </c>
      <c r="D40" s="188"/>
      <c r="E40" s="188"/>
      <c r="F40" s="188"/>
      <c r="G40" s="188"/>
      <c r="H40" s="188"/>
    </row>
    <row r="41" spans="1:19" x14ac:dyDescent="0.25">
      <c r="A41" s="205" t="s">
        <v>32</v>
      </c>
      <c r="B41" s="205"/>
      <c r="C41" s="205"/>
      <c r="D41" s="205"/>
      <c r="E41" s="205"/>
      <c r="F41" s="205"/>
      <c r="G41" s="205"/>
      <c r="H41" s="205"/>
    </row>
    <row r="42" spans="1:19" x14ac:dyDescent="0.25">
      <c r="A42" s="186" t="s">
        <v>33</v>
      </c>
      <c r="B42" s="186"/>
      <c r="C42" s="186"/>
      <c r="D42" s="186"/>
      <c r="E42" s="204">
        <v>2606.2800000000002</v>
      </c>
      <c r="F42" s="204"/>
      <c r="G42" s="204"/>
      <c r="H42" s="204"/>
    </row>
    <row r="43" spans="1:19" x14ac:dyDescent="0.25">
      <c r="A43" s="186" t="s">
        <v>34</v>
      </c>
      <c r="B43" s="186"/>
      <c r="C43" s="186"/>
      <c r="D43" s="186"/>
      <c r="E43" s="220">
        <f>2866.908/E42</f>
        <v>1.0999999999999999</v>
      </c>
      <c r="F43" s="220"/>
      <c r="G43" s="220"/>
      <c r="H43" s="220"/>
    </row>
    <row r="44" spans="1:19" x14ac:dyDescent="0.25">
      <c r="A44" s="186" t="s">
        <v>35</v>
      </c>
      <c r="B44" s="186"/>
      <c r="C44" s="186"/>
      <c r="D44" s="186"/>
      <c r="E44" s="220">
        <f>E46/E42-E43</f>
        <v>2.2896757063707653</v>
      </c>
      <c r="F44" s="220"/>
      <c r="G44" s="220"/>
      <c r="H44" s="220"/>
    </row>
    <row r="45" spans="1:19" x14ac:dyDescent="0.25">
      <c r="A45" s="186" t="s">
        <v>36</v>
      </c>
      <c r="B45" s="186"/>
      <c r="C45" s="186"/>
      <c r="D45" s="186"/>
      <c r="E45" s="220">
        <f>E43+E44</f>
        <v>3.389675706370765</v>
      </c>
      <c r="F45" s="220"/>
      <c r="G45" s="220"/>
      <c r="H45" s="220"/>
    </row>
    <row r="46" spans="1:19" x14ac:dyDescent="0.25">
      <c r="A46" s="186" t="s">
        <v>89</v>
      </c>
      <c r="B46" s="186"/>
      <c r="C46" s="186"/>
      <c r="D46" s="186"/>
      <c r="E46" s="221">
        <v>8834.4439999999995</v>
      </c>
      <c r="F46" s="221"/>
      <c r="G46" s="221"/>
      <c r="H46" s="221"/>
    </row>
    <row r="47" spans="1:19" x14ac:dyDescent="0.25">
      <c r="A47" s="122" t="s">
        <v>37</v>
      </c>
      <c r="B47" s="122"/>
      <c r="C47" s="122"/>
      <c r="D47" s="122"/>
      <c r="E47" s="122" t="s">
        <v>118</v>
      </c>
      <c r="F47" s="122"/>
      <c r="G47" s="122"/>
      <c r="H47" s="122"/>
    </row>
    <row r="48" spans="1:19" x14ac:dyDescent="0.25">
      <c r="A48" s="205" t="s">
        <v>38</v>
      </c>
      <c r="B48" s="205"/>
      <c r="C48" s="205"/>
      <c r="D48" s="205"/>
      <c r="E48" s="205"/>
      <c r="F48" s="205"/>
      <c r="G48" s="205"/>
      <c r="H48" s="205"/>
    </row>
    <row r="49" spans="1:24" ht="33.75" customHeight="1" x14ac:dyDescent="0.25">
      <c r="A49" s="193" t="s">
        <v>151</v>
      </c>
      <c r="B49" s="195"/>
      <c r="C49" s="225" t="s">
        <v>272</v>
      </c>
      <c r="D49" s="226"/>
      <c r="E49" s="226"/>
      <c r="F49" s="226"/>
      <c r="G49" s="226"/>
      <c r="H49" s="227"/>
      <c r="R49" t="s">
        <v>255</v>
      </c>
      <c r="S49" s="57" t="s">
        <v>174</v>
      </c>
      <c r="T49" s="57" t="s">
        <v>182</v>
      </c>
      <c r="U49" s="57" t="s">
        <v>196</v>
      </c>
      <c r="V49" s="57" t="s">
        <v>191</v>
      </c>
    </row>
    <row r="50" spans="1:24" ht="15.75" customHeight="1" x14ac:dyDescent="0.25">
      <c r="A50" s="193" t="s">
        <v>39</v>
      </c>
      <c r="B50" s="195"/>
      <c r="C50" s="193" t="s">
        <v>374</v>
      </c>
      <c r="D50" s="194"/>
      <c r="E50" s="195"/>
      <c r="F50" s="18" t="s">
        <v>40</v>
      </c>
      <c r="G50" s="207">
        <v>45414</v>
      </c>
      <c r="H50" s="208"/>
      <c r="R50"/>
      <c r="S50" s="57" t="s">
        <v>256</v>
      </c>
      <c r="T50" s="57" t="s">
        <v>261</v>
      </c>
      <c r="U50" s="57" t="s">
        <v>272</v>
      </c>
      <c r="V50" s="57" t="s">
        <v>277</v>
      </c>
    </row>
    <row r="51" spans="1:24" x14ac:dyDescent="0.25">
      <c r="A51" s="193" t="s">
        <v>41</v>
      </c>
      <c r="B51" s="195"/>
      <c r="C51" s="193" t="str">
        <f>C50</f>
        <v>PMP/NRV/16287/J.K.1299/2024</v>
      </c>
      <c r="D51" s="194"/>
      <c r="E51" s="195"/>
      <c r="F51" s="18" t="s">
        <v>40</v>
      </c>
      <c r="G51" s="207">
        <f>G50</f>
        <v>45414</v>
      </c>
      <c r="H51" s="208"/>
      <c r="R51"/>
      <c r="S51" s="57" t="s">
        <v>257</v>
      </c>
      <c r="T51" s="57" t="s">
        <v>262</v>
      </c>
      <c r="U51" s="57" t="s">
        <v>270</v>
      </c>
      <c r="V51" s="57" t="s">
        <v>278</v>
      </c>
    </row>
    <row r="52" spans="1:24" s="23" customFormat="1" ht="30.6" customHeight="1" x14ac:dyDescent="0.25">
      <c r="A52" s="213" t="s">
        <v>155</v>
      </c>
      <c r="B52" s="214"/>
      <c r="C52" s="193" t="s">
        <v>375</v>
      </c>
      <c r="D52" s="194"/>
      <c r="E52" s="195"/>
      <c r="F52" s="18" t="s">
        <v>40</v>
      </c>
      <c r="G52" s="207">
        <f>G50</f>
        <v>45414</v>
      </c>
      <c r="H52" s="208"/>
      <c r="I52" s="22" t="str">
        <f ca="1">IF(G52&gt;EDATE(E3,-48),"NO REMARK","CC REMARK FOR CC")</f>
        <v>NO REMARK</v>
      </c>
      <c r="J52" s="87"/>
      <c r="R52"/>
      <c r="S52" s="57" t="s">
        <v>258</v>
      </c>
      <c r="T52" s="57" t="s">
        <v>263</v>
      </c>
      <c r="U52" s="57" t="s">
        <v>260</v>
      </c>
      <c r="V52" s="57" t="s">
        <v>279</v>
      </c>
    </row>
    <row r="53" spans="1:24" s="23" customFormat="1" ht="48.95" customHeight="1" x14ac:dyDescent="0.25">
      <c r="A53" s="215"/>
      <c r="B53" s="216"/>
      <c r="C53" s="193" t="s">
        <v>376</v>
      </c>
      <c r="D53" s="194"/>
      <c r="E53" s="194"/>
      <c r="F53" s="194"/>
      <c r="G53" s="194"/>
      <c r="H53" s="195"/>
      <c r="R53"/>
      <c r="S53" s="57" t="s">
        <v>259</v>
      </c>
      <c r="T53" s="57" t="s">
        <v>266</v>
      </c>
      <c r="U53" s="57" t="s">
        <v>273</v>
      </c>
      <c r="V53" s="78" t="s">
        <v>354</v>
      </c>
    </row>
    <row r="54" spans="1:24" s="23" customFormat="1" ht="30" customHeight="1" x14ac:dyDescent="0.25">
      <c r="A54" s="209" t="s">
        <v>283</v>
      </c>
      <c r="B54" s="210"/>
      <c r="C54" s="193" t="s">
        <v>401</v>
      </c>
      <c r="D54" s="194"/>
      <c r="E54" s="195"/>
      <c r="F54" s="18" t="s">
        <v>40</v>
      </c>
      <c r="G54" s="207">
        <v>44895</v>
      </c>
      <c r="H54" s="208"/>
      <c r="K54" s="88">
        <f>EDATE(G52,-48)</f>
        <v>43953</v>
      </c>
      <c r="L54" s="23" t="str">
        <f ca="1">IF(G52&gt;EDATE(E3,-48),"NO REMARK","CC REMARK FOR CC")</f>
        <v>NO REMARK</v>
      </c>
      <c r="R54"/>
      <c r="S54" s="57" t="s">
        <v>258</v>
      </c>
      <c r="T54" s="57" t="s">
        <v>263</v>
      </c>
      <c r="U54" s="57" t="s">
        <v>260</v>
      </c>
      <c r="V54" s="57" t="s">
        <v>279</v>
      </c>
    </row>
    <row r="55" spans="1:24" s="23" customFormat="1" ht="32.25" customHeight="1" x14ac:dyDescent="0.25">
      <c r="A55" s="211"/>
      <c r="B55" s="212"/>
      <c r="C55" s="217" t="s">
        <v>402</v>
      </c>
      <c r="D55" s="218"/>
      <c r="E55" s="218"/>
      <c r="F55" s="218"/>
      <c r="G55" s="218"/>
      <c r="H55" s="219"/>
      <c r="R55"/>
      <c r="S55" s="57" t="s">
        <v>260</v>
      </c>
      <c r="T55" s="57" t="s">
        <v>264</v>
      </c>
      <c r="U55" s="57" t="s">
        <v>274</v>
      </c>
      <c r="V55" s="79"/>
      <c r="W55" s="21"/>
      <c r="X55" s="21"/>
    </row>
    <row r="56" spans="1:24" s="23" customFormat="1" ht="34.5" hidden="1" customHeight="1" x14ac:dyDescent="0.25">
      <c r="A56" s="243" t="s">
        <v>284</v>
      </c>
      <c r="B56" s="244"/>
      <c r="C56" s="193"/>
      <c r="D56" s="194"/>
      <c r="E56" s="195"/>
      <c r="F56" s="18" t="s">
        <v>40</v>
      </c>
      <c r="G56" s="207">
        <f>G55</f>
        <v>0</v>
      </c>
      <c r="H56" s="208"/>
      <c r="R56"/>
      <c r="S56" s="79"/>
      <c r="T56" s="57" t="s">
        <v>265</v>
      </c>
      <c r="U56" s="57" t="s">
        <v>275</v>
      </c>
      <c r="V56" s="79"/>
      <c r="W56" s="21"/>
      <c r="X56" s="21"/>
    </row>
    <row r="57" spans="1:24" s="23" customFormat="1" ht="41.25" hidden="1" customHeight="1" x14ac:dyDescent="0.25">
      <c r="A57" s="245"/>
      <c r="B57" s="246"/>
      <c r="C57" s="193"/>
      <c r="D57" s="194"/>
      <c r="E57" s="194"/>
      <c r="F57" s="194"/>
      <c r="G57" s="194"/>
      <c r="H57" s="195"/>
      <c r="R57"/>
      <c r="S57" s="79"/>
      <c r="T57" s="57" t="s">
        <v>267</v>
      </c>
      <c r="U57" s="57" t="s">
        <v>276</v>
      </c>
      <c r="V57" s="79"/>
      <c r="W57" s="21"/>
      <c r="X57" s="21"/>
    </row>
    <row r="58" spans="1:24" s="23" customFormat="1" ht="15.75" customHeight="1" x14ac:dyDescent="0.25">
      <c r="A58" s="209" t="s">
        <v>357</v>
      </c>
      <c r="B58" s="210"/>
      <c r="C58" s="193" t="s">
        <v>403</v>
      </c>
      <c r="D58" s="194"/>
      <c r="E58" s="195"/>
      <c r="F58" s="18" t="s">
        <v>40</v>
      </c>
      <c r="G58" s="207">
        <v>44928</v>
      </c>
      <c r="H58" s="208"/>
      <c r="R58"/>
      <c r="S58" s="79"/>
      <c r="T58" s="57" t="s">
        <v>268</v>
      </c>
      <c r="U58" s="79" t="s">
        <v>298</v>
      </c>
      <c r="V58" s="79"/>
      <c r="W58" s="21"/>
      <c r="X58" s="21"/>
    </row>
    <row r="59" spans="1:24" s="23" customFormat="1" ht="48.95" customHeight="1" x14ac:dyDescent="0.25">
      <c r="A59" s="211"/>
      <c r="B59" s="212"/>
      <c r="C59" s="235" t="s">
        <v>404</v>
      </c>
      <c r="D59" s="235"/>
      <c r="E59" s="235"/>
      <c r="F59" s="18" t="s">
        <v>358</v>
      </c>
      <c r="G59" s="207">
        <v>47849</v>
      </c>
      <c r="H59" s="208"/>
      <c r="R59"/>
      <c r="S59" s="79"/>
      <c r="T59" s="57" t="s">
        <v>269</v>
      </c>
      <c r="U59" s="79"/>
      <c r="V59" s="79"/>
      <c r="W59" s="21"/>
      <c r="X59" s="21"/>
    </row>
    <row r="60" spans="1:24" x14ac:dyDescent="0.25">
      <c r="A60" s="281" t="s">
        <v>42</v>
      </c>
      <c r="B60" s="282"/>
      <c r="C60" s="281" t="s">
        <v>102</v>
      </c>
      <c r="D60" s="283"/>
      <c r="E60" s="282"/>
      <c r="F60" s="43" t="s">
        <v>40</v>
      </c>
      <c r="G60" s="284" t="s">
        <v>28</v>
      </c>
      <c r="H60" s="285"/>
      <c r="R60"/>
      <c r="S60" s="79"/>
      <c r="T60" s="57" t="s">
        <v>271</v>
      </c>
      <c r="U60" s="79"/>
      <c r="V60" s="79"/>
    </row>
    <row r="61" spans="1:24" x14ac:dyDescent="0.25">
      <c r="A61" s="234" t="s">
        <v>44</v>
      </c>
      <c r="B61" s="234"/>
      <c r="C61" s="234"/>
      <c r="D61" s="234"/>
      <c r="E61" s="234"/>
      <c r="F61" s="234"/>
      <c r="G61" s="234"/>
      <c r="H61" s="234"/>
      <c r="S61" s="79"/>
      <c r="T61" s="57" t="s">
        <v>280</v>
      </c>
      <c r="U61" s="79"/>
      <c r="V61" s="79"/>
    </row>
    <row r="62" spans="1:24" x14ac:dyDescent="0.25">
      <c r="A62" s="235" t="s">
        <v>88</v>
      </c>
      <c r="B62" s="235"/>
      <c r="C62" s="235"/>
      <c r="D62" s="186">
        <f>E46</f>
        <v>8834.4439999999995</v>
      </c>
      <c r="E62" s="186"/>
      <c r="F62" s="186"/>
      <c r="G62" s="186"/>
      <c r="H62" s="186"/>
      <c r="R62"/>
    </row>
    <row r="63" spans="1:24" x14ac:dyDescent="0.25">
      <c r="A63" s="188" t="s">
        <v>45</v>
      </c>
      <c r="B63" s="122"/>
      <c r="C63" s="122"/>
      <c r="D63" s="122" t="s">
        <v>390</v>
      </c>
      <c r="E63" s="122"/>
      <c r="F63" s="122"/>
      <c r="G63" s="122"/>
      <c r="H63" s="122"/>
      <c r="I63" s="24"/>
      <c r="R63"/>
    </row>
    <row r="64" spans="1:24" x14ac:dyDescent="0.25">
      <c r="A64" s="209" t="s">
        <v>46</v>
      </c>
      <c r="B64" s="224"/>
      <c r="C64" s="210"/>
      <c r="D64" s="222" t="s">
        <v>391</v>
      </c>
      <c r="E64" s="223"/>
      <c r="F64" s="223"/>
      <c r="G64" s="223"/>
      <c r="H64" s="223"/>
      <c r="R64"/>
    </row>
    <row r="65" spans="1:19" ht="15.75" customHeight="1" x14ac:dyDescent="0.25">
      <c r="A65" s="209" t="s">
        <v>86</v>
      </c>
      <c r="B65" s="224"/>
      <c r="C65" s="224"/>
      <c r="D65" s="188" t="s">
        <v>393</v>
      </c>
      <c r="E65" s="122"/>
      <c r="F65" s="122"/>
      <c r="G65" s="122"/>
      <c r="H65" s="122"/>
      <c r="R65"/>
    </row>
    <row r="66" spans="1:19" ht="15.75" hidden="1" customHeight="1" x14ac:dyDescent="0.25">
      <c r="A66" s="228"/>
      <c r="B66" s="229"/>
      <c r="C66" s="229"/>
      <c r="D66" s="231" t="s">
        <v>299</v>
      </c>
      <c r="E66" s="232"/>
      <c r="F66" s="232"/>
      <c r="G66" s="232"/>
      <c r="H66" s="233"/>
      <c r="R66"/>
    </row>
    <row r="67" spans="1:19" ht="15.75" hidden="1" customHeight="1" x14ac:dyDescent="0.25">
      <c r="A67" s="211"/>
      <c r="B67" s="230"/>
      <c r="C67" s="230"/>
      <c r="D67" s="286" t="s">
        <v>170</v>
      </c>
      <c r="E67" s="287"/>
      <c r="F67" s="287"/>
      <c r="G67" s="287"/>
      <c r="H67" s="288"/>
      <c r="S67"/>
    </row>
    <row r="68" spans="1:19" ht="15.75" customHeight="1" x14ac:dyDescent="0.25">
      <c r="A68" s="186" t="s">
        <v>43</v>
      </c>
      <c r="B68" s="186"/>
      <c r="C68" s="186"/>
      <c r="D68" s="206" t="s">
        <v>377</v>
      </c>
      <c r="E68" s="206"/>
      <c r="F68" s="206"/>
      <c r="G68" s="206"/>
      <c r="H68" s="206"/>
      <c r="J68" s="25"/>
      <c r="K68" s="24"/>
      <c r="N68" s="24"/>
      <c r="S68"/>
    </row>
    <row r="69" spans="1:19" ht="15.75" customHeight="1" x14ac:dyDescent="0.25">
      <c r="A69" s="186" t="s">
        <v>84</v>
      </c>
      <c r="B69" s="186"/>
      <c r="C69" s="186"/>
      <c r="D69" s="196" t="str">
        <f>(IF(G60="NA","60 Years After Completion",IF(G60&lt;&gt;"NA",""&amp;60-ROUNDDOWN((E3-G60)/360,0)&amp;" Years"," ")))</f>
        <v>60 Years After Completion</v>
      </c>
      <c r="E69" s="196"/>
      <c r="F69" s="196"/>
      <c r="G69" s="196"/>
      <c r="H69" s="196"/>
      <c r="N69" s="24"/>
      <c r="S69"/>
    </row>
    <row r="70" spans="1:19" ht="15.75" customHeight="1" x14ac:dyDescent="0.25">
      <c r="A70" s="186" t="s">
        <v>85</v>
      </c>
      <c r="B70" s="186"/>
      <c r="C70" s="186"/>
      <c r="D70" s="235" t="s">
        <v>23</v>
      </c>
      <c r="E70" s="235"/>
      <c r="F70" s="235"/>
      <c r="G70" s="235"/>
      <c r="H70" s="235"/>
      <c r="J70" s="26"/>
      <c r="K70" s="26"/>
      <c r="S70"/>
    </row>
    <row r="71" spans="1:19" ht="78" customHeight="1" x14ac:dyDescent="0.25">
      <c r="A71" s="122" t="s">
        <v>395</v>
      </c>
      <c r="B71" s="122"/>
      <c r="C71" s="122"/>
      <c r="D71" s="188" t="s">
        <v>394</v>
      </c>
      <c r="E71" s="235"/>
      <c r="F71" s="235"/>
      <c r="G71" s="235"/>
      <c r="H71" s="235"/>
      <c r="S71"/>
    </row>
    <row r="72" spans="1:19" x14ac:dyDescent="0.25">
      <c r="A72" s="235" t="s">
        <v>147</v>
      </c>
      <c r="B72" s="235"/>
      <c r="C72" s="235"/>
      <c r="D72" s="235" t="s">
        <v>28</v>
      </c>
      <c r="E72" s="235"/>
      <c r="F72" s="235"/>
      <c r="G72" s="235"/>
      <c r="H72" s="235"/>
      <c r="I72" s="27"/>
      <c r="J72" s="27"/>
      <c r="K72" s="27"/>
      <c r="L72" s="27"/>
      <c r="M72" s="27"/>
      <c r="N72" s="27"/>
    </row>
    <row r="73" spans="1:19" ht="15.75" customHeight="1" x14ac:dyDescent="0.25">
      <c r="A73" s="242" t="s">
        <v>83</v>
      </c>
      <c r="B73" s="242"/>
      <c r="C73" s="242"/>
      <c r="D73" s="222" t="str">
        <f ca="1">(IF(G79&gt;95%,"Nothing",IF(G79&gt;0%,"Cement, Aggregate, Steel, etc",IF(G79=0%,"Work not yet Started"))))</f>
        <v>Cement, Aggregate, Steel, etc</v>
      </c>
      <c r="E73" s="222"/>
      <c r="F73" s="222"/>
      <c r="G73" s="222"/>
      <c r="H73" s="222"/>
      <c r="J73" s="26"/>
      <c r="S73"/>
    </row>
    <row r="74" spans="1:19" ht="33.75" customHeight="1" thickBot="1" x14ac:dyDescent="0.3">
      <c r="A74" s="241" t="s">
        <v>115</v>
      </c>
      <c r="B74" s="241"/>
      <c r="C74" s="241"/>
      <c r="D74" s="222" t="str">
        <f ca="1">(IF(D73="Nothing","Yes",IF(D73="Cement, Aggregate, Steel, etc","Under Construction",IF(D73="Work not yet Started","Work not yet Started"))))</f>
        <v>Under Construction</v>
      </c>
      <c r="E74" s="222"/>
      <c r="F74" s="222" t="str">
        <f ca="1">(IF(D73="Nothing","Yes",IF(D73="Cement, Aggregate, Steel, etc","Under Construction",IF(D73="Work not yet Started","Work not yet Started"))))</f>
        <v>Under Construction</v>
      </c>
      <c r="G74" s="222"/>
      <c r="H74" s="222"/>
      <c r="S74"/>
    </row>
    <row r="75" spans="1:19" ht="15.75" customHeight="1" x14ac:dyDescent="0.25">
      <c r="A75" s="236" t="s">
        <v>137</v>
      </c>
      <c r="B75" s="237"/>
      <c r="C75" s="238" t="s">
        <v>393</v>
      </c>
      <c r="D75" s="239"/>
      <c r="E75" s="239"/>
      <c r="F75" s="239"/>
      <c r="G75" s="239"/>
      <c r="H75" s="240"/>
      <c r="I75" s="46" t="str">
        <f ca="1">IF(D88=100%,"All work Completed. Possession granted to the Building.",IF(D87=100%,"All work Completed, Waiting for OC",I76&amp;""&amp;I77&amp;""&amp;J76&amp;""&amp;J75&amp;" "&amp;J77))</f>
        <v>Excavation, Plinth Completed, RCC upto 6 Slab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6 Slab</v>
      </c>
      <c r="S75"/>
    </row>
    <row r="76" spans="1:19" x14ac:dyDescent="0.25">
      <c r="A76" s="16" t="s">
        <v>139</v>
      </c>
      <c r="B76" s="50">
        <f>IF(AND(ISNUMBER(SEARCH("1B",C75))),1,IF(AND(ISNUMBER(SEARCH("2B",C75))),2,IF(AND(ISNUMBER(SEARCH("3B",C75))),3,IF(AND(ISNUMBER(SEARCH("4B",C75))),4,IF(ISNUMBER(SEARCH("5B",C75)),5,0)))))</f>
        <v>0</v>
      </c>
      <c r="C76" s="50" t="s">
        <v>69</v>
      </c>
      <c r="D76" s="50">
        <v>1</v>
      </c>
      <c r="E76" s="50" t="s">
        <v>68</v>
      </c>
      <c r="F76" s="50">
        <v>0</v>
      </c>
      <c r="G76" s="50" t="s">
        <v>77</v>
      </c>
      <c r="H76" s="17">
        <f ca="1">--TRIM(RIGHT(SUBSTITUTE(LEFT(C75,_xlfn.AGGREGATE(16,6,FIND({0,1,2,3,4,5,6,7,8,9},C75,ROW(INDIRECT("1:"&amp;LEN(C75)))),1))," ",REPT(" ",LEN(C75))),LEN(C75)))</f>
        <v>20</v>
      </c>
      <c r="I76" s="48" t="str">
        <f ca="1">IF(D79=100%,"Excavation","")&amp;IF(D80=100%,", Plinth","")&amp;IF(D81=100%,", RCC Slab","")&amp;IF(D82=100%,", Brickwork","")&amp;IF(D83=100%,", Internal Plaster","")&amp;IF(D84=100%,", External Plaster","")&amp;IF(D85=100%,", Flooring","")&amp;IF(D86=100%,", Painting","")&amp;IF(D87=100%,", Building common Amenities","")</f>
        <v>Excavation, Plinth</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25">
      <c r="A77" s="166" t="s">
        <v>87</v>
      </c>
      <c r="B77" s="167"/>
      <c r="C77" s="179" t="str">
        <f ca="1">I75</f>
        <v>Excavation, Plinth Completed, RCC upto 6 Slab Completed</v>
      </c>
      <c r="D77" s="179"/>
      <c r="E77" s="179"/>
      <c r="F77" s="179"/>
      <c r="G77" s="179"/>
      <c r="H77" s="180"/>
      <c r="I77" s="48" t="str">
        <f ca="1">IF(I76&lt;&gt;""," Completed","")</f>
        <v xml:space="preserve"> Completed</v>
      </c>
      <c r="J77" s="49" t="str">
        <f ca="1">IF(J75&lt;&gt;"","Completed","")</f>
        <v>Completed</v>
      </c>
      <c r="S77"/>
    </row>
    <row r="78" spans="1:19" ht="15.75" customHeight="1" x14ac:dyDescent="0.25">
      <c r="A78" s="154" t="s">
        <v>47</v>
      </c>
      <c r="B78" s="155"/>
      <c r="C78" s="97" t="s">
        <v>136</v>
      </c>
      <c r="D78" s="97" t="s">
        <v>80</v>
      </c>
      <c r="E78" s="155" t="s">
        <v>82</v>
      </c>
      <c r="F78" s="155"/>
      <c r="G78" s="155" t="s">
        <v>81</v>
      </c>
      <c r="H78" s="290"/>
      <c r="I78" s="13" t="s">
        <v>138</v>
      </c>
      <c r="J78" s="28">
        <f ca="1">H76*25%</f>
        <v>5</v>
      </c>
      <c r="S78"/>
    </row>
    <row r="79" spans="1:19" x14ac:dyDescent="0.25">
      <c r="A79" s="154" t="s">
        <v>125</v>
      </c>
      <c r="B79" s="155"/>
      <c r="C79" s="97">
        <f ca="1">J80</f>
        <v>20</v>
      </c>
      <c r="D79" s="98">
        <f ca="1">((100/H76)*C79)/100</f>
        <v>1</v>
      </c>
      <c r="E79" s="156">
        <f ca="1">(((C80/H76*10)+(40/(D76+F76+H76)*C81)+(7.5/(H76)*C82)+(7.5/(H76)*C83)+(10/H76*C84)+(10/H76*C85)+(5/H76*C86)+(5/H76*C87)+(5/H76*C88))/100)</f>
        <v>0.21428571428571427</v>
      </c>
      <c r="F79" s="157"/>
      <c r="G79" s="156">
        <f ca="1">((((C79/H76)*20)+((C80/H76)*25)+(30/(H76+F76+D76)*C81)+(5/H76*C82)+(5/H76*C83)+(5/H76*C84)+(5/H76*C85)+(0/H76*C86)+(0/H76*C87)+(5/H76*C88))/100)</f>
        <v>0.5357142857142857</v>
      </c>
      <c r="H79" s="162"/>
      <c r="I79" s="13" t="s">
        <v>97</v>
      </c>
      <c r="J79" s="29">
        <f ca="1">H76*50%</f>
        <v>10</v>
      </c>
    </row>
    <row r="80" spans="1:19" x14ac:dyDescent="0.25">
      <c r="A80" s="154" t="s">
        <v>48</v>
      </c>
      <c r="B80" s="155"/>
      <c r="C80" s="99">
        <f ca="1">J88</f>
        <v>20</v>
      </c>
      <c r="D80" s="98">
        <f ca="1">((100/H76)*C80)/100</f>
        <v>1</v>
      </c>
      <c r="E80" s="158"/>
      <c r="F80" s="159"/>
      <c r="G80" s="158"/>
      <c r="H80" s="163"/>
      <c r="I80" s="13" t="s">
        <v>98</v>
      </c>
      <c r="J80" s="29">
        <f ca="1">H76</f>
        <v>20</v>
      </c>
      <c r="S80"/>
    </row>
    <row r="81" spans="1:19" ht="15.75" customHeight="1" x14ac:dyDescent="0.25">
      <c r="A81" s="154" t="s">
        <v>126</v>
      </c>
      <c r="B81" s="155"/>
      <c r="C81" s="97">
        <v>6</v>
      </c>
      <c r="D81" s="98">
        <f ca="1">((100/(D76+F76+H76))*C81)/100</f>
        <v>0.2857142857142857</v>
      </c>
      <c r="E81" s="158"/>
      <c r="F81" s="159"/>
      <c r="G81" s="158"/>
      <c r="H81" s="163"/>
      <c r="I81" s="13" t="s">
        <v>99</v>
      </c>
      <c r="J81" s="30">
        <f ca="1">(IF(B76&gt;1,(H76/(B76+2)),H76/4))</f>
        <v>5</v>
      </c>
      <c r="S81"/>
    </row>
    <row r="82" spans="1:19" ht="15.75" customHeight="1" x14ac:dyDescent="0.25">
      <c r="A82" s="154" t="s">
        <v>133</v>
      </c>
      <c r="B82" s="155" t="s">
        <v>127</v>
      </c>
      <c r="C82" s="97">
        <v>0</v>
      </c>
      <c r="D82" s="98">
        <f ca="1">((100/H76)*C82)/100</f>
        <v>0</v>
      </c>
      <c r="E82" s="158"/>
      <c r="F82" s="159"/>
      <c r="G82" s="158"/>
      <c r="H82" s="163"/>
      <c r="I82" s="13" t="s">
        <v>100</v>
      </c>
      <c r="J82" s="30">
        <f ca="1">(IF(B76&gt;1,(H76/(B76+2)+J81),H76/4+J81))</f>
        <v>10</v>
      </c>
    </row>
    <row r="83" spans="1:19" ht="15.75" customHeight="1" x14ac:dyDescent="0.25">
      <c r="A83" s="154" t="s">
        <v>134</v>
      </c>
      <c r="B83" s="155" t="s">
        <v>127</v>
      </c>
      <c r="C83" s="97">
        <v>0</v>
      </c>
      <c r="D83" s="98">
        <f ca="1">((100/H76)*C83)/100</f>
        <v>0</v>
      </c>
      <c r="E83" s="158"/>
      <c r="F83" s="159"/>
      <c r="G83" s="158"/>
      <c r="H83" s="163"/>
      <c r="I83" s="13" t="s">
        <v>145</v>
      </c>
      <c r="J83" s="30">
        <f>(IF(B76&gt;1,(H76/(B76+2)+J82),0))</f>
        <v>0</v>
      </c>
    </row>
    <row r="84" spans="1:19" ht="15" customHeight="1" x14ac:dyDescent="0.25">
      <c r="A84" s="154" t="s">
        <v>132</v>
      </c>
      <c r="B84" s="155" t="s">
        <v>129</v>
      </c>
      <c r="C84" s="97">
        <v>0</v>
      </c>
      <c r="D84" s="98">
        <f ca="1">((100/(H76))*C84)/100</f>
        <v>0</v>
      </c>
      <c r="E84" s="158"/>
      <c r="F84" s="159"/>
      <c r="G84" s="158"/>
      <c r="H84" s="163"/>
      <c r="I84" s="13" t="s">
        <v>140</v>
      </c>
      <c r="J84" s="30">
        <f>(IF(B76&gt;2,(H76/(B76+2)+J83),0))</f>
        <v>0</v>
      </c>
    </row>
    <row r="85" spans="1:19" ht="15.75" customHeight="1" x14ac:dyDescent="0.25">
      <c r="A85" s="154" t="s">
        <v>128</v>
      </c>
      <c r="B85" s="155" t="s">
        <v>128</v>
      </c>
      <c r="C85" s="97">
        <v>0</v>
      </c>
      <c r="D85" s="98">
        <f ca="1">((100/H76)*C85)/100</f>
        <v>0</v>
      </c>
      <c r="E85" s="158"/>
      <c r="F85" s="159"/>
      <c r="G85" s="158"/>
      <c r="H85" s="163"/>
      <c r="I85" s="13" t="s">
        <v>141</v>
      </c>
      <c r="J85" s="31">
        <f>(IF(B76&gt;3,(H76/(B76+2)+J84),0))</f>
        <v>0</v>
      </c>
    </row>
    <row r="86" spans="1:19" ht="15.75" customHeight="1" x14ac:dyDescent="0.25">
      <c r="A86" s="154" t="s">
        <v>135</v>
      </c>
      <c r="B86" s="155"/>
      <c r="C86" s="97">
        <v>0</v>
      </c>
      <c r="D86" s="98">
        <f ca="1">((100/H76)*C86)/100</f>
        <v>0</v>
      </c>
      <c r="E86" s="158"/>
      <c r="F86" s="159"/>
      <c r="G86" s="158"/>
      <c r="H86" s="163"/>
      <c r="I86" s="13" t="s">
        <v>142</v>
      </c>
      <c r="J86" s="30">
        <f>(IF(B76&gt;4,(H76/(B76+2)+J85),0))</f>
        <v>0</v>
      </c>
    </row>
    <row r="87" spans="1:19" ht="15.75" customHeight="1" x14ac:dyDescent="0.25">
      <c r="A87" s="154" t="s">
        <v>130</v>
      </c>
      <c r="B87" s="155" t="s">
        <v>130</v>
      </c>
      <c r="C87" s="97">
        <v>0</v>
      </c>
      <c r="D87" s="98">
        <f ca="1">((100/(H76))*C87)/100</f>
        <v>0</v>
      </c>
      <c r="E87" s="158"/>
      <c r="F87" s="159"/>
      <c r="G87" s="158"/>
      <c r="H87" s="163"/>
      <c r="I87" s="13" t="s">
        <v>146</v>
      </c>
      <c r="J87" s="30">
        <f ca="1">(IF(B76=1,(H76/(B76+3)+J82),IF(B76=0,(H76/4+J82),IF(B76&gt;1,0))))</f>
        <v>15</v>
      </c>
    </row>
    <row r="88" spans="1:19" ht="16.5" thickBot="1" x14ac:dyDescent="0.3">
      <c r="A88" s="291" t="s">
        <v>131</v>
      </c>
      <c r="B88" s="292"/>
      <c r="C88" s="100">
        <v>0</v>
      </c>
      <c r="D88" s="101">
        <f ca="1">((100/(H76))*C88)/100</f>
        <v>0</v>
      </c>
      <c r="E88" s="160"/>
      <c r="F88" s="161"/>
      <c r="G88" s="160"/>
      <c r="H88" s="164"/>
      <c r="I88" s="15" t="s">
        <v>101</v>
      </c>
      <c r="J88" s="32">
        <f ca="1">(IF(B76&gt;1.5,(H76/(B76+2)+J82+MAX(0,J83-J82)+MAX(0,J84-J83)+MAX(0,J85-J84)+MAX(0,J86-J85)+MAX(0,J87-J86)),IF(B76=1,(H76/(B76+3)+J87),IF(B76=0,H76/4+J87))))</f>
        <v>20</v>
      </c>
    </row>
    <row r="89" spans="1:19" ht="15.75" hidden="1" customHeight="1" x14ac:dyDescent="0.25">
      <c r="A89" s="174" t="s">
        <v>137</v>
      </c>
      <c r="B89" s="175"/>
      <c r="C89" s="176" t="str">
        <f>D66</f>
        <v>B Wing = 1B + G + 1st to 19th Floor</v>
      </c>
      <c r="D89" s="177"/>
      <c r="E89" s="177"/>
      <c r="F89" s="177"/>
      <c r="G89" s="177"/>
      <c r="H89" s="178"/>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25">
      <c r="A90" s="16" t="s">
        <v>139</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25">
      <c r="A91" s="166" t="s">
        <v>87</v>
      </c>
      <c r="B91" s="167"/>
      <c r="C91" s="179" t="str">
        <f ca="1">I89</f>
        <v xml:space="preserve">Excavation, Plinth Completed </v>
      </c>
      <c r="D91" s="179"/>
      <c r="E91" s="179"/>
      <c r="F91" s="179"/>
      <c r="G91" s="179"/>
      <c r="H91" s="180"/>
      <c r="I91" s="48" t="str">
        <f ca="1">IF(I90&lt;&gt;""," Completed","")</f>
        <v xml:space="preserve"> Completed</v>
      </c>
      <c r="J91" s="49" t="str">
        <f ca="1">IF(J89&lt;&gt;"","Completed","")</f>
        <v/>
      </c>
      <c r="S91"/>
    </row>
    <row r="92" spans="1:19" ht="15.75" hidden="1" customHeight="1" x14ac:dyDescent="0.25">
      <c r="A92" s="152" t="s">
        <v>47</v>
      </c>
      <c r="B92" s="153"/>
      <c r="C92" s="81" t="s">
        <v>136</v>
      </c>
      <c r="D92" s="81" t="s">
        <v>80</v>
      </c>
      <c r="E92" s="153" t="s">
        <v>82</v>
      </c>
      <c r="F92" s="153"/>
      <c r="G92" s="153" t="s">
        <v>81</v>
      </c>
      <c r="H92" s="165"/>
      <c r="I92" s="13" t="s">
        <v>138</v>
      </c>
      <c r="J92" s="28">
        <f ca="1">H90*25%</f>
        <v>4.75</v>
      </c>
      <c r="S92"/>
    </row>
    <row r="93" spans="1:19" hidden="1" x14ac:dyDescent="0.25">
      <c r="A93" s="152" t="s">
        <v>125</v>
      </c>
      <c r="B93" s="153"/>
      <c r="C93" s="61">
        <f ca="1">J94</f>
        <v>19</v>
      </c>
      <c r="D93" s="19">
        <f ca="1">((100/H90)*C93)/100</f>
        <v>1</v>
      </c>
      <c r="E93" s="168">
        <f ca="1">(((C94/H90*10)+(40/(D90+F90+H90)*C95)+(7.5/(H90)*C96)+(7.5/(H90)*C97)+(10/H90*C98)+(10/H90*C99)+(5/H90*C100)+(5/H90*C101)+(5/H90*C102))/100)</f>
        <v>0.1</v>
      </c>
      <c r="F93" s="169"/>
      <c r="G93" s="168">
        <f ca="1">((((C93/H90)*20)+((C94/H90)*25)+(30/(H90+F90+D90)*C95)+(5/H90*C96)+(5/H90*C97)+(5/H90*C98)+(5/H90*C99)+(0/H90*C100)+(0/H90*C101)+(5/H90*C102))/100)</f>
        <v>0.45</v>
      </c>
      <c r="H93" s="181"/>
      <c r="I93" s="13" t="s">
        <v>97</v>
      </c>
      <c r="J93" s="29">
        <f ca="1">H90*50%</f>
        <v>9.5</v>
      </c>
    </row>
    <row r="94" spans="1:19" hidden="1" x14ac:dyDescent="0.25">
      <c r="A94" s="152" t="s">
        <v>48</v>
      </c>
      <c r="B94" s="153"/>
      <c r="C94" s="81">
        <f ca="1">J102</f>
        <v>19</v>
      </c>
      <c r="D94" s="19">
        <f ca="1">((100/H90)*C94)/100</f>
        <v>1</v>
      </c>
      <c r="E94" s="170"/>
      <c r="F94" s="171"/>
      <c r="G94" s="170"/>
      <c r="H94" s="182"/>
      <c r="I94" s="13" t="s">
        <v>98</v>
      </c>
      <c r="J94" s="29">
        <f ca="1">H90</f>
        <v>19</v>
      </c>
      <c r="S94"/>
    </row>
    <row r="95" spans="1:19" ht="15.75" hidden="1" customHeight="1" x14ac:dyDescent="0.25">
      <c r="A95" s="152" t="s">
        <v>126</v>
      </c>
      <c r="B95" s="153"/>
      <c r="C95" s="81">
        <v>0</v>
      </c>
      <c r="D95" s="19">
        <f ca="1">((100/(D90+F90+H90))*C95)/100</f>
        <v>0</v>
      </c>
      <c r="E95" s="170"/>
      <c r="F95" s="171"/>
      <c r="G95" s="170"/>
      <c r="H95" s="182"/>
      <c r="I95" s="13" t="s">
        <v>99</v>
      </c>
      <c r="J95" s="30">
        <f ca="1">(IF(B90&gt;1,(H90/(B90+2)),H90/4))</f>
        <v>4.75</v>
      </c>
      <c r="S95"/>
    </row>
    <row r="96" spans="1:19" ht="15.75" hidden="1" customHeight="1" x14ac:dyDescent="0.25">
      <c r="A96" s="152" t="s">
        <v>133</v>
      </c>
      <c r="B96" s="153" t="s">
        <v>127</v>
      </c>
      <c r="C96" s="81">
        <v>0</v>
      </c>
      <c r="D96" s="19">
        <f ca="1">((100/H90)*C96)/100</f>
        <v>0</v>
      </c>
      <c r="E96" s="170"/>
      <c r="F96" s="171"/>
      <c r="G96" s="170"/>
      <c r="H96" s="182"/>
      <c r="I96" s="13" t="s">
        <v>100</v>
      </c>
      <c r="J96" s="30">
        <f ca="1">(IF(B90&gt;1,(H90/(B90+2)+J95),H90/4+J95))</f>
        <v>9.5</v>
      </c>
    </row>
    <row r="97" spans="1:19" ht="15.75" hidden="1" customHeight="1" x14ac:dyDescent="0.25">
      <c r="A97" s="152" t="s">
        <v>134</v>
      </c>
      <c r="B97" s="153" t="s">
        <v>127</v>
      </c>
      <c r="C97" s="81">
        <v>0</v>
      </c>
      <c r="D97" s="19">
        <f ca="1">((100/H90)*C97)/100</f>
        <v>0</v>
      </c>
      <c r="E97" s="170"/>
      <c r="F97" s="171"/>
      <c r="G97" s="170"/>
      <c r="H97" s="182"/>
      <c r="I97" s="13" t="s">
        <v>145</v>
      </c>
      <c r="J97" s="30">
        <f>(IF(B90&gt;1,(H90/(B90+2)+J96),0))</f>
        <v>0</v>
      </c>
    </row>
    <row r="98" spans="1:19" ht="15" hidden="1" customHeight="1" x14ac:dyDescent="0.25">
      <c r="A98" s="152" t="s">
        <v>132</v>
      </c>
      <c r="B98" s="153" t="s">
        <v>129</v>
      </c>
      <c r="C98" s="81">
        <v>0</v>
      </c>
      <c r="D98" s="19">
        <f ca="1">((100/(H90))*C98)/100</f>
        <v>0</v>
      </c>
      <c r="E98" s="170"/>
      <c r="F98" s="171"/>
      <c r="G98" s="170"/>
      <c r="H98" s="182"/>
      <c r="I98" s="13" t="s">
        <v>140</v>
      </c>
      <c r="J98" s="30">
        <f>(IF(B90&gt;2,(H90/(B90+2)+J97),0))</f>
        <v>0</v>
      </c>
    </row>
    <row r="99" spans="1:19" ht="15.75" hidden="1" customHeight="1" x14ac:dyDescent="0.25">
      <c r="A99" s="152" t="s">
        <v>128</v>
      </c>
      <c r="B99" s="153" t="s">
        <v>128</v>
      </c>
      <c r="C99" s="81">
        <v>0</v>
      </c>
      <c r="D99" s="19">
        <f ca="1">((100/H90)*C99)/100</f>
        <v>0</v>
      </c>
      <c r="E99" s="170"/>
      <c r="F99" s="171"/>
      <c r="G99" s="170"/>
      <c r="H99" s="182"/>
      <c r="I99" s="13" t="s">
        <v>141</v>
      </c>
      <c r="J99" s="31">
        <f>(IF(B90&gt;3,(H90/(B90+2)+J98),0))</f>
        <v>0</v>
      </c>
    </row>
    <row r="100" spans="1:19" ht="15.75" hidden="1" customHeight="1" x14ac:dyDescent="0.25">
      <c r="A100" s="152" t="s">
        <v>135</v>
      </c>
      <c r="B100" s="153"/>
      <c r="C100" s="81">
        <v>0</v>
      </c>
      <c r="D100" s="19">
        <f ca="1">((100/H90)*C100)/100</f>
        <v>0</v>
      </c>
      <c r="E100" s="170"/>
      <c r="F100" s="171"/>
      <c r="G100" s="170"/>
      <c r="H100" s="182"/>
      <c r="I100" s="13" t="s">
        <v>142</v>
      </c>
      <c r="J100" s="30">
        <f>(IF(B90&gt;4,(H90/(B90+2)+J99),0))</f>
        <v>0</v>
      </c>
    </row>
    <row r="101" spans="1:19" ht="15.75" hidden="1" customHeight="1" x14ac:dyDescent="0.25">
      <c r="A101" s="152" t="s">
        <v>130</v>
      </c>
      <c r="B101" s="153" t="s">
        <v>130</v>
      </c>
      <c r="C101" s="81">
        <v>0</v>
      </c>
      <c r="D101" s="19">
        <f ca="1">((100/(H90))*C101)/100</f>
        <v>0</v>
      </c>
      <c r="E101" s="170"/>
      <c r="F101" s="171"/>
      <c r="G101" s="170"/>
      <c r="H101" s="182"/>
      <c r="I101" s="13" t="s">
        <v>146</v>
      </c>
      <c r="J101" s="30">
        <f ca="1">(IF(B90=1,(H90/(B90+3)+J96),IF(B90=0,(H90/4+J96),IF(B90&gt;1,0))))</f>
        <v>14.25</v>
      </c>
    </row>
    <row r="102" spans="1:19" ht="16.5" hidden="1" thickBot="1" x14ac:dyDescent="0.3">
      <c r="A102" s="184" t="s">
        <v>131</v>
      </c>
      <c r="B102" s="185"/>
      <c r="C102" s="80">
        <v>0</v>
      </c>
      <c r="D102" s="20">
        <f ca="1">((100/(H90))*C102)/100</f>
        <v>0</v>
      </c>
      <c r="E102" s="172"/>
      <c r="F102" s="173"/>
      <c r="G102" s="172"/>
      <c r="H102" s="183"/>
      <c r="I102" s="15" t="s">
        <v>101</v>
      </c>
      <c r="J102" s="32">
        <f ca="1">(IF(B90&gt;1.5,(H90/(B90+2)+J96+MAX(0,J97-J96)+MAX(0,J98-J97)+MAX(0,J99-J98)+MAX(0,J100-J99)+MAX(0,J101-J100)),IF(B90=1,(H90/(B90+3)+J101),IF(B90=0,H90/4+J101))))</f>
        <v>19</v>
      </c>
    </row>
    <row r="103" spans="1:19" ht="15.75" hidden="1" customHeight="1" x14ac:dyDescent="0.25">
      <c r="A103" s="174" t="s">
        <v>137</v>
      </c>
      <c r="B103" s="175"/>
      <c r="C103" s="176" t="str">
        <f>D67</f>
        <v>C Wing = 1B + G + 1st to 20th Floor</v>
      </c>
      <c r="D103" s="177"/>
      <c r="E103" s="177"/>
      <c r="F103" s="177"/>
      <c r="G103" s="177"/>
      <c r="H103" s="178"/>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139</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idden="1" x14ac:dyDescent="0.25">
      <c r="A105" s="166" t="s">
        <v>87</v>
      </c>
      <c r="B105" s="167"/>
      <c r="C105" s="179" t="str">
        <f ca="1">I103</f>
        <v xml:space="preserve">Excavation, Plinth Completed </v>
      </c>
      <c r="D105" s="179"/>
      <c r="E105" s="179"/>
      <c r="F105" s="179"/>
      <c r="G105" s="179"/>
      <c r="H105" s="180"/>
      <c r="I105" s="48" t="str">
        <f ca="1">IF(I104&lt;&gt;""," Completed","")</f>
        <v xml:space="preserve"> Completed</v>
      </c>
      <c r="J105" s="49" t="str">
        <f ca="1">IF(J103&lt;&gt;"","Completed","")</f>
        <v/>
      </c>
      <c r="S105"/>
    </row>
    <row r="106" spans="1:19" ht="15.75" hidden="1" customHeight="1" x14ac:dyDescent="0.25">
      <c r="A106" s="152" t="s">
        <v>47</v>
      </c>
      <c r="B106" s="153"/>
      <c r="C106" s="81" t="s">
        <v>136</v>
      </c>
      <c r="D106" s="81" t="s">
        <v>80</v>
      </c>
      <c r="E106" s="153" t="s">
        <v>82</v>
      </c>
      <c r="F106" s="153"/>
      <c r="G106" s="153" t="s">
        <v>81</v>
      </c>
      <c r="H106" s="165"/>
      <c r="I106" s="13" t="s">
        <v>138</v>
      </c>
      <c r="J106" s="28">
        <f ca="1">H104*25%</f>
        <v>5</v>
      </c>
      <c r="S106"/>
    </row>
    <row r="107" spans="1:19" hidden="1" x14ac:dyDescent="0.25">
      <c r="A107" s="152" t="s">
        <v>125</v>
      </c>
      <c r="B107" s="153"/>
      <c r="C107" s="61">
        <f ca="1">J108</f>
        <v>20</v>
      </c>
      <c r="D107" s="19">
        <f ca="1">((100/H104)*C107)/100</f>
        <v>1</v>
      </c>
      <c r="E107" s="168">
        <f ca="1">(((C108/H104*10)+(40/(D104+F104+H104)*C109)+(7.5/(H104)*C110)+(7.5/(H104)*C111)+(10/H104*C112)+(10/H104*C113)+(5/H104*C114)+(5/H104*C115)+(5/H104*C116))/100)</f>
        <v>0.1</v>
      </c>
      <c r="F107" s="169"/>
      <c r="G107" s="168">
        <f ca="1">((((C107/H104)*20)+((C108/H104)*25)+(30/(H104+F104+D104)*C109)+(5/H104*C110)+(5/H104*C111)+(5/H104*C112)+(5/H104*C113)+(0/H104*C114)+(0/H104*C115)+(5/H104*C116))/100)</f>
        <v>0.45</v>
      </c>
      <c r="H107" s="181"/>
      <c r="I107" s="13" t="s">
        <v>97</v>
      </c>
      <c r="J107" s="29">
        <f ca="1">H104*50%</f>
        <v>10</v>
      </c>
    </row>
    <row r="108" spans="1:19" hidden="1" x14ac:dyDescent="0.25">
      <c r="A108" s="152" t="s">
        <v>48</v>
      </c>
      <c r="B108" s="153"/>
      <c r="C108" s="81">
        <f ca="1">J116</f>
        <v>20</v>
      </c>
      <c r="D108" s="19">
        <f ca="1">((100/H104)*C108)/100</f>
        <v>1</v>
      </c>
      <c r="E108" s="170"/>
      <c r="F108" s="171"/>
      <c r="G108" s="170"/>
      <c r="H108" s="182"/>
      <c r="I108" s="13" t="s">
        <v>98</v>
      </c>
      <c r="J108" s="29">
        <f ca="1">H104</f>
        <v>20</v>
      </c>
      <c r="S108"/>
    </row>
    <row r="109" spans="1:19" ht="15.75" hidden="1" customHeight="1" x14ac:dyDescent="0.25">
      <c r="A109" s="152" t="s">
        <v>126</v>
      </c>
      <c r="B109" s="153"/>
      <c r="C109" s="81">
        <v>0</v>
      </c>
      <c r="D109" s="19">
        <f ca="1">((100/(D104+F104+H104))*C109)/100</f>
        <v>0</v>
      </c>
      <c r="E109" s="170"/>
      <c r="F109" s="171"/>
      <c r="G109" s="170"/>
      <c r="H109" s="182"/>
      <c r="I109" s="13" t="s">
        <v>99</v>
      </c>
      <c r="J109" s="30">
        <f ca="1">(IF(B104&gt;1,(H104/(B104+2)),H104/4))</f>
        <v>5</v>
      </c>
      <c r="S109"/>
    </row>
    <row r="110" spans="1:19" ht="15.75" hidden="1" customHeight="1" x14ac:dyDescent="0.25">
      <c r="A110" s="152" t="s">
        <v>133</v>
      </c>
      <c r="B110" s="153" t="s">
        <v>127</v>
      </c>
      <c r="C110" s="81">
        <v>0</v>
      </c>
      <c r="D110" s="19">
        <f ca="1">((100/H104)*C110)/100</f>
        <v>0</v>
      </c>
      <c r="E110" s="170"/>
      <c r="F110" s="171"/>
      <c r="G110" s="170"/>
      <c r="H110" s="182"/>
      <c r="I110" s="13" t="s">
        <v>100</v>
      </c>
      <c r="J110" s="30">
        <f ca="1">(IF(B104&gt;1,(H104/(B104+2)+J109),H104/4+J109))</f>
        <v>10</v>
      </c>
    </row>
    <row r="111" spans="1:19" ht="15.75" hidden="1" customHeight="1" x14ac:dyDescent="0.25">
      <c r="A111" s="152" t="s">
        <v>134</v>
      </c>
      <c r="B111" s="153" t="s">
        <v>127</v>
      </c>
      <c r="C111" s="81">
        <v>0</v>
      </c>
      <c r="D111" s="19">
        <f ca="1">((100/H104)*C111)/100</f>
        <v>0</v>
      </c>
      <c r="E111" s="170"/>
      <c r="F111" s="171"/>
      <c r="G111" s="170"/>
      <c r="H111" s="182"/>
      <c r="I111" s="13" t="s">
        <v>145</v>
      </c>
      <c r="J111" s="30">
        <f>(IF(B104&gt;1,(H104/(B104+2)+J110),0))</f>
        <v>0</v>
      </c>
    </row>
    <row r="112" spans="1:19" ht="15" hidden="1" customHeight="1" x14ac:dyDescent="0.25">
      <c r="A112" s="152" t="s">
        <v>132</v>
      </c>
      <c r="B112" s="153" t="s">
        <v>129</v>
      </c>
      <c r="C112" s="81">
        <v>0</v>
      </c>
      <c r="D112" s="19">
        <f ca="1">((100/(H104))*C112)/100</f>
        <v>0</v>
      </c>
      <c r="E112" s="170"/>
      <c r="F112" s="171"/>
      <c r="G112" s="170"/>
      <c r="H112" s="182"/>
      <c r="I112" s="13" t="s">
        <v>140</v>
      </c>
      <c r="J112" s="30">
        <f>(IF(B104&gt;2,(H104/(B104+2)+J111),0))</f>
        <v>0</v>
      </c>
    </row>
    <row r="113" spans="1:19" ht="15.75" hidden="1" customHeight="1" x14ac:dyDescent="0.25">
      <c r="A113" s="152" t="s">
        <v>128</v>
      </c>
      <c r="B113" s="153" t="s">
        <v>128</v>
      </c>
      <c r="C113" s="81">
        <v>0</v>
      </c>
      <c r="D113" s="19">
        <f ca="1">((100/H104)*C113)/100</f>
        <v>0</v>
      </c>
      <c r="E113" s="170"/>
      <c r="F113" s="171"/>
      <c r="G113" s="170"/>
      <c r="H113" s="182"/>
      <c r="I113" s="13" t="s">
        <v>141</v>
      </c>
      <c r="J113" s="31">
        <f>(IF(B104&gt;3,(H104/(B104+2)+J112),0))</f>
        <v>0</v>
      </c>
    </row>
    <row r="114" spans="1:19" ht="15.75" hidden="1" customHeight="1" x14ac:dyDescent="0.25">
      <c r="A114" s="152" t="s">
        <v>135</v>
      </c>
      <c r="B114" s="153"/>
      <c r="C114" s="81">
        <v>0</v>
      </c>
      <c r="D114" s="19">
        <f ca="1">((100/H104)*C114)/100</f>
        <v>0</v>
      </c>
      <c r="E114" s="170"/>
      <c r="F114" s="171"/>
      <c r="G114" s="170"/>
      <c r="H114" s="182"/>
      <c r="I114" s="13" t="s">
        <v>142</v>
      </c>
      <c r="J114" s="30">
        <f>(IF(B104&gt;4,(H104/(B104+2)+J113),0))</f>
        <v>0</v>
      </c>
    </row>
    <row r="115" spans="1:19" ht="15.75" hidden="1" customHeight="1" x14ac:dyDescent="0.25">
      <c r="A115" s="152" t="s">
        <v>130</v>
      </c>
      <c r="B115" s="153" t="s">
        <v>130</v>
      </c>
      <c r="C115" s="81">
        <v>0</v>
      </c>
      <c r="D115" s="19">
        <f ca="1">((100/(H104))*C115)/100</f>
        <v>0</v>
      </c>
      <c r="E115" s="170"/>
      <c r="F115" s="171"/>
      <c r="G115" s="170"/>
      <c r="H115" s="182"/>
      <c r="I115" s="13" t="s">
        <v>146</v>
      </c>
      <c r="J115" s="30">
        <f ca="1">(IF(B104=1,(H104/(B104+3)+J110),IF(B104=0,(H104/4+J110),IF(B104&gt;1,0))))</f>
        <v>15</v>
      </c>
    </row>
    <row r="116" spans="1:19" ht="16.5" hidden="1" thickBot="1" x14ac:dyDescent="0.3">
      <c r="A116" s="184" t="s">
        <v>131</v>
      </c>
      <c r="B116" s="185"/>
      <c r="C116" s="80">
        <v>0</v>
      </c>
      <c r="D116" s="20">
        <f ca="1">((100/(H104))*C116)/100</f>
        <v>0</v>
      </c>
      <c r="E116" s="172"/>
      <c r="F116" s="173"/>
      <c r="G116" s="172"/>
      <c r="H116" s="183"/>
      <c r="I116" s="15" t="s">
        <v>101</v>
      </c>
      <c r="J116" s="32">
        <f ca="1">(IF(B104&gt;1.5,(H104/(B104+2)+J110+MAX(0,J111-J110)+MAX(0,J112-J111)+MAX(0,J113-J112)+MAX(0,J114-J113)+MAX(0,J115-J114)),IF(B104=1,(H104/(B104+3)+J115),IF(B104=0,H104/4+J115))))</f>
        <v>20</v>
      </c>
    </row>
    <row r="117" spans="1:19" ht="15.75" hidden="1" customHeight="1" x14ac:dyDescent="0.25">
      <c r="A117" s="236" t="s">
        <v>137</v>
      </c>
      <c r="B117" s="237"/>
      <c r="C117" s="238" t="s">
        <v>410</v>
      </c>
      <c r="D117" s="239"/>
      <c r="E117" s="239"/>
      <c r="F117" s="239"/>
      <c r="G117" s="239"/>
      <c r="H117" s="240"/>
      <c r="I117" s="46" t="str">
        <f ca="1">IF(D130=100%,"All work Completed. Possession granted to the Building.",IF(D129=100%,"All work Completed, Waiting for OC",I118&amp;""&amp;I119&amp;""&amp;J118&amp;""&amp;J117&amp;" "&amp;J119))</f>
        <v xml:space="preserve">Excavation, Plinth Completed </v>
      </c>
      <c r="J117" s="47" t="str">
        <f ca="1">(IF(C123=(D118+F118+H118),"",IF(C123&gt;0,", RCC upto "&amp;C123&amp;" Slab","")))&amp;(IF(C124=H118,"",IF(C124&gt;0,", Brickwork upto "&amp;C124&amp;" Floor","")))&amp;(IF(C125=H118,"",IF(C125&gt;0,", Internal Plaster upto "&amp;C125&amp;" Floor","")))&amp;(IF(C126=H118,"",IF(C126&gt;0,", External Plaster upto "&amp;C126&amp;" Floor","")))&amp;(IF(C127=H118,"",IF(C127&gt;0,", Flooring upto "&amp;C127&amp;" Floor","")))&amp;(IF(C128=H118,"",IF(C128&gt;0,", Painting upto "&amp;C128&amp;" Floor","")))&amp;(IF(C129=H118,"",IF(C129&gt;0,", Finishing upto "&amp;C129&amp;" Floor","")))&amp;(IF(C130=H118,"",IF(C130&gt;0,", Possession upto "&amp;C130&amp;" Floor","")))</f>
        <v/>
      </c>
      <c r="S117"/>
    </row>
    <row r="118" spans="1:19" hidden="1" x14ac:dyDescent="0.25">
      <c r="A118" s="16" t="s">
        <v>139</v>
      </c>
      <c r="B118" s="50">
        <f>IF(AND(ISNUMBER(SEARCH("1B",C117))),1,IF(AND(ISNUMBER(SEARCH("2B",C117))),2,IF(AND(ISNUMBER(SEARCH("3B",C117))),3,IF(AND(ISNUMBER(SEARCH("4B",C117))),4,IF(ISNUMBER(SEARCH("5B",C117)),5,0)))))</f>
        <v>0</v>
      </c>
      <c r="C118" s="50" t="s">
        <v>69</v>
      </c>
      <c r="D118" s="50">
        <v>1</v>
      </c>
      <c r="E118" s="50" t="s">
        <v>68</v>
      </c>
      <c r="F118" s="50">
        <v>0</v>
      </c>
      <c r="G118" s="50" t="s">
        <v>77</v>
      </c>
      <c r="H118" s="17">
        <f ca="1">--TRIM(RIGHT(SUBSTITUTE(LEFT(C117,_xlfn.AGGREGATE(16,6,FIND({0,1,2,3,4,5,6,7,8,9},C117,ROW(INDIRECT("1:"&amp;LEN(C117)))),1))," ",REPT(" ",LEN(C117))),LEN(C117)))</f>
        <v>20</v>
      </c>
      <c r="I118" s="48" t="str">
        <f ca="1">IF(D121=100%,"Excavation","")&amp;IF(D122=100%,", Plinth","")&amp;IF(D123=100%,", RCC Slab","")&amp;IF(D124=100%,", Brickwork","")&amp;IF(D125=100%,", Internal Plaster","")&amp;IF(D126=100%,", External Plaster","")&amp;IF(D127=100%,", Flooring","")&amp;IF(D128=100%,", Painting","")&amp;IF(D129=100%,", Building common Amenities","")</f>
        <v>Excavation, Plinth</v>
      </c>
      <c r="J118" s="49" t="str">
        <f ca="1">(IF(C121=0,"Work not yet Started.",IF(D121=25%,"Piling work in process",IF(D121=50%,"Excavation work in process",IF(D121=100%,"","0")))))&amp;(IF(C122=0%,"",IF(C122=J123,", Footing work is process",IF(C122=J124,", Footing work Completed",IF(C122=J125,", 1st Basement Completed",IF(C122=J126,", 1st &amp; 2nd Basement Completed",IF(C122=J127,", 1st to 3rd Basement Completed",IF(C122=J128,", 1st to 4th Basement Completed",IF(C122=J129,", Plinth work is process",IF(C122=J130,"","0"))))))))))</f>
        <v/>
      </c>
      <c r="S118"/>
    </row>
    <row r="119" spans="1:19" hidden="1" x14ac:dyDescent="0.25">
      <c r="A119" s="166" t="s">
        <v>87</v>
      </c>
      <c r="B119" s="167"/>
      <c r="C119" s="179" t="str">
        <f ca="1">I117</f>
        <v xml:space="preserve">Excavation, Plinth Completed </v>
      </c>
      <c r="D119" s="179"/>
      <c r="E119" s="179"/>
      <c r="F119" s="179"/>
      <c r="G119" s="179"/>
      <c r="H119" s="180"/>
      <c r="I119" s="48" t="str">
        <f ca="1">IF(I118&lt;&gt;""," Completed","")</f>
        <v xml:space="preserve"> Completed</v>
      </c>
      <c r="J119" s="49" t="str">
        <f ca="1">IF(J117&lt;&gt;"","Completed","")</f>
        <v/>
      </c>
      <c r="S119"/>
    </row>
    <row r="120" spans="1:19" ht="15.75" hidden="1" customHeight="1" x14ac:dyDescent="0.25">
      <c r="A120" s="154" t="s">
        <v>47</v>
      </c>
      <c r="B120" s="155"/>
      <c r="C120" s="111" t="s">
        <v>136</v>
      </c>
      <c r="D120" s="111" t="s">
        <v>80</v>
      </c>
      <c r="E120" s="155" t="s">
        <v>82</v>
      </c>
      <c r="F120" s="155"/>
      <c r="G120" s="155" t="s">
        <v>81</v>
      </c>
      <c r="H120" s="290"/>
      <c r="I120" s="13" t="s">
        <v>138</v>
      </c>
      <c r="J120" s="28">
        <f ca="1">H118*25%</f>
        <v>5</v>
      </c>
      <c r="S120"/>
    </row>
    <row r="121" spans="1:19" hidden="1" x14ac:dyDescent="0.25">
      <c r="A121" s="154" t="s">
        <v>125</v>
      </c>
      <c r="B121" s="155"/>
      <c r="C121" s="111">
        <f ca="1">J122</f>
        <v>20</v>
      </c>
      <c r="D121" s="98">
        <f ca="1">((100/H118)*C121)/100</f>
        <v>1</v>
      </c>
      <c r="E121" s="156">
        <f ca="1">(((C122/H118*10)+(40/(D118+F118+H118)*C123)+(7.5/(H118)*C124)+(7.5/(H118)*C125)+(10/H118*C126)+(10/H118*C127)+(5/H118*C128)+(5/H118*C129)+(5/H118*C130))/100)</f>
        <v>0.1</v>
      </c>
      <c r="F121" s="157"/>
      <c r="G121" s="156">
        <f ca="1">((((C121/H118)*20)+((C122/H118)*25)+(30/(H118+F118+D118)*C123)+(5/H118*C124)+(5/H118*C125)+(5/H118*C126)+(5/H118*C127)+(0/H118*C128)+(0/H118*C129)+(5/H118*C130))/100)</f>
        <v>0.45</v>
      </c>
      <c r="H121" s="162"/>
      <c r="I121" s="13" t="s">
        <v>97</v>
      </c>
      <c r="J121" s="29">
        <f ca="1">H118*50%</f>
        <v>10</v>
      </c>
    </row>
    <row r="122" spans="1:19" hidden="1" x14ac:dyDescent="0.25">
      <c r="A122" s="154" t="s">
        <v>48</v>
      </c>
      <c r="B122" s="155"/>
      <c r="C122" s="99">
        <f ca="1">J130</f>
        <v>20</v>
      </c>
      <c r="D122" s="98">
        <f ca="1">((100/H118)*C122)/100</f>
        <v>1</v>
      </c>
      <c r="E122" s="158"/>
      <c r="F122" s="159"/>
      <c r="G122" s="158"/>
      <c r="H122" s="163"/>
      <c r="I122" s="13" t="s">
        <v>98</v>
      </c>
      <c r="J122" s="29">
        <f ca="1">H118</f>
        <v>20</v>
      </c>
      <c r="S122"/>
    </row>
    <row r="123" spans="1:19" ht="15.75" hidden="1" customHeight="1" x14ac:dyDescent="0.25">
      <c r="A123" s="154" t="s">
        <v>126</v>
      </c>
      <c r="B123" s="155"/>
      <c r="C123" s="111">
        <v>0</v>
      </c>
      <c r="D123" s="98">
        <f ca="1">((100/(D118+F118+H118))*C123)/100</f>
        <v>0</v>
      </c>
      <c r="E123" s="158"/>
      <c r="F123" s="159"/>
      <c r="G123" s="158"/>
      <c r="H123" s="163"/>
      <c r="I123" s="13" t="s">
        <v>99</v>
      </c>
      <c r="J123" s="30">
        <f ca="1">(IF(B118&gt;1,(H118/(B118+2)),H118/4))</f>
        <v>5</v>
      </c>
      <c r="S123"/>
    </row>
    <row r="124" spans="1:19" ht="15.75" hidden="1" customHeight="1" x14ac:dyDescent="0.25">
      <c r="A124" s="154" t="s">
        <v>133</v>
      </c>
      <c r="B124" s="155" t="s">
        <v>127</v>
      </c>
      <c r="C124" s="111">
        <v>0</v>
      </c>
      <c r="D124" s="98">
        <f ca="1">((100/H118)*C124)/100</f>
        <v>0</v>
      </c>
      <c r="E124" s="158"/>
      <c r="F124" s="159"/>
      <c r="G124" s="158"/>
      <c r="H124" s="163"/>
      <c r="I124" s="13" t="s">
        <v>100</v>
      </c>
      <c r="J124" s="30">
        <f ca="1">(IF(B118&gt;1,(H118/(B118+2)+J123),H118/4+J123))</f>
        <v>10</v>
      </c>
    </row>
    <row r="125" spans="1:19" ht="15.75" hidden="1" customHeight="1" x14ac:dyDescent="0.25">
      <c r="A125" s="154" t="s">
        <v>134</v>
      </c>
      <c r="B125" s="155" t="s">
        <v>127</v>
      </c>
      <c r="C125" s="111">
        <v>0</v>
      </c>
      <c r="D125" s="98">
        <f ca="1">((100/H118)*C125)/100</f>
        <v>0</v>
      </c>
      <c r="E125" s="158"/>
      <c r="F125" s="159"/>
      <c r="G125" s="158"/>
      <c r="H125" s="163"/>
      <c r="I125" s="13" t="s">
        <v>145</v>
      </c>
      <c r="J125" s="30">
        <f>(IF(B118&gt;1,(H118/(B118+2)+J124),0))</f>
        <v>0</v>
      </c>
    </row>
    <row r="126" spans="1:19" ht="15" hidden="1" customHeight="1" x14ac:dyDescent="0.25">
      <c r="A126" s="154" t="s">
        <v>132</v>
      </c>
      <c r="B126" s="155" t="s">
        <v>129</v>
      </c>
      <c r="C126" s="111">
        <v>0</v>
      </c>
      <c r="D126" s="98">
        <f ca="1">((100/(H118))*C126)/100</f>
        <v>0</v>
      </c>
      <c r="E126" s="158"/>
      <c r="F126" s="159"/>
      <c r="G126" s="158"/>
      <c r="H126" s="163"/>
      <c r="I126" s="13" t="s">
        <v>140</v>
      </c>
      <c r="J126" s="30">
        <f>(IF(B118&gt;2,(H118/(B118+2)+J125),0))</f>
        <v>0</v>
      </c>
    </row>
    <row r="127" spans="1:19" ht="15.75" hidden="1" customHeight="1" x14ac:dyDescent="0.25">
      <c r="A127" s="154" t="s">
        <v>128</v>
      </c>
      <c r="B127" s="155" t="s">
        <v>128</v>
      </c>
      <c r="C127" s="111">
        <v>0</v>
      </c>
      <c r="D127" s="98">
        <f ca="1">((100/H118)*C127)/100</f>
        <v>0</v>
      </c>
      <c r="E127" s="158"/>
      <c r="F127" s="159"/>
      <c r="G127" s="158"/>
      <c r="H127" s="163"/>
      <c r="I127" s="13" t="s">
        <v>141</v>
      </c>
      <c r="J127" s="31">
        <f>(IF(B118&gt;3,(H118/(B118+2)+J126),0))</f>
        <v>0</v>
      </c>
    </row>
    <row r="128" spans="1:19" ht="15.75" hidden="1" customHeight="1" x14ac:dyDescent="0.25">
      <c r="A128" s="154" t="s">
        <v>135</v>
      </c>
      <c r="B128" s="155"/>
      <c r="C128" s="111">
        <v>0</v>
      </c>
      <c r="D128" s="98">
        <f ca="1">((100/H118)*C128)/100</f>
        <v>0</v>
      </c>
      <c r="E128" s="158"/>
      <c r="F128" s="159"/>
      <c r="G128" s="158"/>
      <c r="H128" s="163"/>
      <c r="I128" s="13" t="s">
        <v>142</v>
      </c>
      <c r="J128" s="30">
        <f>(IF(B118&gt;4,(H118/(B118+2)+J127),0))</f>
        <v>0</v>
      </c>
    </row>
    <row r="129" spans="1:22" ht="15.75" hidden="1" customHeight="1" x14ac:dyDescent="0.25">
      <c r="A129" s="154" t="s">
        <v>130</v>
      </c>
      <c r="B129" s="155" t="s">
        <v>130</v>
      </c>
      <c r="C129" s="111">
        <v>0</v>
      </c>
      <c r="D129" s="98">
        <f ca="1">((100/(H118))*C129)/100</f>
        <v>0</v>
      </c>
      <c r="E129" s="158"/>
      <c r="F129" s="159"/>
      <c r="G129" s="158"/>
      <c r="H129" s="163"/>
      <c r="I129" s="13" t="s">
        <v>146</v>
      </c>
      <c r="J129" s="30">
        <f ca="1">(IF(B118=1,(H118/(B118+3)+J124),IF(B118=0,(H118/4+J124),IF(B118&gt;1,0))))</f>
        <v>15</v>
      </c>
    </row>
    <row r="130" spans="1:22" ht="16.5" hidden="1" thickBot="1" x14ac:dyDescent="0.3">
      <c r="A130" s="296" t="s">
        <v>131</v>
      </c>
      <c r="B130" s="297"/>
      <c r="C130" s="114">
        <v>0</v>
      </c>
      <c r="D130" s="115">
        <f ca="1">((100/(H118))*C130)/100</f>
        <v>0</v>
      </c>
      <c r="E130" s="158"/>
      <c r="F130" s="159"/>
      <c r="G130" s="158"/>
      <c r="H130" s="163"/>
      <c r="I130" s="15" t="s">
        <v>101</v>
      </c>
      <c r="J130" s="32">
        <f ca="1">(IF(B118&gt;1.5,(H118/(B118+2)+J124+MAX(0,J125-J124)+MAX(0,J126-J125)+MAX(0,J127-J126)+MAX(0,J128-J127)+MAX(0,J129-J128)),IF(B118=1,(H118/(B118+3)+J129),IF(B118=0,H118/4+J129))))</f>
        <v>20</v>
      </c>
    </row>
    <row r="131" spans="1:22" ht="34.5" hidden="1" customHeight="1" thickBot="1" x14ac:dyDescent="0.3">
      <c r="A131" s="295" t="s">
        <v>411</v>
      </c>
      <c r="B131" s="294"/>
      <c r="C131" s="293">
        <f ca="1">AVERAGE(E79,E121)</f>
        <v>0.15714285714285714</v>
      </c>
      <c r="D131" s="294"/>
      <c r="E131" s="119" t="s">
        <v>412</v>
      </c>
      <c r="F131" s="119"/>
      <c r="G131" s="119">
        <f ca="1">AVERAGE(G79,G121)</f>
        <v>0.49285714285714288</v>
      </c>
      <c r="H131" s="120"/>
      <c r="I131" s="112"/>
      <c r="J131" s="113"/>
    </row>
    <row r="132" spans="1:22" x14ac:dyDescent="0.25">
      <c r="A132" s="263" t="s">
        <v>157</v>
      </c>
      <c r="B132" s="263"/>
      <c r="C132" s="263"/>
      <c r="D132" s="263"/>
      <c r="E132" s="263"/>
      <c r="F132" s="199" t="s">
        <v>161</v>
      </c>
      <c r="G132" s="199"/>
      <c r="H132" s="199"/>
      <c r="I132" s="103"/>
      <c r="J132" s="103"/>
      <c r="K132" s="103"/>
      <c r="L132" s="103"/>
      <c r="N132" s="103"/>
      <c r="R132" t="s">
        <v>255</v>
      </c>
      <c r="S132" t="s">
        <v>174</v>
      </c>
      <c r="T132" t="s">
        <v>182</v>
      </c>
      <c r="U132" t="s">
        <v>196</v>
      </c>
      <c r="V132" t="s">
        <v>191</v>
      </c>
    </row>
    <row r="133" spans="1:22" x14ac:dyDescent="0.25">
      <c r="A133" s="186" t="s">
        <v>159</v>
      </c>
      <c r="B133" s="186"/>
      <c r="C133" s="186"/>
      <c r="D133" s="186"/>
      <c r="E133" s="186"/>
      <c r="F133" s="197">
        <v>8200</v>
      </c>
      <c r="G133" s="197"/>
      <c r="H133" s="197"/>
      <c r="I133" s="103" t="s">
        <v>406</v>
      </c>
      <c r="J133" s="105"/>
      <c r="K133" s="103"/>
      <c r="L133" s="103"/>
      <c r="N133" s="103"/>
      <c r="R133"/>
      <c r="S133">
        <v>800000</v>
      </c>
      <c r="T133">
        <v>150000</v>
      </c>
      <c r="U133">
        <v>100000</v>
      </c>
      <c r="V133">
        <v>100000</v>
      </c>
    </row>
    <row r="134" spans="1:22" x14ac:dyDescent="0.25">
      <c r="A134" s="186" t="s">
        <v>158</v>
      </c>
      <c r="B134" s="186"/>
      <c r="C134" s="186"/>
      <c r="D134" s="186"/>
      <c r="E134" s="186"/>
      <c r="F134" s="197">
        <v>12000</v>
      </c>
      <c r="G134" s="197"/>
      <c r="H134" s="197"/>
      <c r="I134" s="103"/>
      <c r="J134" s="103"/>
      <c r="K134" s="103"/>
      <c r="L134" s="103"/>
      <c r="M134" s="103"/>
      <c r="N134" s="103"/>
      <c r="R134"/>
      <c r="S134">
        <v>900000</v>
      </c>
      <c r="T134">
        <v>200000</v>
      </c>
      <c r="U134">
        <v>150000</v>
      </c>
      <c r="V134">
        <v>150000</v>
      </c>
    </row>
    <row r="135" spans="1:22" hidden="1" x14ac:dyDescent="0.25">
      <c r="A135" s="186" t="s">
        <v>160</v>
      </c>
      <c r="B135" s="186"/>
      <c r="C135" s="186"/>
      <c r="D135" s="186"/>
      <c r="E135" s="186"/>
      <c r="F135" s="197"/>
      <c r="G135" s="197"/>
      <c r="H135" s="197"/>
      <c r="I135" s="103"/>
      <c r="J135" s="103"/>
      <c r="K135" s="103"/>
      <c r="L135" s="103"/>
      <c r="M135" s="103"/>
      <c r="N135" s="103"/>
      <c r="R135"/>
      <c r="S135">
        <v>1000000</v>
      </c>
      <c r="T135">
        <v>250000</v>
      </c>
      <c r="U135">
        <v>200000</v>
      </c>
      <c r="V135">
        <v>200000</v>
      </c>
    </row>
    <row r="136" spans="1:22" s="33" customFormat="1" hidden="1" x14ac:dyDescent="0.25">
      <c r="A136" s="186" t="s">
        <v>177</v>
      </c>
      <c r="B136" s="186"/>
      <c r="C136" s="186"/>
      <c r="D136" s="186"/>
      <c r="E136" s="186"/>
      <c r="F136" s="197"/>
      <c r="G136" s="197"/>
      <c r="H136" s="197"/>
      <c r="I136" s="104"/>
      <c r="J136" s="104"/>
      <c r="K136" s="104"/>
      <c r="L136" s="104"/>
      <c r="M136" s="104"/>
      <c r="N136" s="104"/>
      <c r="R136"/>
      <c r="S136">
        <v>1100000</v>
      </c>
      <c r="T136">
        <v>300000</v>
      </c>
      <c r="U136">
        <v>250000</v>
      </c>
      <c r="V136" s="23">
        <v>250000</v>
      </c>
    </row>
    <row r="137" spans="1:22" s="33" customFormat="1" hidden="1" x14ac:dyDescent="0.25">
      <c r="A137" s="186" t="s">
        <v>92</v>
      </c>
      <c r="B137" s="186"/>
      <c r="C137" s="186"/>
      <c r="D137" s="186"/>
      <c r="E137" s="186"/>
      <c r="F137" s="197"/>
      <c r="G137" s="197"/>
      <c r="H137" s="197"/>
      <c r="I137" s="104"/>
      <c r="J137" s="104"/>
      <c r="K137" s="104"/>
      <c r="L137" s="104"/>
      <c r="M137" s="104"/>
      <c r="N137" s="104"/>
      <c r="R137"/>
      <c r="S137">
        <v>1200000</v>
      </c>
      <c r="T137">
        <v>350000</v>
      </c>
      <c r="U137">
        <v>300000</v>
      </c>
      <c r="V137">
        <v>300000</v>
      </c>
    </row>
    <row r="138" spans="1:22" s="33" customFormat="1" hidden="1" x14ac:dyDescent="0.25">
      <c r="A138" s="186" t="s">
        <v>93</v>
      </c>
      <c r="B138" s="186"/>
      <c r="C138" s="186"/>
      <c r="D138" s="186"/>
      <c r="E138" s="186"/>
      <c r="F138" s="197"/>
      <c r="G138" s="197"/>
      <c r="H138" s="197"/>
      <c r="I138" s="104"/>
      <c r="J138" s="104"/>
      <c r="K138" s="104"/>
      <c r="L138" s="104"/>
      <c r="M138" s="104"/>
      <c r="N138" s="104"/>
      <c r="R138"/>
      <c r="S138">
        <v>1300000</v>
      </c>
      <c r="T138">
        <v>400000</v>
      </c>
      <c r="U138">
        <v>350000</v>
      </c>
      <c r="V138" s="23">
        <v>400000</v>
      </c>
    </row>
    <row r="139" spans="1:22" s="33" customFormat="1" x14ac:dyDescent="0.25">
      <c r="A139" s="186" t="s">
        <v>413</v>
      </c>
      <c r="B139" s="186"/>
      <c r="C139" s="186"/>
      <c r="D139" s="186"/>
      <c r="E139" s="186"/>
      <c r="F139" s="197">
        <v>300000</v>
      </c>
      <c r="G139" s="197"/>
      <c r="H139" s="197"/>
      <c r="I139" s="104"/>
      <c r="J139" s="104"/>
      <c r="K139" s="104"/>
      <c r="L139" s="104"/>
      <c r="M139" s="104"/>
      <c r="N139" s="104"/>
      <c r="R139"/>
      <c r="S139">
        <v>1400000</v>
      </c>
      <c r="T139">
        <v>500000</v>
      </c>
      <c r="U139">
        <v>400000</v>
      </c>
      <c r="V139"/>
    </row>
    <row r="140" spans="1:22" s="33" customFormat="1" hidden="1" x14ac:dyDescent="0.25">
      <c r="A140" s="186" t="s">
        <v>94</v>
      </c>
      <c r="B140" s="186"/>
      <c r="C140" s="186"/>
      <c r="D140" s="186"/>
      <c r="E140" s="186"/>
      <c r="F140" s="197"/>
      <c r="G140" s="197"/>
      <c r="H140" s="197"/>
      <c r="I140" s="104"/>
      <c r="J140" s="104"/>
      <c r="K140" s="104"/>
      <c r="L140" s="104"/>
      <c r="M140" s="104"/>
      <c r="N140" s="104"/>
      <c r="R140"/>
      <c r="S140">
        <v>1500000</v>
      </c>
      <c r="T140">
        <v>600000</v>
      </c>
      <c r="U140">
        <v>500000</v>
      </c>
      <c r="V140" s="23"/>
    </row>
    <row r="141" spans="1:22" s="33" customFormat="1" hidden="1" x14ac:dyDescent="0.25">
      <c r="A141" s="186" t="s">
        <v>95</v>
      </c>
      <c r="B141" s="186"/>
      <c r="C141" s="186"/>
      <c r="D141" s="186"/>
      <c r="E141" s="186"/>
      <c r="F141" s="197"/>
      <c r="G141" s="197"/>
      <c r="H141" s="197"/>
      <c r="I141" s="104"/>
      <c r="J141" s="104"/>
      <c r="K141" s="104"/>
      <c r="L141" s="104"/>
      <c r="M141" s="104"/>
      <c r="N141" s="104"/>
      <c r="R141"/>
      <c r="S141">
        <v>1600000</v>
      </c>
      <c r="T141">
        <v>700000</v>
      </c>
      <c r="U141">
        <v>600000</v>
      </c>
      <c r="V141"/>
    </row>
    <row r="142" spans="1:22" s="33" customFormat="1" hidden="1" x14ac:dyDescent="0.25">
      <c r="A142" s="186" t="s">
        <v>96</v>
      </c>
      <c r="B142" s="186"/>
      <c r="C142" s="186"/>
      <c r="D142" s="186"/>
      <c r="E142" s="186"/>
      <c r="F142" s="197"/>
      <c r="G142" s="197"/>
      <c r="H142" s="197"/>
      <c r="I142" s="104"/>
      <c r="J142" s="104"/>
      <c r="K142" s="104"/>
      <c r="L142" s="104"/>
      <c r="M142" s="104"/>
      <c r="N142" s="104"/>
      <c r="R142"/>
      <c r="S142">
        <v>1700000</v>
      </c>
      <c r="T142">
        <v>800000</v>
      </c>
      <c r="U142"/>
      <c r="V142" s="23"/>
    </row>
    <row r="143" spans="1:22" x14ac:dyDescent="0.25">
      <c r="A143" s="186" t="s">
        <v>49</v>
      </c>
      <c r="B143" s="186"/>
      <c r="C143" s="186"/>
      <c r="D143" s="186"/>
      <c r="E143" s="186"/>
      <c r="F143" s="197">
        <v>300000</v>
      </c>
      <c r="G143" s="197"/>
      <c r="H143" s="197"/>
      <c r="I143" s="103"/>
      <c r="J143" s="103"/>
      <c r="K143" s="103"/>
      <c r="L143" s="103"/>
      <c r="M143" s="103"/>
      <c r="N143" s="103"/>
      <c r="R143"/>
      <c r="S143">
        <v>1800000</v>
      </c>
      <c r="T143">
        <v>900000</v>
      </c>
      <c r="U143"/>
    </row>
    <row r="144" spans="1:22" s="34" customFormat="1" x14ac:dyDescent="0.25">
      <c r="A144" s="205" t="s">
        <v>50</v>
      </c>
      <c r="B144" s="205"/>
      <c r="C144" s="205"/>
      <c r="D144" s="205"/>
      <c r="E144" s="205"/>
      <c r="F144" s="197">
        <f>F133*0.8</f>
        <v>6560</v>
      </c>
      <c r="G144" s="197"/>
      <c r="H144" s="197"/>
      <c r="R144" s="21"/>
      <c r="S144" s="21"/>
      <c r="T144">
        <v>1000000</v>
      </c>
      <c r="U144"/>
      <c r="V144" s="21"/>
    </row>
    <row r="145" spans="1:22" s="35" customFormat="1" ht="15.75" customHeight="1" x14ac:dyDescent="0.25">
      <c r="A145" s="257" t="s">
        <v>72</v>
      </c>
      <c r="B145" s="257"/>
      <c r="C145" s="257"/>
      <c r="D145" s="257"/>
      <c r="E145" s="257"/>
      <c r="F145" s="257"/>
      <c r="G145" s="257"/>
      <c r="H145" s="257"/>
      <c r="R145"/>
      <c r="S145" s="21"/>
      <c r="T145"/>
      <c r="U145"/>
      <c r="V145" s="21"/>
    </row>
    <row r="146" spans="1:22" s="35" customFormat="1" ht="15.75" customHeight="1" x14ac:dyDescent="0.25">
      <c r="A146" s="260" t="s">
        <v>51</v>
      </c>
      <c r="B146" s="260"/>
      <c r="C146" s="273" t="s">
        <v>75</v>
      </c>
      <c r="D146" s="273"/>
      <c r="E146" s="266" t="s">
        <v>52</v>
      </c>
      <c r="F146" s="266"/>
      <c r="G146" s="260" t="s">
        <v>53</v>
      </c>
      <c r="H146" s="260"/>
      <c r="R146"/>
      <c r="S146" s="21"/>
      <c r="T146"/>
      <c r="U146" s="21"/>
      <c r="V146" s="21"/>
    </row>
    <row r="147" spans="1:22" s="35" customFormat="1" x14ac:dyDescent="0.25">
      <c r="A147" s="259" t="s">
        <v>378</v>
      </c>
      <c r="B147" s="259"/>
      <c r="C147" s="189">
        <f>COUNT(F159:F173)</f>
        <v>15</v>
      </c>
      <c r="D147" s="190"/>
      <c r="E147" s="189">
        <f>SUM(F159:F173)</f>
        <v>7223.4728280000008</v>
      </c>
      <c r="F147" s="190"/>
      <c r="G147" s="189">
        <f>SUM(H159:H173)</f>
        <v>10835.209241999999</v>
      </c>
      <c r="H147" s="190"/>
      <c r="R147"/>
      <c r="S147" s="21"/>
      <c r="T147"/>
      <c r="U147" s="21"/>
      <c r="V147" s="21"/>
    </row>
    <row r="148" spans="1:22" s="35" customFormat="1" x14ac:dyDescent="0.25">
      <c r="A148" s="257" t="s">
        <v>150</v>
      </c>
      <c r="B148" s="257"/>
      <c r="C148" s="272">
        <f>SUM(C147)</f>
        <v>15</v>
      </c>
      <c r="D148" s="273"/>
      <c r="E148" s="274">
        <f>SUM(E147)</f>
        <v>7223.4728280000008</v>
      </c>
      <c r="F148" s="266"/>
      <c r="G148" s="260">
        <f>SUM(G147)</f>
        <v>10835.209241999999</v>
      </c>
      <c r="H148" s="260"/>
      <c r="R148"/>
      <c r="S148" s="21"/>
      <c r="T148"/>
      <c r="U148" s="21"/>
      <c r="V148" s="21"/>
    </row>
    <row r="149" spans="1:22" s="35" customFormat="1" x14ac:dyDescent="0.25">
      <c r="A149" s="257" t="s">
        <v>67</v>
      </c>
      <c r="B149" s="257"/>
      <c r="C149" s="257"/>
      <c r="D149" s="257"/>
      <c r="E149" s="257"/>
      <c r="F149" s="257"/>
      <c r="G149" s="257"/>
      <c r="H149" s="257"/>
      <c r="T149"/>
    </row>
    <row r="150" spans="1:22" s="35" customFormat="1" ht="15.75" customHeight="1" x14ac:dyDescent="0.25">
      <c r="A150" s="260" t="s">
        <v>51</v>
      </c>
      <c r="B150" s="260"/>
      <c r="C150" s="273" t="s">
        <v>75</v>
      </c>
      <c r="D150" s="273"/>
      <c r="E150" s="266" t="s">
        <v>52</v>
      </c>
      <c r="F150" s="266"/>
      <c r="G150" s="260" t="s">
        <v>53</v>
      </c>
      <c r="H150" s="260"/>
      <c r="T150"/>
    </row>
    <row r="151" spans="1:22" s="35" customFormat="1" x14ac:dyDescent="0.25">
      <c r="A151" s="259" t="s">
        <v>388</v>
      </c>
      <c r="B151" s="259"/>
      <c r="C151" s="189">
        <f>COUNT(F180:F189)+COUNT(F191:F200)*8+COUNT(F214:F216)</f>
        <v>93</v>
      </c>
      <c r="D151" s="189"/>
      <c r="E151" s="189">
        <f>SUM(F180:F189)+SUM(F191:F200)*8+SUM(F214:F216)</f>
        <v>54892.546488</v>
      </c>
      <c r="F151" s="189"/>
      <c r="G151" s="189">
        <f>SUM(H180:H189)+SUM(H191:H200)*8+SUM(H214:H216)</f>
        <v>82478.644091999988</v>
      </c>
      <c r="H151" s="189"/>
      <c r="T151"/>
    </row>
    <row r="152" spans="1:22" s="35" customFormat="1" ht="16.5" thickBot="1" x14ac:dyDescent="0.3">
      <c r="A152" s="268" t="s">
        <v>150</v>
      </c>
      <c r="B152" s="268"/>
      <c r="C152" s="277">
        <f>SUM(C151)</f>
        <v>93</v>
      </c>
      <c r="D152" s="278"/>
      <c r="E152" s="269">
        <f>SUM(E151)</f>
        <v>54892.546488</v>
      </c>
      <c r="F152" s="270"/>
      <c r="G152" s="271">
        <f>SUM(G151)</f>
        <v>82478.644091999988</v>
      </c>
      <c r="H152" s="271"/>
      <c r="T152"/>
    </row>
    <row r="153" spans="1:22" s="35" customFormat="1" ht="16.5" thickBot="1" x14ac:dyDescent="0.3">
      <c r="A153" s="261" t="s">
        <v>167</v>
      </c>
      <c r="B153" s="262"/>
      <c r="C153" s="275">
        <f>C148+C152</f>
        <v>108</v>
      </c>
      <c r="D153" s="275"/>
      <c r="E153" s="198">
        <f>E148+E152</f>
        <v>62116.019315999998</v>
      </c>
      <c r="F153" s="198"/>
      <c r="G153" s="264">
        <f>G148+G152</f>
        <v>93313.853333999985</v>
      </c>
      <c r="H153" s="265"/>
      <c r="T153"/>
    </row>
    <row r="154" spans="1:22" s="34" customFormat="1" x14ac:dyDescent="0.25">
      <c r="A154" s="267" t="s">
        <v>54</v>
      </c>
      <c r="B154" s="267"/>
      <c r="C154" s="267"/>
      <c r="D154" s="267"/>
      <c r="E154" s="267"/>
      <c r="F154" s="267"/>
      <c r="G154" s="267"/>
      <c r="H154" s="267"/>
      <c r="T154" s="35"/>
    </row>
    <row r="155" spans="1:22" x14ac:dyDescent="0.25">
      <c r="A155" s="253" t="s">
        <v>176</v>
      </c>
      <c r="B155" s="253"/>
      <c r="C155" s="253"/>
      <c r="D155" s="253"/>
      <c r="E155" s="253"/>
      <c r="F155" s="253"/>
      <c r="G155" s="253"/>
      <c r="H155" s="253"/>
      <c r="T155" s="35"/>
    </row>
    <row r="156" spans="1:22" ht="47.25" customHeight="1" x14ac:dyDescent="0.25">
      <c r="A156" s="148" t="s">
        <v>389</v>
      </c>
      <c r="B156" s="148" t="s">
        <v>178</v>
      </c>
      <c r="C156" s="148" t="s">
        <v>55</v>
      </c>
      <c r="D156" s="148" t="s">
        <v>379</v>
      </c>
      <c r="E156" s="191" t="s">
        <v>156</v>
      </c>
      <c r="F156" s="148" t="s">
        <v>56</v>
      </c>
      <c r="G156" s="191" t="s">
        <v>57</v>
      </c>
      <c r="H156" s="95" t="s">
        <v>148</v>
      </c>
      <c r="T156" s="35"/>
    </row>
    <row r="157" spans="1:22" s="37" customFormat="1" x14ac:dyDescent="0.25">
      <c r="A157" s="149"/>
      <c r="B157" s="149"/>
      <c r="C157" s="149"/>
      <c r="D157" s="149"/>
      <c r="E157" s="192"/>
      <c r="F157" s="149"/>
      <c r="G157" s="192"/>
      <c r="H157" s="96">
        <v>0.5</v>
      </c>
      <c r="T157" s="35"/>
    </row>
    <row r="158" spans="1:22" s="37" customFormat="1" x14ac:dyDescent="0.25">
      <c r="A158" s="145" t="s">
        <v>380</v>
      </c>
      <c r="B158" s="146"/>
      <c r="C158" s="146"/>
      <c r="D158" s="146"/>
      <c r="E158" s="146"/>
      <c r="F158" s="146"/>
      <c r="G158" s="146"/>
      <c r="H158" s="147"/>
      <c r="J158" s="36"/>
      <c r="T158" s="35"/>
    </row>
    <row r="159" spans="1:22" s="37" customFormat="1" ht="15.75" customHeight="1" x14ac:dyDescent="0.25">
      <c r="A159" s="117">
        <v>1</v>
      </c>
      <c r="B159" s="118"/>
      <c r="C159" s="42" t="s">
        <v>378</v>
      </c>
      <c r="D159" s="94">
        <f>(50.798)*10.764</f>
        <v>546.789672</v>
      </c>
      <c r="E159" s="42">
        <v>0</v>
      </c>
      <c r="F159" s="62">
        <f t="shared" ref="F159:F173" si="0">D159+(IF(E159&lt;201,E159,IF(E159&lt;301,E159/2,E159/3)))</f>
        <v>546.789672</v>
      </c>
      <c r="G159" s="63">
        <v>0</v>
      </c>
      <c r="H159" s="62">
        <f t="shared" ref="H159:H173" si="1">(F159+(IF(G159&lt;101,G159,IF(G159&lt;201,G159/2,IF(G159&lt;=301,G159/3,G159/4)))))*(($H$157)+1)</f>
        <v>820.18450800000005</v>
      </c>
      <c r="I159" s="36">
        <f>14.15*3.59</f>
        <v>50.798499999999997</v>
      </c>
      <c r="L159" s="121"/>
      <c r="M159" s="121"/>
      <c r="N159" s="36"/>
      <c r="T159" s="35"/>
    </row>
    <row r="160" spans="1:22" s="37" customFormat="1" ht="15.75" customHeight="1" x14ac:dyDescent="0.25">
      <c r="A160" s="117">
        <f t="shared" ref="A160:A173" si="2">A159+1</f>
        <v>2</v>
      </c>
      <c r="B160" s="118"/>
      <c r="C160" s="92" t="s">
        <v>378</v>
      </c>
      <c r="D160" s="94">
        <f>(50.799)*10.764</f>
        <v>546.80043599999999</v>
      </c>
      <c r="E160" s="42">
        <v>0</v>
      </c>
      <c r="F160" s="62">
        <f t="shared" si="0"/>
        <v>546.80043599999999</v>
      </c>
      <c r="G160" s="54">
        <v>0</v>
      </c>
      <c r="H160" s="62">
        <f t="shared" si="1"/>
        <v>820.20065399999999</v>
      </c>
      <c r="I160" s="36"/>
      <c r="L160" s="121"/>
      <c r="M160" s="121"/>
      <c r="N160" s="36"/>
      <c r="T160" s="34"/>
    </row>
    <row r="161" spans="1:20" s="37" customFormat="1" ht="15.75" customHeight="1" x14ac:dyDescent="0.25">
      <c r="A161" s="117">
        <f t="shared" si="2"/>
        <v>3</v>
      </c>
      <c r="B161" s="118"/>
      <c r="C161" s="92" t="s">
        <v>378</v>
      </c>
      <c r="D161" s="94">
        <f>(38.417)*10.764</f>
        <v>413.52058799999998</v>
      </c>
      <c r="E161" s="42">
        <v>0</v>
      </c>
      <c r="F161" s="62">
        <f t="shared" si="0"/>
        <v>413.52058799999998</v>
      </c>
      <c r="G161" s="54">
        <v>0</v>
      </c>
      <c r="H161" s="62">
        <f t="shared" si="1"/>
        <v>620.28088200000002</v>
      </c>
      <c r="I161" s="36"/>
      <c r="L161" s="121"/>
      <c r="M161" s="121"/>
      <c r="N161" s="36"/>
      <c r="T161" s="21"/>
    </row>
    <row r="162" spans="1:20" s="37" customFormat="1" ht="15.75" customHeight="1" x14ac:dyDescent="0.25">
      <c r="A162" s="117">
        <f t="shared" si="2"/>
        <v>4</v>
      </c>
      <c r="B162" s="118"/>
      <c r="C162" s="92" t="s">
        <v>378</v>
      </c>
      <c r="D162" s="94">
        <f>(38.417)*10.764</f>
        <v>413.52058799999998</v>
      </c>
      <c r="E162" s="42">
        <v>0</v>
      </c>
      <c r="F162" s="62">
        <f t="shared" si="0"/>
        <v>413.52058799999998</v>
      </c>
      <c r="G162" s="54">
        <v>0</v>
      </c>
      <c r="H162" s="62">
        <f t="shared" si="1"/>
        <v>620.28088200000002</v>
      </c>
      <c r="I162" s="36"/>
      <c r="L162" s="121"/>
      <c r="M162" s="121"/>
      <c r="N162" s="36"/>
      <c r="T162" s="21"/>
    </row>
    <row r="163" spans="1:20" s="91" customFormat="1" ht="15.75" customHeight="1" x14ac:dyDescent="0.25">
      <c r="A163" s="117">
        <f t="shared" si="2"/>
        <v>5</v>
      </c>
      <c r="B163" s="118"/>
      <c r="C163" s="92" t="s">
        <v>378</v>
      </c>
      <c r="D163" s="94">
        <f>(39.691)*10.764</f>
        <v>427.233924</v>
      </c>
      <c r="E163" s="92">
        <v>0</v>
      </c>
      <c r="F163" s="92">
        <f t="shared" si="0"/>
        <v>427.233924</v>
      </c>
      <c r="G163" s="92">
        <v>0</v>
      </c>
      <c r="H163" s="92">
        <f t="shared" si="1"/>
        <v>640.85088599999995</v>
      </c>
      <c r="I163" s="36"/>
      <c r="L163" s="121"/>
      <c r="M163" s="121"/>
      <c r="N163" s="36"/>
      <c r="T163" s="34"/>
    </row>
    <row r="164" spans="1:20" s="91" customFormat="1" ht="15.75" customHeight="1" x14ac:dyDescent="0.25">
      <c r="A164" s="117">
        <f t="shared" si="2"/>
        <v>6</v>
      </c>
      <c r="B164" s="118"/>
      <c r="C164" s="92" t="s">
        <v>378</v>
      </c>
      <c r="D164" s="94">
        <f>(39.691)*10.764</f>
        <v>427.233924</v>
      </c>
      <c r="E164" s="92">
        <v>0</v>
      </c>
      <c r="F164" s="92">
        <f t="shared" si="0"/>
        <v>427.233924</v>
      </c>
      <c r="G164" s="92">
        <v>0</v>
      </c>
      <c r="H164" s="92">
        <f t="shared" si="1"/>
        <v>640.85088599999995</v>
      </c>
      <c r="I164" s="36"/>
      <c r="L164" s="121"/>
      <c r="M164" s="121"/>
      <c r="N164" s="36"/>
      <c r="T164" s="21"/>
    </row>
    <row r="165" spans="1:20" s="91" customFormat="1" ht="15.75" customHeight="1" x14ac:dyDescent="0.25">
      <c r="A165" s="117">
        <f t="shared" si="2"/>
        <v>7</v>
      </c>
      <c r="B165" s="118"/>
      <c r="C165" s="92" t="s">
        <v>378</v>
      </c>
      <c r="D165" s="94">
        <f>(51.294)*10.764</f>
        <v>552.12861599999997</v>
      </c>
      <c r="E165" s="92">
        <v>0</v>
      </c>
      <c r="F165" s="92">
        <f t="shared" si="0"/>
        <v>552.12861599999997</v>
      </c>
      <c r="G165" s="92">
        <v>0</v>
      </c>
      <c r="H165" s="92">
        <f t="shared" si="1"/>
        <v>828.19292399999995</v>
      </c>
      <c r="I165" s="36"/>
      <c r="L165" s="121"/>
      <c r="M165" s="121"/>
      <c r="N165" s="36"/>
      <c r="T165" s="21"/>
    </row>
    <row r="166" spans="1:20" s="91" customFormat="1" ht="15.75" customHeight="1" x14ac:dyDescent="0.25">
      <c r="A166" s="117">
        <f t="shared" si="2"/>
        <v>8</v>
      </c>
      <c r="B166" s="118"/>
      <c r="C166" s="92" t="s">
        <v>378</v>
      </c>
      <c r="D166" s="94">
        <f>(51.294)*10.764</f>
        <v>552.12861599999997</v>
      </c>
      <c r="E166" s="92">
        <v>0</v>
      </c>
      <c r="F166" s="92">
        <f t="shared" si="0"/>
        <v>552.12861599999997</v>
      </c>
      <c r="G166" s="92">
        <v>0</v>
      </c>
      <c r="H166" s="92">
        <f t="shared" si="1"/>
        <v>828.19292399999995</v>
      </c>
      <c r="I166" s="36"/>
      <c r="L166" s="121"/>
      <c r="M166" s="121"/>
      <c r="N166" s="36"/>
      <c r="T166" s="34"/>
    </row>
    <row r="167" spans="1:20" s="91" customFormat="1" ht="15.75" customHeight="1" x14ac:dyDescent="0.25">
      <c r="A167" s="117">
        <f t="shared" si="2"/>
        <v>9</v>
      </c>
      <c r="B167" s="118"/>
      <c r="C167" s="92" t="s">
        <v>378</v>
      </c>
      <c r="D167" s="94">
        <f>(44.044)*10.764</f>
        <v>474.08961599999992</v>
      </c>
      <c r="E167" s="92">
        <v>0</v>
      </c>
      <c r="F167" s="92">
        <f t="shared" si="0"/>
        <v>474.08961599999992</v>
      </c>
      <c r="G167" s="92">
        <v>0</v>
      </c>
      <c r="H167" s="92">
        <f t="shared" si="1"/>
        <v>711.13442399999985</v>
      </c>
      <c r="I167" s="36"/>
      <c r="L167" s="121"/>
      <c r="M167" s="121"/>
      <c r="N167" s="36"/>
      <c r="T167" s="21"/>
    </row>
    <row r="168" spans="1:20" s="91" customFormat="1" ht="15.75" customHeight="1" x14ac:dyDescent="0.25">
      <c r="A168" s="117">
        <f t="shared" si="2"/>
        <v>10</v>
      </c>
      <c r="B168" s="118"/>
      <c r="C168" s="92" t="s">
        <v>378</v>
      </c>
      <c r="D168" s="94">
        <f>(44.044)*10.764</f>
        <v>474.08961599999992</v>
      </c>
      <c r="E168" s="92">
        <v>0</v>
      </c>
      <c r="F168" s="92">
        <f t="shared" si="0"/>
        <v>474.08961599999992</v>
      </c>
      <c r="G168" s="92">
        <v>0</v>
      </c>
      <c r="H168" s="92">
        <f t="shared" si="1"/>
        <v>711.13442399999985</v>
      </c>
      <c r="I168" s="36"/>
      <c r="L168" s="121"/>
      <c r="M168" s="121"/>
      <c r="N168" s="36"/>
      <c r="T168" s="21"/>
    </row>
    <row r="169" spans="1:20" s="91" customFormat="1" ht="15.75" customHeight="1" x14ac:dyDescent="0.25">
      <c r="A169" s="117">
        <f t="shared" si="2"/>
        <v>11</v>
      </c>
      <c r="B169" s="118"/>
      <c r="C169" s="92" t="s">
        <v>378</v>
      </c>
      <c r="D169" s="94">
        <f>(35.66)*10.764</f>
        <v>383.84423999999996</v>
      </c>
      <c r="E169" s="92">
        <v>0</v>
      </c>
      <c r="F169" s="92">
        <f t="shared" si="0"/>
        <v>383.84423999999996</v>
      </c>
      <c r="G169" s="92">
        <v>0</v>
      </c>
      <c r="H169" s="92">
        <f t="shared" si="1"/>
        <v>575.76635999999996</v>
      </c>
      <c r="I169" s="36"/>
      <c r="L169" s="121"/>
      <c r="M169" s="121"/>
      <c r="N169" s="36"/>
      <c r="T169" s="34"/>
    </row>
    <row r="170" spans="1:20" s="91" customFormat="1" ht="15.75" customHeight="1" x14ac:dyDescent="0.25">
      <c r="A170" s="117">
        <f t="shared" si="2"/>
        <v>12</v>
      </c>
      <c r="B170" s="118"/>
      <c r="C170" s="92" t="s">
        <v>378</v>
      </c>
      <c r="D170" s="94">
        <f>(35.66)*10.764</f>
        <v>383.84423999999996</v>
      </c>
      <c r="E170" s="92">
        <v>0</v>
      </c>
      <c r="F170" s="92">
        <f t="shared" si="0"/>
        <v>383.84423999999996</v>
      </c>
      <c r="G170" s="92">
        <v>0</v>
      </c>
      <c r="H170" s="92">
        <f t="shared" si="1"/>
        <v>575.76635999999996</v>
      </c>
      <c r="I170" s="36"/>
      <c r="L170" s="121"/>
      <c r="M170" s="121"/>
      <c r="N170" s="36"/>
      <c r="T170" s="21"/>
    </row>
    <row r="171" spans="1:20" s="91" customFormat="1" ht="15.75" customHeight="1" x14ac:dyDescent="0.25">
      <c r="A171" s="117">
        <f t="shared" si="2"/>
        <v>13</v>
      </c>
      <c r="B171" s="118"/>
      <c r="C171" s="92" t="s">
        <v>378</v>
      </c>
      <c r="D171" s="94">
        <f>(63.18)*10.764</f>
        <v>680.06952000000001</v>
      </c>
      <c r="E171" s="92">
        <v>0</v>
      </c>
      <c r="F171" s="92">
        <f t="shared" si="0"/>
        <v>680.06952000000001</v>
      </c>
      <c r="G171" s="92">
        <v>0</v>
      </c>
      <c r="H171" s="92">
        <f t="shared" si="1"/>
        <v>1020.10428</v>
      </c>
      <c r="I171" s="36"/>
      <c r="L171" s="121"/>
      <c r="M171" s="121"/>
      <c r="N171" s="36"/>
      <c r="T171" s="21"/>
    </row>
    <row r="172" spans="1:20" s="91" customFormat="1" ht="15.75" customHeight="1" x14ac:dyDescent="0.25">
      <c r="A172" s="117">
        <f t="shared" si="2"/>
        <v>14</v>
      </c>
      <c r="B172" s="118"/>
      <c r="C172" s="92" t="s">
        <v>378</v>
      </c>
      <c r="D172" s="94">
        <f>(44.044)*10.764</f>
        <v>474.08961599999992</v>
      </c>
      <c r="E172" s="92">
        <v>0</v>
      </c>
      <c r="F172" s="92">
        <f t="shared" si="0"/>
        <v>474.08961599999992</v>
      </c>
      <c r="G172" s="92">
        <v>0</v>
      </c>
      <c r="H172" s="92">
        <f t="shared" si="1"/>
        <v>711.13442399999985</v>
      </c>
      <c r="I172" s="36"/>
      <c r="L172" s="121"/>
      <c r="M172" s="121"/>
      <c r="N172" s="36"/>
      <c r="T172" s="21"/>
    </row>
    <row r="173" spans="1:20" s="91" customFormat="1" ht="15.75" customHeight="1" x14ac:dyDescent="0.25">
      <c r="A173" s="117">
        <f t="shared" si="2"/>
        <v>15</v>
      </c>
      <c r="B173" s="118"/>
      <c r="C173" s="92" t="s">
        <v>378</v>
      </c>
      <c r="D173" s="94">
        <f>(44.044)*10.764</f>
        <v>474.08961599999992</v>
      </c>
      <c r="E173" s="92">
        <v>0</v>
      </c>
      <c r="F173" s="92">
        <f t="shared" si="0"/>
        <v>474.08961599999992</v>
      </c>
      <c r="G173" s="92">
        <v>0</v>
      </c>
      <c r="H173" s="92">
        <f t="shared" si="1"/>
        <v>711.13442399999985</v>
      </c>
      <c r="I173" s="36"/>
      <c r="L173" s="121"/>
      <c r="M173" s="121"/>
      <c r="N173" s="36"/>
      <c r="T173" s="21"/>
    </row>
    <row r="174" spans="1:20" s="37" customFormat="1" x14ac:dyDescent="0.25">
      <c r="A174" s="117"/>
      <c r="B174" s="123"/>
      <c r="C174" s="123"/>
      <c r="D174" s="123"/>
      <c r="E174" s="123"/>
      <c r="F174" s="123"/>
      <c r="G174" s="123"/>
      <c r="H174" s="118"/>
      <c r="I174" s="36"/>
      <c r="N174" s="36"/>
    </row>
    <row r="175" spans="1:20" ht="47.25" customHeight="1" x14ac:dyDescent="0.25">
      <c r="A175" s="150" t="s">
        <v>387</v>
      </c>
      <c r="B175" s="148" t="s">
        <v>179</v>
      </c>
      <c r="C175" s="148" t="s">
        <v>55</v>
      </c>
      <c r="D175" s="148" t="s">
        <v>379</v>
      </c>
      <c r="E175" s="148" t="s">
        <v>234</v>
      </c>
      <c r="F175" s="148" t="s">
        <v>56</v>
      </c>
      <c r="G175" s="191" t="s">
        <v>57</v>
      </c>
      <c r="H175" s="95" t="s">
        <v>148</v>
      </c>
      <c r="I175" s="36"/>
      <c r="T175" s="37"/>
    </row>
    <row r="176" spans="1:20" s="37" customFormat="1" x14ac:dyDescent="0.25">
      <c r="A176" s="151"/>
      <c r="B176" s="149"/>
      <c r="C176" s="149"/>
      <c r="D176" s="149"/>
      <c r="E176" s="149"/>
      <c r="F176" s="149"/>
      <c r="G176" s="192"/>
      <c r="H176" s="96">
        <v>0.5</v>
      </c>
      <c r="I176" s="36"/>
    </row>
    <row r="177" spans="1:20" s="91" customFormat="1" x14ac:dyDescent="0.25">
      <c r="A177" s="145" t="s">
        <v>381</v>
      </c>
      <c r="B177" s="146"/>
      <c r="C177" s="146"/>
      <c r="D177" s="146"/>
      <c r="E177" s="146"/>
      <c r="F177" s="146"/>
      <c r="G177" s="146"/>
      <c r="H177" s="147"/>
      <c r="J177" s="94">
        <v>10.763999999999999</v>
      </c>
    </row>
    <row r="178" spans="1:20" s="91" customFormat="1" x14ac:dyDescent="0.25">
      <c r="A178" s="145" t="s">
        <v>398</v>
      </c>
      <c r="B178" s="146"/>
      <c r="C178" s="146"/>
      <c r="D178" s="146"/>
      <c r="E178" s="146"/>
      <c r="F178" s="146"/>
      <c r="G178" s="146"/>
      <c r="H178" s="147"/>
      <c r="J178" s="36"/>
    </row>
    <row r="179" spans="1:20" s="91" customFormat="1" x14ac:dyDescent="0.25">
      <c r="A179" s="145" t="s">
        <v>383</v>
      </c>
      <c r="B179" s="146"/>
      <c r="C179" s="146"/>
      <c r="D179" s="146"/>
      <c r="E179" s="146"/>
      <c r="F179" s="146"/>
      <c r="G179" s="146"/>
      <c r="H179" s="147"/>
      <c r="J179" s="36"/>
    </row>
    <row r="180" spans="1:20" s="91" customFormat="1" ht="15.75" customHeight="1" x14ac:dyDescent="0.25">
      <c r="A180" s="117">
        <v>1</v>
      </c>
      <c r="B180" s="118"/>
      <c r="C180" s="92" t="s">
        <v>382</v>
      </c>
      <c r="D180" s="94">
        <f>(52.168)*10.764</f>
        <v>561.53635199999997</v>
      </c>
      <c r="E180" s="92">
        <v>0</v>
      </c>
      <c r="F180" s="92">
        <f t="shared" ref="F180:F189" si="3">D180+E180</f>
        <v>561.53635199999997</v>
      </c>
      <c r="G180" s="92">
        <v>0</v>
      </c>
      <c r="H180" s="92">
        <f t="shared" ref="H180:H189" si="4">F180*(($H$176)+1)+(IF(G180&lt;101,G180,IF(G180&lt;201,G180/2,IF(G180&lt;=301,G180/3,G180/4))))</f>
        <v>842.30452799999989</v>
      </c>
      <c r="I180" s="36">
        <f>3.1*4.9+2.8*2.1+3.35*2.75+4*2.9+2.1*1.2+2.1*1.2+0.9*2.9</f>
        <v>49.532500000000006</v>
      </c>
      <c r="J180" s="36">
        <f>8310000/H180</f>
        <v>9865.7904875942932</v>
      </c>
      <c r="L180" s="121"/>
      <c r="M180" s="121"/>
      <c r="N180" s="36"/>
    </row>
    <row r="181" spans="1:20" s="91" customFormat="1" ht="15.75" customHeight="1" x14ac:dyDescent="0.25">
      <c r="A181" s="117">
        <f t="shared" ref="A181:A189" si="5">A180+1</f>
        <v>2</v>
      </c>
      <c r="B181" s="118"/>
      <c r="C181" s="92" t="s">
        <v>382</v>
      </c>
      <c r="D181" s="94">
        <f>(58.132)*10.764</f>
        <v>625.73284799999999</v>
      </c>
      <c r="E181" s="92">
        <v>0</v>
      </c>
      <c r="F181" s="92">
        <f t="shared" si="3"/>
        <v>625.73284799999999</v>
      </c>
      <c r="G181" s="92">
        <v>0</v>
      </c>
      <c r="H181" s="92">
        <f t="shared" si="4"/>
        <v>938.59927199999993</v>
      </c>
      <c r="I181" s="36"/>
      <c r="J181" s="36">
        <f>9109000/H181</f>
        <v>9704.8871352629831</v>
      </c>
      <c r="L181" s="121"/>
      <c r="M181" s="121"/>
      <c r="N181" s="36"/>
    </row>
    <row r="182" spans="1:20" s="91" customFormat="1" ht="15.75" customHeight="1" x14ac:dyDescent="0.25">
      <c r="A182" s="117">
        <f t="shared" si="5"/>
        <v>3</v>
      </c>
      <c r="B182" s="118"/>
      <c r="C182" s="92" t="s">
        <v>382</v>
      </c>
      <c r="D182" s="94">
        <f>(59.83)*10.764</f>
        <v>644.01011999999992</v>
      </c>
      <c r="E182" s="92">
        <v>0</v>
      </c>
      <c r="F182" s="92">
        <f t="shared" si="3"/>
        <v>644.01011999999992</v>
      </c>
      <c r="G182" s="92">
        <v>0</v>
      </c>
      <c r="H182" s="92">
        <f t="shared" si="4"/>
        <v>966.01517999999987</v>
      </c>
      <c r="I182" s="36"/>
      <c r="J182" s="36">
        <f>9413000/H182</f>
        <v>9744.153295810529</v>
      </c>
      <c r="L182" s="121"/>
      <c r="M182" s="121"/>
      <c r="N182" s="36"/>
    </row>
    <row r="183" spans="1:20" s="91" customFormat="1" ht="15.75" customHeight="1" x14ac:dyDescent="0.25">
      <c r="A183" s="117">
        <f t="shared" si="5"/>
        <v>4</v>
      </c>
      <c r="B183" s="118"/>
      <c r="C183" s="92" t="s">
        <v>382</v>
      </c>
      <c r="D183" s="94">
        <f>(58.132)*10.764</f>
        <v>625.73284799999999</v>
      </c>
      <c r="E183" s="92">
        <v>0</v>
      </c>
      <c r="F183" s="92">
        <f t="shared" si="3"/>
        <v>625.73284799999999</v>
      </c>
      <c r="G183" s="92">
        <v>0</v>
      </c>
      <c r="H183" s="92">
        <f t="shared" si="4"/>
        <v>938.59927199999993</v>
      </c>
      <c r="I183" s="36"/>
      <c r="L183" s="121"/>
      <c r="M183" s="121"/>
      <c r="N183" s="36"/>
      <c r="T183" s="21"/>
    </row>
    <row r="184" spans="1:20" s="91" customFormat="1" ht="15.75" customHeight="1" x14ac:dyDescent="0.25">
      <c r="A184" s="117">
        <f t="shared" si="5"/>
        <v>5</v>
      </c>
      <c r="B184" s="118"/>
      <c r="C184" s="92" t="s">
        <v>382</v>
      </c>
      <c r="D184" s="94">
        <f>(52.168)*10.764</f>
        <v>561.53635199999997</v>
      </c>
      <c r="E184" s="92">
        <v>0</v>
      </c>
      <c r="F184" s="92">
        <f t="shared" si="3"/>
        <v>561.53635199999997</v>
      </c>
      <c r="G184" s="92">
        <v>0</v>
      </c>
      <c r="H184" s="92">
        <f t="shared" si="4"/>
        <v>842.30452799999989</v>
      </c>
      <c r="I184" s="36"/>
      <c r="L184" s="121"/>
      <c r="M184" s="121"/>
      <c r="N184" s="36"/>
    </row>
    <row r="185" spans="1:20" s="91" customFormat="1" ht="15.75" customHeight="1" x14ac:dyDescent="0.25">
      <c r="A185" s="117">
        <f t="shared" si="5"/>
        <v>6</v>
      </c>
      <c r="B185" s="118"/>
      <c r="C185" s="92" t="s">
        <v>382</v>
      </c>
      <c r="D185" s="94">
        <f>(52.142)*10.764</f>
        <v>561.25648799999999</v>
      </c>
      <c r="E185" s="92">
        <v>0</v>
      </c>
      <c r="F185" s="92">
        <f t="shared" si="3"/>
        <v>561.25648799999999</v>
      </c>
      <c r="G185" s="92">
        <v>0</v>
      </c>
      <c r="H185" s="92">
        <f t="shared" si="4"/>
        <v>841.88473199999999</v>
      </c>
      <c r="I185" s="36"/>
      <c r="L185" s="121"/>
      <c r="M185" s="121"/>
      <c r="N185" s="36"/>
    </row>
    <row r="186" spans="1:20" s="91" customFormat="1" ht="15.75" customHeight="1" x14ac:dyDescent="0.25">
      <c r="A186" s="117">
        <f t="shared" si="5"/>
        <v>7</v>
      </c>
      <c r="B186" s="118"/>
      <c r="C186" s="92" t="s">
        <v>382</v>
      </c>
      <c r="D186" s="94">
        <f>(54.598)*10.764</f>
        <v>587.69287199999997</v>
      </c>
      <c r="E186" s="92">
        <v>0</v>
      </c>
      <c r="F186" s="92">
        <f t="shared" si="3"/>
        <v>587.69287199999997</v>
      </c>
      <c r="G186" s="92">
        <v>0</v>
      </c>
      <c r="H186" s="92">
        <f t="shared" si="4"/>
        <v>881.53930799999989</v>
      </c>
      <c r="I186" s="36"/>
      <c r="J186" s="36">
        <f>8615000/H186</f>
        <v>9772.6782252573139</v>
      </c>
      <c r="L186" s="121"/>
      <c r="M186" s="121"/>
      <c r="N186" s="36"/>
      <c r="T186" s="21"/>
    </row>
    <row r="187" spans="1:20" s="91" customFormat="1" ht="15.75" customHeight="1" x14ac:dyDescent="0.25">
      <c r="A187" s="117">
        <f t="shared" si="5"/>
        <v>8</v>
      </c>
      <c r="B187" s="118"/>
      <c r="C187" s="92" t="s">
        <v>382</v>
      </c>
      <c r="D187" s="94">
        <f>(56.074)*10.764</f>
        <v>603.58053599999994</v>
      </c>
      <c r="E187" s="92">
        <v>0</v>
      </c>
      <c r="F187" s="92">
        <f t="shared" si="3"/>
        <v>603.58053599999994</v>
      </c>
      <c r="G187" s="92">
        <v>0</v>
      </c>
      <c r="H187" s="92">
        <f t="shared" si="4"/>
        <v>905.37080399999991</v>
      </c>
      <c r="I187" s="36"/>
      <c r="J187" s="36">
        <f>8881000/H187</f>
        <v>9809.2405462635179</v>
      </c>
      <c r="L187" s="121"/>
      <c r="M187" s="121"/>
      <c r="N187" s="36"/>
    </row>
    <row r="188" spans="1:20" s="91" customFormat="1" ht="15.75" customHeight="1" x14ac:dyDescent="0.25">
      <c r="A188" s="117">
        <f t="shared" si="5"/>
        <v>9</v>
      </c>
      <c r="B188" s="118"/>
      <c r="C188" s="92" t="s">
        <v>382</v>
      </c>
      <c r="D188" s="94">
        <f>(54.598)*10.764</f>
        <v>587.69287199999997</v>
      </c>
      <c r="E188" s="92">
        <v>0</v>
      </c>
      <c r="F188" s="92">
        <f t="shared" si="3"/>
        <v>587.69287199999997</v>
      </c>
      <c r="G188" s="92">
        <v>0</v>
      </c>
      <c r="H188" s="92">
        <f t="shared" si="4"/>
        <v>881.53930799999989</v>
      </c>
      <c r="I188" s="36"/>
      <c r="L188" s="121"/>
      <c r="M188" s="121"/>
      <c r="N188" s="36"/>
    </row>
    <row r="189" spans="1:20" s="91" customFormat="1" ht="15.75" customHeight="1" x14ac:dyDescent="0.25">
      <c r="A189" s="117">
        <f t="shared" si="5"/>
        <v>10</v>
      </c>
      <c r="B189" s="118"/>
      <c r="C189" s="92" t="s">
        <v>382</v>
      </c>
      <c r="D189" s="94">
        <f>(52.142)*10.764</f>
        <v>561.25648799999999</v>
      </c>
      <c r="E189" s="92">
        <v>0</v>
      </c>
      <c r="F189" s="92">
        <f t="shared" si="3"/>
        <v>561.25648799999999</v>
      </c>
      <c r="G189" s="92">
        <v>0</v>
      </c>
      <c r="H189" s="92">
        <f t="shared" si="4"/>
        <v>841.88473199999999</v>
      </c>
      <c r="I189" s="36"/>
      <c r="L189" s="121"/>
      <c r="M189" s="121"/>
      <c r="N189" s="36"/>
      <c r="T189" s="21"/>
    </row>
    <row r="190" spans="1:20" s="91" customFormat="1" ht="31.5" customHeight="1" x14ac:dyDescent="0.25">
      <c r="A190" s="133" t="s">
        <v>409</v>
      </c>
      <c r="B190" s="134"/>
      <c r="C190" s="134"/>
      <c r="D190" s="134"/>
      <c r="E190" s="134"/>
      <c r="F190" s="134"/>
      <c r="G190" s="134"/>
      <c r="H190" s="135"/>
      <c r="J190" s="36"/>
    </row>
    <row r="191" spans="1:20" s="91" customFormat="1" ht="15.75" customHeight="1" x14ac:dyDescent="0.25">
      <c r="A191" s="117">
        <v>1</v>
      </c>
      <c r="B191" s="118"/>
      <c r="C191" s="92" t="s">
        <v>382</v>
      </c>
      <c r="D191" s="94">
        <f>(52.168)*10.764</f>
        <v>561.53635199999997</v>
      </c>
      <c r="E191" s="92">
        <v>0</v>
      </c>
      <c r="F191" s="92">
        <f t="shared" ref="F191:F200" si="6">D191+E191</f>
        <v>561.53635199999997</v>
      </c>
      <c r="G191" s="92">
        <v>0</v>
      </c>
      <c r="H191" s="92">
        <f t="shared" ref="H191:H200" si="7">F191*(($H$176)+1)+(IF(G191&lt;101,G191,IF(G191&lt;201,G191/2,IF(G191&lt;=301,G191/3,G191/4))))</f>
        <v>842.30452799999989</v>
      </c>
      <c r="I191" s="36"/>
      <c r="L191" s="121"/>
      <c r="M191" s="121"/>
      <c r="N191" s="36"/>
    </row>
    <row r="192" spans="1:20" s="91" customFormat="1" ht="15.75" customHeight="1" x14ac:dyDescent="0.25">
      <c r="A192" s="117">
        <f t="shared" ref="A192:A200" si="8">A191+1</f>
        <v>2</v>
      </c>
      <c r="B192" s="118"/>
      <c r="C192" s="92" t="s">
        <v>382</v>
      </c>
      <c r="D192" s="94">
        <f>(58.132)*10.764</f>
        <v>625.73284799999999</v>
      </c>
      <c r="E192" s="92">
        <v>0</v>
      </c>
      <c r="F192" s="92">
        <f t="shared" si="6"/>
        <v>625.73284799999999</v>
      </c>
      <c r="G192" s="92">
        <v>0</v>
      </c>
      <c r="H192" s="92">
        <f t="shared" si="7"/>
        <v>938.59927199999993</v>
      </c>
      <c r="I192" s="36"/>
      <c r="K192" s="36">
        <f>10326500/H192</f>
        <v>11002.032824930639</v>
      </c>
      <c r="L192" s="121"/>
      <c r="M192" s="121"/>
      <c r="N192" s="36"/>
    </row>
    <row r="193" spans="1:20" s="91" customFormat="1" ht="15.75" customHeight="1" x14ac:dyDescent="0.25">
      <c r="A193" s="117">
        <f t="shared" si="8"/>
        <v>3</v>
      </c>
      <c r="B193" s="118"/>
      <c r="C193" s="92" t="s">
        <v>382</v>
      </c>
      <c r="D193" s="94">
        <f>(59.83)*10.764</f>
        <v>644.01011999999992</v>
      </c>
      <c r="E193" s="92">
        <v>0</v>
      </c>
      <c r="F193" s="92">
        <f t="shared" si="6"/>
        <v>644.01011999999992</v>
      </c>
      <c r="G193" s="92">
        <v>0</v>
      </c>
      <c r="H193" s="92">
        <f t="shared" si="7"/>
        <v>966.01517999999987</v>
      </c>
      <c r="I193" s="36">
        <f>7000000/H193</f>
        <v>7246.2629417479766</v>
      </c>
      <c r="J193" s="36">
        <f>7800000/H193</f>
        <v>8074.4072779477447</v>
      </c>
      <c r="L193" s="121"/>
      <c r="M193" s="121"/>
      <c r="N193" s="36"/>
    </row>
    <row r="194" spans="1:20" s="91" customFormat="1" ht="15.75" customHeight="1" x14ac:dyDescent="0.25">
      <c r="A194" s="117">
        <f t="shared" si="8"/>
        <v>4</v>
      </c>
      <c r="B194" s="118"/>
      <c r="C194" s="92" t="s">
        <v>382</v>
      </c>
      <c r="D194" s="94">
        <f>(58.132)*10.764</f>
        <v>625.73284799999999</v>
      </c>
      <c r="E194" s="92">
        <v>0</v>
      </c>
      <c r="F194" s="92">
        <f t="shared" si="6"/>
        <v>625.73284799999999</v>
      </c>
      <c r="G194" s="92">
        <v>0</v>
      </c>
      <c r="H194" s="92">
        <f t="shared" si="7"/>
        <v>938.59927199999993</v>
      </c>
      <c r="I194" s="36"/>
      <c r="L194" s="121"/>
      <c r="M194" s="121"/>
      <c r="N194" s="36"/>
      <c r="T194" s="21"/>
    </row>
    <row r="195" spans="1:20" s="91" customFormat="1" ht="15.75" customHeight="1" x14ac:dyDescent="0.25">
      <c r="A195" s="117">
        <f t="shared" si="8"/>
        <v>5</v>
      </c>
      <c r="B195" s="118"/>
      <c r="C195" s="92" t="s">
        <v>382</v>
      </c>
      <c r="D195" s="94">
        <f>(52.168)*10.764</f>
        <v>561.53635199999997</v>
      </c>
      <c r="E195" s="92">
        <v>0</v>
      </c>
      <c r="F195" s="92">
        <f t="shared" si="6"/>
        <v>561.53635199999997</v>
      </c>
      <c r="G195" s="92">
        <v>0</v>
      </c>
      <c r="H195" s="92">
        <f t="shared" si="7"/>
        <v>842.30452799999989</v>
      </c>
      <c r="I195" s="36"/>
      <c r="L195" s="121"/>
      <c r="M195" s="121"/>
      <c r="N195" s="36"/>
    </row>
    <row r="196" spans="1:20" s="91" customFormat="1" ht="15.75" customHeight="1" x14ac:dyDescent="0.25">
      <c r="A196" s="117">
        <f t="shared" si="8"/>
        <v>6</v>
      </c>
      <c r="B196" s="118"/>
      <c r="C196" s="92" t="s">
        <v>382</v>
      </c>
      <c r="D196" s="94">
        <f>(52.142)*10.764</f>
        <v>561.25648799999999</v>
      </c>
      <c r="E196" s="92">
        <v>0</v>
      </c>
      <c r="F196" s="92">
        <f t="shared" si="6"/>
        <v>561.25648799999999</v>
      </c>
      <c r="G196" s="92">
        <v>0</v>
      </c>
      <c r="H196" s="92">
        <f t="shared" si="7"/>
        <v>841.88473199999999</v>
      </c>
      <c r="I196" s="36"/>
      <c r="L196" s="121"/>
      <c r="M196" s="121"/>
      <c r="N196" s="36"/>
    </row>
    <row r="197" spans="1:20" s="91" customFormat="1" ht="15.75" customHeight="1" x14ac:dyDescent="0.25">
      <c r="A197" s="117">
        <f t="shared" si="8"/>
        <v>7</v>
      </c>
      <c r="B197" s="118"/>
      <c r="C197" s="92" t="s">
        <v>382</v>
      </c>
      <c r="D197" s="94">
        <f>(54.598)*10.764</f>
        <v>587.69287199999997</v>
      </c>
      <c r="E197" s="92">
        <v>0</v>
      </c>
      <c r="F197" s="92">
        <f t="shared" si="6"/>
        <v>587.69287199999997</v>
      </c>
      <c r="G197" s="92">
        <v>0</v>
      </c>
      <c r="H197" s="92">
        <f t="shared" si="7"/>
        <v>881.53930799999989</v>
      </c>
      <c r="I197" s="36"/>
      <c r="L197" s="121"/>
      <c r="M197" s="121"/>
      <c r="N197" s="36"/>
      <c r="T197" s="21"/>
    </row>
    <row r="198" spans="1:20" s="91" customFormat="1" ht="15.75" customHeight="1" x14ac:dyDescent="0.25">
      <c r="A198" s="117">
        <f t="shared" si="8"/>
        <v>8</v>
      </c>
      <c r="B198" s="118"/>
      <c r="C198" s="92" t="s">
        <v>382</v>
      </c>
      <c r="D198" s="94">
        <f>(56.074)*10.764</f>
        <v>603.58053599999994</v>
      </c>
      <c r="E198" s="92">
        <v>0</v>
      </c>
      <c r="F198" s="92">
        <f t="shared" si="6"/>
        <v>603.58053599999994</v>
      </c>
      <c r="G198" s="92">
        <v>0</v>
      </c>
      <c r="H198" s="92">
        <f t="shared" si="7"/>
        <v>905.37080399999991</v>
      </c>
      <c r="I198" s="36"/>
      <c r="L198" s="121"/>
      <c r="M198" s="121"/>
      <c r="N198" s="36"/>
    </row>
    <row r="199" spans="1:20" s="91" customFormat="1" ht="15.75" customHeight="1" x14ac:dyDescent="0.25">
      <c r="A199" s="117">
        <f t="shared" si="8"/>
        <v>9</v>
      </c>
      <c r="B199" s="118"/>
      <c r="C199" s="92" t="s">
        <v>382</v>
      </c>
      <c r="D199" s="94">
        <f>(54.598)*10.764</f>
        <v>587.69287199999997</v>
      </c>
      <c r="E199" s="92">
        <v>0</v>
      </c>
      <c r="F199" s="92">
        <f t="shared" si="6"/>
        <v>587.69287199999997</v>
      </c>
      <c r="G199" s="92">
        <v>0</v>
      </c>
      <c r="H199" s="92">
        <f t="shared" si="7"/>
        <v>881.53930799999989</v>
      </c>
      <c r="I199" s="36"/>
      <c r="L199" s="121"/>
      <c r="M199" s="121"/>
      <c r="N199" s="36"/>
    </row>
    <row r="200" spans="1:20" s="91" customFormat="1" ht="15.75" customHeight="1" x14ac:dyDescent="0.25">
      <c r="A200" s="117">
        <f t="shared" si="8"/>
        <v>10</v>
      </c>
      <c r="B200" s="118"/>
      <c r="C200" s="92" t="s">
        <v>382</v>
      </c>
      <c r="D200" s="94">
        <f>(52.142)*10.764</f>
        <v>561.25648799999999</v>
      </c>
      <c r="E200" s="92">
        <v>0</v>
      </c>
      <c r="F200" s="92">
        <f t="shared" si="6"/>
        <v>561.25648799999999</v>
      </c>
      <c r="G200" s="92">
        <v>0</v>
      </c>
      <c r="H200" s="92">
        <f t="shared" si="7"/>
        <v>841.88473199999999</v>
      </c>
      <c r="I200" s="36"/>
      <c r="L200" s="121"/>
      <c r="M200" s="121"/>
      <c r="N200" s="36"/>
      <c r="T200" s="21"/>
    </row>
    <row r="201" spans="1:20" s="110" customFormat="1" x14ac:dyDescent="0.25">
      <c r="A201" s="133" t="s">
        <v>407</v>
      </c>
      <c r="B201" s="134"/>
      <c r="C201" s="134"/>
      <c r="D201" s="134"/>
      <c r="E201" s="134"/>
      <c r="F201" s="134"/>
      <c r="G201" s="134"/>
      <c r="H201" s="135"/>
      <c r="J201" s="36"/>
    </row>
    <row r="202" spans="1:20" s="110" customFormat="1" ht="15.75" customHeight="1" x14ac:dyDescent="0.25">
      <c r="A202" s="117">
        <v>1</v>
      </c>
      <c r="B202" s="118"/>
      <c r="C202" s="108" t="s">
        <v>382</v>
      </c>
      <c r="D202" s="94">
        <f>(52.168)*10.764</f>
        <v>561.53635199999997</v>
      </c>
      <c r="E202" s="108">
        <v>0</v>
      </c>
      <c r="F202" s="108">
        <f t="shared" ref="F202:F211" si="9">D202+E202</f>
        <v>561.53635199999997</v>
      </c>
      <c r="G202" s="108">
        <v>0</v>
      </c>
      <c r="H202" s="108">
        <f t="shared" ref="H202:H211" si="10">F202*(($H$176)+1)+(IF(G202&lt;101,G202,IF(G202&lt;201,G202/2,IF(G202&lt;=301,G202/3,G202/4))))</f>
        <v>842.30452799999989</v>
      </c>
      <c r="I202" s="36"/>
      <c r="L202" s="121"/>
      <c r="M202" s="121"/>
      <c r="N202" s="36"/>
    </row>
    <row r="203" spans="1:20" s="110" customFormat="1" ht="15.75" customHeight="1" x14ac:dyDescent="0.25">
      <c r="A203" s="117">
        <f t="shared" ref="A203:A211" si="11">A202+1</f>
        <v>2</v>
      </c>
      <c r="B203" s="118"/>
      <c r="C203" s="108" t="s">
        <v>382</v>
      </c>
      <c r="D203" s="94">
        <f>(58.132)*10.764</f>
        <v>625.73284799999999</v>
      </c>
      <c r="E203" s="108">
        <v>0</v>
      </c>
      <c r="F203" s="108">
        <f t="shared" si="9"/>
        <v>625.73284799999999</v>
      </c>
      <c r="G203" s="108">
        <v>0</v>
      </c>
      <c r="H203" s="108">
        <f t="shared" si="10"/>
        <v>938.59927199999993</v>
      </c>
      <c r="I203" s="36"/>
      <c r="K203" s="36">
        <f>10326500/H203</f>
        <v>11002.032824930639</v>
      </c>
      <c r="L203" s="121"/>
      <c r="M203" s="121"/>
      <c r="N203" s="36"/>
    </row>
    <row r="204" spans="1:20" s="110" customFormat="1" ht="15.75" customHeight="1" x14ac:dyDescent="0.25">
      <c r="A204" s="117">
        <f t="shared" si="11"/>
        <v>3</v>
      </c>
      <c r="B204" s="118"/>
      <c r="C204" s="108" t="s">
        <v>382</v>
      </c>
      <c r="D204" s="94">
        <f>(59.83)*10.764</f>
        <v>644.01011999999992</v>
      </c>
      <c r="E204" s="108">
        <v>0</v>
      </c>
      <c r="F204" s="108">
        <f t="shared" si="9"/>
        <v>644.01011999999992</v>
      </c>
      <c r="G204" s="108">
        <v>0</v>
      </c>
      <c r="H204" s="108">
        <f t="shared" si="10"/>
        <v>966.01517999999987</v>
      </c>
      <c r="I204" s="36">
        <f>7000000/H204</f>
        <v>7246.2629417479766</v>
      </c>
      <c r="J204" s="36">
        <f>7800000/H204</f>
        <v>8074.4072779477447</v>
      </c>
      <c r="L204" s="121"/>
      <c r="M204" s="121"/>
      <c r="N204" s="36"/>
    </row>
    <row r="205" spans="1:20" s="110" customFormat="1" ht="15.75" customHeight="1" x14ac:dyDescent="0.25">
      <c r="A205" s="117">
        <f t="shared" si="11"/>
        <v>4</v>
      </c>
      <c r="B205" s="118"/>
      <c r="C205" s="108" t="s">
        <v>382</v>
      </c>
      <c r="D205" s="94">
        <f>(58.132)*10.764</f>
        <v>625.73284799999999</v>
      </c>
      <c r="E205" s="108">
        <v>0</v>
      </c>
      <c r="F205" s="108">
        <f t="shared" si="9"/>
        <v>625.73284799999999</v>
      </c>
      <c r="G205" s="108">
        <v>0</v>
      </c>
      <c r="H205" s="108">
        <f t="shared" si="10"/>
        <v>938.59927199999993</v>
      </c>
      <c r="I205" s="36"/>
      <c r="L205" s="121"/>
      <c r="M205" s="121"/>
      <c r="N205" s="36"/>
      <c r="T205" s="21"/>
    </row>
    <row r="206" spans="1:20" s="110" customFormat="1" ht="15.75" customHeight="1" x14ac:dyDescent="0.25">
      <c r="A206" s="117">
        <f t="shared" si="11"/>
        <v>5</v>
      </c>
      <c r="B206" s="118"/>
      <c r="C206" s="108" t="s">
        <v>382</v>
      </c>
      <c r="D206" s="94">
        <f>(52.168)*10.764</f>
        <v>561.53635199999997</v>
      </c>
      <c r="E206" s="108">
        <v>0</v>
      </c>
      <c r="F206" s="108">
        <f t="shared" si="9"/>
        <v>561.53635199999997</v>
      </c>
      <c r="G206" s="108">
        <v>0</v>
      </c>
      <c r="H206" s="108">
        <v>866</v>
      </c>
      <c r="I206" s="105" t="s">
        <v>408</v>
      </c>
      <c r="J206" s="103"/>
      <c r="L206" s="121"/>
      <c r="M206" s="121"/>
      <c r="N206" s="36"/>
    </row>
    <row r="207" spans="1:20" s="110" customFormat="1" ht="15.75" customHeight="1" x14ac:dyDescent="0.25">
      <c r="A207" s="117">
        <f t="shared" si="11"/>
        <v>6</v>
      </c>
      <c r="B207" s="118"/>
      <c r="C207" s="108" t="s">
        <v>382</v>
      </c>
      <c r="D207" s="94">
        <f>(52.142)*10.764</f>
        <v>561.25648799999999</v>
      </c>
      <c r="E207" s="108">
        <v>0</v>
      </c>
      <c r="F207" s="108">
        <f t="shared" si="9"/>
        <v>561.25648799999999</v>
      </c>
      <c r="G207" s="108">
        <v>0</v>
      </c>
      <c r="H207" s="108">
        <f t="shared" si="10"/>
        <v>841.88473199999999</v>
      </c>
      <c r="I207" s="36"/>
      <c r="L207" s="121"/>
      <c r="M207" s="121"/>
      <c r="N207" s="36"/>
    </row>
    <row r="208" spans="1:20" s="110" customFormat="1" ht="15.75" customHeight="1" x14ac:dyDescent="0.25">
      <c r="A208" s="117">
        <f t="shared" si="11"/>
        <v>7</v>
      </c>
      <c r="B208" s="118"/>
      <c r="C208" s="108" t="s">
        <v>382</v>
      </c>
      <c r="D208" s="94">
        <f>(54.598)*10.764</f>
        <v>587.69287199999997</v>
      </c>
      <c r="E208" s="108">
        <v>0</v>
      </c>
      <c r="F208" s="108">
        <f t="shared" si="9"/>
        <v>587.69287199999997</v>
      </c>
      <c r="G208" s="108">
        <v>0</v>
      </c>
      <c r="H208" s="108">
        <f t="shared" si="10"/>
        <v>881.53930799999989</v>
      </c>
      <c r="I208" s="36"/>
      <c r="L208" s="121"/>
      <c r="M208" s="121"/>
      <c r="N208" s="36"/>
      <c r="T208" s="21"/>
    </row>
    <row r="209" spans="1:20" s="110" customFormat="1" ht="15.75" customHeight="1" x14ac:dyDescent="0.25">
      <c r="A209" s="117">
        <f t="shared" si="11"/>
        <v>8</v>
      </c>
      <c r="B209" s="118"/>
      <c r="C209" s="108" t="s">
        <v>382</v>
      </c>
      <c r="D209" s="94">
        <f>(56.074)*10.764</f>
        <v>603.58053599999994</v>
      </c>
      <c r="E209" s="108">
        <v>0</v>
      </c>
      <c r="F209" s="108">
        <f t="shared" si="9"/>
        <v>603.58053599999994</v>
      </c>
      <c r="G209" s="108">
        <v>0</v>
      </c>
      <c r="H209" s="108">
        <f t="shared" si="10"/>
        <v>905.37080399999991</v>
      </c>
      <c r="I209" s="36"/>
      <c r="L209" s="121"/>
      <c r="M209" s="121"/>
      <c r="N209" s="36"/>
    </row>
    <row r="210" spans="1:20" s="110" customFormat="1" ht="15.75" customHeight="1" x14ac:dyDescent="0.25">
      <c r="A210" s="117">
        <f t="shared" si="11"/>
        <v>9</v>
      </c>
      <c r="B210" s="118"/>
      <c r="C210" s="108" t="s">
        <v>382</v>
      </c>
      <c r="D210" s="94">
        <f>(54.598)*10.764</f>
        <v>587.69287199999997</v>
      </c>
      <c r="E210" s="108">
        <v>0</v>
      </c>
      <c r="F210" s="108">
        <f t="shared" si="9"/>
        <v>587.69287199999997</v>
      </c>
      <c r="G210" s="108">
        <v>0</v>
      </c>
      <c r="H210" s="108">
        <f t="shared" si="10"/>
        <v>881.53930799999989</v>
      </c>
      <c r="I210" s="36"/>
      <c r="L210" s="121"/>
      <c r="M210" s="121"/>
      <c r="N210" s="36"/>
    </row>
    <row r="211" spans="1:20" s="110" customFormat="1" ht="15.75" customHeight="1" x14ac:dyDescent="0.25">
      <c r="A211" s="117">
        <f t="shared" si="11"/>
        <v>10</v>
      </c>
      <c r="B211" s="118"/>
      <c r="C211" s="108" t="s">
        <v>382</v>
      </c>
      <c r="D211" s="94">
        <f>(52.142)*10.764</f>
        <v>561.25648799999999</v>
      </c>
      <c r="E211" s="108">
        <v>0</v>
      </c>
      <c r="F211" s="108">
        <f t="shared" si="9"/>
        <v>561.25648799999999</v>
      </c>
      <c r="G211" s="108">
        <v>0</v>
      </c>
      <c r="H211" s="108">
        <f t="shared" si="10"/>
        <v>841.88473199999999</v>
      </c>
      <c r="I211" s="36"/>
      <c r="L211" s="121"/>
      <c r="M211" s="121"/>
      <c r="N211" s="36"/>
      <c r="T211" s="21"/>
    </row>
    <row r="212" spans="1:20" s="91" customFormat="1" x14ac:dyDescent="0.25">
      <c r="A212" s="133" t="s">
        <v>384</v>
      </c>
      <c r="B212" s="134"/>
      <c r="C212" s="134"/>
      <c r="D212" s="134"/>
      <c r="E212" s="134"/>
      <c r="F212" s="134"/>
      <c r="G212" s="134"/>
      <c r="H212" s="135"/>
      <c r="J212" s="36"/>
    </row>
    <row r="213" spans="1:20" s="91" customFormat="1" ht="15.75" customHeight="1" x14ac:dyDescent="0.25">
      <c r="A213" s="117">
        <v>1</v>
      </c>
      <c r="B213" s="118"/>
      <c r="C213" s="92" t="s">
        <v>385</v>
      </c>
      <c r="D213" s="117" t="s">
        <v>386</v>
      </c>
      <c r="E213" s="123"/>
      <c r="F213" s="123"/>
      <c r="G213" s="123"/>
      <c r="H213" s="118"/>
      <c r="I213" s="36"/>
      <c r="L213" s="121"/>
      <c r="M213" s="121"/>
      <c r="N213" s="36"/>
    </row>
    <row r="214" spans="1:20" s="91" customFormat="1" ht="15.75" customHeight="1" x14ac:dyDescent="0.25">
      <c r="A214" s="117">
        <f t="shared" ref="A214:A222" si="12">A213+1</f>
        <v>2</v>
      </c>
      <c r="B214" s="118"/>
      <c r="C214" s="63" t="s">
        <v>399</v>
      </c>
      <c r="D214" s="94">
        <f>(45.228)*10.764</f>
        <v>486.83419199999997</v>
      </c>
      <c r="E214" s="92">
        <v>0</v>
      </c>
      <c r="F214" s="92">
        <f>D214+E214</f>
        <v>486.83419199999997</v>
      </c>
      <c r="G214" s="92">
        <f>(2.9*3.3+1.9*1.8)*10.764</f>
        <v>139.82435999999998</v>
      </c>
      <c r="H214" s="92">
        <f>F214*(($H$176)+1)+(IF(G214&lt;101,G214,IF(G214&lt;201,G214/2,IF(G214&lt;=301,G214/3,G214/4))))</f>
        <v>800.16346799999997</v>
      </c>
      <c r="I214" s="36"/>
      <c r="L214" s="121"/>
      <c r="M214" s="121"/>
      <c r="N214" s="36"/>
    </row>
    <row r="215" spans="1:20" s="91" customFormat="1" ht="15.75" customHeight="1" x14ac:dyDescent="0.25">
      <c r="A215" s="117">
        <f t="shared" si="12"/>
        <v>3</v>
      </c>
      <c r="B215" s="118"/>
      <c r="C215" s="63" t="s">
        <v>382</v>
      </c>
      <c r="D215" s="94">
        <f>(59.33)*10.764</f>
        <v>638.62811999999997</v>
      </c>
      <c r="E215" s="92">
        <v>0</v>
      </c>
      <c r="F215" s="92">
        <f>D215+E215</f>
        <v>638.62811999999997</v>
      </c>
      <c r="G215" s="92">
        <v>0</v>
      </c>
      <c r="H215" s="92">
        <f>F215*(($H$176)+1)+(IF(G215&lt;101,G215,IF(G215&lt;201,G215/2,IF(G215&lt;=301,G215/3,G215/4))))</f>
        <v>957.94218000000001</v>
      </c>
      <c r="I215" s="36"/>
      <c r="J215" s="36">
        <f>7500000/H215</f>
        <v>7829.2825564899958</v>
      </c>
      <c r="L215" s="121"/>
      <c r="M215" s="121"/>
      <c r="N215" s="36"/>
    </row>
    <row r="216" spans="1:20" s="91" customFormat="1" ht="15.75" customHeight="1" x14ac:dyDescent="0.25">
      <c r="A216" s="117">
        <f t="shared" si="12"/>
        <v>4</v>
      </c>
      <c r="B216" s="118"/>
      <c r="C216" s="63" t="s">
        <v>399</v>
      </c>
      <c r="D216" s="94">
        <f>(45.228)*10.764</f>
        <v>486.83419199999997</v>
      </c>
      <c r="E216" s="92">
        <v>0</v>
      </c>
      <c r="F216" s="92">
        <f>D216+E216</f>
        <v>486.83419199999997</v>
      </c>
      <c r="G216" s="93">
        <f>(2.9*3.3+1.9*1.8)*10.764</f>
        <v>139.82435999999998</v>
      </c>
      <c r="H216" s="92">
        <f>F216*(($H$176)+1)+(IF(G216&lt;101,G216,IF(G216&lt;201,G216/2,IF(G216&lt;=301,G216/3,G216/4))))</f>
        <v>800.16346799999997</v>
      </c>
      <c r="I216" s="36"/>
      <c r="L216" s="121"/>
      <c r="M216" s="121"/>
      <c r="N216" s="36"/>
      <c r="T216" s="21"/>
    </row>
    <row r="217" spans="1:20" s="91" customFormat="1" ht="15.75" customHeight="1" x14ac:dyDescent="0.25">
      <c r="A217" s="117">
        <f t="shared" si="12"/>
        <v>5</v>
      </c>
      <c r="B217" s="118"/>
      <c r="C217" s="92" t="s">
        <v>385</v>
      </c>
      <c r="D217" s="124" t="s">
        <v>386</v>
      </c>
      <c r="E217" s="125"/>
      <c r="F217" s="125"/>
      <c r="G217" s="125"/>
      <c r="H217" s="126"/>
      <c r="I217" s="36"/>
      <c r="L217" s="121"/>
      <c r="M217" s="121"/>
      <c r="N217" s="36"/>
    </row>
    <row r="218" spans="1:20" s="91" customFormat="1" ht="15.75" customHeight="1" x14ac:dyDescent="0.25">
      <c r="A218" s="117">
        <f t="shared" si="12"/>
        <v>6</v>
      </c>
      <c r="B218" s="118"/>
      <c r="C218" s="92" t="s">
        <v>385</v>
      </c>
      <c r="D218" s="127"/>
      <c r="E218" s="128"/>
      <c r="F218" s="128"/>
      <c r="G218" s="128"/>
      <c r="H218" s="129"/>
      <c r="I218" s="36"/>
      <c r="L218" s="121"/>
      <c r="M218" s="121"/>
      <c r="N218" s="36"/>
    </row>
    <row r="219" spans="1:20" s="91" customFormat="1" ht="15.75" customHeight="1" x14ac:dyDescent="0.25">
      <c r="A219" s="117">
        <f t="shared" si="12"/>
        <v>7</v>
      </c>
      <c r="B219" s="118"/>
      <c r="C219" s="92" t="s">
        <v>385</v>
      </c>
      <c r="D219" s="127"/>
      <c r="E219" s="128"/>
      <c r="F219" s="128"/>
      <c r="G219" s="128"/>
      <c r="H219" s="129"/>
      <c r="I219" s="36"/>
      <c r="L219" s="121"/>
      <c r="M219" s="121"/>
      <c r="N219" s="36"/>
      <c r="T219" s="21"/>
    </row>
    <row r="220" spans="1:20" s="91" customFormat="1" ht="15.75" customHeight="1" x14ac:dyDescent="0.25">
      <c r="A220" s="117">
        <f t="shared" si="12"/>
        <v>8</v>
      </c>
      <c r="B220" s="118"/>
      <c r="C220" s="92" t="s">
        <v>385</v>
      </c>
      <c r="D220" s="127"/>
      <c r="E220" s="128"/>
      <c r="F220" s="128"/>
      <c r="G220" s="128"/>
      <c r="H220" s="129"/>
      <c r="I220" s="36"/>
      <c r="L220" s="121"/>
      <c r="M220" s="121"/>
      <c r="N220" s="36"/>
    </row>
    <row r="221" spans="1:20" s="91" customFormat="1" ht="15.75" customHeight="1" x14ac:dyDescent="0.25">
      <c r="A221" s="117">
        <f t="shared" si="12"/>
        <v>9</v>
      </c>
      <c r="B221" s="118"/>
      <c r="C221" s="92" t="s">
        <v>385</v>
      </c>
      <c r="D221" s="127"/>
      <c r="E221" s="128"/>
      <c r="F221" s="128"/>
      <c r="G221" s="128"/>
      <c r="H221" s="129"/>
      <c r="I221" s="36"/>
      <c r="L221" s="121"/>
      <c r="M221" s="121"/>
      <c r="N221" s="36"/>
    </row>
    <row r="222" spans="1:20" s="91" customFormat="1" ht="15.75" customHeight="1" x14ac:dyDescent="0.25">
      <c r="A222" s="117">
        <f t="shared" si="12"/>
        <v>10</v>
      </c>
      <c r="B222" s="118"/>
      <c r="C222" s="92" t="s">
        <v>385</v>
      </c>
      <c r="D222" s="130"/>
      <c r="E222" s="131"/>
      <c r="F222" s="131"/>
      <c r="G222" s="131"/>
      <c r="H222" s="132"/>
      <c r="I222" s="36"/>
      <c r="L222" s="121"/>
      <c r="M222" s="121"/>
      <c r="N222" s="36"/>
      <c r="T222" s="21"/>
    </row>
    <row r="223" spans="1:20" s="37" customFormat="1" hidden="1" x14ac:dyDescent="0.25">
      <c r="A223" s="133" t="s">
        <v>116</v>
      </c>
      <c r="B223" s="134"/>
      <c r="C223" s="134"/>
      <c r="D223" s="134"/>
      <c r="E223" s="134"/>
      <c r="F223" s="134"/>
      <c r="G223" s="134"/>
      <c r="H223" s="135"/>
      <c r="J223" s="36"/>
    </row>
    <row r="224" spans="1:20" s="37" customFormat="1" ht="15.75" hidden="1" customHeight="1" x14ac:dyDescent="0.25">
      <c r="A224" s="117">
        <v>1</v>
      </c>
      <c r="B224" s="118"/>
      <c r="C224" s="42"/>
      <c r="D224" s="42"/>
      <c r="E224" s="42">
        <v>0</v>
      </c>
      <c r="F224" s="42">
        <f>D224+E224</f>
        <v>0</v>
      </c>
      <c r="G224" s="54">
        <v>0</v>
      </c>
      <c r="H224" s="54">
        <f>F224*(($H$176)+1)+(IF(G224&lt;101,G224,IF(G224&lt;201,G224/2,IF(G224&lt;=301,G224/3,G224/4))))</f>
        <v>0</v>
      </c>
      <c r="I224" s="36"/>
      <c r="L224" s="121"/>
      <c r="M224" s="121"/>
      <c r="N224" s="36"/>
    </row>
    <row r="225" spans="1:20" s="37" customFormat="1" ht="15.75" hidden="1" customHeight="1" x14ac:dyDescent="0.25">
      <c r="A225" s="117">
        <f>A224+1</f>
        <v>2</v>
      </c>
      <c r="B225" s="118"/>
      <c r="C225" s="42"/>
      <c r="D225" s="42"/>
      <c r="E225" s="42">
        <v>0</v>
      </c>
      <c r="F225" s="54">
        <f>D225+E225</f>
        <v>0</v>
      </c>
      <c r="G225" s="54">
        <v>0</v>
      </c>
      <c r="H225" s="54">
        <f>F225*(($H$176)+1)+(IF(G225&lt;101,G225,IF(G225&lt;201,G225/2,IF(G225&lt;=301,G225/3,G225/4))))</f>
        <v>0</v>
      </c>
      <c r="I225" s="36"/>
      <c r="L225" s="121"/>
      <c r="M225" s="121"/>
      <c r="N225" s="36"/>
    </row>
    <row r="226" spans="1:20" s="37" customFormat="1" ht="15.75" hidden="1" customHeight="1" x14ac:dyDescent="0.25">
      <c r="A226" s="117">
        <f>A225+1</f>
        <v>3</v>
      </c>
      <c r="B226" s="118"/>
      <c r="C226" s="42"/>
      <c r="D226" s="42"/>
      <c r="E226" s="42">
        <v>0</v>
      </c>
      <c r="F226" s="54">
        <f>D226+E226</f>
        <v>0</v>
      </c>
      <c r="G226" s="54">
        <v>0</v>
      </c>
      <c r="H226" s="54">
        <f>F226*(($H$176)+1)+(IF(G226&lt;101,G226,IF(G226&lt;201,G226/2,IF(G226&lt;=301,G226/3,G226/4))))</f>
        <v>0</v>
      </c>
      <c r="I226" s="36"/>
      <c r="L226" s="121"/>
      <c r="M226" s="121"/>
      <c r="N226" s="36"/>
    </row>
    <row r="227" spans="1:20" s="37" customFormat="1" ht="15.75" hidden="1" customHeight="1" x14ac:dyDescent="0.25">
      <c r="A227" s="117">
        <f>A226+1</f>
        <v>4</v>
      </c>
      <c r="B227" s="118"/>
      <c r="C227" s="42"/>
      <c r="D227" s="42"/>
      <c r="E227" s="42">
        <v>0</v>
      </c>
      <c r="F227" s="54">
        <f>D227+E227</f>
        <v>0</v>
      </c>
      <c r="G227" s="54">
        <v>0</v>
      </c>
      <c r="H227" s="54">
        <f>F227*(($H$176)+1)+(IF(G227&lt;101,G227,IF(G227&lt;201,G227/2,IF(G227&lt;=301,G227/3,G227/4))))</f>
        <v>0</v>
      </c>
      <c r="I227" s="36"/>
      <c r="L227" s="121"/>
      <c r="M227" s="121"/>
      <c r="N227" s="36"/>
      <c r="T227" s="21"/>
    </row>
    <row r="228" spans="1:20" s="37" customFormat="1" hidden="1" x14ac:dyDescent="0.25">
      <c r="A228" s="258" t="s">
        <v>117</v>
      </c>
      <c r="B228" s="258"/>
      <c r="C228" s="258"/>
      <c r="D228" s="258"/>
      <c r="E228" s="258"/>
      <c r="F228" s="258"/>
      <c r="G228" s="258"/>
      <c r="H228" s="258"/>
      <c r="I228" s="36"/>
      <c r="L228" s="121"/>
      <c r="M228" s="121"/>
    </row>
    <row r="229" spans="1:20" s="37" customFormat="1" hidden="1" x14ac:dyDescent="0.25">
      <c r="A229" s="116">
        <f>LEFT(A228,SUM(LEN(A228)-LEN(SUBSTITUTE(A228,{"0","1","2","3","4","5","6","7","8","9"},""))))*100+1</f>
        <v>201</v>
      </c>
      <c r="B229" s="116"/>
      <c r="C229" s="42"/>
      <c r="D229" s="42"/>
      <c r="E229" s="54">
        <v>0</v>
      </c>
      <c r="F229" s="54">
        <f>D229+E229</f>
        <v>0</v>
      </c>
      <c r="G229" s="54">
        <v>0</v>
      </c>
      <c r="H229" s="54">
        <f>F229*(($H$176)+1)+(IF(G229&lt;101,G229,IF(G229&lt;201,G229/2,IF(G229&lt;=301,G229/3,G229/4))))</f>
        <v>0</v>
      </c>
      <c r="I229" s="36"/>
      <c r="N229" s="36"/>
    </row>
    <row r="230" spans="1:20" s="37" customFormat="1" hidden="1" x14ac:dyDescent="0.25">
      <c r="A230" s="116">
        <f>A229+1</f>
        <v>202</v>
      </c>
      <c r="B230" s="116"/>
      <c r="C230" s="42"/>
      <c r="D230" s="42"/>
      <c r="E230" s="54">
        <v>0</v>
      </c>
      <c r="F230" s="54">
        <f>D230+E230</f>
        <v>0</v>
      </c>
      <c r="G230" s="54">
        <v>0</v>
      </c>
      <c r="H230" s="54">
        <f>F230*(($H$176)+1)+(IF(G230&lt;101,G230,IF(G230&lt;201,G230/2,IF(G230&lt;=301,G230/3,G230/4))))</f>
        <v>0</v>
      </c>
      <c r="I230" s="36"/>
      <c r="N230" s="36"/>
    </row>
    <row r="231" spans="1:20" s="37" customFormat="1" hidden="1" x14ac:dyDescent="0.25">
      <c r="A231" s="116">
        <f>A230+1</f>
        <v>203</v>
      </c>
      <c r="B231" s="116"/>
      <c r="C231" s="42"/>
      <c r="D231" s="42"/>
      <c r="E231" s="54">
        <v>0</v>
      </c>
      <c r="F231" s="54">
        <f>D231+E231</f>
        <v>0</v>
      </c>
      <c r="G231" s="54">
        <v>0</v>
      </c>
      <c r="H231" s="54">
        <f>F231*(($H$176)+1)+(IF(G231&lt;101,G231,IF(G231&lt;201,G231/2,IF(G231&lt;=301,G231/3,G231/4))))</f>
        <v>0</v>
      </c>
      <c r="I231" s="36"/>
      <c r="N231" s="36"/>
    </row>
    <row r="232" spans="1:20" s="37" customFormat="1" hidden="1" x14ac:dyDescent="0.25">
      <c r="A232" s="116">
        <f>A231+1</f>
        <v>204</v>
      </c>
      <c r="B232" s="116"/>
      <c r="C232" s="42"/>
      <c r="D232" s="42"/>
      <c r="E232" s="54">
        <v>0</v>
      </c>
      <c r="F232" s="54">
        <f>D232+E232</f>
        <v>0</v>
      </c>
      <c r="G232" s="54">
        <v>0</v>
      </c>
      <c r="H232" s="54">
        <f>F232*(($H$176)+1)+(IF(G232&lt;101,G232,IF(G232&lt;201,G232/2,IF(G232&lt;=301,G232/3,G232/4))))</f>
        <v>0</v>
      </c>
      <c r="I232" s="36"/>
      <c r="N232" s="36"/>
    </row>
    <row r="233" spans="1:20" s="37" customFormat="1" hidden="1" x14ac:dyDescent="0.25">
      <c r="A233" s="116">
        <f>A232+1</f>
        <v>205</v>
      </c>
      <c r="B233" s="116"/>
      <c r="C233" s="42"/>
      <c r="D233" s="42"/>
      <c r="E233" s="54">
        <v>0</v>
      </c>
      <c r="F233" s="54">
        <f>D233+E233</f>
        <v>0</v>
      </c>
      <c r="G233" s="54">
        <v>0</v>
      </c>
      <c r="H233" s="54">
        <f>F233*(($H$176)+1)+(IF(G233&lt;101,G233,IF(G233&lt;201,G233/2,IF(G233&lt;=301,G233/3,G233/4))))</f>
        <v>0</v>
      </c>
      <c r="I233" s="36"/>
      <c r="N233" s="36"/>
    </row>
    <row r="234" spans="1:20" s="37" customFormat="1" ht="15.75" hidden="1" customHeight="1" x14ac:dyDescent="0.25">
      <c r="A234" s="133" t="s">
        <v>149</v>
      </c>
      <c r="B234" s="134"/>
      <c r="C234" s="134"/>
      <c r="D234" s="134"/>
      <c r="E234" s="134"/>
      <c r="F234" s="134"/>
      <c r="G234" s="134"/>
      <c r="H234" s="135"/>
      <c r="I234" s="36"/>
    </row>
    <row r="235" spans="1:20" s="37" customFormat="1" ht="15.75" hidden="1" customHeight="1" x14ac:dyDescent="0.25">
      <c r="A235" s="117" t="str">
        <f ca="1">(SUMPRODUCT(MID(0&amp;(LEFT(A234,SUM(LEN(A234)-LEN(SUBSTITUTE(A234,{"0","1","2"},""))))), LARGE(INDEX(ISNUMBER(--MID((LEFT(A234,SUM(LEN(A234)-LEN(SUBSTITUTE(A234,{"0","1","2"},""))))), ROW(INDIRECT("1:"&amp;LEN((LEFT(A234,SUM(LEN(A234)-LEN(SUBSTITUTE(A234,{"0","1","2"},"")))))))), 1)) * ROW(INDIRECT("1:"&amp;LEN((LEFT(A234,SUM(LEN(A234)-LEN(SUBSTITUTE(A234,{"0","1","2"},"")))))))), 0), ROW(INDIRECT("1:"&amp;LEN((LEFT(A234,SUM(LEN(A234)-LEN(SUBSTITUTE(A234,{"0","1","2"},"")))))))))+1, 1) * 10^ROW(INDIRECT("1:"&amp;LEN((LEFT(A234,SUM(LEN(A234)-LEN(SUBSTITUTE(A234,{"0","1","2"},""))))))))/10))*100+1&amp;""&amp;" ,.., "&amp;""&amp;(SUMPRODUCT(MID(0&amp;(--TRIM(RIGHT(SUBSTITUTE(LEFT(A234,_xlfn.AGGREGATE(16,6,FIND({0,1,2,3,4,5,6,7,8,9},A234,ROW(INDIRECT("1:"&amp;LEN(A234)))),1))," ",REPT(" ",LEN(A234))),LEN(A234)))), LARGE(INDEX(ISNUMBER(--MID((--TRIM(RIGHT(SUBSTITUTE(LEFT(A234,_xlfn.AGGREGATE(16,6,FIND({0,1,2,3,4,5,6,7,8,9},A234,ROW(INDIRECT("1:"&amp;LEN(A234)))),1))," ",REPT(" ",LEN(A234))),LEN(A234)))), ROW(INDIRECT("1:"&amp;LEN((--TRIM(RIGHT(SUBSTITUTE(LEFT(A234,_xlfn.AGGREGATE(16,6,FIND({0,1,2,3,4,5,6,7,8,9},A234,ROW(INDIRECT("1:"&amp;LEN(A234)))),1))," ",REPT(" ",LEN(A234))),LEN(A234))))))), 1)) * ROW(INDIRECT("1:"&amp;LEN((--TRIM(RIGHT(SUBSTITUTE(LEFT(A234,_xlfn.AGGREGATE(16,6,FIND({0,1,2,3,4,5,6,7,8,9},A234,ROW(INDIRECT("1:"&amp;LEN(A234)))),1))," ",REPT(" ",LEN(A234))),LEN(A234))))))), 0), ROW(INDIRECT("1:"&amp;LEN((--TRIM(RIGHT(SUBSTITUTE(LEFT(A234,_xlfn.AGGREGATE(16,6,FIND({0,1,2,3,4,5,6,7,8,9},A234,ROW(INDIRECT("1:"&amp;LEN(A234)))),1))," ",REPT(" ",LEN(A234))),LEN(A234))))))))+1, 1) * 10^ROW(INDIRECT("1:"&amp;LEN((--TRIM(RIGHT(SUBSTITUTE(LEFT(A234,_xlfn.AGGREGATE(16,6,FIND({0,1,2,3,4,5,6,7,8,9},A234,ROW(INDIRECT("1:"&amp;LEN(A234)))),1))," ",REPT(" ",LEN(A234))),LEN(A234)))))))/10))*100+1</f>
        <v>301 ,.., 1501</v>
      </c>
      <c r="B235" s="118"/>
      <c r="C235" s="42"/>
      <c r="D235" s="42"/>
      <c r="E235" s="54">
        <v>0</v>
      </c>
      <c r="F235" s="54">
        <f>D235+E235</f>
        <v>0</v>
      </c>
      <c r="G235" s="54">
        <v>0</v>
      </c>
      <c r="H235" s="54">
        <f>F235*(($H$176)+1)+(IF(G235&lt;101,G235,IF(G235&lt;201,G235/2,IF(G235&lt;=301,G235/3,G235/4))))</f>
        <v>0</v>
      </c>
      <c r="I235" s="36"/>
    </row>
    <row r="236" spans="1:20" s="37" customFormat="1" ht="15.75" hidden="1" customHeight="1" x14ac:dyDescent="0.25">
      <c r="A236" s="117" t="str">
        <f ca="1">(SUMPRODUCT(MID(0&amp;(LEFT(A235,SUM(LEN(A235)-LEN(SUBSTITUTE(A235,{"0","1","2"},""))))), LARGE(INDEX(ISNUMBER(--MID((LEFT(A235,SUM(LEN(A235)-LEN(SUBSTITUTE(A235,{"0","1","2"},""))))), ROW(INDIRECT("1:"&amp;LEN((LEFT(A235,SUM(LEN(A235)-LEN(SUBSTITUTE(A235,{"0","1","2"},"")))))))), 1)) * ROW(INDIRECT("1:"&amp;LEN((LEFT(A235,SUM(LEN(A235)-LEN(SUBSTITUTE(A235,{"0","1","2"},"")))))))), 0), ROW(INDIRECT("1:"&amp;LEN((LEFT(A235,SUM(LEN(A235)-LEN(SUBSTITUTE(A235,{"0","1","2"},"")))))))))+1, 1) * 10^ROW(INDIRECT("1:"&amp;LEN((LEFT(A235,SUM(LEN(A235)-LEN(SUBSTITUTE(A235,{"0","1","2"},""))))))))/10))*1+1&amp;""&amp;" ,.., "&amp;""&amp;(SUMPRODUCT(MID(0&amp;(--TRIM(RIGHT(SUBSTITUTE(LEFT(A235,_xlfn.AGGREGATE(16,6,FIND({0,1,2,3,4,5,6,7,8,9},A235,ROW(INDIRECT("1:"&amp;LEN(A235)))),1)),"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",LEN(A235))),LEN(A235)))))))/10))*1+1</f>
        <v>302 ,.., 1502</v>
      </c>
      <c r="B236" s="118"/>
      <c r="C236" s="42"/>
      <c r="D236" s="42"/>
      <c r="E236" s="54">
        <v>0</v>
      </c>
      <c r="F236" s="54">
        <f>D236+E236</f>
        <v>0</v>
      </c>
      <c r="G236" s="54">
        <v>0</v>
      </c>
      <c r="H236" s="54">
        <f>F236*(($H$176)+1)+(IF(G236&lt;101,G236,IF(G236&lt;201,G236/2,IF(G236&lt;=301,G236/3,G236/4))))</f>
        <v>0</v>
      </c>
      <c r="I236" s="36"/>
    </row>
    <row r="237" spans="1:20" s="37" customFormat="1" ht="15.75" hidden="1" customHeight="1" x14ac:dyDescent="0.25">
      <c r="A237" s="117" t="str">
        <f ca="1">(SUMPRODUCT(MID(0&amp;(LEFT(A236,SUM(LEN(A236)-LEN(SUBSTITUTE(A236,{"0","1","2"},""))))), LARGE(INDEX(ISNUMBER(--MID((LEFT(A236,SUM(LEN(A236)-LEN(SUBSTITUTE(A236,{"0","1","2"},""))))), ROW(INDIRECT("1:"&amp;LEN((LEFT(A236,SUM(LEN(A236)-LEN(SUBSTITUTE(A236,{"0","1","2"},"")))))))), 1)) * ROW(INDIRECT("1:"&amp;LEN((LEFT(A236,SUM(LEN(A236)-LEN(SUBSTITUTE(A236,{"0","1","2"},"")))))))), 0), ROW(INDIRECT("1:"&amp;LEN((LEFT(A236,SUM(LEN(A236)-LEN(SUBSTITUTE(A236,{"0","1","2"},"")))))))))+1, 1) * 10^ROW(INDIRECT("1:"&amp;LEN((LEFT(A236,SUM(LEN(A236)-LEN(SUBSTITUTE(A236,{"0","1","2"},""))))))))/10))*1+1&amp;""&amp;" ,.., "&amp;""&amp;(SUMPRODUCT(MID(0&amp;(--TRIM(RIGHT(SUBSTITUTE(LEFT(A236,_xlfn.AGGREGATE(16,6,FIND({0,1,2,3,4,5,6,7,8,9},A236,ROW(INDIRECT("1:"&amp;LEN(A236)))),1))," ",REPT(" ",LEN(A236))),LEN(A236)))), LARGE(INDEX(ISNUMBER(--MID((--TRIM(RIGHT(SUBSTITUTE(LEFT(A236,_xlfn.AGGREGATE(16,6,FIND({0,1,2,3,4,5,6,7,8,9},A236,ROW(INDIRECT("1:"&amp;LEN(A236)))),1))," ",REPT(" ",LEN(A236))),LEN(A236)))), ROW(INDIRECT("1:"&amp;LEN((--TRIM(RIGHT(SUBSTITUTE(LEFT(A236,_xlfn.AGGREGATE(16,6,FIND({0,1,2,3,4,5,6,7,8,9},A236,ROW(INDIRECT("1:"&amp;LEN(A236)))),1))," ",REPT(" ",LEN(A236))),LEN(A236))))))), 1)) * ROW(INDIRECT("1:"&amp;LEN((--TRIM(RIGHT(SUBSTITUTE(LEFT(A236,_xlfn.AGGREGATE(16,6,FIND({0,1,2,3,4,5,6,7,8,9},A236,ROW(INDIRECT("1:"&amp;LEN(A236)))),1))," ",REPT(" ",LEN(A236))),LEN(A236))))))), 0), ROW(INDIRECT("1:"&amp;LEN((--TRIM(RIGHT(SUBSTITUTE(LEFT(A236,_xlfn.AGGREGATE(16,6,FIND({0,1,2,3,4,5,6,7,8,9},A236,ROW(INDIRECT("1:"&amp;LEN(A236)))),1))," ",REPT(" ",LEN(A236))),LEN(A236))))))))+1, 1) * 10^ROW(INDIRECT("1:"&amp;LEN((--TRIM(RIGHT(SUBSTITUTE(LEFT(A236,_xlfn.AGGREGATE(16,6,FIND({0,1,2,3,4,5,6,7,8,9},A236,ROW(INDIRECT("1:"&amp;LEN(A236)))),1))," ",REPT(" ",LEN(A236))),LEN(A236)))))))/10))*1+1</f>
        <v>303 ,.., 1503</v>
      </c>
      <c r="B237" s="118"/>
      <c r="C237" s="42"/>
      <c r="D237" s="42"/>
      <c r="E237" s="54">
        <v>0</v>
      </c>
      <c r="F237" s="54">
        <f>D237+E237</f>
        <v>0</v>
      </c>
      <c r="G237" s="54">
        <v>0</v>
      </c>
      <c r="H237" s="54">
        <f>F237*(($H$176)+1)+(IF(G237&lt;101,G237,IF(G237&lt;201,G237/2,IF(G237&lt;=301,G237/3,G237/4))))</f>
        <v>0</v>
      </c>
      <c r="I237" s="36"/>
    </row>
    <row r="238" spans="1:20" s="37" customFormat="1" ht="15.75" hidden="1" customHeight="1" x14ac:dyDescent="0.25">
      <c r="A238" s="117" t="str">
        <f ca="1">(SUMPRODUCT(MID(0&amp;(LEFT(A237,SUM(LEN(A237)-LEN(SUBSTITUTE(A237,{"0","1","2"},""))))), LARGE(INDEX(ISNUMBER(--MID((LEFT(A237,SUM(LEN(A237)-LEN(SUBSTITUTE(A237,{"0","1","2"},""))))), ROW(INDIRECT("1:"&amp;LEN((LEFT(A237,SUM(LEN(A237)-LEN(SUBSTITUTE(A237,{"0","1","2"},"")))))))), 1)) * ROW(INDIRECT("1:"&amp;LEN((LEFT(A237,SUM(LEN(A237)-LEN(SUBSTITUTE(A237,{"0","1","2"},"")))))))), 0), ROW(INDIRECT("1:"&amp;LEN((LEFT(A237,SUM(LEN(A237)-LEN(SUBSTITUTE(A237,{"0","1","2"},"")))))))))+1, 1) * 10^ROW(INDIRECT("1:"&amp;LEN((LEFT(A237,SUM(LEN(A237)-LEN(SUBSTITUTE(A237,{"0","1","2"},""))))))))/10))*1+1&amp;""&amp;" ,.., "&amp;""&amp;(SUMPRODUCT(MID(0&amp;(--TRIM(RIGHT(SUBSTITUTE(LEFT(A237,_xlfn.AGGREGATE(16,6,FIND({0,1,2,3,4,5,6,7,8,9},A237,ROW(INDIRECT("1:"&amp;LEN(A237)))),1))," ",REPT(" ",LEN(A237))),LEN(A237)))), LARGE(INDEX(ISNUMBER(--MID((--TRIM(RIGHT(SUBSTITUTE(LEFT(A237,_xlfn.AGGREGATE(16,6,FIND({0,1,2,3,4,5,6,7,8,9},A237,ROW(INDIRECT("1:"&amp;LEN(A237)))),1))," ",REPT(" ",LEN(A237))),LEN(A237)))), ROW(INDIRECT("1:"&amp;LEN((--TRIM(RIGHT(SUBSTITUTE(LEFT(A237,_xlfn.AGGREGATE(16,6,FIND({0,1,2,3,4,5,6,7,8,9},A237,ROW(INDIRECT("1:"&amp;LEN(A237)))),1))," ",REPT(" ",LEN(A237))),LEN(A237))))))), 1)) * ROW(INDIRECT("1:"&amp;LEN((--TRIM(RIGHT(SUBSTITUTE(LEFT(A237,_xlfn.AGGREGATE(16,6,FIND({0,1,2,3,4,5,6,7,8,9},A237,ROW(INDIRECT("1:"&amp;LEN(A237)))),1))," ",REPT(" ",LEN(A237))),LEN(A237))))))), 0), ROW(INDIRECT("1:"&amp;LEN((--TRIM(RIGHT(SUBSTITUTE(LEFT(A237,_xlfn.AGGREGATE(16,6,FIND({0,1,2,3,4,5,6,7,8,9},A237,ROW(INDIRECT("1:"&amp;LEN(A237)))),1))," ",REPT(" ",LEN(A237))),LEN(A237))))))))+1, 1) * 10^ROW(INDIRECT("1:"&amp;LEN((--TRIM(RIGHT(SUBSTITUTE(LEFT(A237,_xlfn.AGGREGATE(16,6,FIND({0,1,2,3,4,5,6,7,8,9},A237,ROW(INDIRECT("1:"&amp;LEN(A237)))),1))," ",REPT(" ",LEN(A237))),LEN(A237)))))))/10))*1+1</f>
        <v>304 ,.., 1504</v>
      </c>
      <c r="B238" s="118"/>
      <c r="C238" s="42"/>
      <c r="D238" s="42"/>
      <c r="E238" s="54">
        <v>0</v>
      </c>
      <c r="F238" s="54">
        <f>D238+E238</f>
        <v>0</v>
      </c>
      <c r="G238" s="54">
        <v>0</v>
      </c>
      <c r="H238" s="54">
        <f>F238*(($H$176)+1)+(IF(G238&lt;101,G238,IF(G238&lt;201,G238/2,IF(G238&lt;=301,G238/3,G238/4))))</f>
        <v>0</v>
      </c>
      <c r="I238" s="36"/>
    </row>
    <row r="239" spans="1:20" s="37" customFormat="1" ht="15.75" hidden="1" customHeight="1" x14ac:dyDescent="0.25">
      <c r="A239" s="117" t="str">
        <f ca="1">(SUMPRODUCT(MID(0&amp;(LEFT(A238,SUM(LEN(A238)-LEN(SUBSTITUTE(A238,{"0","1","2"},""))))), LARGE(INDEX(ISNUMBER(--MID((LEFT(A238,SUM(LEN(A238)-LEN(SUBSTITUTE(A238,{"0","1","2"},""))))), ROW(INDIRECT("1:"&amp;LEN((LEFT(A238,SUM(LEN(A238)-LEN(SUBSTITUTE(A238,{"0","1","2"},"")))))))), 1)) * ROW(INDIRECT("1:"&amp;LEN((LEFT(A238,SUM(LEN(A238)-LEN(SUBSTITUTE(A238,{"0","1","2"},"")))))))), 0), ROW(INDIRECT("1:"&amp;LEN((LEFT(A238,SUM(LEN(A238)-LEN(SUBSTITUTE(A238,{"0","1","2"},"")))))))))+1, 1) * 10^ROW(INDIRECT("1:"&amp;LEN((LEFT(A238,SUM(LEN(A238)-LEN(SUBSTITUTE(A238,{"0","1","2"},""))))))))/10))*1+1&amp;""&amp;" ,.., "&amp;""&amp;(SUMPRODUCT(MID(0&amp;(--TRIM(RIGHT(SUBSTITUTE(LEFT(A238,_xlfn.AGGREGATE(16,6,FIND({0,1,2,3,4,5,6,7,8,9},A238,ROW(INDIRECT("1:"&amp;LEN(A238)))),1)),"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",LEN(A238))),LEN(A238)))))))/10))*1+1</f>
        <v>305 ,.., 1505</v>
      </c>
      <c r="B239" s="118"/>
      <c r="C239" s="42"/>
      <c r="D239" s="42"/>
      <c r="E239" s="54">
        <v>0</v>
      </c>
      <c r="F239" s="54">
        <f>D239+E239</f>
        <v>0</v>
      </c>
      <c r="G239" s="54">
        <v>0</v>
      </c>
      <c r="H239" s="54">
        <f>F239*(($H$176)+1)+(IF(G239&lt;101,G239,IF(G239&lt;201,G239/2,IF(G239&lt;=301,G239/3,G239/4))))</f>
        <v>0</v>
      </c>
      <c r="I239" s="36"/>
    </row>
    <row r="240" spans="1:20" s="37" customFormat="1" hidden="1" x14ac:dyDescent="0.25">
      <c r="A240" s="133" t="s">
        <v>143</v>
      </c>
      <c r="B240" s="134"/>
      <c r="C240" s="134"/>
      <c r="D240" s="134"/>
      <c r="E240" s="134"/>
      <c r="F240" s="134"/>
      <c r="G240" s="134"/>
      <c r="H240" s="135"/>
      <c r="I240" s="36"/>
    </row>
    <row r="241" spans="1:20" s="37" customFormat="1" ht="15.75" hidden="1" customHeight="1" x14ac:dyDescent="0.25">
      <c r="A241" s="117" t="str">
        <f ca="1">(SUMPRODUCT(MID(0&amp;(LEFT(A240,SUM(LEN(A240)-LEN(SUBSTITUTE(A240,{"0","1","2"},""))))), LARGE(INDEX(ISNUMBER(--MID((LEFT(A240,SUM(LEN(A240)-LEN(SUBSTITUTE(A240,{"0","1","2"},""))))), ROW(INDIRECT("1:"&amp;LEN((LEFT(A240,SUM(LEN(A240)-LEN(SUBSTITUTE(A240,{"0","1","2"},"")))))))), 1)) * ROW(INDIRECT("1:"&amp;LEN((LEFT(A240,SUM(LEN(A240)-LEN(SUBSTITUTE(A240,{"0","1","2"},"")))))))), 0), ROW(INDIRECT("1:"&amp;LEN((LEFT(A240,SUM(LEN(A240)-LEN(SUBSTITUTE(A240,{"0","1","2"},"")))))))))+1, 1) * 10^ROW(INDIRECT("1:"&amp;LEN((LEFT(A240,SUM(LEN(A240)-LEN(SUBSTITUTE(A240,{"0","1","2"},""))))))))/10))*100+1&amp;""&amp;" to "&amp;""&amp;(SUMPRODUCT(MID(0&amp;(--TRIM(RIGHT(SUBSTITUTE(LEFT(A240,_xlfn.AGGREGATE(16,6,FIND({0,1,2,3,4,5,6,7,8,9},A240,ROW(INDIRECT("1:"&amp;LEN(A240)))),1)),"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",LEN(A240))),LEN(A240)))))))/10))*100+1</f>
        <v>201 to 501</v>
      </c>
      <c r="B241" s="118"/>
      <c r="C241" s="42"/>
      <c r="D241" s="42"/>
      <c r="E241" s="54">
        <v>0</v>
      </c>
      <c r="F241" s="54">
        <f>D241+E241</f>
        <v>0</v>
      </c>
      <c r="G241" s="54">
        <v>0</v>
      </c>
      <c r="H241" s="54">
        <f>F241*(($H$176)+1)+(IF(G241&lt;101,G241,IF(G241&lt;201,G241/2,IF(G241&lt;=301,G241/3,G241/4))))</f>
        <v>0</v>
      </c>
      <c r="I241" s="36"/>
    </row>
    <row r="242" spans="1:20" s="37" customFormat="1" ht="15.75" hidden="1" customHeight="1" x14ac:dyDescent="0.25">
      <c r="A242" s="117" t="str">
        <f ca="1">(SUMPRODUCT(MID(0&amp;(LEFT(A241,SUM(LEN(A241)-LEN(SUBSTITUTE(A241,{"0","1","2"},""))))), LARGE(INDEX(ISNUMBER(--MID((LEFT(A241,SUM(LEN(A241)-LEN(SUBSTITUTE(A241,{"0","1","2"},""))))), ROW(INDIRECT("1:"&amp;LEN((LEFT(A241,SUM(LEN(A241)-LEN(SUBSTITUTE(A241,{"0","1","2"},"")))))))), 1)) * ROW(INDIRECT("1:"&amp;LEN((LEFT(A241,SUM(LEN(A241)-LEN(SUBSTITUTE(A241,{"0","1","2"},"")))))))), 0), ROW(INDIRECT("1:"&amp;LEN((LEFT(A241,SUM(LEN(A241)-LEN(SUBSTITUTE(A241,{"0","1","2"},"")))))))))+1, 1) * 10^ROW(INDIRECT("1:"&amp;LEN((LEFT(A241,SUM(LEN(A241)-LEN(SUBSTITUTE(A241,{"0","1","2"},""))))))))/10))*1+1&amp;""&amp;" to "&amp;""&amp;(SUMPRODUCT(MID(0&amp;(--TRIM(RIGHT(SUBSTITUTE(LEFT(A241,_xlfn.AGGREGATE(16,6,FIND({0,1,2,3,4,5,6,7,8,9},A241,ROW(INDIRECT("1:"&amp;LEN(A241)))),1))," ",REPT(" ",LEN(A241))),LEN(A241)))), LARGE(INDEX(ISNUMBER(--MID((--TRIM(RIGHT(SUBSTITUTE(LEFT(A241,_xlfn.AGGREGATE(16,6,FIND({0,1,2,3,4,5,6,7,8,9},A241,ROW(INDIRECT("1:"&amp;LEN(A241)))),1))," ",REPT(" ",LEN(A241))),LEN(A241)))), ROW(INDIRECT("1:"&amp;LEN((--TRIM(RIGHT(SUBSTITUTE(LEFT(A241,_xlfn.AGGREGATE(16,6,FIND({0,1,2,3,4,5,6,7,8,9},A241,ROW(INDIRECT("1:"&amp;LEN(A241)))),1))," ",REPT(" ",LEN(A241))),LEN(A241))))))), 1)) * ROW(INDIRECT("1:"&amp;LEN((--TRIM(RIGHT(SUBSTITUTE(LEFT(A241,_xlfn.AGGREGATE(16,6,FIND({0,1,2,3,4,5,6,7,8,9},A241,ROW(INDIRECT("1:"&amp;LEN(A241)))),1))," ",REPT(" ",LEN(A241))),LEN(A241))))))), 0), ROW(INDIRECT("1:"&amp;LEN((--TRIM(RIGHT(SUBSTITUTE(LEFT(A241,_xlfn.AGGREGATE(16,6,FIND({0,1,2,3,4,5,6,7,8,9},A241,ROW(INDIRECT("1:"&amp;LEN(A241)))),1))," ",REPT(" ",LEN(A241))),LEN(A241))))))))+1, 1) * 10^ROW(INDIRECT("1:"&amp;LEN((--TRIM(RIGHT(SUBSTITUTE(LEFT(A241,_xlfn.AGGREGATE(16,6,FIND({0,1,2,3,4,5,6,7,8,9},A241,ROW(INDIRECT("1:"&amp;LEN(A241)))),1))," ",REPT(" ",LEN(A241))),LEN(A241)))))))/10))*1+1</f>
        <v>202 to 502</v>
      </c>
      <c r="B242" s="118"/>
      <c r="C242" s="42"/>
      <c r="D242" s="42"/>
      <c r="E242" s="54">
        <v>0</v>
      </c>
      <c r="F242" s="54">
        <f>D242+E242</f>
        <v>0</v>
      </c>
      <c r="G242" s="54">
        <v>0</v>
      </c>
      <c r="H242" s="54">
        <f>F242*(($H$176)+1)+(IF(G242&lt;101,G242,IF(G242&lt;201,G242/2,IF(G242&lt;=301,G242/3,G242/4))))</f>
        <v>0</v>
      </c>
      <c r="I242" s="36"/>
    </row>
    <row r="243" spans="1:20" s="37" customFormat="1" ht="15.75" hidden="1" customHeight="1" x14ac:dyDescent="0.25">
      <c r="A243" s="117" t="str">
        <f ca="1">(SUMPRODUCT(MID(0&amp;(LEFT(A242,SUM(LEN(A242)-LEN(SUBSTITUTE(A242,{"0","1","2"},""))))), LARGE(INDEX(ISNUMBER(--MID((LEFT(A242,SUM(LEN(A242)-LEN(SUBSTITUTE(A242,{"0","1","2"},""))))), ROW(INDIRECT("1:"&amp;LEN((LEFT(A242,SUM(LEN(A242)-LEN(SUBSTITUTE(A242,{"0","1","2"},"")))))))), 1)) * ROW(INDIRECT("1:"&amp;LEN((LEFT(A242,SUM(LEN(A242)-LEN(SUBSTITUTE(A242,{"0","1","2"},"")))))))), 0), ROW(INDIRECT("1:"&amp;LEN((LEFT(A242,SUM(LEN(A242)-LEN(SUBSTITUTE(A242,{"0","1","2"},"")))))))))+1, 1) * 10^ROW(INDIRECT("1:"&amp;LEN((LEFT(A242,SUM(LEN(A242)-LEN(SUBSTITUTE(A242,{"0","1","2"},""))))))))/10))*1+1&amp;""&amp;" to "&amp;""&amp;(SUMPRODUCT(MID(0&amp;(--TRIM(RIGHT(SUBSTITUTE(LEFT(A242,_xlfn.AGGREGATE(16,6,FIND({0,1,2,3,4,5,6,7,8,9},A242,ROW(INDIRECT("1:"&amp;LEN(A242)))),1))," ",REPT(" ",LEN(A242))),LEN(A242)))), LARGE(INDEX(ISNUMBER(--MID((--TRIM(RIGHT(SUBSTITUTE(LEFT(A242,_xlfn.AGGREGATE(16,6,FIND({0,1,2,3,4,5,6,7,8,9},A242,ROW(INDIRECT("1:"&amp;LEN(A242)))),1))," ",REPT(" ",LEN(A242))),LEN(A242)))), ROW(INDIRECT("1:"&amp;LEN((--TRIM(RIGHT(SUBSTITUTE(LEFT(A242,_xlfn.AGGREGATE(16,6,FIND({0,1,2,3,4,5,6,7,8,9},A242,ROW(INDIRECT("1:"&amp;LEN(A242)))),1))," ",REPT(" ",LEN(A242))),LEN(A242))))))), 1)) * ROW(INDIRECT("1:"&amp;LEN((--TRIM(RIGHT(SUBSTITUTE(LEFT(A242,_xlfn.AGGREGATE(16,6,FIND({0,1,2,3,4,5,6,7,8,9},A242,ROW(INDIRECT("1:"&amp;LEN(A242)))),1))," ",REPT(" ",LEN(A242))),LEN(A242))))))), 0), ROW(INDIRECT("1:"&amp;LEN((--TRIM(RIGHT(SUBSTITUTE(LEFT(A242,_xlfn.AGGREGATE(16,6,FIND({0,1,2,3,4,5,6,7,8,9},A242,ROW(INDIRECT("1:"&amp;LEN(A242)))),1))," ",REPT(" ",LEN(A242))),LEN(A242))))))))+1, 1) * 10^ROW(INDIRECT("1:"&amp;LEN((--TRIM(RIGHT(SUBSTITUTE(LEFT(A242,_xlfn.AGGREGATE(16,6,FIND({0,1,2,3,4,5,6,7,8,9},A242,ROW(INDIRECT("1:"&amp;LEN(A242)))),1))," ",REPT(" ",LEN(A242))),LEN(A242)))))))/10))*1+1</f>
        <v>203 to 503</v>
      </c>
      <c r="B243" s="118"/>
      <c r="C243" s="42"/>
      <c r="D243" s="42"/>
      <c r="E243" s="54">
        <v>0</v>
      </c>
      <c r="F243" s="54">
        <f>D243+E243</f>
        <v>0</v>
      </c>
      <c r="G243" s="54">
        <v>0</v>
      </c>
      <c r="H243" s="54">
        <f>F243*(($H$176)+1)+(IF(G243&lt;101,G243,IF(G243&lt;201,G243/2,IF(G243&lt;=301,G243/3,G243/4))))</f>
        <v>0</v>
      </c>
      <c r="I243" s="36"/>
    </row>
    <row r="244" spans="1:20" s="37" customFormat="1" ht="15.75" hidden="1" customHeight="1" x14ac:dyDescent="0.25">
      <c r="A244" s="117" t="str">
        <f ca="1">(SUMPRODUCT(MID(0&amp;(LEFT(A243,SUM(LEN(A243)-LEN(SUBSTITUTE(A243,{"0","1","2"},""))))), LARGE(INDEX(ISNUMBER(--MID((LEFT(A243,SUM(LEN(A243)-LEN(SUBSTITUTE(A243,{"0","1","2"},""))))), ROW(INDIRECT("1:"&amp;LEN((LEFT(A243,SUM(LEN(A243)-LEN(SUBSTITUTE(A243,{"0","1","2"},"")))))))), 1)) * ROW(INDIRECT("1:"&amp;LEN((LEFT(A243,SUM(LEN(A243)-LEN(SUBSTITUTE(A243,{"0","1","2"},"")))))))), 0), ROW(INDIRECT("1:"&amp;LEN((LEFT(A243,SUM(LEN(A243)-LEN(SUBSTITUTE(A243,{"0","1","2"},"")))))))))+1, 1) * 10^ROW(INDIRECT("1:"&amp;LEN((LEFT(A243,SUM(LEN(A243)-LEN(SUBSTITUTE(A243,{"0","1","2"},""))))))))/10))*1+1&amp;""&amp;" to "&amp;""&amp;(SUMPRODUCT(MID(0&amp;(--TRIM(RIGHT(SUBSTITUTE(LEFT(A243,_xlfn.AGGREGATE(16,6,FIND({0,1,2,3,4,5,6,7,8,9},A243,ROW(INDIRECT("1:"&amp;LEN(A243)))),1)),"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",LEN(A243))),LEN(A243)))))))/10))*1+1</f>
        <v>204 to 504</v>
      </c>
      <c r="B244" s="118"/>
      <c r="C244" s="42"/>
      <c r="D244" s="42"/>
      <c r="E244" s="54">
        <v>0</v>
      </c>
      <c r="F244" s="54">
        <f>D244+E244</f>
        <v>0</v>
      </c>
      <c r="G244" s="54">
        <v>0</v>
      </c>
      <c r="H244" s="54">
        <f>F244*(($H$176)+1)+(IF(G244&lt;101,G244,IF(G244&lt;201,G244/2,IF(G244&lt;=301,G244/3,G244/4))))</f>
        <v>0</v>
      </c>
      <c r="I244" s="36"/>
    </row>
    <row r="245" spans="1:20" s="37" customFormat="1" ht="15.75" hidden="1" customHeight="1" x14ac:dyDescent="0.25">
      <c r="A245" s="117" t="str">
        <f ca="1">(SUMPRODUCT(MID(0&amp;(LEFT(A244,SUM(LEN(A244)-LEN(SUBSTITUTE(A244,{"0","1","2"},""))))), LARGE(INDEX(ISNUMBER(--MID((LEFT(A244,SUM(LEN(A244)-LEN(SUBSTITUTE(A244,{"0","1","2"},""))))), ROW(INDIRECT("1:"&amp;LEN((LEFT(A244,SUM(LEN(A244)-LEN(SUBSTITUTE(A244,{"0","1","2"},"")))))))), 1)) * ROW(INDIRECT("1:"&amp;LEN((LEFT(A244,SUM(LEN(A244)-LEN(SUBSTITUTE(A244,{"0","1","2"},"")))))))), 0), ROW(INDIRECT("1:"&amp;LEN((LEFT(A244,SUM(LEN(A244)-LEN(SUBSTITUTE(A244,{"0","1","2"},"")))))))))+1, 1) * 10^ROW(INDIRECT("1:"&amp;LEN((LEFT(A244,SUM(LEN(A244)-LEN(SUBSTITUTE(A244,{"0","1","2"},""))))))))/10))*1+1&amp;""&amp;" to "&amp;""&amp;(SUMPRODUCT(MID(0&amp;(--TRIM(RIGHT(SUBSTITUTE(LEFT(A244,_xlfn.AGGREGATE(16,6,FIND({0,1,2,3,4,5,6,7,8,9},A244,ROW(INDIRECT("1:"&amp;LEN(A244)))),1))," ",REPT(" ",LEN(A244))),LEN(A244)))), LARGE(INDEX(ISNUMBER(--MID((--TRIM(RIGHT(SUBSTITUTE(LEFT(A244,_xlfn.AGGREGATE(16,6,FIND({0,1,2,3,4,5,6,7,8,9},A244,ROW(INDIRECT("1:"&amp;LEN(A244)))),1))," ",REPT(" ",LEN(A244))),LEN(A244)))), ROW(INDIRECT("1:"&amp;LEN((--TRIM(RIGHT(SUBSTITUTE(LEFT(A244,_xlfn.AGGREGATE(16,6,FIND({0,1,2,3,4,5,6,7,8,9},A244,ROW(INDIRECT("1:"&amp;LEN(A244)))),1))," ",REPT(" ",LEN(A244))),LEN(A244))))))), 1)) * ROW(INDIRECT("1:"&amp;LEN((--TRIM(RIGHT(SUBSTITUTE(LEFT(A244,_xlfn.AGGREGATE(16,6,FIND({0,1,2,3,4,5,6,7,8,9},A244,ROW(INDIRECT("1:"&amp;LEN(A244)))),1))," ",REPT(" ",LEN(A244))),LEN(A244))))))), 0), ROW(INDIRECT("1:"&amp;LEN((--TRIM(RIGHT(SUBSTITUTE(LEFT(A244,_xlfn.AGGREGATE(16,6,FIND({0,1,2,3,4,5,6,7,8,9},A244,ROW(INDIRECT("1:"&amp;LEN(A244)))),1))," ",REPT(" ",LEN(A244))),LEN(A244))))))))+1, 1) * 10^ROW(INDIRECT("1:"&amp;LEN((--TRIM(RIGHT(SUBSTITUTE(LEFT(A244,_xlfn.AGGREGATE(16,6,FIND({0,1,2,3,4,5,6,7,8,9},A244,ROW(INDIRECT("1:"&amp;LEN(A244)))),1))," ",REPT(" ",LEN(A244))),LEN(A244)))))))/10))*1+1</f>
        <v>205 to 505</v>
      </c>
      <c r="B245" s="118"/>
      <c r="C245" s="42"/>
      <c r="D245" s="42"/>
      <c r="E245" s="54">
        <v>0</v>
      </c>
      <c r="F245" s="54">
        <f>D245+E245</f>
        <v>0</v>
      </c>
      <c r="G245" s="54">
        <v>0</v>
      </c>
      <c r="H245" s="54">
        <f>F245*(($H$176)+1)+(IF(G245&lt;101,G245,IF(G245&lt;201,G245/2,IF(G245&lt;=301,G245/3,G245/4))))</f>
        <v>0</v>
      </c>
      <c r="I245" s="36"/>
    </row>
    <row r="246" spans="1:20" s="37" customFormat="1" hidden="1" x14ac:dyDescent="0.25">
      <c r="A246" s="133" t="s">
        <v>144</v>
      </c>
      <c r="B246" s="134"/>
      <c r="C246" s="134"/>
      <c r="D246" s="134"/>
      <c r="E246" s="134"/>
      <c r="F246" s="134"/>
      <c r="G246" s="134"/>
      <c r="H246" s="135"/>
      <c r="I246" s="36"/>
    </row>
    <row r="247" spans="1:20" s="37" customFormat="1" ht="15.75" hidden="1" customHeight="1" x14ac:dyDescent="0.25">
      <c r="A247" s="117" t="str">
        <f ca="1">(SUMPRODUCT(MID(0&amp;(LEFT(A246,SUM(LEN(A246)-LEN(SUBSTITUTE(A246,{"0","1","2"},""))))), LARGE(INDEX(ISNUMBER(--MID((LEFT(A246,SUM(LEN(A246)-LEN(SUBSTITUTE(A246,{"0","1","2"},""))))), ROW(INDIRECT("1:"&amp;LEN((LEFT(A246,SUM(LEN(A246)-LEN(SUBSTITUTE(A246,{"0","1","2"},"")))))))), 1)) * ROW(INDIRECT("1:"&amp;LEN((LEFT(A246,SUM(LEN(A246)-LEN(SUBSTITUTE(A246,{"0","1","2"},"")))))))), 0), ROW(INDIRECT("1:"&amp;LEN((LEFT(A246,SUM(LEN(A246)-LEN(SUBSTITUTE(A246,{"0","1","2"},"")))))))))+1, 1) * 10^ROW(INDIRECT("1:"&amp;LEN((LEFT(A246,SUM(LEN(A246)-LEN(SUBSTITUTE(A246,{"0","1","2"},""))))))))/10))*100+1&amp;""&amp;" &amp; "&amp;""&amp;(SUMPRODUCT(MID(0&amp;(--TRIM(RIGHT(SUBSTITUTE(LEFT(A246,_xlfn.AGGREGATE(16,6,FIND({0,1,2,3,4,5,6,7,8,9},A246,ROW(INDIRECT("1:"&amp;LEN(A246)))),1)),"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",LEN(A246))),LEN(A246)))))))/10))*100+1</f>
        <v>201 &amp; 501</v>
      </c>
      <c r="B247" s="118"/>
      <c r="C247" s="42"/>
      <c r="D247" s="42"/>
      <c r="E247" s="54">
        <v>0</v>
      </c>
      <c r="F247" s="54">
        <f>D247+E247</f>
        <v>0</v>
      </c>
      <c r="G247" s="54">
        <v>0</v>
      </c>
      <c r="H247" s="54">
        <f>F247*(($H$176)+1)+(IF(G247&lt;101,G247,IF(G247&lt;201,G247/2,IF(G247&lt;=301,G247/3,G247/4))))</f>
        <v>0</v>
      </c>
      <c r="I247" s="36"/>
    </row>
    <row r="248" spans="1:20" s="37" customFormat="1" ht="15.75" hidden="1" customHeight="1" x14ac:dyDescent="0.25">
      <c r="A248" s="117" t="str">
        <f ca="1">(SUMPRODUCT(MID(0&amp;(LEFT(A247,SUM(LEN(A247)-LEN(SUBSTITUTE(A247,{"0","1","2"},""))))), LARGE(INDEX(ISNUMBER(--MID((LEFT(A247,SUM(LEN(A247)-LEN(SUBSTITUTE(A247,{"0","1","2"},""))))), ROW(INDIRECT("1:"&amp;LEN((LEFT(A247,SUM(LEN(A247)-LEN(SUBSTITUTE(A247,{"0","1","2"},"")))))))), 1)) * ROW(INDIRECT("1:"&amp;LEN((LEFT(A247,SUM(LEN(A247)-LEN(SUBSTITUTE(A247,{"0","1","2"},"")))))))), 0), ROW(INDIRECT("1:"&amp;LEN((LEFT(A247,SUM(LEN(A247)-LEN(SUBSTITUTE(A247,{"0","1","2"},"")))))))))+1, 1) * 10^ROW(INDIRECT("1:"&amp;LEN((LEFT(A247,SUM(LEN(A247)-LEN(SUBSTITUTE(A247,{"0","1","2"},""))))))))/10))*1+1&amp;""&amp;" &amp; "&amp;""&amp;(SUMPRODUCT(MID(0&amp;(--TRIM(RIGHT(SUBSTITUTE(LEFT(A247,_xlfn.AGGREGATE(16,6,FIND({0,1,2,3,4,5,6,7,8,9},A247,ROW(INDIRECT("1:"&amp;LEN(A247)))),1))," ",REPT(" ",LEN(A247))),LEN(A247)))), LARGE(INDEX(ISNUMBER(--MID((--TRIM(RIGHT(SUBSTITUTE(LEFT(A247,_xlfn.AGGREGATE(16,6,FIND({0,1,2,3,4,5,6,7,8,9},A247,ROW(INDIRECT("1:"&amp;LEN(A247)))),1))," ",REPT(" ",LEN(A247))),LEN(A247)))), ROW(INDIRECT("1:"&amp;LEN((--TRIM(RIGHT(SUBSTITUTE(LEFT(A247,_xlfn.AGGREGATE(16,6,FIND({0,1,2,3,4,5,6,7,8,9},A247,ROW(INDIRECT("1:"&amp;LEN(A247)))),1))," ",REPT(" ",LEN(A247))),LEN(A247))))))), 1)) * ROW(INDIRECT("1:"&amp;LEN((--TRIM(RIGHT(SUBSTITUTE(LEFT(A247,_xlfn.AGGREGATE(16,6,FIND({0,1,2,3,4,5,6,7,8,9},A247,ROW(INDIRECT("1:"&amp;LEN(A247)))),1))," ",REPT(" ",LEN(A247))),LEN(A247))))))), 0), ROW(INDIRECT("1:"&amp;LEN((--TRIM(RIGHT(SUBSTITUTE(LEFT(A247,_xlfn.AGGREGATE(16,6,FIND({0,1,2,3,4,5,6,7,8,9},A247,ROW(INDIRECT("1:"&amp;LEN(A247)))),1))," ",REPT(" ",LEN(A247))),LEN(A247))))))))+1, 1) * 10^ROW(INDIRECT("1:"&amp;LEN((--TRIM(RIGHT(SUBSTITUTE(LEFT(A247,_xlfn.AGGREGATE(16,6,FIND({0,1,2,3,4,5,6,7,8,9},A247,ROW(INDIRECT("1:"&amp;LEN(A247)))),1))," ",REPT(" ",LEN(A247))),LEN(A247)))))))/10))*1+1</f>
        <v>202 &amp; 502</v>
      </c>
      <c r="B248" s="118"/>
      <c r="C248" s="42"/>
      <c r="D248" s="42"/>
      <c r="E248" s="54">
        <v>0</v>
      </c>
      <c r="F248" s="54">
        <f>D248+E248</f>
        <v>0</v>
      </c>
      <c r="G248" s="54">
        <v>0</v>
      </c>
      <c r="H248" s="54">
        <f>F248*(($H$176)+1)+(IF(G248&lt;101,G248,IF(G248&lt;201,G248/2,IF(G248&lt;=301,G248/3,G248/4))))</f>
        <v>0</v>
      </c>
      <c r="I248" s="36"/>
    </row>
    <row r="249" spans="1:20" s="37" customFormat="1" ht="15.75" hidden="1" customHeight="1" x14ac:dyDescent="0.25">
      <c r="A249" s="117" t="str">
        <f ca="1">(SUMPRODUCT(MID(0&amp;(LEFT(A248,SUM(LEN(A248)-LEN(SUBSTITUTE(A248,{"0","1","2"},""))))), LARGE(INDEX(ISNUMBER(--MID((LEFT(A248,SUM(LEN(A248)-LEN(SUBSTITUTE(A248,{"0","1","2"},""))))), ROW(INDIRECT("1:"&amp;LEN((LEFT(A248,SUM(LEN(A248)-LEN(SUBSTITUTE(A248,{"0","1","2"},"")))))))), 1)) * ROW(INDIRECT("1:"&amp;LEN((LEFT(A248,SUM(LEN(A248)-LEN(SUBSTITUTE(A248,{"0","1","2"},"")))))))), 0), ROW(INDIRECT("1:"&amp;LEN((LEFT(A248,SUM(LEN(A248)-LEN(SUBSTITUTE(A248,{"0","1","2"},"")))))))))+1, 1) * 10^ROW(INDIRECT("1:"&amp;LEN((LEFT(A248,SUM(LEN(A248)-LEN(SUBSTITUTE(A248,{"0","1","2"},""))))))))/10))*1+1&amp;""&amp;" &amp; "&amp;""&amp;(SUMPRODUCT(MID(0&amp;(--TRIM(RIGHT(SUBSTITUTE(LEFT(A248,_xlfn.AGGREGATE(16,6,FIND({0,1,2,3,4,5,6,7,8,9},A248,ROW(INDIRECT("1:"&amp;LEN(A248)))),1)),"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",LEN(A248))),LEN(A248)))))))/10))*1+1</f>
        <v>203 &amp; 503</v>
      </c>
      <c r="B249" s="118"/>
      <c r="C249" s="42"/>
      <c r="D249" s="42"/>
      <c r="E249" s="54">
        <v>0</v>
      </c>
      <c r="F249" s="54">
        <f>D249+E249</f>
        <v>0</v>
      </c>
      <c r="G249" s="54">
        <v>0</v>
      </c>
      <c r="H249" s="54">
        <f>F249*(($H$176)+1)+(IF(G249&lt;101,G249,IF(G249&lt;201,G249/2,IF(G249&lt;=301,G249/3,G249/4))))</f>
        <v>0</v>
      </c>
      <c r="I249" s="36"/>
    </row>
    <row r="250" spans="1:20" s="37" customFormat="1" ht="15.75" hidden="1" customHeight="1" x14ac:dyDescent="0.25">
      <c r="A250" s="117" t="str">
        <f ca="1">(SUMPRODUCT(MID(0&amp;(LEFT(A249,SUM(LEN(A249)-LEN(SUBSTITUTE(A249,{"0","1","2"},""))))), LARGE(INDEX(ISNUMBER(--MID((LEFT(A249,SUM(LEN(A249)-LEN(SUBSTITUTE(A249,{"0","1","2"},""))))), ROW(INDIRECT("1:"&amp;LEN((LEFT(A249,SUM(LEN(A249)-LEN(SUBSTITUTE(A249,{"0","1","2"},"")))))))), 1)) * ROW(INDIRECT("1:"&amp;LEN((LEFT(A249,SUM(LEN(A249)-LEN(SUBSTITUTE(A249,{"0","1","2"},"")))))))), 0), ROW(INDIRECT("1:"&amp;LEN((LEFT(A249,SUM(LEN(A249)-LEN(SUBSTITUTE(A249,{"0","1","2"},"")))))))))+1, 1) * 10^ROW(INDIRECT("1:"&amp;LEN((LEFT(A249,SUM(LEN(A249)-LEN(SUBSTITUTE(A249,{"0","1","2"},""))))))))/10))*1+1&amp;""&amp;" &amp; "&amp;""&amp;(SUMPRODUCT(MID(0&amp;(--TRIM(RIGHT(SUBSTITUTE(LEFT(A249,_xlfn.AGGREGATE(16,6,FIND({0,1,2,3,4,5,6,7,8,9},A249,ROW(INDIRECT("1:"&amp;LEN(A249)))),1))," ",REPT(" ",LEN(A249))),LEN(A249)))), LARGE(INDEX(ISNUMBER(--MID((--TRIM(RIGHT(SUBSTITUTE(LEFT(A249,_xlfn.AGGREGATE(16,6,FIND({0,1,2,3,4,5,6,7,8,9},A249,ROW(INDIRECT("1:"&amp;LEN(A249)))),1))," ",REPT(" ",LEN(A249))),LEN(A249)))), ROW(INDIRECT("1:"&amp;LEN((--TRIM(RIGHT(SUBSTITUTE(LEFT(A249,_xlfn.AGGREGATE(16,6,FIND({0,1,2,3,4,5,6,7,8,9},A249,ROW(INDIRECT("1:"&amp;LEN(A249)))),1))," ",REPT(" ",LEN(A249))),LEN(A249))))))), 1)) * ROW(INDIRECT("1:"&amp;LEN((--TRIM(RIGHT(SUBSTITUTE(LEFT(A249,_xlfn.AGGREGATE(16,6,FIND({0,1,2,3,4,5,6,7,8,9},A249,ROW(INDIRECT("1:"&amp;LEN(A249)))),1))," ",REPT(" ",LEN(A249))),LEN(A249))))))), 0), ROW(INDIRECT("1:"&amp;LEN((--TRIM(RIGHT(SUBSTITUTE(LEFT(A249,_xlfn.AGGREGATE(16,6,FIND({0,1,2,3,4,5,6,7,8,9},A249,ROW(INDIRECT("1:"&amp;LEN(A249)))),1))," ",REPT(" ",LEN(A249))),LEN(A249))))))))+1, 1) * 10^ROW(INDIRECT("1:"&amp;LEN((--TRIM(RIGHT(SUBSTITUTE(LEFT(A249,_xlfn.AGGREGATE(16,6,FIND({0,1,2,3,4,5,6,7,8,9},A249,ROW(INDIRECT("1:"&amp;LEN(A249)))),1))," ",REPT(" ",LEN(A249))),LEN(A249)))))))/10))*1+1</f>
        <v>204 &amp; 504</v>
      </c>
      <c r="B250" s="118"/>
      <c r="C250" s="42"/>
      <c r="D250" s="42"/>
      <c r="E250" s="54">
        <v>0</v>
      </c>
      <c r="F250" s="54">
        <f>D250+E250</f>
        <v>0</v>
      </c>
      <c r="G250" s="54">
        <v>0</v>
      </c>
      <c r="H250" s="54">
        <f>F250*(($H$176)+1)+(IF(G250&lt;101,G250,IF(G250&lt;201,G250/2,IF(G250&lt;=301,G250/3,G250/4))))</f>
        <v>0</v>
      </c>
      <c r="I250" s="36"/>
    </row>
    <row r="251" spans="1:20" s="37" customFormat="1" ht="15.75" hidden="1" customHeight="1" x14ac:dyDescent="0.25">
      <c r="A251" s="117" t="str">
        <f ca="1">(SUMPRODUCT(MID(0&amp;(LEFT(A250,SUM(LEN(A250)-LEN(SUBSTITUTE(A250,{"0","1","2"},""))))), LARGE(INDEX(ISNUMBER(--MID((LEFT(A250,SUM(LEN(A250)-LEN(SUBSTITUTE(A250,{"0","1","2"},""))))), ROW(INDIRECT("1:"&amp;LEN((LEFT(A250,SUM(LEN(A250)-LEN(SUBSTITUTE(A250,{"0","1","2"},"")))))))), 1)) * ROW(INDIRECT("1:"&amp;LEN((LEFT(A250,SUM(LEN(A250)-LEN(SUBSTITUTE(A250,{"0","1","2"},"")))))))), 0), ROW(INDIRECT("1:"&amp;LEN((LEFT(A250,SUM(LEN(A250)-LEN(SUBSTITUTE(A250,{"0","1","2"},"")))))))))+1, 1) * 10^ROW(INDIRECT("1:"&amp;LEN((LEFT(A250,SUM(LEN(A250)-LEN(SUBSTITUTE(A250,{"0","1","2"},""))))))))/10))*1+1&amp;""&amp;" &amp; "&amp;""&amp;(SUMPRODUCT(MID(0&amp;(--TRIM(RIGHT(SUBSTITUTE(LEFT(A250,_xlfn.AGGREGATE(16,6,FIND({0,1,2,3,4,5,6,7,8,9},A250,ROW(INDIRECT("1:"&amp;LEN(A250)))),1)),"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",LEN(A250))),LEN(A250)))))))/10))*1+1</f>
        <v>205 &amp; 505</v>
      </c>
      <c r="B251" s="118"/>
      <c r="C251" s="42"/>
      <c r="D251" s="42"/>
      <c r="E251" s="54">
        <v>0</v>
      </c>
      <c r="F251" s="54">
        <f>D251+E251</f>
        <v>0</v>
      </c>
      <c r="G251" s="54">
        <v>0</v>
      </c>
      <c r="H251" s="54">
        <f>F251*(($H$176)+1)+(IF(G251&lt;101,G251,IF(G251&lt;201,G251/2,IF(G251&lt;=301,G251/3,G251/4))))</f>
        <v>0</v>
      </c>
      <c r="I251" s="36"/>
    </row>
    <row r="252" spans="1:20" s="35" customFormat="1" x14ac:dyDescent="0.25">
      <c r="A252" s="289" t="s">
        <v>65</v>
      </c>
      <c r="B252" s="289"/>
      <c r="C252" s="289"/>
      <c r="D252" s="289"/>
      <c r="E252" s="289"/>
      <c r="F252" s="289"/>
      <c r="G252" s="289"/>
      <c r="H252" s="289"/>
      <c r="T252" s="37"/>
    </row>
    <row r="253" spans="1:20" s="35" customFormat="1" x14ac:dyDescent="0.25">
      <c r="A253" s="102" t="s">
        <v>153</v>
      </c>
      <c r="B253" s="142" t="s">
        <v>419</v>
      </c>
      <c r="C253" s="143"/>
      <c r="D253" s="143"/>
      <c r="E253" s="143"/>
      <c r="F253" s="143"/>
      <c r="G253" s="143"/>
      <c r="H253" s="144"/>
      <c r="T253" s="37"/>
    </row>
    <row r="254" spans="1:20" s="35" customFormat="1" x14ac:dyDescent="0.25">
      <c r="A254" s="102" t="s">
        <v>153</v>
      </c>
      <c r="B254" s="142" t="str">
        <f>(IF(H175="Saleable area Loading :","We have considered Saleable area of Flats as per our Calculation.","We considered Saleable area of Flat as per Builder area Sheet."))</f>
        <v>We have considered Saleable area of Flats as per our Calculation.</v>
      </c>
      <c r="C254" s="143"/>
      <c r="D254" s="143"/>
      <c r="E254" s="143"/>
      <c r="F254" s="143"/>
      <c r="G254" s="143"/>
      <c r="H254" s="144"/>
      <c r="T254" s="37"/>
    </row>
    <row r="255" spans="1:20" s="35" customFormat="1" x14ac:dyDescent="0.25">
      <c r="A255" s="102" t="s">
        <v>153</v>
      </c>
      <c r="B255" s="142" t="str">
        <f>(IF(H156="Saleable area Loading :","We have considered Saleable area of Commercial as per our Calculation.","We considered Saleable area of Commercial as per Builder area Sheet."))</f>
        <v>We have considered Saleable area of Commercial as per our Calculation.</v>
      </c>
      <c r="C255" s="143"/>
      <c r="D255" s="143"/>
      <c r="E255" s="143"/>
      <c r="F255" s="143"/>
      <c r="G255" s="143"/>
      <c r="H255" s="144"/>
      <c r="T255" s="37"/>
    </row>
    <row r="256" spans="1:20" s="35" customFormat="1" x14ac:dyDescent="0.25">
      <c r="A256" s="44" t="s">
        <v>153</v>
      </c>
      <c r="B256" s="136" t="s">
        <v>120</v>
      </c>
      <c r="C256" s="137"/>
      <c r="D256" s="137"/>
      <c r="E256" s="137"/>
      <c r="F256" s="137"/>
      <c r="G256" s="137"/>
      <c r="H256" s="138"/>
      <c r="T256" s="37"/>
    </row>
    <row r="257" spans="1:20" s="35" customFormat="1" x14ac:dyDescent="0.25">
      <c r="A257" s="44" t="s">
        <v>153</v>
      </c>
      <c r="B257" s="142" t="s">
        <v>392</v>
      </c>
      <c r="C257" s="143"/>
      <c r="D257" s="143"/>
      <c r="E257" s="143"/>
      <c r="F257" s="143"/>
      <c r="G257" s="143"/>
      <c r="H257" s="144"/>
      <c r="T257" s="37"/>
    </row>
    <row r="258" spans="1:20" s="35" customFormat="1" x14ac:dyDescent="0.25">
      <c r="A258" s="44" t="s">
        <v>153</v>
      </c>
      <c r="B258" s="136" t="s">
        <v>152</v>
      </c>
      <c r="C258" s="137"/>
      <c r="D258" s="137"/>
      <c r="E258" s="137"/>
      <c r="F258" s="137"/>
      <c r="G258" s="137"/>
      <c r="H258" s="138"/>
    </row>
    <row r="259" spans="1:20" s="35" customFormat="1" x14ac:dyDescent="0.25">
      <c r="A259" s="44" t="s">
        <v>153</v>
      </c>
      <c r="B259" s="136" t="s">
        <v>121</v>
      </c>
      <c r="C259" s="137"/>
      <c r="D259" s="137"/>
      <c r="E259" s="137"/>
      <c r="F259" s="137"/>
      <c r="G259" s="137"/>
      <c r="H259" s="138"/>
    </row>
    <row r="260" spans="1:20" s="35" customFormat="1" ht="34.5" customHeight="1" x14ac:dyDescent="0.25">
      <c r="A260" s="44" t="s">
        <v>153</v>
      </c>
      <c r="B260" s="142" t="s">
        <v>154</v>
      </c>
      <c r="C260" s="143"/>
      <c r="D260" s="143"/>
      <c r="E260" s="143"/>
      <c r="F260" s="143"/>
      <c r="G260" s="143"/>
      <c r="H260" s="144"/>
    </row>
    <row r="261" spans="1:20" s="35" customFormat="1" x14ac:dyDescent="0.25">
      <c r="A261" s="109" t="s">
        <v>153</v>
      </c>
      <c r="B261" s="136" t="s">
        <v>122</v>
      </c>
      <c r="C261" s="137"/>
      <c r="D261" s="137"/>
      <c r="E261" s="137"/>
      <c r="F261" s="137"/>
      <c r="G261" s="137"/>
      <c r="H261" s="138"/>
    </row>
    <row r="262" spans="1:20" s="35" customFormat="1" ht="31.5" customHeight="1" x14ac:dyDescent="0.25">
      <c r="A262" s="44" t="s">
        <v>153</v>
      </c>
      <c r="B262" s="136" t="s">
        <v>414</v>
      </c>
      <c r="C262" s="137"/>
      <c r="D262" s="137"/>
      <c r="E262" s="137"/>
      <c r="F262" s="137"/>
      <c r="G262" s="137"/>
      <c r="H262" s="138"/>
    </row>
    <row r="263" spans="1:20" s="35" customFormat="1" ht="32.25" hidden="1" customHeight="1" x14ac:dyDescent="0.25">
      <c r="A263" s="51" t="s">
        <v>153</v>
      </c>
      <c r="B263" s="139" t="s">
        <v>180</v>
      </c>
      <c r="C263" s="140"/>
      <c r="D263" s="140"/>
      <c r="E263" s="140"/>
      <c r="F263" s="140"/>
      <c r="G263" s="140"/>
      <c r="H263" s="141"/>
    </row>
    <row r="264" spans="1:20" s="35" customFormat="1" ht="38.25" hidden="1" customHeight="1" x14ac:dyDescent="0.25">
      <c r="A264" s="55" t="s">
        <v>153</v>
      </c>
      <c r="B264" s="139" t="s">
        <v>353</v>
      </c>
      <c r="C264" s="140"/>
      <c r="D264" s="140"/>
      <c r="E264" s="140"/>
      <c r="F264" s="140"/>
      <c r="G264" s="140"/>
      <c r="H264" s="141"/>
    </row>
    <row r="265" spans="1:20" s="35" customFormat="1" hidden="1" x14ac:dyDescent="0.25">
      <c r="A265" s="85" t="s">
        <v>153</v>
      </c>
      <c r="B265" s="139" t="s">
        <v>355</v>
      </c>
      <c r="C265" s="140"/>
      <c r="D265" s="140"/>
      <c r="E265" s="140"/>
      <c r="F265" s="140"/>
      <c r="G265" s="140"/>
      <c r="H265" s="141"/>
    </row>
    <row r="266" spans="1:20" s="35" customFormat="1" hidden="1" x14ac:dyDescent="0.25">
      <c r="A266" s="85" t="s">
        <v>153</v>
      </c>
      <c r="B266" s="139" t="str">
        <f ca="1">IF(G52&gt;EDATE(E3,-48),"NO REMARK FOR CC","REMARK FOR CC")</f>
        <v>NO REMARK FOR CC</v>
      </c>
      <c r="C266" s="140"/>
      <c r="D266" s="140"/>
      <c r="E266" s="140"/>
      <c r="F266" s="140"/>
      <c r="G266" s="140"/>
      <c r="H266" s="141"/>
    </row>
    <row r="267" spans="1:20" s="35" customFormat="1" ht="81.75" hidden="1" customHeight="1" x14ac:dyDescent="0.25">
      <c r="A267" s="86" t="s">
        <v>153</v>
      </c>
      <c r="B267" s="139" t="s">
        <v>356</v>
      </c>
      <c r="C267" s="140"/>
      <c r="D267" s="140"/>
      <c r="E267" s="140"/>
      <c r="F267" s="140"/>
      <c r="G267" s="140"/>
      <c r="H267" s="141"/>
    </row>
    <row r="268" spans="1:20" s="35" customFormat="1" hidden="1" x14ac:dyDescent="0.25">
      <c r="A268" s="90" t="s">
        <v>153</v>
      </c>
      <c r="B268" s="136" t="s">
        <v>400</v>
      </c>
      <c r="C268" s="137"/>
      <c r="D268" s="137"/>
      <c r="E268" s="137"/>
      <c r="F268" s="137"/>
      <c r="G268" s="137"/>
      <c r="H268" s="138"/>
    </row>
    <row r="269" spans="1:20" x14ac:dyDescent="0.25">
      <c r="A269" s="234" t="s">
        <v>58</v>
      </c>
      <c r="B269" s="234"/>
      <c r="C269" s="234"/>
      <c r="D269" s="234"/>
      <c r="E269" s="234"/>
      <c r="F269" s="234"/>
      <c r="G269" s="234"/>
      <c r="H269" s="234"/>
      <c r="T269" s="35"/>
    </row>
    <row r="270" spans="1:20" x14ac:dyDescent="0.25">
      <c r="A270" s="186" t="s">
        <v>59</v>
      </c>
      <c r="B270" s="186"/>
      <c r="C270" s="186"/>
      <c r="D270" s="186"/>
      <c r="E270" s="186"/>
      <c r="F270" s="186"/>
      <c r="G270" s="186"/>
      <c r="H270" s="186"/>
      <c r="T270" s="35"/>
    </row>
    <row r="271" spans="1:20" ht="15.75" customHeight="1" x14ac:dyDescent="0.25">
      <c r="A271" s="276" t="s">
        <v>60</v>
      </c>
      <c r="B271" s="276"/>
      <c r="C271" s="276"/>
      <c r="D271" s="276"/>
      <c r="E271" s="276"/>
      <c r="F271" s="276"/>
      <c r="G271" s="276"/>
      <c r="H271" s="276"/>
      <c r="T271" s="35"/>
    </row>
    <row r="272" spans="1:20" x14ac:dyDescent="0.25">
      <c r="A272" s="186" t="s">
        <v>61</v>
      </c>
      <c r="B272" s="186"/>
      <c r="C272" s="186"/>
      <c r="D272" s="186"/>
      <c r="E272" s="186"/>
      <c r="F272" s="186"/>
      <c r="G272" s="186"/>
      <c r="H272" s="186"/>
      <c r="T272" s="35"/>
    </row>
    <row r="273" spans="1:20" x14ac:dyDescent="0.25">
      <c r="A273" s="122" t="s">
        <v>62</v>
      </c>
      <c r="B273" s="122"/>
      <c r="C273" s="122"/>
      <c r="D273" s="122"/>
      <c r="E273" s="122"/>
      <c r="F273" s="122"/>
      <c r="G273" s="122"/>
      <c r="H273" s="122"/>
      <c r="T273" s="35"/>
    </row>
    <row r="274" spans="1:20" x14ac:dyDescent="0.25">
      <c r="A274" s="122" t="s">
        <v>123</v>
      </c>
      <c r="B274" s="122"/>
      <c r="C274" s="122"/>
      <c r="D274" s="122"/>
      <c r="E274" s="122"/>
      <c r="F274" s="122"/>
      <c r="G274" s="122"/>
      <c r="H274" s="122"/>
      <c r="T274" s="35"/>
    </row>
    <row r="275" spans="1:20" ht="33.950000000000003" customHeight="1" x14ac:dyDescent="0.25">
      <c r="A275" s="188" t="s">
        <v>124</v>
      </c>
      <c r="B275" s="188"/>
      <c r="C275" s="188"/>
      <c r="D275" s="188"/>
      <c r="E275" s="188"/>
      <c r="F275" s="188"/>
      <c r="G275" s="188"/>
      <c r="H275" s="188"/>
    </row>
    <row r="276" spans="1:20" x14ac:dyDescent="0.25">
      <c r="A276" s="256" t="s">
        <v>74</v>
      </c>
      <c r="B276" s="256"/>
      <c r="C276" s="256" t="s">
        <v>418</v>
      </c>
      <c r="D276" s="256"/>
      <c r="E276" s="256" t="s">
        <v>103</v>
      </c>
      <c r="F276" s="256"/>
      <c r="G276" s="256" t="s">
        <v>416</v>
      </c>
      <c r="H276" s="256"/>
    </row>
    <row r="277" spans="1:20" x14ac:dyDescent="0.25">
      <c r="A277" s="255" t="s">
        <v>76</v>
      </c>
      <c r="B277" s="255"/>
      <c r="C277" s="255"/>
      <c r="D277" s="255"/>
      <c r="E277" s="255"/>
      <c r="F277" s="255"/>
      <c r="G277" s="255"/>
      <c r="H277" s="255"/>
    </row>
    <row r="278" spans="1:20" x14ac:dyDescent="0.25">
      <c r="A278" s="255"/>
      <c r="B278" s="255"/>
      <c r="C278" s="255"/>
      <c r="D278" s="255"/>
      <c r="E278" s="255"/>
      <c r="F278" s="255"/>
      <c r="G278" s="255"/>
      <c r="H278" s="255"/>
    </row>
    <row r="279" spans="1:20" x14ac:dyDescent="0.25">
      <c r="A279" s="255"/>
      <c r="B279" s="255"/>
      <c r="C279" s="255"/>
      <c r="D279" s="255"/>
      <c r="E279" s="255"/>
      <c r="F279" s="255"/>
      <c r="G279" s="255"/>
      <c r="H279" s="255"/>
    </row>
    <row r="280" spans="1:20" x14ac:dyDescent="0.25">
      <c r="A280" s="255"/>
      <c r="B280" s="255"/>
      <c r="C280" s="255"/>
      <c r="D280" s="255"/>
      <c r="E280" s="255"/>
      <c r="F280" s="255"/>
      <c r="G280" s="255"/>
      <c r="H280" s="255"/>
    </row>
    <row r="281" spans="1:20" x14ac:dyDescent="0.25">
      <c r="A281" s="38" t="s">
        <v>63</v>
      </c>
      <c r="B281" s="39"/>
      <c r="C281" s="39"/>
      <c r="D281" s="38" t="str">
        <f>E9</f>
        <v>Tricity Bayview</v>
      </c>
      <c r="F281" s="39"/>
      <c r="G281" s="39"/>
      <c r="H281" s="39"/>
    </row>
    <row r="282" spans="1:20" x14ac:dyDescent="0.25">
      <c r="A282" s="39"/>
      <c r="B282" s="39"/>
      <c r="C282" s="39"/>
      <c r="D282" s="39"/>
      <c r="E282" s="39"/>
      <c r="F282" s="39"/>
      <c r="G282" s="39"/>
      <c r="H282" s="39"/>
    </row>
    <row r="283" spans="1:20" x14ac:dyDescent="0.25">
      <c r="A283" s="39"/>
      <c r="B283" s="39"/>
      <c r="C283" s="39"/>
      <c r="D283" s="39"/>
      <c r="E283" s="39"/>
      <c r="F283" s="39"/>
      <c r="G283" s="39"/>
      <c r="H283" s="39"/>
    </row>
    <row r="284" spans="1:20" ht="15" customHeight="1" x14ac:dyDescent="0.25"/>
    <row r="324" spans="1:1" x14ac:dyDescent="0.25">
      <c r="A324" s="41" t="s">
        <v>164</v>
      </c>
    </row>
    <row r="366" spans="1:1" ht="15.95" customHeight="1" x14ac:dyDescent="0.25"/>
    <row r="367" spans="1:1" x14ac:dyDescent="0.25">
      <c r="A367" s="41" t="s">
        <v>64</v>
      </c>
    </row>
  </sheetData>
  <mergeCells count="492">
    <mergeCell ref="C131:D131"/>
    <mergeCell ref="A131:B131"/>
    <mergeCell ref="A120:B120"/>
    <mergeCell ref="E120:F120"/>
    <mergeCell ref="G120:H120"/>
    <mergeCell ref="A121:B121"/>
    <mergeCell ref="E121:F130"/>
    <mergeCell ref="G121:H130"/>
    <mergeCell ref="A122:B122"/>
    <mergeCell ref="A123:B123"/>
    <mergeCell ref="A124:B124"/>
    <mergeCell ref="A125:B125"/>
    <mergeCell ref="A126:B126"/>
    <mergeCell ref="A127:B127"/>
    <mergeCell ref="A128:B128"/>
    <mergeCell ref="A129:B129"/>
    <mergeCell ref="A130:B130"/>
    <mergeCell ref="E43:H43"/>
    <mergeCell ref="A43:D43"/>
    <mergeCell ref="A84:B84"/>
    <mergeCell ref="A50:B50"/>
    <mergeCell ref="D67:H67"/>
    <mergeCell ref="C52:E52"/>
    <mergeCell ref="A252:H252"/>
    <mergeCell ref="A244:B244"/>
    <mergeCell ref="A245:B245"/>
    <mergeCell ref="A240:H240"/>
    <mergeCell ref="A234:H234"/>
    <mergeCell ref="A249:B249"/>
    <mergeCell ref="A246:H246"/>
    <mergeCell ref="A72:C72"/>
    <mergeCell ref="D73:H73"/>
    <mergeCell ref="A79:B79"/>
    <mergeCell ref="G78:H78"/>
    <mergeCell ref="A87:B87"/>
    <mergeCell ref="A88:B88"/>
    <mergeCell ref="A83:B83"/>
    <mergeCell ref="A82:B82"/>
    <mergeCell ref="A117:B117"/>
    <mergeCell ref="C117:H117"/>
    <mergeCell ref="A119:B119"/>
    <mergeCell ref="E78:F78"/>
    <mergeCell ref="A201:H201"/>
    <mergeCell ref="I15:P15"/>
    <mergeCell ref="F142:H142"/>
    <mergeCell ref="F140:H140"/>
    <mergeCell ref="A236:B236"/>
    <mergeCell ref="A155:H155"/>
    <mergeCell ref="G146:H146"/>
    <mergeCell ref="A141:E141"/>
    <mergeCell ref="A160:B160"/>
    <mergeCell ref="A60:B60"/>
    <mergeCell ref="C60:E60"/>
    <mergeCell ref="D62:H62"/>
    <mergeCell ref="F141:H141"/>
    <mergeCell ref="E146:F146"/>
    <mergeCell ref="A146:B146"/>
    <mergeCell ref="C150:D150"/>
    <mergeCell ref="D72:H72"/>
    <mergeCell ref="D63:H63"/>
    <mergeCell ref="G60:H60"/>
    <mergeCell ref="A54:B55"/>
    <mergeCell ref="C59:E59"/>
    <mergeCell ref="G54:H54"/>
    <mergeCell ref="G59:H59"/>
    <mergeCell ref="A271:H271"/>
    <mergeCell ref="A229:B229"/>
    <mergeCell ref="A150:B150"/>
    <mergeCell ref="D175:D176"/>
    <mergeCell ref="E175:E176"/>
    <mergeCell ref="A97:B97"/>
    <mergeCell ref="A99:B99"/>
    <mergeCell ref="F133:H133"/>
    <mergeCell ref="G147:H147"/>
    <mergeCell ref="A102:B102"/>
    <mergeCell ref="F139:H139"/>
    <mergeCell ref="C146:D146"/>
    <mergeCell ref="C152:D152"/>
    <mergeCell ref="A223:H223"/>
    <mergeCell ref="A238:B238"/>
    <mergeCell ref="B257:H257"/>
    <mergeCell ref="A247:B247"/>
    <mergeCell ref="A248:B248"/>
    <mergeCell ref="A251:B251"/>
    <mergeCell ref="A100:B100"/>
    <mergeCell ref="A101:B101"/>
    <mergeCell ref="B261:H261"/>
    <mergeCell ref="B265:H265"/>
    <mergeCell ref="C119:H119"/>
    <mergeCell ref="A270:H270"/>
    <mergeCell ref="A162:B162"/>
    <mergeCell ref="A161:B161"/>
    <mergeCell ref="A138:E138"/>
    <mergeCell ref="F138:H138"/>
    <mergeCell ref="A140:E140"/>
    <mergeCell ref="F135:H135"/>
    <mergeCell ref="A139:E139"/>
    <mergeCell ref="A174:H174"/>
    <mergeCell ref="E150:F150"/>
    <mergeCell ref="A154:H154"/>
    <mergeCell ref="A159:B159"/>
    <mergeCell ref="A152:B152"/>
    <mergeCell ref="E152:F152"/>
    <mergeCell ref="A142:E142"/>
    <mergeCell ref="G152:H152"/>
    <mergeCell ref="A148:B148"/>
    <mergeCell ref="C148:D148"/>
    <mergeCell ref="E148:F148"/>
    <mergeCell ref="G148:H148"/>
    <mergeCell ref="F137:H137"/>
    <mergeCell ref="B263:H263"/>
    <mergeCell ref="C153:D153"/>
    <mergeCell ref="A202:B202"/>
    <mergeCell ref="B258:H258"/>
    <mergeCell ref="A243:B243"/>
    <mergeCell ref="A135:E135"/>
    <mergeCell ref="A132:E132"/>
    <mergeCell ref="B260:H260"/>
    <mergeCell ref="G156:G157"/>
    <mergeCell ref="A242:B242"/>
    <mergeCell ref="A250:B250"/>
    <mergeCell ref="B253:H253"/>
    <mergeCell ref="B254:H254"/>
    <mergeCell ref="B256:H256"/>
    <mergeCell ref="A167:B167"/>
    <mergeCell ref="A172:B172"/>
    <mergeCell ref="A182:B182"/>
    <mergeCell ref="A187:B187"/>
    <mergeCell ref="A193:B193"/>
    <mergeCell ref="A232:B232"/>
    <mergeCell ref="G153:H153"/>
    <mergeCell ref="A168:B168"/>
    <mergeCell ref="C156:C157"/>
    <mergeCell ref="A177:H177"/>
    <mergeCell ref="A277:H280"/>
    <mergeCell ref="A276:B276"/>
    <mergeCell ref="E276:F276"/>
    <mergeCell ref="C276:D276"/>
    <mergeCell ref="G276:H276"/>
    <mergeCell ref="A145:H145"/>
    <mergeCell ref="A143:E143"/>
    <mergeCell ref="F143:H143"/>
    <mergeCell ref="A144:E144"/>
    <mergeCell ref="F144:H144"/>
    <mergeCell ref="A228:H228"/>
    <mergeCell ref="A151:B151"/>
    <mergeCell ref="A237:B237"/>
    <mergeCell ref="A147:B147"/>
    <mergeCell ref="A272:H272"/>
    <mergeCell ref="A149:H149"/>
    <mergeCell ref="A275:H275"/>
    <mergeCell ref="A273:H273"/>
    <mergeCell ref="A269:H269"/>
    <mergeCell ref="G150:H150"/>
    <mergeCell ref="A153:B153"/>
    <mergeCell ref="B266:H266"/>
    <mergeCell ref="A274:H274"/>
    <mergeCell ref="A239:B23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9:B19"/>
    <mergeCell ref="C19:D19"/>
    <mergeCell ref="E19:F19"/>
    <mergeCell ref="G19:H19"/>
    <mergeCell ref="A20:B20"/>
    <mergeCell ref="C20:D20"/>
    <mergeCell ref="E20:F20"/>
    <mergeCell ref="G20:H20"/>
    <mergeCell ref="E14:H14"/>
    <mergeCell ref="A15:D15"/>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65:C67"/>
    <mergeCell ref="D65:H65"/>
    <mergeCell ref="D66:H66"/>
    <mergeCell ref="G52:H52"/>
    <mergeCell ref="A61:H61"/>
    <mergeCell ref="A62:C62"/>
    <mergeCell ref="A77:B77"/>
    <mergeCell ref="A75:B75"/>
    <mergeCell ref="C75:H75"/>
    <mergeCell ref="A70:C70"/>
    <mergeCell ref="D70:H70"/>
    <mergeCell ref="C77:H77"/>
    <mergeCell ref="A71:C71"/>
    <mergeCell ref="D71:H71"/>
    <mergeCell ref="A74:C74"/>
    <mergeCell ref="D74:H74"/>
    <mergeCell ref="A73:C73"/>
    <mergeCell ref="A56:B57"/>
    <mergeCell ref="C56:E56"/>
    <mergeCell ref="E44:H44"/>
    <mergeCell ref="E45:H45"/>
    <mergeCell ref="E46:H46"/>
    <mergeCell ref="E47:H47"/>
    <mergeCell ref="C57:H57"/>
    <mergeCell ref="A48:H48"/>
    <mergeCell ref="D64:H64"/>
    <mergeCell ref="A64:C64"/>
    <mergeCell ref="A45:D45"/>
    <mergeCell ref="A49:B49"/>
    <mergeCell ref="C49:H49"/>
    <mergeCell ref="C53:H53"/>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C55:H55"/>
    <mergeCell ref="A63:C63"/>
    <mergeCell ref="L225:M225"/>
    <mergeCell ref="A226:B226"/>
    <mergeCell ref="L226:M226"/>
    <mergeCell ref="A137:E137"/>
    <mergeCell ref="A114:B114"/>
    <mergeCell ref="A115:B115"/>
    <mergeCell ref="L162:M162"/>
    <mergeCell ref="L161:M161"/>
    <mergeCell ref="L160:M160"/>
    <mergeCell ref="L159:M159"/>
    <mergeCell ref="C151:D151"/>
    <mergeCell ref="E151:F151"/>
    <mergeCell ref="G151:H151"/>
    <mergeCell ref="A133:E133"/>
    <mergeCell ref="A158:H158"/>
    <mergeCell ref="E156:E157"/>
    <mergeCell ref="F134:H134"/>
    <mergeCell ref="A134:E134"/>
    <mergeCell ref="E153:F153"/>
    <mergeCell ref="F132:H132"/>
    <mergeCell ref="D156:D157"/>
    <mergeCell ref="F136:H136"/>
    <mergeCell ref="A136:E136"/>
    <mergeCell ref="L167:M167"/>
    <mergeCell ref="A40:B40"/>
    <mergeCell ref="C40:H40"/>
    <mergeCell ref="F156:F157"/>
    <mergeCell ref="C147:D147"/>
    <mergeCell ref="E147:F147"/>
    <mergeCell ref="B156:B157"/>
    <mergeCell ref="A156:A157"/>
    <mergeCell ref="C175:C176"/>
    <mergeCell ref="G175:G176"/>
    <mergeCell ref="A86:B86"/>
    <mergeCell ref="A89:B89"/>
    <mergeCell ref="C89:H89"/>
    <mergeCell ref="A93:B93"/>
    <mergeCell ref="C91:H91"/>
    <mergeCell ref="A94:B94"/>
    <mergeCell ref="A95:B95"/>
    <mergeCell ref="G93:H102"/>
    <mergeCell ref="A96:B96"/>
    <mergeCell ref="C54:E54"/>
    <mergeCell ref="A78:B78"/>
    <mergeCell ref="A46:D46"/>
    <mergeCell ref="A47:D47"/>
    <mergeCell ref="D69:H69"/>
    <mergeCell ref="A44:D44"/>
    <mergeCell ref="A103:B103"/>
    <mergeCell ref="C103:H103"/>
    <mergeCell ref="A105:B105"/>
    <mergeCell ref="C105:H105"/>
    <mergeCell ref="A106:B106"/>
    <mergeCell ref="E106:F106"/>
    <mergeCell ref="G106:H106"/>
    <mergeCell ref="A107:B107"/>
    <mergeCell ref="E107:F116"/>
    <mergeCell ref="G107:H116"/>
    <mergeCell ref="A116:B116"/>
    <mergeCell ref="A81:B81"/>
    <mergeCell ref="E79:F88"/>
    <mergeCell ref="G79:H88"/>
    <mergeCell ref="A98:B98"/>
    <mergeCell ref="G92:H92"/>
    <mergeCell ref="A91:B91"/>
    <mergeCell ref="A85:B85"/>
    <mergeCell ref="A80:B80"/>
    <mergeCell ref="A92:B92"/>
    <mergeCell ref="E92:F92"/>
    <mergeCell ref="E93:F102"/>
    <mergeCell ref="A108:B108"/>
    <mergeCell ref="A109:B109"/>
    <mergeCell ref="A110:B110"/>
    <mergeCell ref="A111:B111"/>
    <mergeCell ref="A171:B171"/>
    <mergeCell ref="L171:M171"/>
    <mergeCell ref="L172:M172"/>
    <mergeCell ref="A173:B173"/>
    <mergeCell ref="L173:M173"/>
    <mergeCell ref="L168:M168"/>
    <mergeCell ref="A169:B169"/>
    <mergeCell ref="L169:M169"/>
    <mergeCell ref="A170:B170"/>
    <mergeCell ref="L170:M170"/>
    <mergeCell ref="A163:B163"/>
    <mergeCell ref="L163:M163"/>
    <mergeCell ref="A164:B164"/>
    <mergeCell ref="L164:M164"/>
    <mergeCell ref="A165:B165"/>
    <mergeCell ref="L165:M165"/>
    <mergeCell ref="A166:B166"/>
    <mergeCell ref="L166:M166"/>
    <mergeCell ref="A112:B112"/>
    <mergeCell ref="A113:B113"/>
    <mergeCell ref="A178:H178"/>
    <mergeCell ref="A179:H179"/>
    <mergeCell ref="A180:B180"/>
    <mergeCell ref="L180:M180"/>
    <mergeCell ref="A181:B181"/>
    <mergeCell ref="L181:M181"/>
    <mergeCell ref="B175:B176"/>
    <mergeCell ref="A175:A176"/>
    <mergeCell ref="F175:F176"/>
    <mergeCell ref="A184:B184"/>
    <mergeCell ref="L184:M184"/>
    <mergeCell ref="L211:M211"/>
    <mergeCell ref="L204:M204"/>
    <mergeCell ref="L205:M205"/>
    <mergeCell ref="L206:M206"/>
    <mergeCell ref="L207:M207"/>
    <mergeCell ref="A208:B208"/>
    <mergeCell ref="L208:M208"/>
    <mergeCell ref="A185:B185"/>
    <mergeCell ref="L185:M185"/>
    <mergeCell ref="A186:B186"/>
    <mergeCell ref="L186:M186"/>
    <mergeCell ref="L187:M187"/>
    <mergeCell ref="A188:B188"/>
    <mergeCell ref="L188:M188"/>
    <mergeCell ref="A189:B189"/>
    <mergeCell ref="L189:M189"/>
    <mergeCell ref="A198:B198"/>
    <mergeCell ref="L202:M202"/>
    <mergeCell ref="L203:M203"/>
    <mergeCell ref="A203:B203"/>
    <mergeCell ref="A204:B204"/>
    <mergeCell ref="A205:B205"/>
    <mergeCell ref="B268:H268"/>
    <mergeCell ref="L215:M215"/>
    <mergeCell ref="A216:B216"/>
    <mergeCell ref="L216:M216"/>
    <mergeCell ref="A217:B217"/>
    <mergeCell ref="L217:M217"/>
    <mergeCell ref="A218:B218"/>
    <mergeCell ref="L218:M218"/>
    <mergeCell ref="A219:B219"/>
    <mergeCell ref="L219:M219"/>
    <mergeCell ref="B267:H267"/>
    <mergeCell ref="B255:H255"/>
    <mergeCell ref="B264:H264"/>
    <mergeCell ref="A235:B235"/>
    <mergeCell ref="A224:B224"/>
    <mergeCell ref="A215:B215"/>
    <mergeCell ref="A220:B220"/>
    <mergeCell ref="B262:H262"/>
    <mergeCell ref="B259:H259"/>
    <mergeCell ref="L228:M228"/>
    <mergeCell ref="L227:M227"/>
    <mergeCell ref="L224:M224"/>
    <mergeCell ref="A225:B225"/>
    <mergeCell ref="A227:B227"/>
    <mergeCell ref="I11:L11"/>
    <mergeCell ref="L220:M220"/>
    <mergeCell ref="A221:B221"/>
    <mergeCell ref="L221:M221"/>
    <mergeCell ref="A222:B222"/>
    <mergeCell ref="L222:M222"/>
    <mergeCell ref="D213:H213"/>
    <mergeCell ref="D217:H222"/>
    <mergeCell ref="L198:M198"/>
    <mergeCell ref="A199:B199"/>
    <mergeCell ref="L199:M199"/>
    <mergeCell ref="A200:B200"/>
    <mergeCell ref="L200:M200"/>
    <mergeCell ref="A212:H212"/>
    <mergeCell ref="A213:B213"/>
    <mergeCell ref="L213:M213"/>
    <mergeCell ref="A214:B214"/>
    <mergeCell ref="L214:M214"/>
    <mergeCell ref="A209:B209"/>
    <mergeCell ref="L209:M209"/>
    <mergeCell ref="A210:B210"/>
    <mergeCell ref="L210:M210"/>
    <mergeCell ref="A190:H190"/>
    <mergeCell ref="A191:B191"/>
    <mergeCell ref="A233:B233"/>
    <mergeCell ref="A230:B230"/>
    <mergeCell ref="A231:B231"/>
    <mergeCell ref="A241:B241"/>
    <mergeCell ref="E131:F131"/>
    <mergeCell ref="G131:H131"/>
    <mergeCell ref="L191:M191"/>
    <mergeCell ref="A192:B192"/>
    <mergeCell ref="L192:M192"/>
    <mergeCell ref="A211:B211"/>
    <mergeCell ref="L193:M193"/>
    <mergeCell ref="A194:B194"/>
    <mergeCell ref="L194:M194"/>
    <mergeCell ref="A195:B195"/>
    <mergeCell ref="L195:M195"/>
    <mergeCell ref="A196:B196"/>
    <mergeCell ref="L196:M196"/>
    <mergeCell ref="A197:B197"/>
    <mergeCell ref="L197:M197"/>
    <mergeCell ref="A206:B206"/>
    <mergeCell ref="A207:B207"/>
    <mergeCell ref="L182:M182"/>
    <mergeCell ref="A183:B183"/>
    <mergeCell ref="L183:M183"/>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56:E157">
      <formula1>"Attached Loft area,Attached Otla area,Attached Mezzanine area"</formula1>
    </dataValidation>
    <dataValidation type="list" allowBlank="1" showInputMessage="1" showErrorMessage="1" sqref="G276:H276">
      <formula1>"Kunal Kadam,Pranita Mhatre,Shruti Fule,Pooja Kawale,Gaurav Panchal,Shruti Tathare, Hitakshi Mhatre, Sachin Sawant"</formula1>
    </dataValidation>
    <dataValidation type="list" allowBlank="1" showInputMessage="1" showErrorMessage="1" sqref="F132:H132">
      <formula1>"On Saleable Area,On Builtup Area,On Carpet Area,On Plot Area"</formula1>
    </dataValidation>
    <dataValidation type="list" allowBlank="1" showInputMessage="1" showErrorMessage="1" sqref="B156:B157">
      <formula1>"Shop No. (Sale Plan),Sale / Rehab,Sale / Mhada"</formula1>
    </dataValidation>
    <dataValidation type="list" allowBlank="1" showInputMessage="1" showErrorMessage="1" sqref="B175:B17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75:E176">
      <formula1>"Fungible area,Balcony Area,Chajja Area,Cornice Area,AP Area,WS Area"</formula1>
    </dataValidation>
    <dataValidation type="list" allowBlank="1" showInputMessage="1" showErrorMessage="1" sqref="H157 H176">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56 H175">
      <formula1>"Saleable area Loading :,Builder Saleable Area"</formula1>
    </dataValidation>
    <dataValidation type="list" allowBlank="1" showInputMessage="1" showErrorMessage="1" sqref="D156:D157 D175:D176">
      <formula1>"Carpet area,RERA Carpet area"</formula1>
    </dataValidation>
    <dataValidation type="list" allowBlank="1" showInputMessage="1" showErrorMessage="1" sqref="F143:H143">
      <formula1>OFFSET($S$132,1,MATCH($G20,$S$132:$W$132,0)-1,15,1)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80" max="16383" man="1"/>
    <brk id="323" max="16383" man="1"/>
    <brk id="36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10" zoomScale="85" zoomScaleNormal="85" workbookViewId="0">
      <selection activeCell="G23" sqref="G2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98" t="s">
        <v>104</v>
      </c>
      <c r="C3" s="298"/>
      <c r="D3" s="298"/>
      <c r="E3" s="298"/>
      <c r="F3" s="298"/>
      <c r="G3" s="298"/>
      <c r="H3" s="298"/>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2"/>
      <c r="C4" s="52" t="s">
        <v>11</v>
      </c>
      <c r="D4" s="53" t="s">
        <v>181</v>
      </c>
      <c r="E4" s="53" t="s">
        <v>191</v>
      </c>
      <c r="F4" s="53" t="s">
        <v>174</v>
      </c>
      <c r="G4" s="53" t="s">
        <v>196</v>
      </c>
      <c r="H4" s="53" t="s">
        <v>214</v>
      </c>
      <c r="J4" t="s">
        <v>196</v>
      </c>
      <c r="K4" t="s">
        <v>212</v>
      </c>
    </row>
    <row r="5" spans="2:11" x14ac:dyDescent="0.25">
      <c r="B5" s="52"/>
      <c r="C5" s="52"/>
      <c r="D5" s="53" t="s">
        <v>182</v>
      </c>
      <c r="E5" s="53" t="s">
        <v>189</v>
      </c>
      <c r="F5" s="53" t="s">
        <v>211</v>
      </c>
      <c r="G5" s="53" t="s">
        <v>197</v>
      </c>
      <c r="H5" s="53" t="s">
        <v>215</v>
      </c>
    </row>
    <row r="6" spans="2:11" x14ac:dyDescent="0.25">
      <c r="B6" s="52"/>
      <c r="C6" s="52"/>
      <c r="D6" s="53" t="s">
        <v>183</v>
      </c>
      <c r="E6" s="53" t="s">
        <v>190</v>
      </c>
      <c r="F6" s="53" t="s">
        <v>212</v>
      </c>
      <c r="G6" s="53" t="s">
        <v>198</v>
      </c>
      <c r="H6" s="53" t="s">
        <v>228</v>
      </c>
    </row>
    <row r="7" spans="2:11" x14ac:dyDescent="0.25">
      <c r="B7" s="52"/>
      <c r="C7" s="52"/>
      <c r="D7" s="53" t="s">
        <v>184</v>
      </c>
      <c r="E7" s="53" t="s">
        <v>192</v>
      </c>
      <c r="F7" s="53" t="s">
        <v>213</v>
      </c>
      <c r="G7" s="53" t="s">
        <v>199</v>
      </c>
      <c r="H7" s="53" t="s">
        <v>216</v>
      </c>
    </row>
    <row r="8" spans="2:11" x14ac:dyDescent="0.25">
      <c r="B8" s="52"/>
      <c r="C8" s="52"/>
      <c r="D8" s="53" t="s">
        <v>185</v>
      </c>
      <c r="E8" s="53" t="s">
        <v>193</v>
      </c>
      <c r="F8" s="53"/>
      <c r="G8" s="53" t="s">
        <v>200</v>
      </c>
      <c r="H8" s="53" t="s">
        <v>217</v>
      </c>
    </row>
    <row r="9" spans="2:11" x14ac:dyDescent="0.25">
      <c r="B9" s="52"/>
      <c r="C9" s="52"/>
      <c r="D9" s="53" t="s">
        <v>186</v>
      </c>
      <c r="E9" s="53" t="s">
        <v>191</v>
      </c>
      <c r="F9" s="53"/>
      <c r="G9" s="53" t="s">
        <v>201</v>
      </c>
      <c r="H9" s="53" t="s">
        <v>218</v>
      </c>
    </row>
    <row r="10" spans="2:11" x14ac:dyDescent="0.25">
      <c r="B10" s="52"/>
      <c r="C10" s="52"/>
      <c r="D10" s="53" t="s">
        <v>187</v>
      </c>
      <c r="E10" s="53" t="s">
        <v>194</v>
      </c>
      <c r="F10" s="53"/>
      <c r="G10" s="53" t="s">
        <v>202</v>
      </c>
      <c r="H10" s="53" t="s">
        <v>219</v>
      </c>
    </row>
    <row r="11" spans="2:11" x14ac:dyDescent="0.25">
      <c r="B11" s="52"/>
      <c r="C11" s="52"/>
      <c r="D11" s="53" t="s">
        <v>188</v>
      </c>
      <c r="E11" s="53" t="s">
        <v>195</v>
      </c>
      <c r="F11" s="53"/>
      <c r="G11" s="53" t="s">
        <v>203</v>
      </c>
      <c r="H11" s="53" t="s">
        <v>220</v>
      </c>
    </row>
    <row r="12" spans="2:11" x14ac:dyDescent="0.25">
      <c r="B12" s="52"/>
      <c r="C12" s="52"/>
      <c r="D12" s="53"/>
      <c r="E12" s="53"/>
      <c r="F12" s="53"/>
      <c r="G12" s="53" t="s">
        <v>204</v>
      </c>
      <c r="H12" s="53" t="s">
        <v>221</v>
      </c>
    </row>
    <row r="13" spans="2:11" x14ac:dyDescent="0.25">
      <c r="B13" s="52"/>
      <c r="C13" s="52"/>
      <c r="D13" s="53"/>
      <c r="E13" s="53"/>
      <c r="F13" s="53"/>
      <c r="G13" s="53" t="s">
        <v>205</v>
      </c>
      <c r="H13" s="53" t="s">
        <v>222</v>
      </c>
    </row>
    <row r="14" spans="2:11" x14ac:dyDescent="0.25">
      <c r="B14" s="52"/>
      <c r="C14" s="52"/>
      <c r="D14" s="53"/>
      <c r="E14" s="53"/>
      <c r="F14" s="53"/>
      <c r="G14" s="53" t="s">
        <v>206</v>
      </c>
      <c r="H14" s="53" t="s">
        <v>223</v>
      </c>
    </row>
    <row r="15" spans="2:11" x14ac:dyDescent="0.25">
      <c r="B15" s="52"/>
      <c r="C15" s="52"/>
      <c r="D15" s="53"/>
      <c r="E15" s="53"/>
      <c r="F15" s="53"/>
      <c r="G15" s="53" t="s">
        <v>207</v>
      </c>
      <c r="H15" s="53" t="s">
        <v>224</v>
      </c>
    </row>
    <row r="16" spans="2:11" x14ac:dyDescent="0.25">
      <c r="B16" s="52"/>
      <c r="C16" s="52"/>
      <c r="D16" s="53"/>
      <c r="E16" s="53"/>
      <c r="F16" s="53"/>
      <c r="G16" s="53" t="s">
        <v>208</v>
      </c>
      <c r="H16" s="53" t="s">
        <v>225</v>
      </c>
    </row>
    <row r="17" spans="2:8" x14ac:dyDescent="0.25">
      <c r="B17" s="52"/>
      <c r="C17" s="52"/>
      <c r="D17" s="53"/>
      <c r="E17" s="53"/>
      <c r="F17" s="53"/>
      <c r="G17" s="53" t="s">
        <v>209</v>
      </c>
      <c r="H17" s="53" t="s">
        <v>226</v>
      </c>
    </row>
    <row r="18" spans="2:8" x14ac:dyDescent="0.25">
      <c r="B18" s="52"/>
      <c r="C18" s="52"/>
      <c r="D18" s="53"/>
      <c r="E18" s="53"/>
      <c r="F18" s="53"/>
      <c r="G18" s="53" t="s">
        <v>210</v>
      </c>
      <c r="H18" s="53" t="s">
        <v>227</v>
      </c>
    </row>
    <row r="24" spans="2:8" x14ac:dyDescent="0.25">
      <c r="C24" t="s">
        <v>171</v>
      </c>
    </row>
    <row r="25" spans="2:8" x14ac:dyDescent="0.25">
      <c r="C25" t="s">
        <v>229</v>
      </c>
    </row>
    <row r="26" spans="2:8" x14ac:dyDescent="0.25">
      <c r="C26" t="s">
        <v>230</v>
      </c>
    </row>
    <row r="27" spans="2:8" x14ac:dyDescent="0.25">
      <c r="C27" t="s">
        <v>231</v>
      </c>
    </row>
    <row r="28" spans="2:8" x14ac:dyDescent="0.25">
      <c r="C28" t="s">
        <v>232</v>
      </c>
    </row>
    <row r="29" spans="2:8" x14ac:dyDescent="0.25">
      <c r="C29" t="s">
        <v>233</v>
      </c>
    </row>
    <row r="30" spans="2:8" x14ac:dyDescent="0.25">
      <c r="C30" t="s">
        <v>171</v>
      </c>
    </row>
    <row r="33" spans="3:11" x14ac:dyDescent="0.25">
      <c r="J33">
        <v>1</v>
      </c>
      <c r="K33">
        <v>2</v>
      </c>
    </row>
    <row r="34" spans="3:11" x14ac:dyDescent="0.25">
      <c r="C34" s="56" t="s">
        <v>238</v>
      </c>
      <c r="D34" s="53" t="s">
        <v>236</v>
      </c>
      <c r="E34" s="53" t="s">
        <v>241</v>
      </c>
      <c r="F34" s="53" t="s">
        <v>239</v>
      </c>
      <c r="G34" s="53" t="s">
        <v>240</v>
      </c>
      <c r="H34" s="53" t="s">
        <v>242</v>
      </c>
      <c r="J34" t="s">
        <v>196</v>
      </c>
      <c r="K34" t="s">
        <v>212</v>
      </c>
    </row>
    <row r="35" spans="3:11" x14ac:dyDescent="0.25">
      <c r="C35" s="52" t="s">
        <v>237</v>
      </c>
      <c r="D35" s="53" t="s">
        <v>172</v>
      </c>
      <c r="E35" s="53" t="s">
        <v>246</v>
      </c>
      <c r="F35" s="53" t="s">
        <v>248</v>
      </c>
      <c r="G35" s="53" t="s">
        <v>250</v>
      </c>
      <c r="H35" s="53"/>
    </row>
    <row r="36" spans="3:11" x14ac:dyDescent="0.25">
      <c r="C36" s="52"/>
      <c r="D36" s="53" t="s">
        <v>243</v>
      </c>
      <c r="E36" s="53" t="s">
        <v>247</v>
      </c>
      <c r="F36" s="53" t="s">
        <v>249</v>
      </c>
      <c r="G36" s="53" t="s">
        <v>251</v>
      </c>
      <c r="H36" s="53"/>
    </row>
    <row r="37" spans="3:11" x14ac:dyDescent="0.25">
      <c r="C37" s="52"/>
      <c r="D37" s="53" t="s">
        <v>244</v>
      </c>
      <c r="E37" s="53"/>
      <c r="F37" s="53"/>
      <c r="G37" s="53" t="s">
        <v>252</v>
      </c>
      <c r="H37" s="53"/>
    </row>
    <row r="38" spans="3:11" x14ac:dyDescent="0.25">
      <c r="C38" s="52"/>
      <c r="D38" s="53" t="s">
        <v>245</v>
      </c>
      <c r="E38" s="53"/>
      <c r="F38" s="53"/>
      <c r="G38" s="53" t="s">
        <v>252</v>
      </c>
      <c r="H38" s="53"/>
    </row>
    <row r="39" spans="3:11" x14ac:dyDescent="0.25">
      <c r="C39" s="52"/>
      <c r="D39" s="53"/>
      <c r="E39" s="53"/>
      <c r="F39" s="53"/>
      <c r="G39" s="53" t="s">
        <v>253</v>
      </c>
      <c r="H39" s="53"/>
    </row>
    <row r="40" spans="3:11" x14ac:dyDescent="0.25">
      <c r="C40" s="52"/>
      <c r="D40" s="53"/>
      <c r="E40" s="53"/>
      <c r="F40" s="53"/>
      <c r="G40" s="53" t="s">
        <v>254</v>
      </c>
      <c r="H40" s="53"/>
    </row>
    <row r="41" spans="3:11" x14ac:dyDescent="0.25">
      <c r="C41" s="52"/>
      <c r="D41" s="53"/>
      <c r="E41" s="53"/>
      <c r="F41" s="53"/>
      <c r="G41" s="53"/>
      <c r="H41" s="53"/>
    </row>
    <row r="43" spans="3:11" x14ac:dyDescent="0.25">
      <c r="C43" t="s">
        <v>255</v>
      </c>
    </row>
    <row r="44" spans="3:11" x14ac:dyDescent="0.25">
      <c r="C44" t="s">
        <v>174</v>
      </c>
      <c r="D44" t="s">
        <v>256</v>
      </c>
    </row>
    <row r="45" spans="3:11" x14ac:dyDescent="0.25">
      <c r="D45" t="s">
        <v>257</v>
      </c>
    </row>
    <row r="46" spans="3:11" x14ac:dyDescent="0.25">
      <c r="D46" t="s">
        <v>258</v>
      </c>
    </row>
    <row r="47" spans="3:11" x14ac:dyDescent="0.25">
      <c r="D47" t="s">
        <v>259</v>
      </c>
    </row>
    <row r="48" spans="3:11" x14ac:dyDescent="0.25">
      <c r="D48" t="s">
        <v>260</v>
      </c>
    </row>
    <row r="49" spans="3:4" x14ac:dyDescent="0.25">
      <c r="C49" t="s">
        <v>181</v>
      </c>
      <c r="D49" t="s">
        <v>261</v>
      </c>
    </row>
    <row r="50" spans="3:4" x14ac:dyDescent="0.25">
      <c r="D50" t="s">
        <v>262</v>
      </c>
    </row>
    <row r="51" spans="3:4" x14ac:dyDescent="0.25">
      <c r="D51" t="s">
        <v>263</v>
      </c>
    </row>
    <row r="52" spans="3:4" x14ac:dyDescent="0.25">
      <c r="D52" t="s">
        <v>266</v>
      </c>
    </row>
    <row r="53" spans="3:4" x14ac:dyDescent="0.25">
      <c r="D53" t="s">
        <v>264</v>
      </c>
    </row>
    <row r="54" spans="3:4" x14ac:dyDescent="0.25">
      <c r="D54" t="s">
        <v>265</v>
      </c>
    </row>
    <row r="55" spans="3:4" x14ac:dyDescent="0.25">
      <c r="D55" t="s">
        <v>267</v>
      </c>
    </row>
    <row r="56" spans="3:4" x14ac:dyDescent="0.25">
      <c r="D56" t="s">
        <v>268</v>
      </c>
    </row>
    <row r="57" spans="3:4" x14ac:dyDescent="0.25">
      <c r="D57" t="s">
        <v>269</v>
      </c>
    </row>
    <row r="58" spans="3:4" x14ac:dyDescent="0.25">
      <c r="D58" t="s">
        <v>271</v>
      </c>
    </row>
    <row r="59" spans="3:4" x14ac:dyDescent="0.25">
      <c r="D59" t="s">
        <v>280</v>
      </c>
    </row>
    <row r="60" spans="3:4" x14ac:dyDescent="0.25">
      <c r="C60" t="s">
        <v>196</v>
      </c>
      <c r="D60" t="s">
        <v>272</v>
      </c>
    </row>
    <row r="61" spans="3:4" x14ac:dyDescent="0.25">
      <c r="D61" t="s">
        <v>270</v>
      </c>
    </row>
    <row r="62" spans="3:4" x14ac:dyDescent="0.25">
      <c r="D62" t="s">
        <v>260</v>
      </c>
    </row>
    <row r="63" spans="3:4" x14ac:dyDescent="0.25">
      <c r="D63" t="s">
        <v>273</v>
      </c>
    </row>
    <row r="64" spans="3:4" x14ac:dyDescent="0.25">
      <c r="D64" t="s">
        <v>274</v>
      </c>
    </row>
    <row r="65" spans="3:4" x14ac:dyDescent="0.25">
      <c r="D65" t="s">
        <v>275</v>
      </c>
    </row>
    <row r="66" spans="3:4" x14ac:dyDescent="0.25">
      <c r="D66" t="s">
        <v>276</v>
      </c>
    </row>
    <row r="67" spans="3:4" x14ac:dyDescent="0.25">
      <c r="C67" t="s">
        <v>191</v>
      </c>
      <c r="D67" t="s">
        <v>277</v>
      </c>
    </row>
    <row r="68" spans="3:4" x14ac:dyDescent="0.25">
      <c r="D68" t="s">
        <v>278</v>
      </c>
    </row>
    <row r="69" spans="3:4" x14ac:dyDescent="0.25">
      <c r="D69" t="s">
        <v>279</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topLeftCell="A43"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57">
        <v>1</v>
      </c>
      <c r="C2" s="60" t="s">
        <v>285</v>
      </c>
    </row>
    <row r="3" spans="2:3" x14ac:dyDescent="0.25">
      <c r="B3" s="57">
        <v>2</v>
      </c>
      <c r="C3" s="58" t="s">
        <v>286</v>
      </c>
    </row>
    <row r="4" spans="2:3" x14ac:dyDescent="0.25">
      <c r="B4" s="57">
        <v>3</v>
      </c>
      <c r="C4" s="59" t="s">
        <v>287</v>
      </c>
    </row>
    <row r="5" spans="2:3" x14ac:dyDescent="0.25">
      <c r="B5" s="57">
        <v>4</v>
      </c>
      <c r="C5" s="58" t="s">
        <v>288</v>
      </c>
    </row>
    <row r="6" spans="2:3" x14ac:dyDescent="0.25">
      <c r="B6" s="57">
        <v>5</v>
      </c>
      <c r="C6" s="59" t="s">
        <v>289</v>
      </c>
    </row>
    <row r="7" spans="2:3" ht="30" x14ac:dyDescent="0.25">
      <c r="B7" s="57">
        <v>6</v>
      </c>
      <c r="C7" s="58" t="s">
        <v>290</v>
      </c>
    </row>
    <row r="8" spans="2:3" ht="75" x14ac:dyDescent="0.25">
      <c r="B8" s="57">
        <v>7</v>
      </c>
      <c r="C8" s="58" t="s">
        <v>291</v>
      </c>
    </row>
    <row r="9" spans="2:3" x14ac:dyDescent="0.25">
      <c r="B9" s="57">
        <v>8</v>
      </c>
      <c r="C9" s="59" t="s">
        <v>292</v>
      </c>
    </row>
    <row r="10" spans="2:3" x14ac:dyDescent="0.25">
      <c r="B10" s="57">
        <v>9</v>
      </c>
      <c r="C10" s="59" t="s">
        <v>293</v>
      </c>
    </row>
    <row r="11" spans="2:3" x14ac:dyDescent="0.25">
      <c r="B11" s="57">
        <v>10</v>
      </c>
      <c r="C11" s="59" t="s">
        <v>294</v>
      </c>
    </row>
    <row r="12" spans="2:3" x14ac:dyDescent="0.25">
      <c r="B12" s="57">
        <v>11</v>
      </c>
      <c r="C12" s="59" t="s">
        <v>295</v>
      </c>
    </row>
    <row r="13" spans="2:3" x14ac:dyDescent="0.25">
      <c r="B13" s="57">
        <v>12</v>
      </c>
      <c r="C13" s="59" t="s">
        <v>296</v>
      </c>
    </row>
    <row r="14" spans="2:3" x14ac:dyDescent="0.25">
      <c r="B14" s="57">
        <v>13</v>
      </c>
      <c r="C14" s="59" t="s">
        <v>297</v>
      </c>
    </row>
    <row r="15" spans="2:3" x14ac:dyDescent="0.25">
      <c r="B15" s="57">
        <v>14</v>
      </c>
      <c r="C15" s="59" t="s">
        <v>287</v>
      </c>
    </row>
    <row r="16" spans="2:3" x14ac:dyDescent="0.25">
      <c r="B16" s="57">
        <v>15</v>
      </c>
      <c r="C16" s="59" t="s">
        <v>300</v>
      </c>
    </row>
    <row r="17" spans="2:3" x14ac:dyDescent="0.25">
      <c r="B17" s="83">
        <v>16</v>
      </c>
      <c r="C17" s="66" t="s">
        <v>301</v>
      </c>
    </row>
    <row r="18" spans="2:3" x14ac:dyDescent="0.25">
      <c r="B18" s="65">
        <v>17</v>
      </c>
      <c r="C18" s="66" t="s">
        <v>302</v>
      </c>
    </row>
    <row r="19" spans="2:3" x14ac:dyDescent="0.25">
      <c r="B19" s="64">
        <v>18</v>
      </c>
      <c r="C19" s="57" t="s">
        <v>303</v>
      </c>
    </row>
    <row r="20" spans="2:3" x14ac:dyDescent="0.25">
      <c r="B20" s="65">
        <v>19</v>
      </c>
      <c r="C20" s="57" t="s">
        <v>339</v>
      </c>
    </row>
    <row r="21" spans="2:3" x14ac:dyDescent="0.25">
      <c r="B21" s="67">
        <v>20</v>
      </c>
      <c r="C21" s="57" t="s">
        <v>304</v>
      </c>
    </row>
    <row r="22" spans="2:3" x14ac:dyDescent="0.25">
      <c r="B22" s="65">
        <v>21</v>
      </c>
      <c r="C22" s="57" t="s">
        <v>303</v>
      </c>
    </row>
    <row r="23" spans="2:3" s="75" customFormat="1" ht="29.25" customHeight="1" x14ac:dyDescent="0.25">
      <c r="B23" s="74">
        <v>22</v>
      </c>
      <c r="C23" s="60" t="s">
        <v>331</v>
      </c>
    </row>
    <row r="24" spans="2:3" s="75" customFormat="1" ht="30.75" customHeight="1" x14ac:dyDescent="0.25">
      <c r="B24" s="76">
        <v>23</v>
      </c>
      <c r="C24" s="60" t="s">
        <v>332</v>
      </c>
    </row>
    <row r="25" spans="2:3" x14ac:dyDescent="0.25">
      <c r="B25" s="67">
        <v>24</v>
      </c>
      <c r="C25" s="57" t="s">
        <v>335</v>
      </c>
    </row>
    <row r="26" spans="2:3" x14ac:dyDescent="0.25">
      <c r="B26" s="65">
        <v>25</v>
      </c>
      <c r="C26" s="57" t="s">
        <v>333</v>
      </c>
    </row>
    <row r="27" spans="2:3" x14ac:dyDescent="0.25">
      <c r="B27" s="76">
        <v>26</v>
      </c>
      <c r="C27" s="67" t="s">
        <v>334</v>
      </c>
    </row>
    <row r="28" spans="2:3" x14ac:dyDescent="0.25">
      <c r="B28" s="77">
        <v>27</v>
      </c>
      <c r="C28" s="57" t="s">
        <v>336</v>
      </c>
    </row>
    <row r="29" spans="2:3" ht="60" x14ac:dyDescent="0.25">
      <c r="B29" s="82">
        <v>28</v>
      </c>
      <c r="C29" s="58" t="s">
        <v>337</v>
      </c>
    </row>
    <row r="30" spans="2:3" x14ac:dyDescent="0.25">
      <c r="B30" s="76">
        <v>29</v>
      </c>
      <c r="C30" s="57" t="s">
        <v>338</v>
      </c>
    </row>
    <row r="31" spans="2:3" ht="30" x14ac:dyDescent="0.25">
      <c r="B31" s="84">
        <v>30</v>
      </c>
      <c r="C31" s="58" t="s">
        <v>340</v>
      </c>
    </row>
    <row r="32" spans="2:3" x14ac:dyDescent="0.25">
      <c r="B32" s="76">
        <v>31</v>
      </c>
      <c r="C32" s="57" t="s">
        <v>341</v>
      </c>
    </row>
    <row r="33" spans="2:3" x14ac:dyDescent="0.25">
      <c r="B33" s="76">
        <v>32</v>
      </c>
      <c r="C33" s="57" t="s">
        <v>342</v>
      </c>
    </row>
    <row r="34" spans="2:3" ht="36.75" customHeight="1" x14ac:dyDescent="0.25">
      <c r="B34" s="84">
        <v>33</v>
      </c>
      <c r="C34" s="66" t="s">
        <v>343</v>
      </c>
    </row>
    <row r="35" spans="2:3" x14ac:dyDescent="0.25">
      <c r="B35" s="89">
        <v>34</v>
      </c>
      <c r="C35" s="57" t="s">
        <v>352</v>
      </c>
    </row>
    <row r="36" spans="2:3" ht="60" x14ac:dyDescent="0.25">
      <c r="B36" s="74">
        <v>35</v>
      </c>
      <c r="C36" s="58" t="s">
        <v>356</v>
      </c>
    </row>
    <row r="37" spans="2:3" x14ac:dyDescent="0.25">
      <c r="B37" s="57"/>
      <c r="C37" s="57"/>
    </row>
    <row r="38" spans="2:3" x14ac:dyDescent="0.25">
      <c r="B38" s="57"/>
      <c r="C38" s="57"/>
    </row>
    <row r="39" spans="2:3" x14ac:dyDescent="0.25">
      <c r="B39" s="57"/>
      <c r="C39" s="57"/>
    </row>
    <row r="40" spans="2:3" x14ac:dyDescent="0.25">
      <c r="B40" s="57"/>
      <c r="C40" s="57"/>
    </row>
    <row r="41" spans="2:3" x14ac:dyDescent="0.25">
      <c r="B41" s="57"/>
      <c r="C41" s="57"/>
    </row>
    <row r="42" spans="2:3" x14ac:dyDescent="0.25">
      <c r="B42" s="57"/>
      <c r="C42" s="57"/>
    </row>
    <row r="43" spans="2:3" x14ac:dyDescent="0.25">
      <c r="B43" s="57"/>
      <c r="C43" s="57"/>
    </row>
    <row r="44" spans="2:3" x14ac:dyDescent="0.25">
      <c r="B44" s="57"/>
      <c r="C44"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37" workbookViewId="0">
      <selection sqref="A1:XFD1048576"/>
    </sheetView>
  </sheetViews>
  <sheetFormatPr defaultColWidth="9.140625" defaultRowHeight="15" x14ac:dyDescent="0.25"/>
  <cols>
    <col min="1" max="1" width="9.140625" style="52"/>
    <col min="2" max="2" width="12.28515625" style="52" customWidth="1"/>
    <col min="3" max="16384" width="9.140625" style="52"/>
  </cols>
  <sheetData>
    <row r="2" spans="1:12" x14ac:dyDescent="0.25">
      <c r="B2" s="68" t="s">
        <v>305</v>
      </c>
      <c r="C2" s="299"/>
      <c r="D2" s="299"/>
    </row>
    <row r="3" spans="1:12" x14ac:dyDescent="0.25">
      <c r="D3" s="69"/>
      <c r="E3" s="69"/>
      <c r="F3" s="69"/>
      <c r="G3" s="69"/>
      <c r="H3" s="69"/>
      <c r="I3" s="69"/>
    </row>
    <row r="4" spans="1:12" x14ac:dyDescent="0.25">
      <c r="A4" s="68" t="s">
        <v>66</v>
      </c>
      <c r="B4" s="70" t="s">
        <v>306</v>
      </c>
      <c r="C4" s="300" t="s">
        <v>307</v>
      </c>
      <c r="D4" s="300"/>
      <c r="E4" s="300"/>
      <c r="F4" s="70"/>
      <c r="G4" s="301" t="s">
        <v>308</v>
      </c>
      <c r="H4" s="301"/>
      <c r="I4" s="301"/>
      <c r="J4" s="302" t="s">
        <v>309</v>
      </c>
      <c r="K4" s="302"/>
      <c r="L4" s="302"/>
    </row>
    <row r="5" spans="1:12" x14ac:dyDescent="0.25">
      <c r="A5" s="68"/>
      <c r="B5" s="70"/>
      <c r="C5" s="70" t="s">
        <v>310</v>
      </c>
      <c r="D5" s="70" t="s">
        <v>311</v>
      </c>
      <c r="E5" s="70" t="s">
        <v>312</v>
      </c>
      <c r="F5" s="70"/>
      <c r="G5" s="70" t="s">
        <v>310</v>
      </c>
      <c r="H5" s="70" t="s">
        <v>311</v>
      </c>
      <c r="I5" s="70" t="s">
        <v>312</v>
      </c>
      <c r="J5" s="70" t="s">
        <v>310</v>
      </c>
      <c r="K5" s="70" t="s">
        <v>311</v>
      </c>
      <c r="L5" s="70" t="s">
        <v>312</v>
      </c>
    </row>
    <row r="6" spans="1:12" x14ac:dyDescent="0.25">
      <c r="B6" s="53" t="s">
        <v>313</v>
      </c>
      <c r="C6" s="53"/>
      <c r="D6" s="53"/>
      <c r="E6" s="53">
        <f>C6*D6</f>
        <v>0</v>
      </c>
      <c r="F6" s="53" t="s">
        <v>330</v>
      </c>
      <c r="G6" s="53"/>
      <c r="H6" s="53"/>
      <c r="I6" s="53">
        <f>G6*H6</f>
        <v>0</v>
      </c>
      <c r="J6" s="53"/>
      <c r="K6" s="53"/>
      <c r="L6" s="53">
        <f>J6*K6</f>
        <v>0</v>
      </c>
    </row>
    <row r="7" spans="1:12" x14ac:dyDescent="0.25">
      <c r="B7" s="53"/>
      <c r="C7" s="53"/>
      <c r="D7" s="53"/>
      <c r="E7" s="53">
        <f t="shared" ref="E7:E41" si="0">C7*D7</f>
        <v>0</v>
      </c>
      <c r="F7" s="53" t="s">
        <v>330</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314</v>
      </c>
      <c r="G9" s="53"/>
      <c r="H9" s="53"/>
      <c r="I9" s="53">
        <f t="shared" si="1"/>
        <v>0</v>
      </c>
      <c r="J9" s="53"/>
      <c r="K9" s="53"/>
      <c r="L9" s="53">
        <f t="shared" si="2"/>
        <v>0</v>
      </c>
    </row>
    <row r="10" spans="1:12" x14ac:dyDescent="0.25">
      <c r="B10" s="53" t="s">
        <v>315</v>
      </c>
      <c r="C10" s="53"/>
      <c r="D10" s="53"/>
      <c r="E10" s="53">
        <f t="shared" si="0"/>
        <v>0</v>
      </c>
      <c r="F10" s="53" t="s">
        <v>314</v>
      </c>
      <c r="G10" s="53"/>
      <c r="H10" s="53"/>
      <c r="I10" s="53">
        <f t="shared" si="1"/>
        <v>0</v>
      </c>
      <c r="J10" s="53"/>
      <c r="K10" s="53"/>
      <c r="L10" s="53">
        <f t="shared" si="2"/>
        <v>0</v>
      </c>
    </row>
    <row r="11" spans="1:12" x14ac:dyDescent="0.25">
      <c r="B11" s="53"/>
      <c r="C11" s="53"/>
      <c r="D11" s="53"/>
      <c r="E11" s="53">
        <f t="shared" si="0"/>
        <v>0</v>
      </c>
      <c r="F11" s="53" t="s">
        <v>316</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317</v>
      </c>
      <c r="C14" s="53"/>
      <c r="D14" s="53"/>
      <c r="E14" s="53">
        <f t="shared" si="0"/>
        <v>0</v>
      </c>
      <c r="F14" s="53" t="s">
        <v>314</v>
      </c>
      <c r="G14" s="53"/>
      <c r="H14" s="53"/>
      <c r="I14" s="53">
        <f t="shared" si="1"/>
        <v>0</v>
      </c>
      <c r="J14" s="53"/>
      <c r="K14" s="53"/>
      <c r="L14" s="53">
        <f t="shared" si="2"/>
        <v>0</v>
      </c>
    </row>
    <row r="15" spans="1:12" x14ac:dyDescent="0.25">
      <c r="B15" s="53"/>
      <c r="C15" s="53"/>
      <c r="D15" s="53"/>
      <c r="E15" s="53">
        <f t="shared" si="0"/>
        <v>0</v>
      </c>
      <c r="F15" s="53" t="s">
        <v>316</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318</v>
      </c>
      <c r="C18" s="53"/>
      <c r="D18" s="53"/>
      <c r="E18" s="53">
        <f t="shared" si="0"/>
        <v>0</v>
      </c>
      <c r="F18" s="53" t="s">
        <v>314</v>
      </c>
      <c r="G18" s="53"/>
      <c r="H18" s="53"/>
      <c r="I18" s="53">
        <f t="shared" si="1"/>
        <v>0</v>
      </c>
      <c r="J18" s="53"/>
      <c r="K18" s="53"/>
      <c r="L18" s="53">
        <f t="shared" si="2"/>
        <v>0</v>
      </c>
    </row>
    <row r="19" spans="2:12" x14ac:dyDescent="0.25">
      <c r="B19" s="53"/>
      <c r="C19" s="53"/>
      <c r="D19" s="53"/>
      <c r="E19" s="53">
        <f t="shared" si="0"/>
        <v>0</v>
      </c>
      <c r="F19" s="53" t="s">
        <v>316</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319</v>
      </c>
      <c r="C21" s="53"/>
      <c r="D21" s="53"/>
      <c r="E21" s="53">
        <f t="shared" si="0"/>
        <v>0</v>
      </c>
      <c r="F21" s="53" t="s">
        <v>314</v>
      </c>
      <c r="G21" s="53"/>
      <c r="H21" s="53"/>
      <c r="I21" s="53">
        <f t="shared" si="1"/>
        <v>0</v>
      </c>
      <c r="J21" s="53"/>
      <c r="K21" s="53"/>
      <c r="L21" s="53">
        <f t="shared" si="2"/>
        <v>0</v>
      </c>
    </row>
    <row r="22" spans="2:12" x14ac:dyDescent="0.25">
      <c r="B22" s="53"/>
      <c r="C22" s="53"/>
      <c r="D22" s="53"/>
      <c r="E22" s="53">
        <f t="shared" si="0"/>
        <v>0</v>
      </c>
      <c r="F22" s="53" t="s">
        <v>316</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320</v>
      </c>
      <c r="C24" s="53"/>
      <c r="D24" s="53"/>
      <c r="E24" s="53">
        <f t="shared" si="0"/>
        <v>0</v>
      </c>
      <c r="F24" s="53" t="s">
        <v>321</v>
      </c>
      <c r="G24" s="53"/>
      <c r="H24" s="53"/>
      <c r="I24" s="53">
        <f t="shared" si="1"/>
        <v>0</v>
      </c>
      <c r="J24" s="53"/>
      <c r="K24" s="53"/>
      <c r="L24" s="53">
        <f t="shared" si="2"/>
        <v>0</v>
      </c>
    </row>
    <row r="25" spans="2:12" x14ac:dyDescent="0.25">
      <c r="B25" s="53"/>
      <c r="C25" s="53"/>
      <c r="D25" s="53"/>
      <c r="E25" s="53">
        <f>C25*D25</f>
        <v>0</v>
      </c>
      <c r="F25" s="53" t="s">
        <v>321</v>
      </c>
      <c r="G25" s="53"/>
      <c r="H25" s="53"/>
      <c r="I25" s="53">
        <f>G25*H25</f>
        <v>0</v>
      </c>
      <c r="J25" s="53"/>
      <c r="K25" s="53"/>
      <c r="L25" s="53">
        <f>J25*K25</f>
        <v>0</v>
      </c>
    </row>
    <row r="26" spans="2:12" x14ac:dyDescent="0.25">
      <c r="B26" s="53"/>
      <c r="C26" s="53"/>
      <c r="D26" s="53"/>
      <c r="E26" s="53">
        <f>C26*D26</f>
        <v>0</v>
      </c>
      <c r="F26" s="53" t="s">
        <v>321</v>
      </c>
      <c r="G26" s="53"/>
      <c r="H26" s="53"/>
      <c r="I26" s="53">
        <f>G26*H26</f>
        <v>0</v>
      </c>
      <c r="J26" s="53"/>
      <c r="K26" s="53"/>
      <c r="L26" s="53">
        <f>J26*K26</f>
        <v>0</v>
      </c>
    </row>
    <row r="27" spans="2:12" x14ac:dyDescent="0.25">
      <c r="B27" s="53"/>
      <c r="C27" s="53"/>
      <c r="D27" s="53"/>
      <c r="E27" s="53">
        <f>C27*D27</f>
        <v>0</v>
      </c>
      <c r="F27" s="53" t="s">
        <v>321</v>
      </c>
      <c r="G27" s="53"/>
      <c r="H27" s="53"/>
      <c r="I27" s="53">
        <f>G27*H27</f>
        <v>0</v>
      </c>
      <c r="J27" s="53"/>
      <c r="K27" s="53"/>
      <c r="L27" s="53">
        <f>J27*K27</f>
        <v>0</v>
      </c>
    </row>
    <row r="28" spans="2:12" x14ac:dyDescent="0.25">
      <c r="B28" s="53" t="s">
        <v>322</v>
      </c>
      <c r="C28" s="53"/>
      <c r="D28" s="53"/>
      <c r="E28" s="53">
        <f t="shared" si="0"/>
        <v>0</v>
      </c>
      <c r="F28" s="53" t="s">
        <v>321</v>
      </c>
      <c r="G28" s="53"/>
      <c r="H28" s="53"/>
      <c r="I28" s="53">
        <f t="shared" si="1"/>
        <v>0</v>
      </c>
      <c r="J28" s="53"/>
      <c r="K28" s="53"/>
      <c r="L28" s="53">
        <f t="shared" si="2"/>
        <v>0</v>
      </c>
    </row>
    <row r="29" spans="2:12" x14ac:dyDescent="0.25">
      <c r="B29" s="53" t="s">
        <v>323</v>
      </c>
      <c r="C29" s="53"/>
      <c r="D29" s="53"/>
      <c r="E29" s="53">
        <f t="shared" si="0"/>
        <v>0</v>
      </c>
      <c r="F29" s="53" t="s">
        <v>321</v>
      </c>
      <c r="G29" s="53"/>
      <c r="H29" s="53"/>
      <c r="I29" s="53">
        <f t="shared" si="1"/>
        <v>0</v>
      </c>
      <c r="J29" s="53"/>
      <c r="K29" s="53"/>
      <c r="L29" s="53">
        <f t="shared" si="2"/>
        <v>0</v>
      </c>
    </row>
    <row r="30" spans="2:12" x14ac:dyDescent="0.25">
      <c r="B30" s="53" t="s">
        <v>327</v>
      </c>
      <c r="C30" s="53"/>
      <c r="D30" s="53"/>
      <c r="E30" s="53">
        <f t="shared" si="0"/>
        <v>0</v>
      </c>
      <c r="F30" s="53"/>
      <c r="G30" s="53"/>
      <c r="H30" s="53"/>
      <c r="I30" s="53">
        <f t="shared" si="1"/>
        <v>0</v>
      </c>
      <c r="J30" s="53"/>
      <c r="K30" s="53"/>
      <c r="L30" s="53">
        <f t="shared" si="2"/>
        <v>0</v>
      </c>
    </row>
    <row r="31" spans="2:12" x14ac:dyDescent="0.25">
      <c r="B31" s="53"/>
      <c r="C31" s="53"/>
      <c r="D31" s="53"/>
      <c r="E31" s="53">
        <f>C31*D31</f>
        <v>0</v>
      </c>
      <c r="F31" s="53"/>
      <c r="G31" s="53"/>
      <c r="H31" s="53"/>
      <c r="I31" s="53">
        <f>G31*H31</f>
        <v>0</v>
      </c>
      <c r="J31" s="53"/>
      <c r="K31" s="53"/>
      <c r="L31" s="53">
        <f>J31*K31</f>
        <v>0</v>
      </c>
    </row>
    <row r="32" spans="2:12" x14ac:dyDescent="0.25">
      <c r="B32" s="53"/>
      <c r="C32" s="53"/>
      <c r="D32" s="53"/>
      <c r="E32" s="53">
        <f>C32*D32</f>
        <v>0</v>
      </c>
      <c r="F32" s="53"/>
      <c r="G32" s="53"/>
      <c r="H32" s="53"/>
      <c r="I32" s="53">
        <f>G32*H32</f>
        <v>0</v>
      </c>
      <c r="J32" s="53"/>
      <c r="K32" s="53"/>
      <c r="L32" s="53">
        <f>J32*K32</f>
        <v>0</v>
      </c>
    </row>
    <row r="33" spans="2:12" x14ac:dyDescent="0.25">
      <c r="B33" s="53" t="s">
        <v>324</v>
      </c>
      <c r="C33" s="53"/>
      <c r="D33" s="53"/>
      <c r="E33" s="53">
        <f t="shared" si="0"/>
        <v>0</v>
      </c>
      <c r="F33" s="53"/>
      <c r="G33" s="53"/>
      <c r="H33" s="53"/>
      <c r="I33" s="53">
        <f t="shared" si="1"/>
        <v>0</v>
      </c>
      <c r="J33" s="53"/>
      <c r="K33" s="53"/>
      <c r="L33" s="53">
        <f t="shared" si="2"/>
        <v>0</v>
      </c>
    </row>
    <row r="34" spans="2:12" x14ac:dyDescent="0.25">
      <c r="B34" s="53" t="s">
        <v>328</v>
      </c>
      <c r="C34" s="53"/>
      <c r="D34" s="53"/>
      <c r="E34" s="53">
        <f t="shared" si="0"/>
        <v>0</v>
      </c>
      <c r="F34" s="53"/>
      <c r="G34" s="53"/>
      <c r="H34" s="53"/>
      <c r="I34" s="53">
        <f t="shared" si="1"/>
        <v>0</v>
      </c>
      <c r="J34" s="53"/>
      <c r="K34" s="53"/>
      <c r="L34" s="53">
        <f t="shared" si="2"/>
        <v>0</v>
      </c>
    </row>
    <row r="35" spans="2:12" x14ac:dyDescent="0.25">
      <c r="B35" s="53" t="s">
        <v>325</v>
      </c>
      <c r="C35" s="53"/>
      <c r="D35" s="53"/>
      <c r="E35" s="53">
        <f t="shared" si="0"/>
        <v>0</v>
      </c>
      <c r="F35" s="53"/>
      <c r="G35" s="53"/>
      <c r="H35" s="53"/>
      <c r="I35" s="53">
        <f t="shared" si="1"/>
        <v>0</v>
      </c>
      <c r="J35" s="53"/>
      <c r="K35" s="53"/>
      <c r="L35" s="53">
        <f t="shared" si="2"/>
        <v>0</v>
      </c>
    </row>
    <row r="36" spans="2:12" x14ac:dyDescent="0.25">
      <c r="B36" s="53" t="s">
        <v>326</v>
      </c>
      <c r="C36" s="53"/>
      <c r="D36" s="53"/>
      <c r="E36" s="53">
        <f t="shared" si="0"/>
        <v>0</v>
      </c>
      <c r="F36" s="53"/>
      <c r="G36" s="53"/>
      <c r="H36" s="53"/>
      <c r="I36" s="53">
        <f t="shared" ref="I36:I41" si="3">G36*H36</f>
        <v>0</v>
      </c>
      <c r="J36" s="53"/>
      <c r="K36" s="53"/>
      <c r="L36" s="53">
        <f t="shared" ref="L36:L41" si="4">J36*K36</f>
        <v>0</v>
      </c>
    </row>
    <row r="37" spans="2:12" x14ac:dyDescent="0.25">
      <c r="B37" s="53"/>
      <c r="C37" s="53"/>
      <c r="D37" s="53"/>
      <c r="E37" s="53">
        <f>C37*D37</f>
        <v>0</v>
      </c>
      <c r="F37" s="53"/>
      <c r="G37" s="53"/>
      <c r="H37" s="53"/>
      <c r="I37" s="53">
        <f t="shared" si="3"/>
        <v>0</v>
      </c>
      <c r="J37" s="53"/>
      <c r="K37" s="53"/>
      <c r="L37" s="53">
        <f t="shared" si="4"/>
        <v>0</v>
      </c>
    </row>
    <row r="38" spans="2:12" x14ac:dyDescent="0.25">
      <c r="B38" s="53" t="s">
        <v>329</v>
      </c>
      <c r="C38" s="53"/>
      <c r="D38" s="53"/>
      <c r="E38" s="53">
        <f>C38*D38</f>
        <v>0</v>
      </c>
      <c r="F38" s="53"/>
      <c r="G38" s="53"/>
      <c r="H38" s="53"/>
      <c r="I38" s="53">
        <f t="shared" si="3"/>
        <v>0</v>
      </c>
      <c r="J38" s="53"/>
      <c r="K38" s="53"/>
      <c r="L38" s="53">
        <f t="shared" si="4"/>
        <v>0</v>
      </c>
    </row>
    <row r="39" spans="2:12" x14ac:dyDescent="0.25">
      <c r="B39" s="53"/>
      <c r="C39" s="53"/>
      <c r="D39" s="53"/>
      <c r="E39" s="53">
        <f t="shared" si="0"/>
        <v>0</v>
      </c>
      <c r="F39" s="53"/>
      <c r="G39" s="53"/>
      <c r="H39" s="53"/>
      <c r="I39" s="53">
        <f t="shared" si="3"/>
        <v>0</v>
      </c>
      <c r="J39" s="53"/>
      <c r="K39" s="53"/>
      <c r="L39" s="53">
        <f t="shared" si="4"/>
        <v>0</v>
      </c>
    </row>
    <row r="40" spans="2:12" x14ac:dyDescent="0.25">
      <c r="B40" s="53"/>
      <c r="C40" s="53"/>
      <c r="D40" s="53"/>
      <c r="E40" s="53">
        <f t="shared" si="0"/>
        <v>0</v>
      </c>
      <c r="F40" s="53"/>
      <c r="G40" s="53"/>
      <c r="H40" s="53"/>
      <c r="I40" s="53">
        <f t="shared" si="3"/>
        <v>0</v>
      </c>
      <c r="J40" s="53"/>
      <c r="K40" s="53"/>
      <c r="L40" s="53">
        <f t="shared" si="4"/>
        <v>0</v>
      </c>
    </row>
    <row r="41" spans="2:12" x14ac:dyDescent="0.25">
      <c r="B41" s="53"/>
      <c r="C41" s="53"/>
      <c r="D41" s="53"/>
      <c r="E41" s="53">
        <f t="shared" si="0"/>
        <v>0</v>
      </c>
      <c r="F41" s="53"/>
      <c r="G41" s="53"/>
      <c r="H41" s="53"/>
      <c r="I41" s="53">
        <f t="shared" si="3"/>
        <v>0</v>
      </c>
      <c r="J41" s="53"/>
      <c r="K41" s="53"/>
      <c r="L41" s="53">
        <f t="shared" si="4"/>
        <v>0</v>
      </c>
    </row>
    <row r="42" spans="2:12" x14ac:dyDescent="0.25">
      <c r="B42" s="53" t="s">
        <v>150</v>
      </c>
      <c r="C42" s="53"/>
      <c r="D42" s="53">
        <f>E42*10.764</f>
        <v>0</v>
      </c>
      <c r="E42" s="73">
        <f>SUM(E6:E41)</f>
        <v>0</v>
      </c>
      <c r="F42" s="53"/>
      <c r="G42" s="53"/>
      <c r="H42" s="53">
        <f>I42*10.764</f>
        <v>0</v>
      </c>
      <c r="I42" s="72">
        <f>SUM(I6:I41)</f>
        <v>0</v>
      </c>
      <c r="J42" s="53"/>
      <c r="K42" s="53">
        <f>L42*10.764</f>
        <v>0</v>
      </c>
      <c r="L42" s="71">
        <f>SUM(L6:L41)</f>
        <v>0</v>
      </c>
    </row>
    <row r="44" spans="2:12" x14ac:dyDescent="0.2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2025-09-10T09:10:52Z</cp:lastPrinted>
  <dcterms:created xsi:type="dcterms:W3CDTF">2019-07-16T09:29:46Z</dcterms:created>
  <dcterms:modified xsi:type="dcterms:W3CDTF">2025-09-10T09:12:27Z</dcterms:modified>
</cp:coreProperties>
</file>