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0490" windowHeight="7020" tabRatio="855"/>
  </bookViews>
  <sheets>
    <sheet name="Report" sheetId="16" r:id="rId1"/>
    <sheet name="if Stilt - C%" sheetId="14" r:id="rId2"/>
    <sheet name="if Ground - C%" sheetId="15" r:id="rId3"/>
    <sheet name="Wing A" sheetId="11" r:id="rId4"/>
    <sheet name="Wing B" sheetId="12" r:id="rId5"/>
    <sheet name="Wing C" sheetId="13" r:id="rId6"/>
  </sheets>
  <definedNames>
    <definedName name="_xlnm.Print_Area" localSheetId="0">Report!$A$1:$J$243</definedName>
  </definedNames>
  <calcPr calcId="144525"/>
</workbook>
</file>

<file path=xl/calcChain.xml><?xml version="1.0" encoding="utf-8"?>
<calcChain xmlns="http://schemas.openxmlformats.org/spreadsheetml/2006/main">
  <c r="L68" i="16" l="1"/>
  <c r="L67" i="16"/>
  <c r="L66" i="16"/>
  <c r="N65" i="16"/>
  <c r="L65" i="16"/>
  <c r="I58" i="16"/>
  <c r="D65" i="16" l="1"/>
  <c r="D63" i="16"/>
  <c r="D70" i="16"/>
  <c r="D68" i="16"/>
  <c r="D66" i="16"/>
  <c r="L62" i="16"/>
  <c r="C61" i="16" s="1"/>
  <c r="D61" i="16" s="1"/>
  <c r="L60" i="16"/>
  <c r="D64" i="16"/>
  <c r="D69" i="16"/>
  <c r="D67" i="16"/>
  <c r="L63" i="16"/>
  <c r="L64" i="16" s="1"/>
  <c r="L69" i="16" s="1"/>
  <c r="L70" i="16" s="1"/>
  <c r="C62" i="16" s="1"/>
  <c r="L61" i="16"/>
  <c r="C14" i="16"/>
  <c r="H105" i="16"/>
  <c r="F61" i="16" l="1"/>
  <c r="K57" i="16" s="1"/>
  <c r="C59" i="16" s="1"/>
  <c r="D62" i="16"/>
  <c r="H61" i="16"/>
  <c r="F3" i="16"/>
  <c r="E76" i="16" l="1"/>
  <c r="K126" i="16"/>
  <c r="E84" i="16"/>
  <c r="E83" i="16"/>
  <c r="L82" i="16"/>
  <c r="E82" i="16"/>
  <c r="L81" i="16"/>
  <c r="E81" i="16"/>
  <c r="L80" i="16"/>
  <c r="E80" i="16"/>
  <c r="L79" i="16"/>
  <c r="E79" i="16"/>
  <c r="E78" i="16"/>
  <c r="E77" i="16"/>
  <c r="E75" i="16"/>
  <c r="I72" i="16"/>
  <c r="L71" i="16" l="1"/>
  <c r="L73" i="16" s="1"/>
  <c r="G75" i="16"/>
  <c r="G83" i="16"/>
  <c r="G79" i="16"/>
  <c r="L76" i="16"/>
  <c r="L74" i="16"/>
  <c r="L75" i="16"/>
  <c r="G84" i="16"/>
  <c r="G80" i="16"/>
  <c r="L77" i="16"/>
  <c r="L78" i="16" s="1"/>
  <c r="L83" i="16" s="1"/>
  <c r="L84" i="16" s="1"/>
  <c r="G76" i="16"/>
  <c r="G82" i="16"/>
  <c r="G78" i="16"/>
  <c r="G81" i="16"/>
  <c r="G77" i="16"/>
  <c r="I75" i="16"/>
  <c r="H75" i="16"/>
  <c r="L72" i="16" l="1"/>
  <c r="K72" i="16"/>
  <c r="K73" i="16" s="1"/>
  <c r="K71" i="16" l="1"/>
  <c r="C73" i="16" s="1"/>
  <c r="M83" i="16" l="1"/>
  <c r="M82" i="16"/>
  <c r="M81" i="16"/>
  <c r="M80" i="16"/>
  <c r="M78" i="16"/>
  <c r="M77" i="16"/>
  <c r="D127" i="16"/>
  <c r="D132" i="16"/>
  <c r="D142" i="16"/>
  <c r="D111" i="16"/>
  <c r="G111" i="16" s="1"/>
  <c r="I144" i="16"/>
  <c r="F145" i="16"/>
  <c r="D145" i="16"/>
  <c r="D144" i="16"/>
  <c r="C145" i="16"/>
  <c r="C144" i="16"/>
  <c r="D141" i="16"/>
  <c r="I141" i="16"/>
  <c r="I136" i="16"/>
  <c r="D137" i="16"/>
  <c r="D136" i="16"/>
  <c r="I131" i="16"/>
  <c r="D134" i="16"/>
  <c r="C134" i="16"/>
  <c r="D133" i="16"/>
  <c r="C133" i="16"/>
  <c r="D131" i="16"/>
  <c r="I126" i="16"/>
  <c r="I121" i="16"/>
  <c r="D129" i="16"/>
  <c r="D128" i="16"/>
  <c r="D126" i="16"/>
  <c r="G117" i="16"/>
  <c r="G112" i="16"/>
  <c r="D124" i="16"/>
  <c r="D123" i="16"/>
  <c r="D122" i="16"/>
  <c r="D121" i="16"/>
  <c r="C129" i="16"/>
  <c r="C128" i="16"/>
  <c r="C124" i="16"/>
  <c r="C123" i="16"/>
  <c r="D118" i="16"/>
  <c r="G118" i="16" s="1"/>
  <c r="D116" i="16"/>
  <c r="G116" i="16" s="1"/>
  <c r="D115" i="16"/>
  <c r="I110" i="16"/>
  <c r="D113" i="16"/>
  <c r="G113" i="16" s="1"/>
  <c r="D110" i="16"/>
  <c r="M190" i="11"/>
  <c r="J190" i="11"/>
  <c r="F190" i="11"/>
  <c r="M189" i="11"/>
  <c r="J189" i="11"/>
  <c r="F189" i="11"/>
  <c r="M188" i="11"/>
  <c r="J188" i="11"/>
  <c r="F188" i="11"/>
  <c r="M187" i="11"/>
  <c r="J187" i="11"/>
  <c r="F187" i="11"/>
  <c r="M186" i="11"/>
  <c r="J186" i="11"/>
  <c r="F186" i="11"/>
  <c r="M185" i="11"/>
  <c r="J185" i="11"/>
  <c r="F185" i="11"/>
  <c r="M184" i="11"/>
  <c r="J184" i="11"/>
  <c r="F184" i="11"/>
  <c r="M183" i="11"/>
  <c r="J183" i="11"/>
  <c r="F183" i="11"/>
  <c r="M182" i="11"/>
  <c r="J182" i="11"/>
  <c r="F182" i="11"/>
  <c r="M181" i="11"/>
  <c r="J181" i="11"/>
  <c r="F181" i="11"/>
  <c r="M180" i="11"/>
  <c r="J180" i="11"/>
  <c r="F180" i="11"/>
  <c r="M179" i="11"/>
  <c r="J179" i="11"/>
  <c r="F179" i="11"/>
  <c r="M178" i="11"/>
  <c r="J178" i="11"/>
  <c r="F178" i="11"/>
  <c r="M177" i="11"/>
  <c r="J177" i="11"/>
  <c r="F177" i="11"/>
  <c r="M176" i="11"/>
  <c r="J176" i="11"/>
  <c r="F176" i="11"/>
  <c r="M175" i="11"/>
  <c r="J175" i="11"/>
  <c r="F175" i="11"/>
  <c r="M174" i="11"/>
  <c r="J174" i="11"/>
  <c r="F174" i="11"/>
  <c r="M173" i="11"/>
  <c r="J173" i="11"/>
  <c r="F173" i="11"/>
  <c r="M172" i="11"/>
  <c r="J172" i="11"/>
  <c r="F172" i="11"/>
  <c r="M171" i="11"/>
  <c r="J171" i="11"/>
  <c r="F171" i="11"/>
  <c r="M170" i="11"/>
  <c r="J170" i="11"/>
  <c r="F170" i="11"/>
  <c r="M169" i="11"/>
  <c r="J169" i="11"/>
  <c r="F169" i="11"/>
  <c r="M168" i="11"/>
  <c r="J168" i="11"/>
  <c r="F168" i="11"/>
  <c r="M167" i="11"/>
  <c r="J167" i="11"/>
  <c r="F167" i="11"/>
  <c r="M166" i="11"/>
  <c r="J166" i="11"/>
  <c r="F166" i="11"/>
  <c r="M165" i="11"/>
  <c r="J165" i="11"/>
  <c r="F165" i="11"/>
  <c r="M164" i="11"/>
  <c r="J164" i="11"/>
  <c r="F164" i="11"/>
  <c r="M163" i="11"/>
  <c r="J163" i="11"/>
  <c r="F163" i="11"/>
  <c r="M151" i="11"/>
  <c r="J151" i="11"/>
  <c r="F151" i="11"/>
  <c r="M150" i="11"/>
  <c r="J150" i="11"/>
  <c r="F150" i="11"/>
  <c r="M149" i="11"/>
  <c r="J149" i="11"/>
  <c r="F149" i="11"/>
  <c r="M148" i="11"/>
  <c r="J148" i="11"/>
  <c r="F148" i="11"/>
  <c r="M147" i="11"/>
  <c r="J147" i="11"/>
  <c r="F147" i="11"/>
  <c r="M146" i="11"/>
  <c r="J146" i="11"/>
  <c r="F146" i="11"/>
  <c r="M145" i="11"/>
  <c r="J145" i="11"/>
  <c r="F145" i="11"/>
  <c r="M144" i="11"/>
  <c r="J144" i="11"/>
  <c r="F144" i="11"/>
  <c r="M143" i="11"/>
  <c r="J143" i="11"/>
  <c r="F143" i="11"/>
  <c r="M142" i="11"/>
  <c r="J142" i="11"/>
  <c r="F142" i="11"/>
  <c r="M141" i="11"/>
  <c r="J141" i="11"/>
  <c r="F141" i="11"/>
  <c r="M140" i="11"/>
  <c r="J140" i="11"/>
  <c r="F140" i="11"/>
  <c r="M139" i="11"/>
  <c r="J139" i="11"/>
  <c r="F139" i="11"/>
  <c r="M138" i="11"/>
  <c r="J138" i="11"/>
  <c r="F138" i="11"/>
  <c r="M137" i="11"/>
  <c r="J137" i="11"/>
  <c r="F137" i="11"/>
  <c r="M136" i="11"/>
  <c r="J136" i="11"/>
  <c r="F136" i="11"/>
  <c r="M135" i="11"/>
  <c r="J135" i="11"/>
  <c r="F135" i="11"/>
  <c r="M134" i="11"/>
  <c r="J134" i="11"/>
  <c r="F134" i="11"/>
  <c r="M133" i="11"/>
  <c r="J133" i="11"/>
  <c r="F133" i="11"/>
  <c r="M132" i="11"/>
  <c r="J132" i="11"/>
  <c r="F132" i="11"/>
  <c r="M131" i="11"/>
  <c r="J131" i="11"/>
  <c r="F131" i="11"/>
  <c r="M130" i="11"/>
  <c r="J130" i="11"/>
  <c r="F130" i="11"/>
  <c r="M129" i="11"/>
  <c r="J129" i="11"/>
  <c r="F129" i="11"/>
  <c r="M128" i="11"/>
  <c r="J128" i="11"/>
  <c r="F128" i="11"/>
  <c r="M127" i="11"/>
  <c r="J127" i="11"/>
  <c r="F127" i="11"/>
  <c r="M126" i="11"/>
  <c r="J126" i="11"/>
  <c r="F126" i="11"/>
  <c r="M125" i="11"/>
  <c r="J125" i="11"/>
  <c r="F125" i="11"/>
  <c r="M124" i="11"/>
  <c r="J124" i="11"/>
  <c r="F124" i="11"/>
  <c r="M114" i="11"/>
  <c r="J114" i="11"/>
  <c r="F114" i="11"/>
  <c r="M113" i="11"/>
  <c r="J113" i="11"/>
  <c r="F113" i="11"/>
  <c r="M112" i="11"/>
  <c r="J112" i="11"/>
  <c r="F112" i="11"/>
  <c r="M111" i="11"/>
  <c r="J111" i="11"/>
  <c r="F111" i="11"/>
  <c r="M110" i="11"/>
  <c r="J110" i="11"/>
  <c r="F110" i="11"/>
  <c r="M109" i="11"/>
  <c r="J109" i="11"/>
  <c r="F109" i="11"/>
  <c r="M108" i="11"/>
  <c r="J108" i="11"/>
  <c r="F108" i="11"/>
  <c r="M107" i="11"/>
  <c r="J107" i="11"/>
  <c r="F107" i="11"/>
  <c r="M106" i="11"/>
  <c r="J106" i="11"/>
  <c r="F106" i="11"/>
  <c r="M105" i="11"/>
  <c r="J105" i="11"/>
  <c r="F105" i="11"/>
  <c r="M104" i="11"/>
  <c r="J104" i="11"/>
  <c r="F104" i="11"/>
  <c r="M103" i="11"/>
  <c r="J103" i="11"/>
  <c r="F103" i="11"/>
  <c r="M102" i="11"/>
  <c r="J102" i="11"/>
  <c r="F102" i="11"/>
  <c r="M101" i="11"/>
  <c r="J101" i="11"/>
  <c r="F101" i="11"/>
  <c r="M100" i="11"/>
  <c r="J100" i="11"/>
  <c r="F100" i="11"/>
  <c r="M99" i="11"/>
  <c r="J99" i="11"/>
  <c r="F99" i="11"/>
  <c r="M98" i="11"/>
  <c r="J98" i="11"/>
  <c r="F98" i="11"/>
  <c r="M97" i="11"/>
  <c r="J97" i="11"/>
  <c r="F97" i="11"/>
  <c r="M96" i="11"/>
  <c r="J96" i="11"/>
  <c r="F96" i="11"/>
  <c r="M95" i="11"/>
  <c r="J95" i="11"/>
  <c r="F95" i="11"/>
  <c r="M94" i="11"/>
  <c r="J94" i="11"/>
  <c r="F94" i="11"/>
  <c r="M93" i="11"/>
  <c r="J93" i="11"/>
  <c r="F93" i="11"/>
  <c r="M92" i="11"/>
  <c r="J92" i="11"/>
  <c r="F92" i="11"/>
  <c r="M91" i="11"/>
  <c r="J91" i="11"/>
  <c r="F91" i="11"/>
  <c r="M90" i="11"/>
  <c r="J90" i="11"/>
  <c r="F90" i="11"/>
  <c r="M89" i="11"/>
  <c r="J89" i="11"/>
  <c r="F89" i="11"/>
  <c r="M88" i="11"/>
  <c r="J88" i="11"/>
  <c r="F88" i="11"/>
  <c r="M87" i="11"/>
  <c r="J87" i="11"/>
  <c r="F87" i="11"/>
  <c r="M74" i="11"/>
  <c r="J74" i="11"/>
  <c r="F74" i="11"/>
  <c r="M73" i="11"/>
  <c r="J73" i="11"/>
  <c r="F73" i="11"/>
  <c r="M72" i="11"/>
  <c r="J72" i="11"/>
  <c r="F72" i="11"/>
  <c r="M71" i="11"/>
  <c r="J71" i="11"/>
  <c r="F71" i="11"/>
  <c r="M70" i="11"/>
  <c r="J70" i="11"/>
  <c r="F70" i="11"/>
  <c r="M69" i="11"/>
  <c r="J69" i="11"/>
  <c r="F69" i="11"/>
  <c r="M68" i="11"/>
  <c r="J68" i="11"/>
  <c r="F68" i="11"/>
  <c r="M67" i="11"/>
  <c r="J67" i="11"/>
  <c r="F67" i="11"/>
  <c r="M66" i="11"/>
  <c r="J66" i="11"/>
  <c r="M65" i="11"/>
  <c r="J65" i="11"/>
  <c r="F65" i="11"/>
  <c r="M64" i="11"/>
  <c r="J64" i="11"/>
  <c r="F64" i="11"/>
  <c r="M63" i="11"/>
  <c r="J63" i="11"/>
  <c r="F63" i="11"/>
  <c r="M62" i="11"/>
  <c r="J62" i="11"/>
  <c r="F62" i="11"/>
  <c r="M61" i="11"/>
  <c r="J61" i="11"/>
  <c r="F61" i="11"/>
  <c r="M60" i="11"/>
  <c r="J60" i="11"/>
  <c r="F60" i="11"/>
  <c r="M59" i="11"/>
  <c r="J59" i="11"/>
  <c r="F59" i="11"/>
  <c r="M58" i="11"/>
  <c r="J58" i="11"/>
  <c r="F58" i="11"/>
  <c r="M57" i="11"/>
  <c r="J57" i="11"/>
  <c r="F57" i="11"/>
  <c r="M56" i="11"/>
  <c r="J56" i="11"/>
  <c r="F56" i="11"/>
  <c r="M55" i="11"/>
  <c r="J55" i="11"/>
  <c r="F55" i="11"/>
  <c r="M54" i="11"/>
  <c r="J54" i="11"/>
  <c r="F54" i="11"/>
  <c r="M53" i="11"/>
  <c r="J53" i="11"/>
  <c r="F53" i="11"/>
  <c r="M52" i="11"/>
  <c r="J52" i="11"/>
  <c r="F52" i="11"/>
  <c r="M51" i="11"/>
  <c r="J51" i="11"/>
  <c r="F51" i="11"/>
  <c r="M50" i="11"/>
  <c r="J50" i="11"/>
  <c r="F50" i="11"/>
  <c r="M49" i="11"/>
  <c r="J49" i="11"/>
  <c r="F49" i="11"/>
  <c r="M48" i="11"/>
  <c r="J48" i="11"/>
  <c r="F48" i="11"/>
  <c r="M47" i="11"/>
  <c r="J47" i="11"/>
  <c r="F47" i="11"/>
  <c r="M34" i="11"/>
  <c r="J34" i="11"/>
  <c r="F34" i="11"/>
  <c r="M33" i="11"/>
  <c r="J33" i="11"/>
  <c r="F33" i="11"/>
  <c r="M32" i="11"/>
  <c r="J32" i="11"/>
  <c r="F32" i="11"/>
  <c r="M31" i="11"/>
  <c r="J31" i="11"/>
  <c r="F31" i="11"/>
  <c r="M30" i="11"/>
  <c r="J30" i="11"/>
  <c r="F30" i="11"/>
  <c r="M29" i="11"/>
  <c r="J29" i="11"/>
  <c r="F29" i="11"/>
  <c r="M28" i="11"/>
  <c r="J28" i="11"/>
  <c r="F28" i="11"/>
  <c r="M27" i="11"/>
  <c r="J27" i="11"/>
  <c r="F27" i="11"/>
  <c r="M26" i="11"/>
  <c r="J26" i="11"/>
  <c r="F26" i="11"/>
  <c r="M25" i="11"/>
  <c r="J25" i="11"/>
  <c r="F25" i="11"/>
  <c r="M24" i="11"/>
  <c r="J24" i="11"/>
  <c r="F24" i="11"/>
  <c r="M23" i="11"/>
  <c r="J23" i="11"/>
  <c r="F23" i="11"/>
  <c r="M22" i="11"/>
  <c r="J22" i="11"/>
  <c r="F22" i="11"/>
  <c r="M21" i="11"/>
  <c r="J21" i="11"/>
  <c r="F21" i="11"/>
  <c r="M20" i="11"/>
  <c r="J20" i="11"/>
  <c r="F20" i="11"/>
  <c r="M19" i="11"/>
  <c r="J19" i="11"/>
  <c r="F19" i="11"/>
  <c r="M18" i="11"/>
  <c r="J18" i="11"/>
  <c r="F18" i="11"/>
  <c r="M17" i="11"/>
  <c r="J17" i="11"/>
  <c r="F17" i="11"/>
  <c r="M16" i="11"/>
  <c r="J16" i="11"/>
  <c r="F16" i="11"/>
  <c r="M15" i="11"/>
  <c r="J15" i="11"/>
  <c r="F15" i="11"/>
  <c r="M14" i="11"/>
  <c r="J14" i="11"/>
  <c r="F14" i="11"/>
  <c r="M13" i="11"/>
  <c r="J13" i="11"/>
  <c r="F13" i="11"/>
  <c r="M12" i="11"/>
  <c r="J12" i="11"/>
  <c r="F12" i="11"/>
  <c r="M11" i="11"/>
  <c r="J11" i="11"/>
  <c r="F11" i="11"/>
  <c r="M10" i="11"/>
  <c r="J10" i="11"/>
  <c r="F10" i="11"/>
  <c r="M9" i="11"/>
  <c r="J9" i="11"/>
  <c r="F9" i="11"/>
  <c r="M8" i="11"/>
  <c r="J8" i="11"/>
  <c r="F8" i="11"/>
  <c r="M7" i="11"/>
  <c r="J7" i="11"/>
  <c r="F7" i="11"/>
  <c r="F41" i="16"/>
  <c r="F42" i="16" s="1"/>
  <c r="D53" i="16" s="1"/>
  <c r="D158" i="16"/>
  <c r="G97" i="16"/>
  <c r="H46" i="16"/>
  <c r="H47" i="16" s="1"/>
  <c r="D51" i="16" s="1"/>
  <c r="C46" i="16"/>
  <c r="F7" i="16"/>
  <c r="B16" i="15"/>
  <c r="E10" i="15" s="1"/>
  <c r="B14" i="15"/>
  <c r="E9" i="15" s="1"/>
  <c r="B12" i="15"/>
  <c r="M7" i="15" s="1"/>
  <c r="H17" i="15" s="1"/>
  <c r="B10" i="15"/>
  <c r="L7" i="15" s="1"/>
  <c r="H16" i="15" s="1"/>
  <c r="B8" i="15"/>
  <c r="E6" i="15" s="1"/>
  <c r="I6" i="15"/>
  <c r="G13" i="15" s="1"/>
  <c r="B6" i="15"/>
  <c r="J6" i="15" s="1"/>
  <c r="G14" i="15" s="1"/>
  <c r="E4" i="15"/>
  <c r="I6" i="14"/>
  <c r="I7" i="14" s="1"/>
  <c r="H13" i="14" s="1"/>
  <c r="G13" i="14"/>
  <c r="B6" i="14"/>
  <c r="J6" i="14" s="1"/>
  <c r="G14" i="14" s="1"/>
  <c r="B8" i="14"/>
  <c r="K7" i="14" s="1"/>
  <c r="H15" i="14" s="1"/>
  <c r="B10" i="14"/>
  <c r="L7" i="14"/>
  <c r="H16" i="14" s="1"/>
  <c r="B12" i="14"/>
  <c r="M6" i="14" s="1"/>
  <c r="G17" i="14" s="1"/>
  <c r="B14" i="14"/>
  <c r="N7" i="14" s="1"/>
  <c r="H18" i="14" s="1"/>
  <c r="B16" i="14"/>
  <c r="O7" i="14" s="1"/>
  <c r="H19" i="14" s="1"/>
  <c r="E10" i="14"/>
  <c r="E4" i="14"/>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E6" i="14"/>
  <c r="E7" i="14"/>
  <c r="O7" i="15"/>
  <c r="H19" i="15" s="1"/>
  <c r="E5" i="14"/>
  <c r="O6" i="15"/>
  <c r="G19" i="15" s="1"/>
  <c r="L6" i="14"/>
  <c r="G16" i="14" s="1"/>
  <c r="K6" i="15" l="1"/>
  <c r="G15" i="15" s="1"/>
  <c r="K7" i="15"/>
  <c r="H15" i="15" s="1"/>
  <c r="I7" i="15"/>
  <c r="H13" i="15" s="1"/>
  <c r="M115" i="11"/>
  <c r="L115" i="11" s="1"/>
  <c r="M35" i="11"/>
  <c r="L35" i="11" s="1"/>
  <c r="J35" i="11"/>
  <c r="I35" i="11" s="1"/>
  <c r="M152" i="11"/>
  <c r="L152" i="11" s="1"/>
  <c r="J7" i="15"/>
  <c r="H14" i="15" s="1"/>
  <c r="G35" i="13"/>
  <c r="F35" i="13" s="1"/>
  <c r="J75" i="11"/>
  <c r="I75" i="11" s="1"/>
  <c r="F152" i="11"/>
  <c r="E152" i="11" s="1"/>
  <c r="F191" i="11"/>
  <c r="E191" i="11" s="1"/>
  <c r="E5" i="15"/>
  <c r="J191" i="11"/>
  <c r="I191" i="11" s="1"/>
  <c r="N6" i="14"/>
  <c r="G18" i="14" s="1"/>
  <c r="L6" i="15"/>
  <c r="G16" i="15" s="1"/>
  <c r="O6" i="14"/>
  <c r="G19" i="14" s="1"/>
  <c r="G110" i="16"/>
  <c r="H100" i="16" s="1"/>
  <c r="E100" i="16"/>
  <c r="C100" i="16"/>
  <c r="C105" i="16"/>
  <c r="E105" i="16"/>
  <c r="G115" i="16"/>
  <c r="H101" i="16" s="1"/>
  <c r="E101" i="16"/>
  <c r="C101" i="16"/>
  <c r="J115" i="11"/>
  <c r="I115" i="11" s="1"/>
  <c r="J152" i="11"/>
  <c r="I152" i="11" s="1"/>
  <c r="E9" i="14"/>
  <c r="K35" i="13"/>
  <c r="J35" i="13" s="1"/>
  <c r="M7" i="14"/>
  <c r="H17" i="14" s="1"/>
  <c r="F75" i="11"/>
  <c r="E75" i="11" s="1"/>
  <c r="D79" i="11" s="1"/>
  <c r="E8" i="15"/>
  <c r="J35" i="12"/>
  <c r="I35" i="12" s="1"/>
  <c r="F35" i="12"/>
  <c r="E35" i="12" s="1"/>
  <c r="E7" i="15"/>
  <c r="F35" i="11"/>
  <c r="E35" i="11" s="1"/>
  <c r="D39" i="11" s="1"/>
  <c r="M75" i="11"/>
  <c r="L75" i="11" s="1"/>
  <c r="M191" i="11"/>
  <c r="L191" i="11" s="1"/>
  <c r="J7" i="14"/>
  <c r="H14" i="14" s="1"/>
  <c r="H20" i="14" s="1"/>
  <c r="M35" i="12"/>
  <c r="L35" i="12" s="1"/>
  <c r="N35" i="13"/>
  <c r="M35" i="13" s="1"/>
  <c r="E8" i="14"/>
  <c r="F115" i="11"/>
  <c r="E115" i="11" s="1"/>
  <c r="M6" i="15"/>
  <c r="G17" i="15" s="1"/>
  <c r="N7" i="15"/>
  <c r="H18" i="15" s="1"/>
  <c r="H20" i="15" s="1"/>
  <c r="N6" i="15"/>
  <c r="G18" i="15" s="1"/>
  <c r="K6" i="14"/>
  <c r="G15" i="14" s="1"/>
  <c r="G20" i="14" s="1"/>
  <c r="D156" i="11" l="1"/>
  <c r="D196" i="11"/>
  <c r="C102" i="16"/>
  <c r="E102" i="16"/>
  <c r="H102" i="16"/>
  <c r="G20" i="15"/>
</calcChain>
</file>

<file path=xl/sharedStrings.xml><?xml version="1.0" encoding="utf-8"?>
<sst xmlns="http://schemas.openxmlformats.org/spreadsheetml/2006/main" count="689" uniqueCount="257">
  <si>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</si>
  <si>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</si>
  <si>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</si>
  <si>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</si>
  <si>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</si>
  <si>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</si>
  <si>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</si>
  <si>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</si>
  <si>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</si>
  <si>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</si>
  <si>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</si>
  <si>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</si>
  <si>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</si>
  <si>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</si>
  <si>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</si>
  <si>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</si>
  <si>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</si>
  <si>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</si>
  <si>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</si>
  <si>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</si>
  <si>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</si>
  <si>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</si>
  <si>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</si>
  <si>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</si>
  <si>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</si>
  <si>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</si>
  <si>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</si>
  <si>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</si>
  <si>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</si>
  <si>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</si>
  <si>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</si>
  <si>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</si>
  <si>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</si>
  <si>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</si>
  <si>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</si>
  <si>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</si>
  <si>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</si>
  <si>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</si>
  <si>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</si>
  <si>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</si>
  <si>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</si>
  <si>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</si>
  <si>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</si>
  <si>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</si>
  <si>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</si>
  <si>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</si>
  <si>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</si>
  <si>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</si>
  <si>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</si>
  <si>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</si>
  <si>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Projected life of the structure: 60 Years After Completion</t>
  </si>
  <si>
    <t>Material laying at Site: :Bricks, Cement &amp; Steel etc.</t>
  </si>
  <si>
    <t>No of floors at site : See Construction details</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</si>
  <si>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</si>
  <si>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</si>
  <si>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</si>
  <si>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</si>
  <si>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</si>
  <si>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</si>
  <si>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</si>
  <si>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</si>
  <si>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</si>
  <si>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</si>
  <si>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</si>
  <si>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</si>
  <si>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</si>
  <si>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</si>
  <si>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</si>
  <si>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Floors</t>
  </si>
  <si>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</si>
  <si>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</si>
  <si>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</si>
  <si>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</si>
  <si>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</si>
  <si>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</si>
  <si>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</si>
  <si>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</si>
  <si>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</si>
  <si>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</si>
  <si>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</si>
  <si>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</si>
  <si>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</si>
  <si>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</si>
  <si>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</si>
  <si>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</si>
  <si>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</si>
  <si>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</si>
  <si>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</si>
  <si>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</si>
  <si>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</si>
  <si>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</si>
  <si>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</si>
  <si>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</si>
  <si>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</si>
  <si>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</si>
  <si>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</si>
  <si>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</si>
  <si>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O. Certificate No.: </t>
  </si>
  <si>
    <t xml:space="preserve">Date of approval: </t>
  </si>
  <si>
    <t>Contect Details ( Name &amp; Contect No.)</t>
  </si>
  <si>
    <t>Does property have Electricity / Water / Drainage Connection</t>
  </si>
  <si>
    <t>Club Charges</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</si>
  <si>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</si>
  <si>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</si>
  <si>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</si>
  <si>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</si>
  <si>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</si>
  <si>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</si>
  <si>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</si>
  <si>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</si>
  <si>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</si>
  <si>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</si>
  <si>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</si>
  <si>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</si>
  <si>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</si>
  <si>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</si>
  <si>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</si>
  <si>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</si>
  <si>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</si>
  <si>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</si>
  <si>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</si>
  <si>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</si>
  <si>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</si>
  <si>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</si>
  <si>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</si>
  <si>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</si>
  <si>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</si>
  <si>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</si>
  <si>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</si>
  <si>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Approved Layout, Approved Building Plan, CC</t>
  </si>
  <si>
    <t>Middle Class</t>
  </si>
  <si>
    <t>Developing</t>
  </si>
  <si>
    <t>RERA No.</t>
  </si>
  <si>
    <t>Recommended rate of the flat Per Sq. Ft. ( on Saleable area)</t>
  </si>
  <si>
    <t>Gross Carpet area</t>
  </si>
  <si>
    <t>Commencement Certificate No.</t>
  </si>
  <si>
    <t xml:space="preserve">Approved Floor plan No.  </t>
  </si>
  <si>
    <t>Accessibility to the Project from the City:
(Proximity to civic amenities like school, hospital, market)</t>
  </si>
  <si>
    <t>Name / No of the Building</t>
  </si>
  <si>
    <t xml:space="preserve">PHOTOGRAPHS OF PROPERTY : 
</t>
  </si>
  <si>
    <t>Saleable area</t>
  </si>
  <si>
    <t xml:space="preserve">(Restrictive Covenants in regard to Land Use, if any)    </t>
  </si>
  <si>
    <t>Residential</t>
  </si>
  <si>
    <t>No</t>
  </si>
  <si>
    <t>Area Statement Details :</t>
  </si>
  <si>
    <t>4) Legal title of the property is not verified by us.</t>
  </si>
  <si>
    <t>5) Gross carpet area =  Net Carpet area + Fungible area.</t>
  </si>
  <si>
    <t>6) Fungible Area= Enclosed Balcony + Flower Bed + Covered Balcony + Service Slab + Duct + Chajja + Wheather Shed area.</t>
  </si>
  <si>
    <t>Valid upto date: 
One year from date of issue</t>
  </si>
  <si>
    <t xml:space="preserve">Approved usage of the Property:                                                                                                                                             </t>
  </si>
  <si>
    <t>N</t>
  </si>
  <si>
    <t>1) We have personally visited the property &amp; identified the same based on the documents provided.</t>
  </si>
  <si>
    <r>
      <t xml:space="preserve">Proposed Amenities :                                                                                                                                                                                                                      </t>
    </r>
    <r>
      <rPr>
        <sz val="11"/>
        <rFont val="Times New Roman"/>
        <family val="1"/>
      </rPr>
      <t xml:space="preserve">   </t>
    </r>
    <r>
      <rPr>
        <b/>
        <sz val="11"/>
        <rFont val="Times New Roman"/>
        <family val="1"/>
      </rPr>
      <t xml:space="preserve">                                               </t>
    </r>
  </si>
  <si>
    <r>
      <t xml:space="preserve">: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</si>
  <si>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Recommended rate of the Shop Per Sq. Ft. ( on Saleable area)</t>
  </si>
  <si>
    <t>.</t>
  </si>
  <si>
    <t>Axis Sanpada</t>
  </si>
  <si>
    <t>01 Building</t>
  </si>
  <si>
    <t>35A</t>
  </si>
  <si>
    <t>Raigad</t>
  </si>
  <si>
    <t>Dronagiri</t>
  </si>
  <si>
    <t>Uran</t>
  </si>
  <si>
    <t xml:space="preserve">Road </t>
  </si>
  <si>
    <t>Open Plot</t>
  </si>
  <si>
    <t>2.3 Km from Uran ST New Bus Depot.</t>
  </si>
  <si>
    <t>Akshar Estonia</t>
  </si>
  <si>
    <t>Uran - Panvel Road</t>
  </si>
  <si>
    <t>CIDCO/BP-15936/TPO(NM &amp; K)/2018/3301</t>
  </si>
  <si>
    <t>31/10/2018.</t>
  </si>
  <si>
    <t>Ground Floor is For Parking &amp; Commercial</t>
  </si>
  <si>
    <t>Shop</t>
  </si>
  <si>
    <t>Office</t>
  </si>
  <si>
    <t>1st Floor</t>
  </si>
  <si>
    <t>2nd Floor is For Amenities</t>
  </si>
  <si>
    <t>1BHK</t>
  </si>
  <si>
    <t>2BHK</t>
  </si>
  <si>
    <t>12th Floor</t>
  </si>
  <si>
    <t>13th Floor</t>
  </si>
  <si>
    <t>Natural Terrace</t>
  </si>
  <si>
    <t>14th Floor</t>
  </si>
  <si>
    <t>15th Floor</t>
  </si>
  <si>
    <t>Uma Greens</t>
  </si>
  <si>
    <t>P52000019282</t>
  </si>
  <si>
    <t>Plot No</t>
  </si>
  <si>
    <t>Sector No</t>
  </si>
  <si>
    <t>46 Flats, 4 Office &amp;
4 Shops</t>
  </si>
  <si>
    <t>1st Floor is for Commercial, Society Office  &amp; Fitness Center</t>
  </si>
  <si>
    <t>3rd, 5th, 7th, 9th &amp; 11th Floor</t>
  </si>
  <si>
    <t>4th, 6th, 8th &amp; 10th Floor</t>
  </si>
  <si>
    <t>300000/-</t>
  </si>
  <si>
    <t>150000/-</t>
  </si>
  <si>
    <t>Grill Charges</t>
  </si>
  <si>
    <t>40000/-</t>
  </si>
  <si>
    <t>Recommended rate of the Office Per Sq. Ft. ( on Saleable area)</t>
  </si>
  <si>
    <t>10000/-</t>
  </si>
  <si>
    <t>8000/-</t>
  </si>
  <si>
    <t>M/s.Murudeshwar Developers &amp; 
Vega’s Associates</t>
  </si>
  <si>
    <t>G + 1st to 15th Floor</t>
  </si>
  <si>
    <t>Ground</t>
  </si>
  <si>
    <t>Podium</t>
  </si>
  <si>
    <t>Floors</t>
  </si>
  <si>
    <t xml:space="preserve">Stage of construction: </t>
  </si>
  <si>
    <t>Complition %</t>
  </si>
  <si>
    <t>Progress %</t>
  </si>
  <si>
    <t>Disbursement %</t>
  </si>
  <si>
    <t>Excavation</t>
  </si>
  <si>
    <t>Excavation in process</t>
  </si>
  <si>
    <t>Brickwork</t>
  </si>
  <si>
    <t>Brickwork &amp; Internal Plaster</t>
  </si>
  <si>
    <t>Excavation Completed</t>
  </si>
  <si>
    <t>Internal Plaster</t>
  </si>
  <si>
    <t>Ext. Plaster &amp; Plumbing</t>
  </si>
  <si>
    <t>External Plaster &amp; Plumbing</t>
  </si>
  <si>
    <t>Footing in Process</t>
  </si>
  <si>
    <t>Flooring &amp; Fitting</t>
  </si>
  <si>
    <t>Footing Completed</t>
  </si>
  <si>
    <t>Painting &amp; Wooden</t>
  </si>
  <si>
    <t>Plinth in process</t>
  </si>
  <si>
    <t>Building Common Amenities</t>
  </si>
  <si>
    <t>Plinth completed</t>
  </si>
  <si>
    <t>Possession</t>
  </si>
  <si>
    <t>Construction details:</t>
  </si>
  <si>
    <t>Basement</t>
  </si>
  <si>
    <t>Slab/Floor
Average of Part 1 &amp; 2</t>
  </si>
  <si>
    <t>Piling Work in process</t>
  </si>
  <si>
    <t>Basement 1</t>
  </si>
  <si>
    <t>Basement 2</t>
  </si>
  <si>
    <t>Basement 3</t>
  </si>
  <si>
    <t>Basement 4</t>
  </si>
  <si>
    <t>RCC(Including podiums)</t>
  </si>
  <si>
    <t>Part I
(Flat No.1)</t>
  </si>
  <si>
    <t>Part II
(Flat No.2 to 4)</t>
  </si>
  <si>
    <t>Development charges</t>
  </si>
  <si>
    <t>CIDCO/BP-15936/TPO(NM &amp; K)/2018/3301
Valid Up to: Gr + 1st to 15th Floor</t>
  </si>
  <si>
    <t>Habitable Floor Certificate No.</t>
  </si>
  <si>
    <t>CIDCO/BP-15936/TPO(NM &amp; K)/2018/7143
Valid up to:  Construction work beyond habital floor as per approved plans and terms and condition mentioned in this letter dated 31/10/2018</t>
  </si>
  <si>
    <t>Location Link</t>
  </si>
  <si>
    <t>https://goo.gl/maps/Pkie9BCRhYzymocSA</t>
  </si>
  <si>
    <t>Building &amp; Wing</t>
  </si>
  <si>
    <t>No. of Units</t>
  </si>
  <si>
    <t>Total Carpet Area</t>
  </si>
  <si>
    <t>Total Saleable Area</t>
  </si>
  <si>
    <t xml:space="preserve">Commercial Area Details :  </t>
  </si>
  <si>
    <t xml:space="preserve">Residential Area Details :  </t>
  </si>
  <si>
    <t>Shops</t>
  </si>
  <si>
    <t>Offices</t>
  </si>
  <si>
    <t>Flats</t>
  </si>
  <si>
    <t>18.877475,72.959656</t>
  </si>
  <si>
    <t>Site Person - Contact Details ( Name &amp; Contact No.)</t>
  </si>
  <si>
    <t>Mr. Hiren 8779766639</t>
  </si>
  <si>
    <t xml:space="preserve">Office No. 1031, Wing J, Akshar Business Park, Plot No. 03 Sector 25, Near APMC Market, Vashi, 
Navi Mumbai, Maharashtra 400703 TEL: 022-46090378/79/80
E mail : vsjcapf@gmail.com. Web site : www.vsjadon.com
</t>
  </si>
  <si>
    <t>CIDCO/BP-15936/TPO(NM &amp; K)/2018/12650
Valid Up to: As per the approved plans and subjected to the following conditions for the development work of proposed mixed in 12.5% scheme plot 3 Floors Net built up area = 675.87 Sq.M (Total units = 12)</t>
  </si>
  <si>
    <t xml:space="preserve">Constrcution % is Extra given for part II please check </t>
  </si>
  <si>
    <t>All work Completed. OC Received.</t>
  </si>
  <si>
    <t>Slab/Floor</t>
  </si>
  <si>
    <t>RCC (Including podiums)</t>
  </si>
  <si>
    <r>
      <t>Remarks:  
1. Finishing work was in process at the time of visit.
2. We considered Flat Saleable area as per Builder area sheet &amp; Shop, Office area as per our calculation.
3. We considered Carpet area as per Approved Plan.
4. We have considered rate by verifying it from market inquire.
5. We have considered Other charges from cost sheet.
6. Car parking is subjected to authentic documentation.
7. We have updated CC from Official Cidco site on 20/09/2024.
8. As per CC dtd. 18/07/2024, 3 floors (13th, 14th &amp; 15th) Flats are incresed. now 13th to 15th floors total units = 12. (In previous approved plans 13th to 15th floor total units = 06 ). Please provide revised Approved plans dtd 18/07/2024.
9. On site we met Mr. Tejas Patil -9167754660.</t>
    </r>
    <r>
      <rPr>
        <b/>
        <sz val="11"/>
        <color rgb="FFFF0000"/>
        <rFont val="Times New Roman"/>
        <family val="1"/>
      </rPr>
      <t xml:space="preserve">
10. As per RERA, completion period of Uma Green is expired on 30/06/2025 but still project is under construction.
</t>
    </r>
    <r>
      <rPr>
        <b/>
        <sz val="11"/>
        <rFont val="Times New Roman"/>
        <family val="1"/>
      </rPr>
      <t xml:space="preserve">
7. On site, we meet Mr.Paresh - 9167253483.</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</si>
</sst>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0"/>
    <numFmt numFmtId="166" formatCode="_-* #,##0_-;\-* #,##0_-;_-* &quot;-&quot;??_-;_-@_-"/>
  </numFmts>
  <fonts count="24"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b/>
      <sz val="12"/>
      <color indexed="8"/>
      <name val="Times New Roman"/>
      <family val="1"/>
    </font>
    <font>
      <b/>
      <sz val="11"/>
      <name val="Times New Roman"/>
      <family val="1"/>
    </font>
    <font>
      <sz val="11"/>
      <name val="Times New Roman"/>
      <family val="1"/>
    </font>
    <font>
      <b/>
      <sz val="14"/>
      <color indexed="8"/>
      <name val="Times New Roman"/>
      <family val="1"/>
    </font>
    <font>
      <b/>
      <sz val="10"/>
      <color indexed="8"/>
      <name val="Times New Roman"/>
      <family val="1"/>
    </font>
    <font>
      <sz val="12"/>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FF0000"/>
      <name val="Times New Roman"/>
      <family val="1"/>
    </font>
    <font>
      <sz val="11"/>
      <color theme="1"/>
      <name val="Times New Roman"/>
      <family val="1"/>
    </font>
    <font>
      <sz val="12"/>
      <color theme="1"/>
      <name val="Times New Roman"/>
      <family val="1"/>
    </font>
    <font>
      <sz val="11"/>
      <color rgb="FF000000"/>
      <name val="Times New Roman"/>
      <family val="1"/>
    </font>
    <font>
      <sz val="11"/>
      <name val="Calibri"/>
      <family val="2"/>
    </font>
    <font>
      <sz val="11"/>
      <color theme="0"/>
      <name val="Calibri"/>
      <family val="2"/>
    </font>
    <font>
      <sz val="12"/>
      <name val="Times New Roman"/>
      <family val="1"/>
    </font>
    <font>
      <b/>
      <sz val="12"/>
      <name val="Times New Roman"/>
      <family val="1"/>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1" fillId="0" borderId="0"/>
    <xf numFmtId="0" fontId="10" fillId="0" borderId="0"/>
    <xf numFmtId="164" fontId="10" fillId="0" borderId="0" applyFont="0" applyFill="0" applyBorder="0" applyAlignment="0" applyProtection="0"/>
    <xf numFmtId="0" fontId="22" fillId="0" borderId="0" applyNumberFormat="0" applyFill="0" applyBorder="0" applyAlignment="0" applyProtection="0"/>
  </cellStyleXfs>
  <cellXfs count="230">
    <xf numFmtId="0" fontId="0" fillId="0" borderId="0" xfId="0"/>
    <xf numFmtId="0" fontId="3" fillId="0" borderId="1" xfId="0" applyFont="1" applyBorder="1" applyAlignment="1">
      <alignment vertical="top"/>
    </xf>
    <xf numFmtId="0" fontId="3" fillId="0" borderId="1" xfId="0" applyFont="1" applyBorder="1" applyAlignment="1">
      <alignment vertical="top" wrapText="1"/>
    </xf>
    <xf numFmtId="0" fontId="3" fillId="2" borderId="1" xfId="0" applyFont="1" applyFill="1" applyBorder="1" applyAlignment="1">
      <alignment vertical="top"/>
    </xf>
    <xf numFmtId="1" fontId="4" fillId="0" borderId="1" xfId="0" applyNumberFormat="1" applyFont="1" applyBorder="1" applyAlignment="1">
      <alignment horizontal="center" vertical="top" wrapText="1"/>
    </xf>
    <xf numFmtId="0" fontId="0" fillId="0" borderId="1" xfId="0" applyBorder="1"/>
    <xf numFmtId="0" fontId="11" fillId="0" borderId="1" xfId="0" applyFont="1" applyBorder="1"/>
    <xf numFmtId="0" fontId="0" fillId="0" borderId="2" xfId="0" applyBorder="1"/>
    <xf numFmtId="0" fontId="0" fillId="3" borderId="1" xfId="0" applyFill="1" applyBorder="1"/>
    <xf numFmtId="0" fontId="11" fillId="0" borderId="1" xfId="0" applyFont="1" applyBorder="1" applyAlignment="1">
      <alignment horizontal="center"/>
    </xf>
    <xf numFmtId="1" fontId="8" fillId="0" borderId="1" xfId="0" applyNumberFormat="1" applyFont="1" applyBorder="1" applyAlignment="1">
      <alignment horizontal="center" vertical="top" wrapText="1"/>
    </xf>
    <xf numFmtId="0" fontId="11" fillId="3" borderId="1" xfId="0" applyFont="1" applyFill="1" applyBorder="1"/>
    <xf numFmtId="0" fontId="0" fillId="0" borderId="3" xfId="0" applyBorder="1"/>
    <xf numFmtId="0" fontId="0" fillId="0" borderId="0" xfId="0" applyAlignment="1">
      <alignment wrapText="1"/>
    </xf>
    <xf numFmtId="0" fontId="0" fillId="0" borderId="1" xfId="0" applyBorder="1" applyAlignment="1">
      <alignment wrapText="1"/>
    </xf>
    <xf numFmtId="0" fontId="2" fillId="0" borderId="0" xfId="0" applyFont="1" applyAlignment="1">
      <alignment vertical="top" wrapText="1"/>
    </xf>
    <xf numFmtId="0" fontId="8" fillId="0" borderId="0" xfId="0" applyFont="1" applyAlignment="1">
      <alignment vertical="top"/>
    </xf>
    <xf numFmtId="0" fontId="13" fillId="0" borderId="0" xfId="0" applyFont="1"/>
    <xf numFmtId="0" fontId="12" fillId="0" borderId="0" xfId="0" applyFont="1"/>
    <xf numFmtId="0" fontId="3" fillId="0" borderId="4" xfId="0" applyFont="1" applyBorder="1" applyAlignment="1">
      <alignment horizontal="left" vertical="top"/>
    </xf>
    <xf numFmtId="0" fontId="14" fillId="0" borderId="4" xfId="0" applyFont="1" applyBorder="1" applyAlignment="1">
      <alignment vertical="top" wrapText="1"/>
    </xf>
    <xf numFmtId="0" fontId="3" fillId="0" borderId="1" xfId="0" applyFont="1" applyBorder="1" applyAlignment="1">
      <alignment horizontal="left" vertical="top" wrapText="1"/>
    </xf>
    <xf numFmtId="0" fontId="15" fillId="0" borderId="0" xfId="0" applyFont="1"/>
    <xf numFmtId="0" fontId="3" fillId="0" borderId="4" xfId="0" applyFont="1" applyBorder="1" applyAlignment="1">
      <alignment vertical="top" wrapText="1"/>
    </xf>
    <xf numFmtId="0" fontId="2" fillId="0" borderId="0" xfId="0" applyFont="1" applyAlignment="1">
      <alignment vertical="top"/>
    </xf>
    <xf numFmtId="0" fontId="3" fillId="0" borderId="5" xfId="0" applyFont="1" applyBorder="1" applyAlignment="1">
      <alignment vertical="top"/>
    </xf>
    <xf numFmtId="0" fontId="3" fillId="2" borderId="1" xfId="0" applyFont="1" applyFill="1" applyBorder="1" applyAlignment="1">
      <alignment horizontal="left" vertical="top"/>
    </xf>
    <xf numFmtId="1" fontId="9" fillId="0" borderId="1" xfId="0" applyNumberFormat="1" applyFont="1" applyBorder="1" applyAlignment="1">
      <alignment horizontal="center" vertical="center" wrapText="1"/>
    </xf>
    <xf numFmtId="0" fontId="3" fillId="0" borderId="0" xfId="1" applyFont="1"/>
    <xf numFmtId="0" fontId="16" fillId="0" borderId="0" xfId="0" applyFont="1" applyAlignment="1">
      <alignment horizontal="center" vertical="center"/>
    </xf>
    <xf numFmtId="0" fontId="16" fillId="0" borderId="14" xfId="2" applyFont="1" applyBorder="1" applyProtection="1">
      <protection hidden="1"/>
    </xf>
    <xf numFmtId="0" fontId="16" fillId="0" borderId="15" xfId="2" applyFont="1" applyBorder="1" applyProtection="1">
      <protection hidden="1"/>
    </xf>
    <xf numFmtId="0" fontId="16" fillId="0" borderId="15" xfId="2" applyFont="1" applyBorder="1"/>
    <xf numFmtId="0" fontId="17" fillId="0" borderId="15" xfId="0" applyFont="1" applyBorder="1" applyProtection="1">
      <protection hidden="1"/>
    </xf>
    <xf numFmtId="0" fontId="0" fillId="0" borderId="19" xfId="0" applyBorder="1"/>
    <xf numFmtId="0" fontId="20" fillId="0" borderId="16" xfId="2" applyFont="1" applyBorder="1" applyAlignment="1" applyProtection="1">
      <alignment horizontal="center" vertical="top"/>
      <protection locked="0"/>
    </xf>
    <xf numFmtId="0" fontId="20" fillId="0" borderId="1" xfId="2" applyFont="1" applyBorder="1" applyAlignment="1" applyProtection="1">
      <alignment horizontal="center" vertical="top"/>
      <protection locked="0"/>
    </xf>
    <xf numFmtId="0" fontId="6" fillId="2" borderId="1" xfId="2" applyFont="1" applyFill="1" applyBorder="1" applyAlignment="1" applyProtection="1">
      <alignment horizontal="center" vertical="top" wrapText="1"/>
      <protection locked="0"/>
    </xf>
    <xf numFmtId="0" fontId="20" fillId="0" borderId="1" xfId="2" applyFont="1" applyBorder="1" applyAlignment="1" applyProtection="1">
      <alignment horizontal="center"/>
      <protection locked="0"/>
    </xf>
    <xf numFmtId="9" fontId="20" fillId="2" borderId="1" xfId="2" applyNumberFormat="1" applyFont="1" applyFill="1" applyBorder="1" applyAlignment="1" applyProtection="1">
      <alignment horizontal="center" vertical="center" wrapText="1"/>
      <protection hidden="1"/>
    </xf>
    <xf numFmtId="0" fontId="20" fillId="0" borderId="18" xfId="2" applyFont="1" applyBorder="1" applyAlignment="1" applyProtection="1">
      <alignment horizontal="center"/>
      <protection locked="0"/>
    </xf>
    <xf numFmtId="9" fontId="20" fillId="2" borderId="18" xfId="2" applyNumberFormat="1" applyFont="1" applyFill="1" applyBorder="1" applyAlignment="1" applyProtection="1">
      <alignment horizontal="center" vertical="center" wrapText="1"/>
      <protection hidden="1"/>
    </xf>
    <xf numFmtId="0" fontId="18" fillId="3" borderId="20" xfId="0" applyFont="1" applyFill="1" applyBorder="1"/>
    <xf numFmtId="0" fontId="19" fillId="0" borderId="21" xfId="0" applyFont="1" applyBorder="1"/>
    <xf numFmtId="0" fontId="19" fillId="0" borderId="16" xfId="0" applyFont="1" applyBorder="1"/>
    <xf numFmtId="0" fontId="19" fillId="0" borderId="22" xfId="0" applyFont="1" applyBorder="1"/>
    <xf numFmtId="0" fontId="17" fillId="0" borderId="23" xfId="0" applyFont="1" applyBorder="1" applyProtection="1">
      <protection hidden="1"/>
    </xf>
    <xf numFmtId="1" fontId="0" fillId="0" borderId="15" xfId="0" applyNumberFormat="1" applyBorder="1"/>
    <xf numFmtId="1" fontId="0" fillId="0" borderId="15" xfId="0" applyNumberFormat="1" applyBorder="1" applyAlignment="1">
      <alignment horizontal="right"/>
    </xf>
    <xf numFmtId="0" fontId="17" fillId="0" borderId="27" xfId="0" applyFont="1" applyBorder="1" applyProtection="1">
      <protection hidden="1"/>
    </xf>
    <xf numFmtId="1" fontId="0" fillId="0" borderId="19" xfId="0" applyNumberFormat="1" applyBorder="1"/>
    <xf numFmtId="0" fontId="20" fillId="0" borderId="1" xfId="2" applyFont="1" applyBorder="1" applyAlignment="1" applyProtection="1">
      <alignment horizontal="center" vertical="top" wrapText="1"/>
      <protection locked="0"/>
    </xf>
    <xf numFmtId="0" fontId="20" fillId="0" borderId="1" xfId="2" applyFont="1" applyBorder="1" applyAlignment="1" applyProtection="1">
      <alignment vertical="top"/>
      <protection locked="0"/>
    </xf>
    <xf numFmtId="164" fontId="16" fillId="0" borderId="0" xfId="3" applyFont="1" applyAlignment="1">
      <alignment horizontal="center" vertical="center"/>
    </xf>
    <xf numFmtId="166" fontId="16" fillId="0" borderId="0" xfId="3" applyNumberFormat="1" applyFont="1" applyAlignment="1">
      <alignment horizontal="center" vertical="center"/>
    </xf>
    <xf numFmtId="0" fontId="14" fillId="0" borderId="0" xfId="0" applyFont="1"/>
    <xf numFmtId="0" fontId="20" fillId="0" borderId="1" xfId="2" applyFont="1" applyBorder="1" applyAlignment="1" applyProtection="1">
      <alignment horizontal="center" vertical="top" wrapText="1"/>
      <protection locked="0"/>
    </xf>
    <xf numFmtId="0" fontId="20" fillId="0" borderId="1" xfId="2" applyFont="1" applyBorder="1" applyAlignment="1" applyProtection="1">
      <alignment horizontal="center" vertical="top"/>
      <protection locked="0"/>
    </xf>
    <xf numFmtId="1" fontId="3" fillId="0" borderId="1" xfId="0" applyNumberFormat="1" applyFont="1" applyBorder="1" applyAlignment="1">
      <alignment horizontal="center" vertical="top"/>
    </xf>
    <xf numFmtId="0" fontId="3" fillId="0" borderId="1" xfId="0" applyFont="1" applyBorder="1" applyAlignment="1">
      <alignment horizontal="center" vertical="top"/>
    </xf>
    <xf numFmtId="0" fontId="2" fillId="0" borderId="5" xfId="0" applyFont="1" applyBorder="1" applyAlignment="1">
      <alignment horizontal="left" vertical="top"/>
    </xf>
    <xf numFmtId="0" fontId="2" fillId="0" borderId="13" xfId="0" applyFont="1" applyBorder="1" applyAlignment="1">
      <alignment horizontal="left" vertical="top"/>
    </xf>
    <xf numFmtId="0" fontId="2" fillId="0" borderId="4" xfId="0" applyFont="1" applyBorder="1" applyAlignment="1">
      <alignment horizontal="left" vertical="top"/>
    </xf>
    <xf numFmtId="0" fontId="3" fillId="0" borderId="5" xfId="0" applyFont="1" applyBorder="1" applyAlignment="1">
      <alignment horizontal="left" vertical="top"/>
    </xf>
    <xf numFmtId="0" fontId="3" fillId="0" borderId="13" xfId="0" applyFont="1" applyBorder="1" applyAlignment="1">
      <alignment horizontal="left" vertical="top"/>
    </xf>
    <xf numFmtId="0" fontId="3" fillId="0" borderId="4" xfId="0" applyFont="1" applyBorder="1" applyAlignment="1">
      <alignment horizontal="left" vertical="top"/>
    </xf>
    <xf numFmtId="165" fontId="3" fillId="0" borderId="5" xfId="0" applyNumberFormat="1" applyFont="1" applyBorder="1" applyAlignment="1">
      <alignment horizontal="left" vertical="top" wrapText="1"/>
    </xf>
    <xf numFmtId="165" fontId="3" fillId="0" borderId="13" xfId="0" applyNumberFormat="1" applyFont="1" applyBorder="1" applyAlignment="1">
      <alignment horizontal="left" vertical="top" wrapText="1"/>
    </xf>
    <xf numFmtId="165" fontId="3" fillId="0" borderId="4" xfId="0" applyNumberFormat="1" applyFont="1" applyBorder="1" applyAlignment="1">
      <alignment horizontal="left" vertical="top" wrapText="1"/>
    </xf>
    <xf numFmtId="165" fontId="3" fillId="0" borderId="5" xfId="0" applyNumberFormat="1" applyFont="1" applyBorder="1" applyAlignment="1">
      <alignment horizontal="left" vertical="top"/>
    </xf>
    <xf numFmtId="165" fontId="3" fillId="0" borderId="13" xfId="0" applyNumberFormat="1" applyFont="1" applyBorder="1" applyAlignment="1">
      <alignment horizontal="left" vertical="top"/>
    </xf>
    <xf numFmtId="165" fontId="3" fillId="0" borderId="4" xfId="0" applyNumberFormat="1" applyFont="1" applyBorder="1" applyAlignment="1">
      <alignment horizontal="left" vertical="top"/>
    </xf>
    <xf numFmtId="0" fontId="6" fillId="0" borderId="5"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3" fillId="0" borderId="5" xfId="0" applyFont="1" applyBorder="1" applyAlignment="1">
      <alignment horizontal="left" vertical="top" wrapText="1"/>
    </xf>
    <xf numFmtId="0" fontId="3" fillId="0" borderId="13" xfId="0" applyFont="1" applyBorder="1" applyAlignment="1">
      <alignment horizontal="left" vertical="top" wrapText="1"/>
    </xf>
    <xf numFmtId="0" fontId="3" fillId="0" borderId="4" xfId="0" applyFont="1" applyBorder="1" applyAlignment="1">
      <alignment horizontal="left" vertical="top" wrapText="1"/>
    </xf>
    <xf numFmtId="0" fontId="3" fillId="0" borderId="8" xfId="0" applyFont="1" applyBorder="1" applyAlignment="1">
      <alignment horizontal="left" vertical="top" wrapText="1"/>
    </xf>
    <xf numFmtId="0" fontId="3" fillId="0" borderId="2" xfId="0" applyFont="1" applyBorder="1" applyAlignment="1">
      <alignment horizontal="left" vertical="top" wrapText="1"/>
    </xf>
    <xf numFmtId="0" fontId="6" fillId="0" borderId="5" xfId="0" applyFont="1" applyBorder="1" applyAlignment="1">
      <alignment horizontal="left" vertical="top"/>
    </xf>
    <xf numFmtId="0" fontId="6" fillId="0" borderId="13" xfId="0" applyFont="1" applyBorder="1" applyAlignment="1">
      <alignment horizontal="left" vertical="top"/>
    </xf>
    <xf numFmtId="0" fontId="6" fillId="0" borderId="4" xfId="0" applyFont="1" applyBorder="1" applyAlignment="1">
      <alignment horizontal="left" vertical="top"/>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4" xfId="0" applyFont="1" applyFill="1" applyBorder="1" applyAlignment="1">
      <alignment horizontal="left" vertical="top" wrapText="1"/>
    </xf>
    <xf numFmtId="0" fontId="22" fillId="0" borderId="5" xfId="4" applyFill="1" applyBorder="1" applyAlignment="1">
      <alignment horizontal="left" vertical="top"/>
    </xf>
    <xf numFmtId="0" fontId="2" fillId="0" borderId="5" xfId="0" applyFont="1" applyBorder="1" applyAlignment="1">
      <alignment horizontal="center" vertical="top"/>
    </xf>
    <xf numFmtId="0" fontId="2" fillId="0" borderId="13" xfId="0" applyFont="1" applyBorder="1" applyAlignment="1">
      <alignment horizontal="center" vertical="top"/>
    </xf>
    <xf numFmtId="0" fontId="2" fillId="0" borderId="4" xfId="0" applyFont="1" applyBorder="1" applyAlignment="1">
      <alignment horizontal="center" vertical="top"/>
    </xf>
    <xf numFmtId="0" fontId="2" fillId="0" borderId="1" xfId="0" applyFont="1" applyBorder="1" applyAlignment="1">
      <alignment horizontal="center" vertical="top"/>
    </xf>
    <xf numFmtId="0" fontId="20" fillId="0" borderId="5" xfId="2" applyFont="1" applyBorder="1" applyAlignment="1" applyProtection="1">
      <alignment horizontal="center" vertical="top" wrapText="1"/>
      <protection locked="0"/>
    </xf>
    <xf numFmtId="0" fontId="20" fillId="0" borderId="4" xfId="2" applyFont="1" applyBorder="1" applyAlignment="1" applyProtection="1">
      <alignment horizontal="center" vertical="top" wrapText="1"/>
      <protection locked="0"/>
    </xf>
    <xf numFmtId="9" fontId="20" fillId="2" borderId="1" xfId="2" applyNumberFormat="1" applyFont="1" applyFill="1" applyBorder="1" applyAlignment="1" applyProtection="1">
      <alignment horizontal="center" vertical="center" wrapText="1"/>
      <protection hidden="1"/>
    </xf>
    <xf numFmtId="9" fontId="20" fillId="2" borderId="18" xfId="2" applyNumberFormat="1" applyFont="1" applyFill="1" applyBorder="1" applyAlignment="1" applyProtection="1">
      <alignment horizontal="center" vertical="center" wrapText="1"/>
      <protection hidden="1"/>
    </xf>
    <xf numFmtId="9" fontId="20" fillId="2" borderId="22" xfId="2" applyNumberFormat="1" applyFont="1" applyFill="1" applyBorder="1" applyAlignment="1" applyProtection="1">
      <alignment horizontal="center" vertical="center" wrapText="1"/>
      <protection hidden="1"/>
    </xf>
    <xf numFmtId="9" fontId="20" fillId="2" borderId="26" xfId="2" applyNumberFormat="1" applyFont="1" applyFill="1" applyBorder="1" applyAlignment="1" applyProtection="1">
      <alignment horizontal="center" vertical="center" wrapText="1"/>
      <protection hidden="1"/>
    </xf>
    <xf numFmtId="1" fontId="20" fillId="0" borderId="5" xfId="2" applyNumberFormat="1" applyFont="1" applyBorder="1" applyAlignment="1" applyProtection="1">
      <alignment horizontal="center" vertical="top" wrapText="1"/>
      <protection locked="0"/>
    </xf>
    <xf numFmtId="1" fontId="20" fillId="0" borderId="4" xfId="2" applyNumberFormat="1" applyFont="1" applyBorder="1" applyAlignment="1" applyProtection="1">
      <alignment horizontal="center" vertical="top" wrapText="1"/>
      <protection locked="0"/>
    </xf>
    <xf numFmtId="0" fontId="3" fillId="0" borderId="8" xfId="0" applyFont="1" applyBorder="1" applyAlignment="1">
      <alignment horizontal="left" vertical="top"/>
    </xf>
    <xf numFmtId="0" fontId="3" fillId="0" borderId="2" xfId="0" applyFont="1" applyBorder="1" applyAlignment="1">
      <alignment horizontal="left" vertical="top"/>
    </xf>
    <xf numFmtId="0" fontId="3" fillId="0" borderId="9" xfId="0" applyFont="1" applyBorder="1" applyAlignment="1">
      <alignment horizontal="left" vertical="top"/>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4" xfId="0" applyFont="1" applyFill="1" applyBorder="1" applyAlignment="1">
      <alignment horizontal="left" vertical="top"/>
    </xf>
    <xf numFmtId="0" fontId="5" fillId="0" borderId="5"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wrapText="1"/>
    </xf>
    <xf numFmtId="0" fontId="5" fillId="0" borderId="13" xfId="0" applyFont="1" applyBorder="1" applyAlignment="1">
      <alignment horizontal="left" vertical="top" wrapText="1"/>
    </xf>
    <xf numFmtId="0" fontId="5" fillId="0" borderId="4" xfId="0" applyFont="1" applyBorder="1" applyAlignment="1">
      <alignment horizontal="left" vertical="top" wrapText="1"/>
    </xf>
    <xf numFmtId="0" fontId="2" fillId="0" borderId="5" xfId="0" applyFont="1" applyBorder="1" applyAlignment="1">
      <alignment horizontal="center" vertical="top" wrapText="1"/>
    </xf>
    <xf numFmtId="0" fontId="2" fillId="0" borderId="13" xfId="0" applyFont="1" applyBorder="1" applyAlignment="1">
      <alignment horizontal="center" vertical="top" wrapText="1"/>
    </xf>
    <xf numFmtId="0" fontId="2" fillId="0" borderId="4" xfId="0" applyFont="1" applyBorder="1" applyAlignment="1">
      <alignment horizontal="center" vertical="top" wrapText="1"/>
    </xf>
    <xf numFmtId="14" fontId="3" fillId="0" borderId="5" xfId="0" applyNumberFormat="1" applyFont="1" applyBorder="1" applyAlignment="1">
      <alignment horizontal="left" vertical="top"/>
    </xf>
    <xf numFmtId="14" fontId="3" fillId="0" borderId="13" xfId="0" applyNumberFormat="1" applyFont="1" applyBorder="1" applyAlignment="1">
      <alignment horizontal="left" vertical="top"/>
    </xf>
    <xf numFmtId="14" fontId="3" fillId="0" borderId="4" xfId="0" applyNumberFormat="1" applyFont="1" applyBorder="1" applyAlignment="1">
      <alignment horizontal="left" vertical="top"/>
    </xf>
    <xf numFmtId="0" fontId="15" fillId="0" borderId="5" xfId="0" applyFont="1" applyBorder="1" applyAlignment="1" applyProtection="1">
      <alignment horizontal="left" vertical="center" wrapText="1"/>
      <protection locked="0"/>
    </xf>
    <xf numFmtId="0" fontId="15" fillId="0" borderId="13" xfId="0" applyFont="1" applyBorder="1" applyAlignment="1" applyProtection="1">
      <alignment horizontal="left" vertical="center" wrapText="1"/>
      <protection locked="0"/>
    </xf>
    <xf numFmtId="0" fontId="6" fillId="0" borderId="5"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Border="1" applyAlignment="1">
      <alignment horizontal="left" vertical="top" wrapText="1"/>
    </xf>
    <xf numFmtId="14" fontId="6" fillId="0" borderId="5" xfId="0" applyNumberFormat="1" applyFont="1" applyBorder="1" applyAlignment="1">
      <alignment horizontal="left" vertical="top"/>
    </xf>
    <xf numFmtId="14" fontId="14" fillId="0" borderId="13" xfId="0" applyNumberFormat="1" applyFont="1" applyBorder="1" applyAlignment="1">
      <alignment horizontal="left" vertical="top"/>
    </xf>
    <xf numFmtId="14" fontId="14" fillId="0" borderId="4" xfId="0" applyNumberFormat="1" applyFont="1" applyBorder="1" applyAlignment="1">
      <alignment horizontal="left" vertical="top"/>
    </xf>
    <xf numFmtId="0" fontId="3" fillId="0" borderId="1" xfId="0" applyFont="1" applyBorder="1" applyAlignment="1">
      <alignment horizontal="left" vertical="top"/>
    </xf>
    <xf numFmtId="0" fontId="3" fillId="2" borderId="1" xfId="0" applyFont="1" applyFill="1" applyBorder="1" applyAlignment="1">
      <alignment horizontal="left" vertical="top"/>
    </xf>
    <xf numFmtId="0" fontId="3" fillId="0" borderId="1" xfId="0" applyFont="1" applyBorder="1" applyAlignment="1">
      <alignment horizontal="left" vertical="top" wrapText="1"/>
    </xf>
    <xf numFmtId="0" fontId="14" fillId="0" borderId="13" xfId="0" applyFont="1" applyBorder="1" applyAlignment="1">
      <alignment horizontal="left" vertical="top" wrapText="1"/>
    </xf>
    <xf numFmtId="0" fontId="14"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0" borderId="6" xfId="0" applyFont="1" applyBorder="1" applyAlignment="1">
      <alignment horizontal="left" vertical="top"/>
    </xf>
    <xf numFmtId="0" fontId="3" fillId="0" borderId="10" xfId="0" applyFont="1" applyBorder="1" applyAlignment="1">
      <alignment horizontal="left" vertical="top"/>
    </xf>
    <xf numFmtId="0" fontId="3" fillId="0" borderId="7" xfId="0" applyFont="1" applyBorder="1" applyAlignment="1">
      <alignment horizontal="left" vertical="top"/>
    </xf>
    <xf numFmtId="0" fontId="3" fillId="0" borderId="5"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vertical="top"/>
    </xf>
    <xf numFmtId="0" fontId="3" fillId="0" borderId="13" xfId="0" applyFont="1" applyBorder="1" applyAlignment="1">
      <alignment vertical="top"/>
    </xf>
    <xf numFmtId="0" fontId="3" fillId="0" borderId="4" xfId="0" applyFont="1" applyBorder="1" applyAlignment="1">
      <alignment vertical="top"/>
    </xf>
    <xf numFmtId="0" fontId="15" fillId="0" borderId="5" xfId="0" applyFont="1" applyBorder="1" applyAlignment="1">
      <alignment horizontal="center" vertical="top"/>
    </xf>
    <xf numFmtId="0" fontId="15" fillId="0" borderId="4" xfId="0" applyFont="1" applyBorder="1" applyAlignment="1">
      <alignment horizontal="center" vertical="top"/>
    </xf>
    <xf numFmtId="0" fontId="3" fillId="0" borderId="5" xfId="0" applyFont="1" applyBorder="1" applyAlignment="1">
      <alignment horizontal="center" vertical="top"/>
    </xf>
    <xf numFmtId="0" fontId="3" fillId="0" borderId="4" xfId="0" applyFont="1" applyBorder="1" applyAlignment="1">
      <alignment horizontal="center" vertical="top"/>
    </xf>
    <xf numFmtId="0" fontId="3" fillId="2" borderId="13" xfId="0" applyFont="1" applyFill="1" applyBorder="1" applyAlignment="1">
      <alignment horizontal="left" vertical="top"/>
    </xf>
    <xf numFmtId="0" fontId="3" fillId="2" borderId="4" xfId="0" applyFont="1" applyFill="1" applyBorder="1" applyAlignment="1">
      <alignment horizontal="left" vertical="top"/>
    </xf>
    <xf numFmtId="0" fontId="3" fillId="2" borderId="1" xfId="0" applyFont="1" applyFill="1" applyBorder="1" applyAlignment="1">
      <alignment horizontal="left" vertical="top" wrapText="1"/>
    </xf>
    <xf numFmtId="14" fontId="3" fillId="0" borderId="5" xfId="0" applyNumberFormat="1" applyFont="1" applyBorder="1" applyAlignment="1">
      <alignment horizontal="left" vertical="top" wrapText="1"/>
    </xf>
    <xf numFmtId="0" fontId="2" fillId="0" borderId="5" xfId="0" applyFont="1" applyBorder="1" applyAlignment="1">
      <alignment vertical="top"/>
    </xf>
    <xf numFmtId="0" fontId="2" fillId="0" borderId="13" xfId="0" applyFont="1" applyBorder="1" applyAlignment="1">
      <alignment vertical="top"/>
    </xf>
    <xf numFmtId="0" fontId="2" fillId="0" borderId="4" xfId="0" applyFont="1" applyBorder="1" applyAlignment="1">
      <alignment vertical="top"/>
    </xf>
    <xf numFmtId="14" fontId="3" fillId="2" borderId="5" xfId="0" applyNumberFormat="1" applyFont="1" applyFill="1" applyBorder="1" applyAlignment="1">
      <alignment horizontal="left" vertical="top"/>
    </xf>
    <xf numFmtId="14" fontId="3" fillId="2" borderId="13" xfId="0" applyNumberFormat="1" applyFont="1" applyFill="1" applyBorder="1" applyAlignment="1">
      <alignment horizontal="left" vertical="top"/>
    </xf>
    <xf numFmtId="14" fontId="3" fillId="2" borderId="4" xfId="0" applyNumberFormat="1" applyFont="1" applyFill="1" applyBorder="1" applyAlignment="1">
      <alignment horizontal="left" vertical="top"/>
    </xf>
    <xf numFmtId="0" fontId="6" fillId="0" borderId="5" xfId="0" applyFont="1" applyBorder="1" applyAlignment="1">
      <alignment horizontal="center" vertical="top" wrapText="1"/>
    </xf>
    <xf numFmtId="0" fontId="6" fillId="0" borderId="13" xfId="0" applyFont="1" applyBorder="1" applyAlignment="1">
      <alignment horizontal="center" vertical="top" wrapText="1"/>
    </xf>
    <xf numFmtId="0" fontId="15" fillId="0" borderId="4" xfId="0" applyFont="1" applyBorder="1" applyAlignment="1">
      <alignment horizontal="left"/>
    </xf>
    <xf numFmtId="0" fontId="20" fillId="0" borderId="16" xfId="2" applyFont="1" applyBorder="1" applyAlignment="1" applyProtection="1">
      <alignment horizontal="center" vertical="top" wrapText="1"/>
      <protection locked="0"/>
    </xf>
    <xf numFmtId="0" fontId="20" fillId="0" borderId="1" xfId="2" applyFont="1" applyBorder="1" applyAlignment="1" applyProtection="1">
      <alignment horizontal="center" vertical="top" wrapText="1"/>
      <protection locked="0"/>
    </xf>
    <xf numFmtId="0" fontId="20" fillId="0" borderId="17" xfId="2" applyFont="1" applyBorder="1" applyAlignment="1" applyProtection="1">
      <alignment horizontal="center" vertical="top" wrapText="1"/>
      <protection locked="0"/>
    </xf>
    <xf numFmtId="0" fontId="20" fillId="0" borderId="18" xfId="2" applyFont="1" applyBorder="1" applyAlignment="1" applyProtection="1">
      <alignment horizontal="center" vertical="top" wrapText="1"/>
      <protection locked="0"/>
    </xf>
    <xf numFmtId="0" fontId="20" fillId="0" borderId="28" xfId="2" applyFont="1" applyBorder="1" applyAlignment="1" applyProtection="1">
      <alignment horizontal="center" vertical="top"/>
      <protection locked="0"/>
    </xf>
    <xf numFmtId="0" fontId="20" fillId="0" borderId="4" xfId="2" applyFont="1" applyBorder="1" applyAlignment="1" applyProtection="1">
      <alignment horizontal="center" vertical="top"/>
      <protection locked="0"/>
    </xf>
    <xf numFmtId="0" fontId="21" fillId="0" borderId="16" xfId="2" applyFont="1" applyBorder="1" applyAlignment="1" applyProtection="1">
      <alignment horizontal="left" vertical="top"/>
      <protection locked="0"/>
    </xf>
    <xf numFmtId="0" fontId="21" fillId="0" borderId="1" xfId="2" applyFont="1" applyBorder="1" applyAlignment="1" applyProtection="1">
      <alignment horizontal="left" vertical="top"/>
      <protection locked="0"/>
    </xf>
    <xf numFmtId="0" fontId="21" fillId="0" borderId="1" xfId="2" applyFont="1" applyBorder="1" applyAlignment="1" applyProtection="1">
      <alignment horizontal="left" vertical="top" wrapText="1"/>
      <protection locked="0"/>
    </xf>
    <xf numFmtId="0" fontId="21" fillId="0" borderId="22" xfId="2" applyFont="1" applyBorder="1" applyAlignment="1" applyProtection="1">
      <alignment horizontal="left" vertical="top" wrapText="1"/>
      <protection locked="0"/>
    </xf>
    <xf numFmtId="0" fontId="20" fillId="0" borderId="24" xfId="2" applyFont="1" applyBorder="1" applyAlignment="1" applyProtection="1">
      <alignment horizontal="center" vertical="top" wrapText="1"/>
      <protection locked="0"/>
    </xf>
    <xf numFmtId="0" fontId="20" fillId="0" borderId="25" xfId="2" applyFont="1" applyBorder="1" applyAlignment="1" applyProtection="1">
      <alignment horizontal="center" vertical="top" wrapText="1"/>
      <protection locked="0"/>
    </xf>
    <xf numFmtId="0" fontId="20" fillId="0" borderId="5" xfId="2" applyFont="1" applyBorder="1" applyAlignment="1" applyProtection="1">
      <alignment horizontal="center" vertical="top"/>
      <protection locked="0"/>
    </xf>
    <xf numFmtId="0" fontId="20" fillId="0" borderId="1" xfId="2" applyFont="1" applyBorder="1" applyAlignment="1" applyProtection="1">
      <alignment horizontal="center" vertical="top"/>
      <protection locked="0"/>
    </xf>
    <xf numFmtId="0" fontId="20" fillId="0" borderId="22" xfId="2" applyFont="1" applyBorder="1" applyAlignment="1" applyProtection="1">
      <alignment horizontal="center" vertical="top"/>
      <protection locked="0"/>
    </xf>
    <xf numFmtId="0" fontId="20" fillId="0" borderId="1" xfId="2" applyFont="1" applyBorder="1" applyAlignment="1" applyProtection="1">
      <alignment horizontal="left" vertical="top"/>
      <protection locked="0"/>
    </xf>
    <xf numFmtId="0" fontId="20" fillId="0" borderId="22" xfId="2" applyFont="1" applyBorder="1" applyAlignment="1" applyProtection="1">
      <alignment horizontal="left" vertical="top"/>
      <protection locked="0"/>
    </xf>
    <xf numFmtId="1" fontId="4" fillId="0" borderId="5" xfId="0" applyNumberFormat="1" applyFont="1" applyBorder="1" applyAlignment="1">
      <alignment horizontal="center" vertical="center" wrapText="1"/>
    </xf>
    <xf numFmtId="1" fontId="4" fillId="0" borderId="13"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0" fontId="14" fillId="0" borderId="13" xfId="0" applyFont="1" applyBorder="1" applyAlignment="1">
      <alignment horizontal="left" vertical="top"/>
    </xf>
    <xf numFmtId="0" fontId="14" fillId="0" borderId="4" xfId="0" applyFont="1" applyBorder="1" applyAlignment="1">
      <alignment horizontal="left" vertical="top"/>
    </xf>
    <xf numFmtId="0" fontId="6" fillId="2" borderId="5" xfId="0" applyFont="1" applyFill="1" applyBorder="1" applyAlignment="1">
      <alignment horizontal="left" vertical="top"/>
    </xf>
    <xf numFmtId="0" fontId="6" fillId="2" borderId="13" xfId="0" applyFont="1" applyFill="1" applyBorder="1" applyAlignment="1">
      <alignment horizontal="left" vertical="top"/>
    </xf>
    <xf numFmtId="0" fontId="6" fillId="2" borderId="4" xfId="0" applyFont="1" applyFill="1" applyBorder="1" applyAlignment="1">
      <alignment horizontal="left" vertical="top"/>
    </xf>
    <xf numFmtId="1" fontId="9" fillId="0" borderId="6" xfId="0" applyNumberFormat="1" applyFont="1" applyBorder="1" applyAlignment="1">
      <alignment horizontal="center" vertical="center" wrapText="1"/>
    </xf>
    <xf numFmtId="1" fontId="9" fillId="0" borderId="7"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1" fontId="9" fillId="0" borderId="12" xfId="0" applyNumberFormat="1" applyFont="1" applyBorder="1" applyAlignment="1">
      <alignment horizontal="center" vertical="center" wrapText="1"/>
    </xf>
    <xf numFmtId="1" fontId="9" fillId="0" borderId="8"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0" fontId="3" fillId="2" borderId="5" xfId="0" applyFont="1" applyFill="1" applyBorder="1" applyAlignment="1">
      <alignment horizontal="left" vertical="top"/>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xf>
    <xf numFmtId="1" fontId="4" fillId="0" borderId="5" xfId="0" applyNumberFormat="1" applyFont="1" applyBorder="1" applyAlignment="1">
      <alignment horizontal="center" vertical="top" wrapText="1"/>
    </xf>
    <xf numFmtId="1" fontId="4" fillId="0" borderId="4" xfId="0" applyNumberFormat="1" applyFont="1" applyBorder="1" applyAlignment="1">
      <alignment horizontal="center" vertical="top" wrapText="1"/>
    </xf>
    <xf numFmtId="1" fontId="2" fillId="0" borderId="5" xfId="0" applyNumberFormat="1" applyFont="1" applyBorder="1" applyAlignment="1">
      <alignment horizontal="center" vertical="top" wrapText="1"/>
    </xf>
    <xf numFmtId="1" fontId="2" fillId="0" borderId="4" xfId="0" applyNumberFormat="1" applyFont="1" applyBorder="1" applyAlignment="1">
      <alignment horizontal="center" vertical="top" wrapText="1"/>
    </xf>
    <xf numFmtId="1" fontId="2" fillId="0" borderId="1" xfId="0" applyNumberFormat="1" applyFont="1" applyBorder="1" applyAlignment="1">
      <alignment horizontal="center" vertical="top"/>
    </xf>
    <xf numFmtId="1" fontId="9" fillId="0" borderId="10"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0" fontId="2" fillId="0" borderId="6" xfId="0" applyFont="1" applyBorder="1" applyAlignment="1">
      <alignment horizontal="center" vertical="top" wrapText="1"/>
    </xf>
    <xf numFmtId="0" fontId="2" fillId="0" borderId="10" xfId="0" applyFont="1" applyBorder="1" applyAlignment="1">
      <alignment horizontal="center" vertical="top" wrapText="1"/>
    </xf>
    <xf numFmtId="0" fontId="2" fillId="0" borderId="7"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horizontal="center" vertical="top" wrapText="1"/>
    </xf>
    <xf numFmtId="0" fontId="2" fillId="0" borderId="12" xfId="0" applyFont="1" applyBorder="1" applyAlignment="1">
      <alignment horizontal="center" vertical="top" wrapText="1"/>
    </xf>
    <xf numFmtId="0" fontId="2" fillId="0" borderId="8" xfId="0" applyFont="1" applyBorder="1" applyAlignment="1">
      <alignment horizontal="center" vertical="top" wrapText="1"/>
    </xf>
    <xf numFmtId="0" fontId="2" fillId="0" borderId="2" xfId="0" applyFont="1" applyBorder="1" applyAlignment="1">
      <alignment horizontal="center" vertical="top" wrapText="1"/>
    </xf>
    <xf numFmtId="0" fontId="2" fillId="0" borderId="9" xfId="0" applyFont="1" applyBorder="1" applyAlignment="1">
      <alignment horizontal="center" vertical="top" wrapText="1"/>
    </xf>
    <xf numFmtId="0" fontId="5" fillId="0" borderId="6" xfId="1" applyFont="1" applyBorder="1" applyAlignment="1">
      <alignment horizontal="left" vertical="top" wrapText="1"/>
    </xf>
    <xf numFmtId="0" fontId="5" fillId="0" borderId="10" xfId="1" applyFont="1" applyBorder="1" applyAlignment="1">
      <alignment horizontal="left" vertical="top" wrapText="1"/>
    </xf>
    <xf numFmtId="0" fontId="5" fillId="0" borderId="7" xfId="1" applyFont="1" applyBorder="1" applyAlignment="1">
      <alignment horizontal="left" vertical="top" wrapText="1"/>
    </xf>
    <xf numFmtId="0" fontId="11" fillId="0" borderId="1" xfId="0" applyFont="1" applyBorder="1" applyAlignment="1">
      <alignment horizontal="center"/>
    </xf>
    <xf numFmtId="0" fontId="0" fillId="3" borderId="1" xfId="0" applyFill="1" applyBorder="1" applyAlignment="1">
      <alignment horizontal="center" wrapText="1"/>
    </xf>
    <xf numFmtId="0" fontId="21" fillId="0" borderId="29" xfId="2" applyFont="1" applyBorder="1" applyAlignment="1" applyProtection="1">
      <alignment horizontal="left" vertical="top" wrapText="1"/>
      <protection locked="0"/>
    </xf>
    <xf numFmtId="0" fontId="21" fillId="0" borderId="30" xfId="2" applyFont="1" applyBorder="1" applyAlignment="1" applyProtection="1">
      <alignment horizontal="left" vertical="top" wrapText="1"/>
      <protection locked="0"/>
    </xf>
    <xf numFmtId="0" fontId="21" fillId="0" borderId="31" xfId="2" applyFont="1" applyBorder="1" applyAlignment="1" applyProtection="1">
      <alignment horizontal="left" vertical="top" wrapText="1"/>
      <protection locked="0"/>
    </xf>
    <xf numFmtId="0" fontId="21" fillId="0" borderId="32" xfId="2" applyFont="1" applyBorder="1" applyAlignment="1" applyProtection="1">
      <alignment horizontal="left" vertical="top"/>
      <protection locked="0"/>
    </xf>
    <xf numFmtId="0" fontId="21" fillId="0" borderId="33" xfId="2" applyFont="1" applyBorder="1" applyAlignment="1" applyProtection="1">
      <alignment horizontal="left" vertical="top"/>
      <protection locked="0"/>
    </xf>
    <xf numFmtId="0" fontId="16" fillId="0" borderId="0" xfId="2" applyFont="1" applyProtection="1">
      <protection hidden="1"/>
    </xf>
    <xf numFmtId="0" fontId="17" fillId="0" borderId="0" xfId="0" applyFont="1" applyProtection="1">
      <protection hidden="1"/>
    </xf>
    <xf numFmtId="0" fontId="16" fillId="0" borderId="0" xfId="2" applyFont="1"/>
    <xf numFmtId="0" fontId="20" fillId="0" borderId="1" xfId="2" applyFont="1" applyBorder="1" applyAlignment="1" applyProtection="1">
      <alignment horizontal="center" wrapText="1"/>
      <protection locked="0"/>
    </xf>
    <xf numFmtId="9" fontId="20" fillId="0" borderId="1" xfId="2" applyNumberFormat="1" applyFont="1" applyBorder="1" applyAlignment="1" applyProtection="1">
      <alignment horizontal="center" vertical="center" wrapText="1"/>
      <protection hidden="1"/>
    </xf>
    <xf numFmtId="1" fontId="20" fillId="0" borderId="1" xfId="2" applyNumberFormat="1" applyFont="1" applyBorder="1" applyAlignment="1" applyProtection="1">
      <alignment horizontal="center" wrapText="1"/>
      <protection locked="0"/>
    </xf>
    <xf numFmtId="1" fontId="0" fillId="0" borderId="0" xfId="0" applyNumberFormat="1"/>
    <xf numFmtId="1" fontId="16" fillId="0" borderId="1" xfId="2" applyNumberFormat="1" applyFont="1" applyBorder="1" applyAlignment="1" applyProtection="1">
      <alignment horizontal="center" wrapText="1"/>
      <protection locked="0"/>
    </xf>
    <xf numFmtId="1" fontId="0" fillId="0" borderId="0" xfId="0" applyNumberFormat="1" applyAlignment="1">
      <alignment horizontal="right"/>
    </xf>
    <xf numFmtId="0" fontId="21" fillId="0" borderId="1" xfId="2" applyFont="1" applyBorder="1" applyAlignment="1" applyProtection="1">
      <alignment horizontal="center" vertical="top" wrapText="1"/>
      <protection locked="0"/>
    </xf>
  </cellXfs>
  <cellStyles count="5">
    <cellStyle name="Comma" xfId="3" builtinId="3"/>
    <cellStyle name="Excel Built-in Normal" xfId="1"/>
    <cellStyle name="Hyperlink" xfId="4" builtinId="8"/>
    <cellStyle name="Normal" xfId="0" builtinId="0"/>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619121</xdr:colOff>
      <xdr:row>222</xdr:row>
      <xdr:rowOff>80528</xdr:rowOff>
    </xdr:from>
    <xdr:to>
      <xdr:col>9</xdr:col>
      <xdr:colOff>75075</xdr:colOff>
      <xdr:row>241</xdr:row>
      <xdr:rowOff>51952</xdr:rowOff>
    </xdr:to>
    <xdr:pic>
      <xdr:nvPicPr>
        <xdr:cNvPr id="36" name="Picture 1">
          <a:extLst>
            <a:ext uri="{FF2B5EF4-FFF2-40B4-BE49-F238E27FC236}">
              <a16:creationId xmlns:a16="http://schemas.microsoft.com/office/drawing/2014/main" xmlns="" id="{00000000-0008-0000-0000-000024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619121" y="46819703"/>
          <a:ext cx="5532904" cy="3590924"/>
        </a:xfrm>
        <a:prstGeom prst="rect">
          <a:avLst/>
        </a:prstGeom>
        <a:noFill/>
        <a:ln w="9525">
          <a:solidFill>
            <a:srgbClr val="080808"/>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627780</xdr:colOff>
      <xdr:row>204</xdr:row>
      <xdr:rowOff>69272</xdr:rowOff>
    </xdr:from>
    <xdr:to>
      <xdr:col>9</xdr:col>
      <xdr:colOff>45634</xdr:colOff>
      <xdr:row>222</xdr:row>
      <xdr:rowOff>2597</xdr:rowOff>
    </xdr:to>
    <xdr:pic>
      <xdr:nvPicPr>
        <xdr:cNvPr id="37" name="Picture 2">
          <a:extLst>
            <a:ext uri="{FF2B5EF4-FFF2-40B4-BE49-F238E27FC236}">
              <a16:creationId xmlns:a16="http://schemas.microsoft.com/office/drawing/2014/main" xmlns="" id="{00000000-0008-0000-0000-000025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627780" y="43379447"/>
          <a:ext cx="5494804" cy="3362325"/>
        </a:xfrm>
        <a:prstGeom prst="rect">
          <a:avLst/>
        </a:prstGeom>
        <a:noFill/>
        <a:ln w="9525">
          <a:solidFill>
            <a:srgbClr val="080808"/>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2363930</xdr:colOff>
      <xdr:row>157</xdr:row>
      <xdr:rowOff>0</xdr:rowOff>
    </xdr:from>
    <xdr:to>
      <xdr:col>11</xdr:col>
      <xdr:colOff>260182</xdr:colOff>
      <xdr:row>158</xdr:row>
      <xdr:rowOff>152853</xdr:rowOff>
    </xdr:to>
    <xdr:sp macro="" textlink="">
      <xdr:nvSpPr>
        <xdr:cNvPr id="33" name="Rectangle 32">
          <a:extLst>
            <a:ext uri="{FF2B5EF4-FFF2-40B4-BE49-F238E27FC236}">
              <a16:creationId xmlns:a16="http://schemas.microsoft.com/office/drawing/2014/main" xmlns="" id="{00000000-0008-0000-0000-000021000000}"/>
            </a:ext>
          </a:extLst>
        </xdr:cNvPr>
        <xdr:cNvSpPr/>
      </xdr:nvSpPr>
      <xdr:spPr>
        <a:xfrm>
          <a:off x="8814953" y="33017112"/>
          <a:ext cx="693138"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I</a:t>
          </a:r>
        </a:p>
      </xdr:txBody>
    </xdr:sp>
    <xdr:clientData/>
  </xdr:twoCellAnchor>
  <xdr:twoCellAnchor>
    <xdr:from>
      <xdr:col>10</xdr:col>
      <xdr:colOff>1082385</xdr:colOff>
      <xdr:row>158</xdr:row>
      <xdr:rowOff>147203</xdr:rowOff>
    </xdr:from>
    <xdr:to>
      <xdr:col>10</xdr:col>
      <xdr:colOff>1836438</xdr:colOff>
      <xdr:row>160</xdr:row>
      <xdr:rowOff>135535</xdr:rowOff>
    </xdr:to>
    <xdr:sp macro="" textlink="">
      <xdr:nvSpPr>
        <xdr:cNvPr id="34" name="Rectangle 33">
          <a:extLst>
            <a:ext uri="{FF2B5EF4-FFF2-40B4-BE49-F238E27FC236}">
              <a16:creationId xmlns:a16="http://schemas.microsoft.com/office/drawing/2014/main" xmlns="" id="{00000000-0008-0000-0000-000022000000}"/>
            </a:ext>
          </a:extLst>
        </xdr:cNvPr>
        <xdr:cNvSpPr/>
      </xdr:nvSpPr>
      <xdr:spPr>
        <a:xfrm>
          <a:off x="7533408" y="33380794"/>
          <a:ext cx="754053"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II</a:t>
          </a:r>
        </a:p>
      </xdr:txBody>
    </xdr:sp>
    <xdr:clientData/>
  </xdr:twoCellAnchor>
  <xdr:twoCellAnchor editAs="oneCell">
    <xdr:from>
      <xdr:col>10</xdr:col>
      <xdr:colOff>540089</xdr:colOff>
      <xdr:row>45</xdr:row>
      <xdr:rowOff>372340</xdr:rowOff>
    </xdr:from>
    <xdr:to>
      <xdr:col>16</xdr:col>
      <xdr:colOff>263239</xdr:colOff>
      <xdr:row>51</xdr:row>
      <xdr:rowOff>68726</xdr:rowOff>
    </xdr:to>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3"/>
        <a:stretch>
          <a:fillRect/>
        </a:stretch>
      </xdr:blipFill>
      <xdr:spPr>
        <a:xfrm>
          <a:off x="7571271" y="9672204"/>
          <a:ext cx="5550718" cy="3514179"/>
        </a:xfrm>
        <a:prstGeom prst="rect">
          <a:avLst/>
        </a:prstGeom>
      </xdr:spPr>
    </xdr:pic>
    <xdr:clientData/>
  </xdr:twoCellAnchor>
  <xdr:twoCellAnchor editAs="oneCell">
    <xdr:from>
      <xdr:col>10</xdr:col>
      <xdr:colOff>13078</xdr:colOff>
      <xdr:row>42</xdr:row>
      <xdr:rowOff>142875</xdr:rowOff>
    </xdr:from>
    <xdr:to>
      <xdr:col>16</xdr:col>
      <xdr:colOff>56027</xdr:colOff>
      <xdr:row>48</xdr:row>
      <xdr:rowOff>189942</xdr:rowOff>
    </xdr:to>
    <xdr:pic>
      <xdr:nvPicPr>
        <xdr:cNvPr id="15" name="Picture 14">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4"/>
        <a:stretch>
          <a:fillRect/>
        </a:stretch>
      </xdr:blipFill>
      <xdr:spPr>
        <a:xfrm>
          <a:off x="7042528" y="8648700"/>
          <a:ext cx="5891299" cy="2933142"/>
        </a:xfrm>
        <a:prstGeom prst="rect">
          <a:avLst/>
        </a:prstGeom>
      </xdr:spPr>
    </xdr:pic>
    <xdr:clientData/>
  </xdr:twoCellAnchor>
  <xdr:twoCellAnchor editAs="oneCell">
    <xdr:from>
      <xdr:col>10</xdr:col>
      <xdr:colOff>2304705</xdr:colOff>
      <xdr:row>29</xdr:row>
      <xdr:rowOff>47624</xdr:rowOff>
    </xdr:from>
    <xdr:to>
      <xdr:col>12</xdr:col>
      <xdr:colOff>532874</xdr:colOff>
      <xdr:row>39</xdr:row>
      <xdr:rowOff>175568</xdr:rowOff>
    </xdr:to>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9329393" y="6000749"/>
          <a:ext cx="1657169" cy="2032944"/>
        </a:xfrm>
        <a:prstGeom prst="rect">
          <a:avLst/>
        </a:prstGeom>
      </xdr:spPr>
    </xdr:pic>
    <xdr:clientData/>
  </xdr:twoCellAnchor>
  <xdr:twoCellAnchor editAs="oneCell">
    <xdr:from>
      <xdr:col>10</xdr:col>
      <xdr:colOff>1657350</xdr:colOff>
      <xdr:row>159</xdr:row>
      <xdr:rowOff>38100</xdr:rowOff>
    </xdr:from>
    <xdr:to>
      <xdr:col>10</xdr:col>
      <xdr:colOff>2175555</xdr:colOff>
      <xdr:row>160</xdr:row>
      <xdr:rowOff>146330</xdr:rowOff>
    </xdr:to>
    <xdr:pic>
      <xdr:nvPicPr>
        <xdr:cNvPr id="18" name="Picture 17">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6"/>
        <a:stretch>
          <a:fillRect/>
        </a:stretch>
      </xdr:blipFill>
      <xdr:spPr>
        <a:xfrm>
          <a:off x="8686800" y="34909125"/>
          <a:ext cx="518205" cy="298730"/>
        </a:xfrm>
        <a:prstGeom prst="rect">
          <a:avLst/>
        </a:prstGeom>
      </xdr:spPr>
    </xdr:pic>
    <xdr:clientData/>
  </xdr:twoCellAnchor>
  <xdr:twoCellAnchor editAs="oneCell">
    <xdr:from>
      <xdr:col>11</xdr:col>
      <xdr:colOff>533400</xdr:colOff>
      <xdr:row>158</xdr:row>
      <xdr:rowOff>47625</xdr:rowOff>
    </xdr:from>
    <xdr:to>
      <xdr:col>12</xdr:col>
      <xdr:colOff>405426</xdr:colOff>
      <xdr:row>159</xdr:row>
      <xdr:rowOff>155855</xdr:rowOff>
    </xdr:to>
    <xdr:pic>
      <xdr:nvPicPr>
        <xdr:cNvPr id="26" name="Picture 25">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7"/>
        <a:stretch>
          <a:fillRect/>
        </a:stretch>
      </xdr:blipFill>
      <xdr:spPr>
        <a:xfrm>
          <a:off x="10363200" y="34728150"/>
          <a:ext cx="481626" cy="298730"/>
        </a:xfrm>
        <a:prstGeom prst="rect">
          <a:avLst/>
        </a:prstGeom>
      </xdr:spPr>
    </xdr:pic>
    <xdr:clientData/>
  </xdr:twoCellAnchor>
  <xdr:twoCellAnchor>
    <xdr:from>
      <xdr:col>0</xdr:col>
      <xdr:colOff>142875</xdr:colOff>
      <xdr:row>158</xdr:row>
      <xdr:rowOff>142874</xdr:rowOff>
    </xdr:from>
    <xdr:to>
      <xdr:col>9</xdr:col>
      <xdr:colOff>828674</xdr:colOff>
      <xdr:row>197</xdr:row>
      <xdr:rowOff>31161</xdr:rowOff>
    </xdr:to>
    <xdr:grpSp>
      <xdr:nvGrpSpPr>
        <xdr:cNvPr id="3" name="Group 2"/>
        <xdr:cNvGrpSpPr/>
      </xdr:nvGrpSpPr>
      <xdr:grpSpPr>
        <a:xfrm>
          <a:off x="142875" y="35156774"/>
          <a:ext cx="6762749" cy="7317787"/>
          <a:chOff x="142875" y="34413824"/>
          <a:chExt cx="6762749" cy="7317787"/>
        </a:xfrm>
      </xdr:grpSpPr>
      <xdr:pic>
        <xdr:nvPicPr>
          <xdr:cNvPr id="38" name="Picture 37" descr="https://vsjcllp.vsjadon.com/upload/insp-246640-152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962525" y="39670493"/>
            <a:ext cx="1533525" cy="204683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6640-84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52399" y="34413824"/>
            <a:ext cx="2181225" cy="29113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6640-84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42875" y="374332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46640-847.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438399" y="34413824"/>
            <a:ext cx="2181225" cy="29113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6640-85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724399" y="34423349"/>
            <a:ext cx="2181225" cy="29113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46640-86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3552825" y="374142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46640-871.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5248275" y="374142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https://vsjcllp.vsjadon.com/upload/insp-246640-874.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3324225" y="39680018"/>
            <a:ext cx="1533525" cy="204683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3" name="Picture 62" descr="https://vsjcllp.vsjadon.com/upload/insp-246640-883.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1847850" y="374237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4" name="Picture 63" descr="https://vsjcllp.vsjadon.com/upload/insp-246640-880.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495300" y="39684780"/>
            <a:ext cx="2726581" cy="204683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Pkie9BCRhYzymocSA"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04"/>
  <sheetViews>
    <sheetView tabSelected="1" view="pageBreakPreview" zoomScaleNormal="100" zoomScaleSheetLayoutView="100" zoomScalePageLayoutView="85" workbookViewId="0">
      <selection activeCell="N18" sqref="N18"/>
    </sheetView>
  </sheetViews>
  <sheetFormatPr defaultColWidth="9.140625" defaultRowHeight="15" x14ac:dyDescent="0.25"/>
  <cols>
    <col min="1" max="1" width="10.5703125" style="22" customWidth="1"/>
    <col min="2" max="2" width="10.85546875" style="22" customWidth="1"/>
    <col min="3" max="3" width="12.5703125" style="22" customWidth="1"/>
    <col min="4" max="4" width="8.5703125" style="22" customWidth="1"/>
    <col min="5" max="5" width="9" style="22" customWidth="1"/>
    <col min="6" max="6" width="7.85546875" style="22" customWidth="1"/>
    <col min="7" max="7" width="12" style="22" customWidth="1"/>
    <col min="8" max="8" width="11.42578125" style="22" customWidth="1"/>
    <col min="9" max="9" width="8.28515625" style="22" customWidth="1"/>
    <col min="10" max="10" width="14.28515625" style="22" customWidth="1"/>
    <col min="11" max="11" width="42" style="22" customWidth="1"/>
    <col min="12" max="16384" width="9.140625" style="22"/>
  </cols>
  <sheetData>
    <row r="1" spans="1:12" ht="43.9" customHeight="1" x14ac:dyDescent="0.25">
      <c r="A1" s="109" t="s">
        <v>250</v>
      </c>
      <c r="B1" s="110"/>
      <c r="C1" s="110"/>
      <c r="D1" s="110"/>
      <c r="E1" s="110"/>
      <c r="F1" s="110"/>
      <c r="G1" s="110"/>
      <c r="H1" s="110"/>
      <c r="I1" s="110"/>
      <c r="J1" s="111"/>
    </row>
    <row r="2" spans="1:12" ht="13.9" x14ac:dyDescent="0.25">
      <c r="A2" s="86" t="s">
        <v>41</v>
      </c>
      <c r="B2" s="87"/>
      <c r="C2" s="87"/>
      <c r="D2" s="87"/>
      <c r="E2" s="87"/>
      <c r="F2" s="87"/>
      <c r="G2" s="87"/>
      <c r="H2" s="87"/>
      <c r="I2" s="87"/>
      <c r="J2" s="88"/>
    </row>
    <row r="3" spans="1:12" ht="13.9" x14ac:dyDescent="0.25">
      <c r="A3" s="63" t="s">
        <v>0</v>
      </c>
      <c r="B3" s="64"/>
      <c r="C3" s="64"/>
      <c r="D3" s="64"/>
      <c r="E3" s="65"/>
      <c r="F3" s="112" t="str">
        <f ca="1">TEXT(TODAY(),"DD/MM/YYYY")</f>
        <v>17/09/2025</v>
      </c>
      <c r="G3" s="113"/>
      <c r="H3" s="113"/>
      <c r="I3" s="113"/>
      <c r="J3" s="114"/>
    </row>
    <row r="4" spans="1:12" ht="15" customHeight="1" x14ac:dyDescent="0.25">
      <c r="A4" s="63" t="s">
        <v>1</v>
      </c>
      <c r="B4" s="64"/>
      <c r="C4" s="64"/>
      <c r="D4" s="64"/>
      <c r="E4" s="65"/>
      <c r="F4" s="115" t="s">
        <v>156</v>
      </c>
      <c r="G4" s="116"/>
      <c r="H4" s="116"/>
      <c r="I4" s="116"/>
      <c r="J4" s="19"/>
    </row>
    <row r="5" spans="1:12" ht="13.9" x14ac:dyDescent="0.25">
      <c r="A5" s="63" t="s">
        <v>2</v>
      </c>
      <c r="B5" s="64"/>
      <c r="C5" s="64"/>
      <c r="D5" s="64"/>
      <c r="E5" s="65"/>
      <c r="F5" s="120">
        <v>45909</v>
      </c>
      <c r="G5" s="121"/>
      <c r="H5" s="121"/>
      <c r="I5" s="121"/>
      <c r="J5" s="122"/>
    </row>
    <row r="6" spans="1:12" x14ac:dyDescent="0.25">
      <c r="A6" s="63" t="s">
        <v>3</v>
      </c>
      <c r="B6" s="64"/>
      <c r="C6" s="64"/>
      <c r="D6" s="64"/>
      <c r="E6" s="65"/>
      <c r="F6" s="63" t="s">
        <v>196</v>
      </c>
      <c r="G6" s="64"/>
      <c r="H6" s="64"/>
      <c r="I6" s="64"/>
      <c r="J6" s="65"/>
    </row>
    <row r="7" spans="1:12" ht="13.9" x14ac:dyDescent="0.25">
      <c r="A7" s="63" t="s">
        <v>4</v>
      </c>
      <c r="B7" s="64"/>
      <c r="C7" s="64"/>
      <c r="D7" s="64"/>
      <c r="E7" s="65"/>
      <c r="F7" s="63" t="str">
        <f>F6</f>
        <v>M/s.Murudeshwar Developers &amp; 
Vega’s Associates</v>
      </c>
      <c r="G7" s="64"/>
      <c r="H7" s="64"/>
      <c r="I7" s="64"/>
      <c r="J7" s="65"/>
    </row>
    <row r="8" spans="1:12" ht="13.9" x14ac:dyDescent="0.25">
      <c r="A8" s="63" t="s">
        <v>5</v>
      </c>
      <c r="B8" s="64"/>
      <c r="C8" s="64"/>
      <c r="D8" s="64"/>
      <c r="E8" s="65"/>
      <c r="F8" s="60" t="s">
        <v>181</v>
      </c>
      <c r="G8" s="61"/>
      <c r="H8" s="61"/>
      <c r="I8" s="61"/>
      <c r="J8" s="62"/>
    </row>
    <row r="9" spans="1:12" x14ac:dyDescent="0.25">
      <c r="A9" s="63" t="s">
        <v>99</v>
      </c>
      <c r="B9" s="64"/>
      <c r="C9" s="64"/>
      <c r="D9" s="64"/>
      <c r="E9" s="65"/>
      <c r="F9" s="63">
        <v>8779766639</v>
      </c>
      <c r="G9" s="64"/>
      <c r="H9" s="64"/>
      <c r="I9" s="64"/>
      <c r="J9" s="65"/>
      <c r="K9" s="55" t="s">
        <v>252</v>
      </c>
      <c r="L9" s="55"/>
    </row>
    <row r="10" spans="1:12" ht="13.9" x14ac:dyDescent="0.25">
      <c r="A10" s="63" t="s">
        <v>248</v>
      </c>
      <c r="B10" s="64"/>
      <c r="C10" s="64"/>
      <c r="D10" s="64"/>
      <c r="E10" s="65"/>
      <c r="F10" s="63" t="s">
        <v>249</v>
      </c>
      <c r="G10" s="64"/>
      <c r="H10" s="64"/>
      <c r="I10" s="64"/>
      <c r="J10" s="65"/>
    </row>
    <row r="11" spans="1:12" ht="13.9" x14ac:dyDescent="0.25">
      <c r="A11" s="63" t="s">
        <v>138</v>
      </c>
      <c r="B11" s="64"/>
      <c r="C11" s="64"/>
      <c r="D11" s="64"/>
      <c r="E11" s="65"/>
      <c r="F11" s="79" t="s">
        <v>157</v>
      </c>
      <c r="G11" s="80"/>
      <c r="H11" s="80"/>
      <c r="I11" s="80"/>
      <c r="J11" s="81"/>
    </row>
    <row r="12" spans="1:12" ht="13.9" x14ac:dyDescent="0.25">
      <c r="A12" s="63" t="s">
        <v>6</v>
      </c>
      <c r="B12" s="64"/>
      <c r="C12" s="64"/>
      <c r="D12" s="64"/>
      <c r="E12" s="65"/>
      <c r="F12" s="117" t="s">
        <v>129</v>
      </c>
      <c r="G12" s="118"/>
      <c r="H12" s="118"/>
      <c r="I12" s="118"/>
      <c r="J12" s="119"/>
    </row>
    <row r="13" spans="1:12" x14ac:dyDescent="0.25">
      <c r="A13" s="63" t="s">
        <v>132</v>
      </c>
      <c r="B13" s="64"/>
      <c r="C13" s="64"/>
      <c r="D13" s="64"/>
      <c r="E13" s="65"/>
      <c r="F13" s="74" t="s">
        <v>182</v>
      </c>
      <c r="G13" s="64"/>
      <c r="H13" s="64"/>
      <c r="I13" s="64"/>
      <c r="J13" s="65"/>
    </row>
    <row r="14" spans="1:12" ht="13.9" x14ac:dyDescent="0.25">
      <c r="A14" s="123" t="s">
        <v>57</v>
      </c>
      <c r="B14" s="123"/>
      <c r="C14" s="74" t="str">
        <f>CONCATENATE((IF(OR(F8="",F8="NA"),"",F8)),", ",(IF(OR(A15="",A15="NA"),"",A15)),".",(IF(OR(C15="",C15="NA"),"",C15)),", ",(IF(OR(F15="",F15="NA"),"",F15)),".",(IF(OR(G15="",G15="NA"),"",G15)),", ",(IF(OR(B16="",B16="NA"),"",B16)),", ",(IF(OR(I15="",I15="NA"),"",I15)),", ",(IF(OR(B17="",B17="NA"),"",B17)),", ",(IF(OR(G16="",G16="NA"),"",G16)),".")</f>
        <v>Uma Greens, Plot No.35A, Sector No.47, Uran - Panvel Road, Dronagiri, Uran, Raigad.</v>
      </c>
      <c r="D14" s="75"/>
      <c r="E14" s="75"/>
      <c r="F14" s="75"/>
      <c r="G14" s="75"/>
      <c r="H14" s="75"/>
      <c r="I14" s="75"/>
      <c r="J14" s="76"/>
    </row>
    <row r="15" spans="1:12" ht="27.6" x14ac:dyDescent="0.25">
      <c r="A15" s="74" t="s">
        <v>183</v>
      </c>
      <c r="B15" s="76"/>
      <c r="C15" s="74" t="s">
        <v>158</v>
      </c>
      <c r="D15" s="75"/>
      <c r="E15" s="75"/>
      <c r="F15" s="2" t="s">
        <v>184</v>
      </c>
      <c r="G15" s="21">
        <v>47</v>
      </c>
      <c r="H15" s="2" t="s">
        <v>58</v>
      </c>
      <c r="I15" s="135" t="s">
        <v>160</v>
      </c>
      <c r="J15" s="136"/>
    </row>
    <row r="16" spans="1:12" ht="13.9" x14ac:dyDescent="0.25">
      <c r="A16" s="25" t="s">
        <v>7</v>
      </c>
      <c r="B16" s="63" t="s">
        <v>166</v>
      </c>
      <c r="C16" s="64"/>
      <c r="D16" s="64"/>
      <c r="E16" s="65"/>
      <c r="F16" s="1" t="s">
        <v>59</v>
      </c>
      <c r="G16" s="63" t="s">
        <v>159</v>
      </c>
      <c r="H16" s="64"/>
      <c r="I16" s="64"/>
      <c r="J16" s="65"/>
    </row>
    <row r="17" spans="1:10" ht="13.9" x14ac:dyDescent="0.25">
      <c r="A17" s="25" t="s">
        <v>8</v>
      </c>
      <c r="B17" s="63" t="s">
        <v>161</v>
      </c>
      <c r="C17" s="64"/>
      <c r="D17" s="64"/>
      <c r="E17" s="65"/>
      <c r="F17" s="1" t="s">
        <v>60</v>
      </c>
      <c r="G17" s="63">
        <v>400702</v>
      </c>
      <c r="H17" s="64"/>
      <c r="I17" s="64"/>
      <c r="J17" s="65"/>
    </row>
    <row r="18" spans="1:10" ht="32.25" customHeight="1" x14ac:dyDescent="0.25">
      <c r="A18" s="123" t="s">
        <v>61</v>
      </c>
      <c r="B18" s="123"/>
      <c r="C18" s="124" t="s">
        <v>165</v>
      </c>
      <c r="D18" s="124"/>
      <c r="E18" s="124"/>
      <c r="F18" s="125" t="s">
        <v>48</v>
      </c>
      <c r="G18" s="125"/>
      <c r="H18" s="118" t="s">
        <v>164</v>
      </c>
      <c r="I18" s="126"/>
      <c r="J18" s="127"/>
    </row>
    <row r="19" spans="1:10" ht="15" customHeight="1" x14ac:dyDescent="0.25">
      <c r="A19" s="128" t="s">
        <v>137</v>
      </c>
      <c r="B19" s="129"/>
      <c r="C19" s="129"/>
      <c r="D19" s="129"/>
      <c r="E19" s="130"/>
      <c r="F19" s="132" t="s">
        <v>55</v>
      </c>
      <c r="G19" s="133"/>
      <c r="H19" s="133"/>
      <c r="I19" s="133"/>
      <c r="J19" s="134"/>
    </row>
    <row r="20" spans="1:10" x14ac:dyDescent="0.25">
      <c r="A20" s="77"/>
      <c r="B20" s="78"/>
      <c r="C20" s="78"/>
      <c r="D20" s="78"/>
      <c r="E20" s="131"/>
      <c r="F20" s="98"/>
      <c r="G20" s="99"/>
      <c r="H20" s="99"/>
      <c r="I20" s="99"/>
      <c r="J20" s="100"/>
    </row>
    <row r="21" spans="1:10" ht="15" customHeight="1" x14ac:dyDescent="0.25">
      <c r="A21" s="128" t="s">
        <v>100</v>
      </c>
      <c r="B21" s="129"/>
      <c r="C21" s="129"/>
      <c r="D21" s="129"/>
      <c r="E21" s="130"/>
      <c r="F21" s="128" t="s">
        <v>43</v>
      </c>
      <c r="G21" s="129"/>
      <c r="H21" s="129"/>
      <c r="I21" s="129"/>
      <c r="J21" s="130"/>
    </row>
    <row r="22" spans="1:10" x14ac:dyDescent="0.25">
      <c r="A22" s="77"/>
      <c r="B22" s="78"/>
      <c r="C22" s="78"/>
      <c r="D22" s="78"/>
      <c r="E22" s="131"/>
      <c r="F22" s="77"/>
      <c r="G22" s="78"/>
      <c r="H22" s="78"/>
      <c r="I22" s="78"/>
      <c r="J22" s="131"/>
    </row>
    <row r="23" spans="1:10" ht="15" customHeight="1" x14ac:dyDescent="0.25">
      <c r="A23" s="63" t="s">
        <v>9</v>
      </c>
      <c r="B23" s="64"/>
      <c r="C23" s="64"/>
      <c r="D23" s="64"/>
      <c r="E23" s="65"/>
      <c r="F23" s="115" t="s">
        <v>130</v>
      </c>
      <c r="G23" s="116"/>
      <c r="H23" s="116"/>
      <c r="I23" s="116"/>
      <c r="J23" s="20"/>
    </row>
    <row r="24" spans="1:10" x14ac:dyDescent="0.25">
      <c r="A24" s="63" t="s">
        <v>10</v>
      </c>
      <c r="B24" s="64"/>
      <c r="C24" s="64"/>
      <c r="D24" s="64"/>
      <c r="E24" s="65"/>
      <c r="F24" s="137" t="s">
        <v>49</v>
      </c>
      <c r="G24" s="138"/>
      <c r="H24" s="138"/>
      <c r="I24" s="138"/>
      <c r="J24" s="139"/>
    </row>
    <row r="25" spans="1:10" ht="15" customHeight="1" x14ac:dyDescent="0.25">
      <c r="A25" s="63" t="s">
        <v>11</v>
      </c>
      <c r="B25" s="64"/>
      <c r="C25" s="64"/>
      <c r="D25" s="64"/>
      <c r="E25" s="65"/>
      <c r="F25" s="115" t="s">
        <v>131</v>
      </c>
      <c r="G25" s="116"/>
      <c r="H25" s="116"/>
      <c r="I25" s="116"/>
      <c r="J25" s="20"/>
    </row>
    <row r="26" spans="1:10" x14ac:dyDescent="0.25">
      <c r="A26" s="63" t="s">
        <v>28</v>
      </c>
      <c r="B26" s="64"/>
      <c r="C26" s="64"/>
      <c r="D26" s="64"/>
      <c r="E26" s="65"/>
      <c r="F26" s="137" t="s">
        <v>62</v>
      </c>
      <c r="G26" s="138"/>
      <c r="H26" s="138"/>
      <c r="I26" s="138"/>
      <c r="J26" s="139"/>
    </row>
    <row r="27" spans="1:10" x14ac:dyDescent="0.25">
      <c r="A27" s="140" t="s">
        <v>12</v>
      </c>
      <c r="B27" s="141"/>
      <c r="C27" s="140" t="s">
        <v>13</v>
      </c>
      <c r="D27" s="141"/>
      <c r="E27" s="140" t="s">
        <v>14</v>
      </c>
      <c r="F27" s="141"/>
      <c r="G27" s="140" t="s">
        <v>47</v>
      </c>
      <c r="H27" s="141"/>
      <c r="I27" s="140" t="s">
        <v>15</v>
      </c>
      <c r="J27" s="141"/>
    </row>
    <row r="28" spans="1:10" x14ac:dyDescent="0.25">
      <c r="A28" s="142" t="s">
        <v>16</v>
      </c>
      <c r="B28" s="143"/>
      <c r="C28" s="142" t="s">
        <v>46</v>
      </c>
      <c r="D28" s="143"/>
      <c r="E28" s="142" t="s">
        <v>46</v>
      </c>
      <c r="F28" s="143"/>
      <c r="G28" s="142" t="s">
        <v>46</v>
      </c>
      <c r="H28" s="143"/>
      <c r="I28" s="142" t="s">
        <v>46</v>
      </c>
      <c r="J28" s="143"/>
    </row>
    <row r="29" spans="1:10" x14ac:dyDescent="0.25">
      <c r="A29" s="142" t="s">
        <v>17</v>
      </c>
      <c r="B29" s="143"/>
      <c r="C29" s="142" t="s">
        <v>163</v>
      </c>
      <c r="D29" s="143"/>
      <c r="E29" s="142" t="s">
        <v>163</v>
      </c>
      <c r="F29" s="143"/>
      <c r="G29" s="142" t="s">
        <v>163</v>
      </c>
      <c r="H29" s="143"/>
      <c r="I29" s="142" t="s">
        <v>162</v>
      </c>
      <c r="J29" s="143"/>
    </row>
    <row r="30" spans="1:10" x14ac:dyDescent="0.25">
      <c r="A30" s="63" t="s">
        <v>54</v>
      </c>
      <c r="B30" s="64"/>
      <c r="C30" s="64"/>
      <c r="D30" s="64"/>
      <c r="E30" s="64"/>
      <c r="F30" s="64"/>
      <c r="G30" s="64"/>
      <c r="H30" s="64"/>
      <c r="I30" s="64"/>
      <c r="J30" s="65"/>
    </row>
    <row r="31" spans="1:10" x14ac:dyDescent="0.25">
      <c r="A31" s="63" t="s">
        <v>126</v>
      </c>
      <c r="B31" s="64"/>
      <c r="C31" s="64"/>
      <c r="D31" s="64"/>
      <c r="E31" s="64"/>
      <c r="F31" s="64"/>
      <c r="G31" s="64"/>
      <c r="H31" s="64"/>
      <c r="I31" s="64"/>
      <c r="J31" s="65"/>
    </row>
    <row r="32" spans="1:10" x14ac:dyDescent="0.25">
      <c r="A32" s="63" t="s">
        <v>38</v>
      </c>
      <c r="B32" s="65"/>
      <c r="C32" s="63" t="s">
        <v>247</v>
      </c>
      <c r="D32" s="64"/>
      <c r="E32" s="64"/>
      <c r="F32" s="64"/>
      <c r="G32" s="64"/>
      <c r="H32" s="64"/>
      <c r="I32" s="64"/>
      <c r="J32" s="65"/>
    </row>
    <row r="33" spans="1:10" x14ac:dyDescent="0.25">
      <c r="A33" s="63" t="s">
        <v>236</v>
      </c>
      <c r="B33" s="65"/>
      <c r="C33" s="85" t="s">
        <v>237</v>
      </c>
      <c r="D33" s="64"/>
      <c r="E33" s="64"/>
      <c r="F33" s="64"/>
      <c r="G33" s="64"/>
      <c r="H33" s="64"/>
      <c r="I33" s="64"/>
      <c r="J33" s="65"/>
    </row>
    <row r="34" spans="1:10" x14ac:dyDescent="0.25">
      <c r="A34" s="60" t="s">
        <v>18</v>
      </c>
      <c r="B34" s="61"/>
      <c r="C34" s="61"/>
      <c r="D34" s="61"/>
      <c r="E34" s="61"/>
      <c r="F34" s="61"/>
      <c r="G34" s="61"/>
      <c r="H34" s="61"/>
      <c r="I34" s="61"/>
      <c r="J34" s="62"/>
    </row>
    <row r="35" spans="1:10" ht="15" customHeight="1" x14ac:dyDescent="0.25">
      <c r="A35" s="74" t="s">
        <v>149</v>
      </c>
      <c r="B35" s="75"/>
      <c r="C35" s="75"/>
      <c r="D35" s="75"/>
      <c r="E35" s="76"/>
      <c r="F35" s="72" t="s">
        <v>142</v>
      </c>
      <c r="G35" s="73"/>
      <c r="H35" s="73"/>
      <c r="I35" s="73"/>
      <c r="J35" s="23"/>
    </row>
    <row r="36" spans="1:10" ht="15" customHeight="1" x14ac:dyDescent="0.25">
      <c r="A36" s="77" t="s">
        <v>141</v>
      </c>
      <c r="B36" s="78"/>
      <c r="C36" s="78"/>
      <c r="D36" s="78"/>
      <c r="E36" s="78"/>
      <c r="F36" s="74" t="s">
        <v>143</v>
      </c>
      <c r="G36" s="75"/>
      <c r="H36" s="75"/>
      <c r="I36" s="75"/>
      <c r="J36" s="76"/>
    </row>
    <row r="37" spans="1:10" x14ac:dyDescent="0.25">
      <c r="A37" s="60" t="s">
        <v>144</v>
      </c>
      <c r="B37" s="61"/>
      <c r="C37" s="61"/>
      <c r="D37" s="61"/>
      <c r="E37" s="61"/>
      <c r="F37" s="61"/>
      <c r="G37" s="61"/>
      <c r="H37" s="61"/>
      <c r="I37" s="61"/>
      <c r="J37" s="62"/>
    </row>
    <row r="38" spans="1:10" x14ac:dyDescent="0.25">
      <c r="A38" s="63" t="s">
        <v>63</v>
      </c>
      <c r="B38" s="64"/>
      <c r="C38" s="64"/>
      <c r="D38" s="64"/>
      <c r="E38" s="65"/>
      <c r="F38" s="66">
        <v>1199.82</v>
      </c>
      <c r="G38" s="67"/>
      <c r="H38" s="67"/>
      <c r="I38" s="67"/>
      <c r="J38" s="68"/>
    </row>
    <row r="39" spans="1:10" x14ac:dyDescent="0.25">
      <c r="A39" s="63" t="s">
        <v>19</v>
      </c>
      <c r="B39" s="64"/>
      <c r="C39" s="64"/>
      <c r="D39" s="64"/>
      <c r="E39" s="65"/>
      <c r="F39" s="69">
        <v>1.5</v>
      </c>
      <c r="G39" s="70"/>
      <c r="H39" s="70"/>
      <c r="I39" s="70"/>
      <c r="J39" s="71"/>
    </row>
    <row r="40" spans="1:10" x14ac:dyDescent="0.25">
      <c r="A40" s="63" t="s">
        <v>20</v>
      </c>
      <c r="B40" s="64"/>
      <c r="C40" s="64"/>
      <c r="D40" s="64"/>
      <c r="E40" s="65"/>
      <c r="F40" s="69">
        <v>0</v>
      </c>
      <c r="G40" s="70"/>
      <c r="H40" s="70"/>
      <c r="I40" s="70"/>
      <c r="J40" s="71"/>
    </row>
    <row r="41" spans="1:10" x14ac:dyDescent="0.25">
      <c r="A41" s="63" t="s">
        <v>21</v>
      </c>
      <c r="B41" s="64"/>
      <c r="C41" s="64"/>
      <c r="D41" s="64"/>
      <c r="E41" s="65"/>
      <c r="F41" s="69">
        <f>F39+F40</f>
        <v>1.5</v>
      </c>
      <c r="G41" s="70"/>
      <c r="H41" s="70"/>
      <c r="I41" s="70"/>
      <c r="J41" s="71"/>
    </row>
    <row r="42" spans="1:10" x14ac:dyDescent="0.25">
      <c r="A42" s="63" t="s">
        <v>64</v>
      </c>
      <c r="B42" s="64"/>
      <c r="C42" s="64"/>
      <c r="D42" s="64"/>
      <c r="E42" s="65"/>
      <c r="F42" s="69">
        <f>F38*F41</f>
        <v>1799.73</v>
      </c>
      <c r="G42" s="70"/>
      <c r="H42" s="70"/>
      <c r="I42" s="70"/>
      <c r="J42" s="71"/>
    </row>
    <row r="43" spans="1:10" x14ac:dyDescent="0.25">
      <c r="A43" s="63" t="s">
        <v>22</v>
      </c>
      <c r="B43" s="64"/>
      <c r="C43" s="64"/>
      <c r="D43" s="64"/>
      <c r="E43" s="65"/>
      <c r="F43" s="79" t="s">
        <v>157</v>
      </c>
      <c r="G43" s="80"/>
      <c r="H43" s="80"/>
      <c r="I43" s="80"/>
      <c r="J43" s="81"/>
    </row>
    <row r="44" spans="1:10" x14ac:dyDescent="0.25">
      <c r="A44" s="60" t="s">
        <v>66</v>
      </c>
      <c r="B44" s="61"/>
      <c r="C44" s="61"/>
      <c r="D44" s="61"/>
      <c r="E44" s="61"/>
      <c r="F44" s="61"/>
      <c r="G44" s="61"/>
      <c r="H44" s="61"/>
      <c r="I44" s="61"/>
      <c r="J44" s="62"/>
    </row>
    <row r="45" spans="1:10" ht="30.75" customHeight="1" x14ac:dyDescent="0.25">
      <c r="A45" s="74" t="s">
        <v>65</v>
      </c>
      <c r="B45" s="76"/>
      <c r="C45" s="82" t="s">
        <v>167</v>
      </c>
      <c r="D45" s="83"/>
      <c r="E45" s="83"/>
      <c r="F45" s="84"/>
      <c r="G45" s="26" t="s">
        <v>56</v>
      </c>
      <c r="H45" s="74" t="s">
        <v>168</v>
      </c>
      <c r="I45" s="75"/>
      <c r="J45" s="76"/>
    </row>
    <row r="46" spans="1:10" ht="31.5" customHeight="1" x14ac:dyDescent="0.25">
      <c r="A46" s="74" t="s">
        <v>136</v>
      </c>
      <c r="B46" s="76"/>
      <c r="C46" s="82" t="str">
        <f>C45</f>
        <v>CIDCO/BP-15936/TPO(NM &amp; K)/2018/3301</v>
      </c>
      <c r="D46" s="83"/>
      <c r="E46" s="83"/>
      <c r="F46" s="84"/>
      <c r="G46" s="26" t="s">
        <v>56</v>
      </c>
      <c r="H46" s="74" t="str">
        <f>H45</f>
        <v>31/10/2018.</v>
      </c>
      <c r="I46" s="75"/>
      <c r="J46" s="76"/>
    </row>
    <row r="47" spans="1:10" ht="46.5" customHeight="1" x14ac:dyDescent="0.25">
      <c r="A47" s="74" t="s">
        <v>135</v>
      </c>
      <c r="B47" s="76"/>
      <c r="C47" s="82" t="s">
        <v>233</v>
      </c>
      <c r="D47" s="144"/>
      <c r="E47" s="144"/>
      <c r="F47" s="145"/>
      <c r="G47" s="3" t="s">
        <v>56</v>
      </c>
      <c r="H47" s="26" t="str">
        <f>H46</f>
        <v>31/10/2018.</v>
      </c>
      <c r="I47" s="146" t="s">
        <v>148</v>
      </c>
      <c r="J47" s="146"/>
    </row>
    <row r="48" spans="1:10" ht="88.5" customHeight="1" x14ac:dyDescent="0.25">
      <c r="A48" s="74" t="s">
        <v>234</v>
      </c>
      <c r="B48" s="76"/>
      <c r="C48" s="82" t="s">
        <v>235</v>
      </c>
      <c r="D48" s="83"/>
      <c r="E48" s="83"/>
      <c r="F48" s="84" t="s">
        <v>98</v>
      </c>
      <c r="G48" s="26" t="s">
        <v>56</v>
      </c>
      <c r="H48" s="147">
        <v>44008</v>
      </c>
      <c r="I48" s="75" t="s">
        <v>46</v>
      </c>
      <c r="J48" s="76"/>
    </row>
    <row r="49" spans="1:12" ht="105" customHeight="1" x14ac:dyDescent="0.25">
      <c r="A49" s="74" t="s">
        <v>135</v>
      </c>
      <c r="B49" s="76"/>
      <c r="C49" s="82" t="s">
        <v>251</v>
      </c>
      <c r="D49" s="144"/>
      <c r="E49" s="144"/>
      <c r="F49" s="145"/>
      <c r="G49" s="3" t="s">
        <v>56</v>
      </c>
      <c r="H49" s="151">
        <v>45491</v>
      </c>
      <c r="I49" s="152"/>
      <c r="J49" s="153"/>
    </row>
    <row r="50" spans="1:12" ht="15" customHeight="1" x14ac:dyDescent="0.25">
      <c r="A50" s="74" t="s">
        <v>97</v>
      </c>
      <c r="B50" s="76"/>
      <c r="C50" s="190" t="s">
        <v>46</v>
      </c>
      <c r="D50" s="144"/>
      <c r="E50" s="144"/>
      <c r="F50" s="145" t="s">
        <v>98</v>
      </c>
      <c r="G50" s="26" t="s">
        <v>56</v>
      </c>
      <c r="H50" s="74" t="s">
        <v>46</v>
      </c>
      <c r="I50" s="75" t="s">
        <v>46</v>
      </c>
      <c r="J50" s="76"/>
    </row>
    <row r="51" spans="1:12" x14ac:dyDescent="0.25">
      <c r="A51" s="123" t="s">
        <v>69</v>
      </c>
      <c r="B51" s="123"/>
      <c r="C51" s="123"/>
      <c r="D51" s="59" t="str">
        <f>H47</f>
        <v>31/10/2018.</v>
      </c>
      <c r="E51" s="59"/>
      <c r="F51" s="63" t="s">
        <v>67</v>
      </c>
      <c r="G51" s="156"/>
      <c r="H51" s="112">
        <v>45838</v>
      </c>
      <c r="I51" s="64"/>
      <c r="J51" s="65"/>
    </row>
    <row r="52" spans="1:12" x14ac:dyDescent="0.25">
      <c r="A52" s="148" t="s">
        <v>23</v>
      </c>
      <c r="B52" s="149"/>
      <c r="C52" s="149"/>
      <c r="D52" s="149"/>
      <c r="E52" s="149"/>
      <c r="F52" s="149"/>
      <c r="G52" s="149"/>
      <c r="H52" s="149"/>
      <c r="I52" s="149"/>
      <c r="J52" s="150"/>
    </row>
    <row r="53" spans="1:12" ht="33" customHeight="1" x14ac:dyDescent="0.25">
      <c r="A53" s="74" t="s">
        <v>96</v>
      </c>
      <c r="B53" s="75"/>
      <c r="C53" s="76"/>
      <c r="D53" s="142">
        <f>F42</f>
        <v>1799.73</v>
      </c>
      <c r="E53" s="143"/>
      <c r="F53" s="154" t="s">
        <v>127</v>
      </c>
      <c r="G53" s="155"/>
      <c r="H53" s="117" t="s">
        <v>185</v>
      </c>
      <c r="I53" s="118"/>
      <c r="J53" s="119"/>
    </row>
    <row r="54" spans="1:12" x14ac:dyDescent="0.25">
      <c r="A54" s="79" t="s">
        <v>68</v>
      </c>
      <c r="B54" s="80"/>
      <c r="C54" s="79" t="s">
        <v>197</v>
      </c>
      <c r="D54" s="80"/>
      <c r="E54" s="81"/>
      <c r="F54" s="63" t="s">
        <v>52</v>
      </c>
      <c r="G54" s="64"/>
      <c r="H54" s="64"/>
      <c r="I54" s="64"/>
      <c r="J54" s="65"/>
    </row>
    <row r="55" spans="1:12" x14ac:dyDescent="0.25">
      <c r="A55" s="63" t="s">
        <v>44</v>
      </c>
      <c r="B55" s="64"/>
      <c r="C55" s="64"/>
      <c r="D55" s="74" t="s">
        <v>50</v>
      </c>
      <c r="E55" s="75"/>
      <c r="F55" s="75"/>
      <c r="G55" s="75"/>
      <c r="H55" s="75"/>
      <c r="I55" s="75"/>
      <c r="J55" s="76"/>
    </row>
    <row r="56" spans="1:12" x14ac:dyDescent="0.25">
      <c r="A56" s="63" t="s">
        <v>51</v>
      </c>
      <c r="B56" s="64"/>
      <c r="C56" s="64"/>
      <c r="D56" s="64"/>
      <c r="E56" s="64"/>
      <c r="F56" s="64"/>
      <c r="G56" s="64"/>
      <c r="H56" s="64"/>
      <c r="I56" s="64"/>
      <c r="J56" s="65"/>
      <c r="K56" s="55" t="s">
        <v>252</v>
      </c>
      <c r="L56" s="55"/>
    </row>
    <row r="57" spans="1:12" customFormat="1" ht="15.75" x14ac:dyDescent="0.25">
      <c r="A57" s="229" t="s">
        <v>221</v>
      </c>
      <c r="B57" s="229"/>
      <c r="C57" s="165" t="s">
        <v>197</v>
      </c>
      <c r="D57" s="165"/>
      <c r="E57" s="165"/>
      <c r="F57" s="165"/>
      <c r="G57" s="165"/>
      <c r="H57" s="165"/>
      <c r="I57" s="165"/>
      <c r="J57" s="165"/>
      <c r="K57" s="220" t="str">
        <f ca="1">(IF(F61&gt;99%,"All work completed. Please provide OC.",IF(F61&gt;89.8%,"Plinth, RCC, Brick, Plaster, Flooring, Painting work Completed. Finishing work is in process.",IF(F61&lt;94%,(IF(C61=0,"Work not yet Started.",IF(D61=25%,"Piling work in process",IF(D61=50%,"Excavation work in process",IF(D61=100%,"Excavation work Completed. ","0")))&amp;(IF(C62=0%,"",IF(C62=L63,"Footing work is process",IF(C62=L64,"Footing work Completed",IF(C62=L65,"1st Basement Completed",IF(C62=L66,"1st &amp; 2nd Basement Completed",IF(C62=L67,"1st to 3rd Basement Completed",IF(C62=L68,"1st to 4th Basement Completed",IF(C62=L69,"Plinth work is process",IF(C62=L70,"Plinth work completed","0")))))))))))&amp;(IF(C63=(D58+G58+I58),", RCC Slab",IF(C63&gt;0,", RCC upto "&amp;C63&amp;" Slab",""))&amp;(IF(C64=I58,", Brickwork",IF(C64&gt;0,", Brickwork upto "&amp;C64&amp;" Floor",""))&amp;(IF(C65=I58,", Internal Plaster",IF(C65&gt;0,", Internal Plaster upto "&amp;C65&amp;" Floor",""))&amp;(IF(C66=I58,", External Plaster",IF(C66&gt;0,", External Plaster upto "&amp;C66&amp;" Floor",""))&amp;(IF(C67=I58,", Flooring",IF(C67&gt;0,", Flooring upto "&amp;C67&amp;" Floor",""))&amp;(IF(C68=I58,", Painting",IF(C68&gt;0,", Painting upto "&amp;C68&amp;" Floor",""))&amp;(IF(C69&gt;0,", Finishing upto "&amp;C69&amp;" Floor","")&amp;(IF(C63&gt;0.5," Completed",""))))))))))))))</f>
        <v>Plinth, RCC, Brick, Plaster, Flooring, Painting work Completed. Finishing work is in process.</v>
      </c>
      <c r="L57" s="220"/>
    </row>
    <row r="58" spans="1:12" customFormat="1" ht="15.75" x14ac:dyDescent="0.25">
      <c r="A58" s="57" t="s">
        <v>222</v>
      </c>
      <c r="B58" s="57">
        <v>0</v>
      </c>
      <c r="C58" s="57" t="s">
        <v>198</v>
      </c>
      <c r="D58" s="57">
        <v>1</v>
      </c>
      <c r="E58" s="170" t="s">
        <v>199</v>
      </c>
      <c r="F58" s="170"/>
      <c r="G58" s="57">
        <v>0</v>
      </c>
      <c r="H58" s="57" t="s">
        <v>200</v>
      </c>
      <c r="I58" s="170">
        <f ca="1">--TRIM(RIGHT(SUBSTITUTE(LEFT(C57,_xlfn.AGGREGATE(16,6,FIND({0,1,2,3,4,5,6,7,8,9},C57,ROW(INDIRECT("1:"&amp;LEN(C57)))),1))," ",REPT(" ",LEN(C57))),LEN(C57)))</f>
        <v>15</v>
      </c>
      <c r="J58" s="170"/>
      <c r="K58" s="220"/>
      <c r="L58" s="220"/>
    </row>
    <row r="59" spans="1:12" customFormat="1" ht="31.5" customHeight="1" x14ac:dyDescent="0.25">
      <c r="A59" s="164" t="s">
        <v>201</v>
      </c>
      <c r="B59" s="164"/>
      <c r="C59" s="165" t="str">
        <f ca="1">K57</f>
        <v>Plinth, RCC, Brick, Plaster, Flooring, Painting work Completed. Finishing work is in process.</v>
      </c>
      <c r="D59" s="165"/>
      <c r="E59" s="165"/>
      <c r="F59" s="165"/>
      <c r="G59" s="165"/>
      <c r="H59" s="165"/>
      <c r="I59" s="165"/>
      <c r="J59" s="165"/>
      <c r="K59" s="220" t="s">
        <v>253</v>
      </c>
      <c r="L59" s="220"/>
    </row>
    <row r="60" spans="1:12" customFormat="1" ht="15.75" customHeight="1" x14ac:dyDescent="0.25">
      <c r="A60" s="158" t="s">
        <v>33</v>
      </c>
      <c r="B60" s="158"/>
      <c r="C60" s="56" t="s">
        <v>254</v>
      </c>
      <c r="D60" s="158" t="s">
        <v>202</v>
      </c>
      <c r="E60" s="158"/>
      <c r="F60" s="158" t="s">
        <v>203</v>
      </c>
      <c r="G60" s="158"/>
      <c r="H60" s="158" t="s">
        <v>204</v>
      </c>
      <c r="I60" s="158"/>
      <c r="J60" s="158"/>
      <c r="K60" s="221" t="s">
        <v>224</v>
      </c>
      <c r="L60" s="222">
        <f ca="1">I58*25%</f>
        <v>3.75</v>
      </c>
    </row>
    <row r="61" spans="1:12" customFormat="1" ht="15.75" x14ac:dyDescent="0.25">
      <c r="A61" s="158" t="s">
        <v>205</v>
      </c>
      <c r="B61" s="158"/>
      <c r="C61" s="223">
        <f ca="1">L62</f>
        <v>15</v>
      </c>
      <c r="D61" s="224">
        <f ca="1">((100/I58)*C61)/100</f>
        <v>1</v>
      </c>
      <c r="E61" s="224"/>
      <c r="F61" s="224">
        <f ca="1">(((C62/I58*10)+(40/(D58+G58+I58)*C63)+(7.5/(I58)*C64)+(7.5/(I58)*C65)+(10/I58*C66)+(10/I58*C67)+(5/I58*C68)+(5/I58*C69)+(5/I58*C70))/100)</f>
        <v>0.93</v>
      </c>
      <c r="G61" s="224"/>
      <c r="H61" s="224">
        <f ca="1">((((C61/I58)*20)+((C62/I58)*25)+(30/(I58+G58+D58)*C63)+(5/I58*C64)+(5/I58*C65)+(5/I58*C66)+(5/I58*C67)+(0/I58*C68)+(0/I58*C69)+(5/I58*C70))/100)</f>
        <v>0.95</v>
      </c>
      <c r="I61" s="224"/>
      <c r="J61" s="224"/>
      <c r="K61" s="221" t="s">
        <v>206</v>
      </c>
      <c r="L61" s="221">
        <f ca="1">I58*50%</f>
        <v>7.5</v>
      </c>
    </row>
    <row r="62" spans="1:12" customFormat="1" ht="15.75" x14ac:dyDescent="0.25">
      <c r="A62" s="158" t="s">
        <v>34</v>
      </c>
      <c r="B62" s="158"/>
      <c r="C62" s="225">
        <f ca="1">L70</f>
        <v>15</v>
      </c>
      <c r="D62" s="224">
        <f ca="1">((100/I58)*C62)/100</f>
        <v>1</v>
      </c>
      <c r="E62" s="224"/>
      <c r="F62" s="224"/>
      <c r="G62" s="224"/>
      <c r="H62" s="224"/>
      <c r="I62" s="224"/>
      <c r="J62" s="224"/>
      <c r="K62" s="221" t="s">
        <v>209</v>
      </c>
      <c r="L62" s="221">
        <f ca="1">I58</f>
        <v>15</v>
      </c>
    </row>
    <row r="63" spans="1:12" customFormat="1" ht="15.75" x14ac:dyDescent="0.25">
      <c r="A63" s="170" t="s">
        <v>255</v>
      </c>
      <c r="B63" s="170"/>
      <c r="C63" s="225">
        <v>16</v>
      </c>
      <c r="D63" s="224">
        <f ca="1">((100/(D58+G58+I58))*C63)/100</f>
        <v>1</v>
      </c>
      <c r="E63" s="224"/>
      <c r="F63" s="224"/>
      <c r="G63" s="224"/>
      <c r="H63" s="224"/>
      <c r="I63" s="224"/>
      <c r="J63" s="224"/>
      <c r="K63" s="221" t="s">
        <v>213</v>
      </c>
      <c r="L63" s="226">
        <f ca="1">(IF(B58&gt;1,(I58/(B58+2)),I58/4))</f>
        <v>3.75</v>
      </c>
    </row>
    <row r="64" spans="1:12" customFormat="1" ht="15.75" x14ac:dyDescent="0.25">
      <c r="A64" s="158" t="s">
        <v>207</v>
      </c>
      <c r="B64" s="158" t="s">
        <v>208</v>
      </c>
      <c r="C64" s="225">
        <v>15</v>
      </c>
      <c r="D64" s="224">
        <f ca="1">((100/I58)*C64)/100</f>
        <v>1</v>
      </c>
      <c r="E64" s="224"/>
      <c r="F64" s="224"/>
      <c r="G64" s="224"/>
      <c r="H64" s="224"/>
      <c r="I64" s="224"/>
      <c r="J64" s="224"/>
      <c r="K64" s="221" t="s">
        <v>215</v>
      </c>
      <c r="L64" s="226">
        <f ca="1">(IF(B58&gt;1,(I58/(B58+2)+L63),I58/4+L63))</f>
        <v>7.5</v>
      </c>
    </row>
    <row r="65" spans="1:14" customFormat="1" ht="15.75" x14ac:dyDescent="0.25">
      <c r="A65" s="158" t="s">
        <v>210</v>
      </c>
      <c r="B65" s="158" t="s">
        <v>208</v>
      </c>
      <c r="C65" s="227">
        <v>15</v>
      </c>
      <c r="D65" s="224">
        <f ca="1">((100/I58)*C65)/100</f>
        <v>1</v>
      </c>
      <c r="E65" s="224"/>
      <c r="F65" s="224"/>
      <c r="G65" s="224"/>
      <c r="H65" s="224"/>
      <c r="I65" s="224"/>
      <c r="J65" s="224"/>
      <c r="K65" s="221" t="s">
        <v>225</v>
      </c>
      <c r="L65" s="226">
        <f>(IF(B58&gt;1,(I58/(B58+2)+L64),0))</f>
        <v>0</v>
      </c>
      <c r="N65">
        <f>86+69</f>
        <v>155</v>
      </c>
    </row>
    <row r="66" spans="1:14" customFormat="1" ht="15.75" x14ac:dyDescent="0.25">
      <c r="A66" s="170" t="s">
        <v>211</v>
      </c>
      <c r="B66" s="170" t="s">
        <v>212</v>
      </c>
      <c r="C66" s="225">
        <v>15</v>
      </c>
      <c r="D66" s="224">
        <f ca="1">((100/(I58))*C66)/100</f>
        <v>1</v>
      </c>
      <c r="E66" s="224"/>
      <c r="F66" s="224"/>
      <c r="G66" s="224"/>
      <c r="H66" s="224"/>
      <c r="I66" s="224"/>
      <c r="J66" s="224"/>
      <c r="K66" s="221" t="s">
        <v>226</v>
      </c>
      <c r="L66" s="226">
        <f>(IF(B58&gt;2,(I58/(B58+2)+L65),0))</f>
        <v>0</v>
      </c>
    </row>
    <row r="67" spans="1:14" customFormat="1" ht="15.75" x14ac:dyDescent="0.25">
      <c r="A67" s="158" t="s">
        <v>214</v>
      </c>
      <c r="B67" s="158" t="s">
        <v>214</v>
      </c>
      <c r="C67" s="223">
        <v>15</v>
      </c>
      <c r="D67" s="224">
        <f ca="1">((100/I58)*C67)/100</f>
        <v>1</v>
      </c>
      <c r="E67" s="224"/>
      <c r="F67" s="224"/>
      <c r="G67" s="224"/>
      <c r="H67" s="224"/>
      <c r="I67" s="224"/>
      <c r="J67" s="224"/>
      <c r="K67" s="221" t="s">
        <v>227</v>
      </c>
      <c r="L67" s="228">
        <f>(IF(B58&gt;3,(I58/(B58+2)+L66),0))</f>
        <v>0</v>
      </c>
    </row>
    <row r="68" spans="1:14" customFormat="1" ht="15.75" x14ac:dyDescent="0.25">
      <c r="A68" s="158" t="s">
        <v>216</v>
      </c>
      <c r="B68" s="158"/>
      <c r="C68" s="223">
        <v>14</v>
      </c>
      <c r="D68" s="224">
        <f ca="1">((100/I58)*C68)/100</f>
        <v>0.93333333333333346</v>
      </c>
      <c r="E68" s="224"/>
      <c r="F68" s="224"/>
      <c r="G68" s="224"/>
      <c r="H68" s="224"/>
      <c r="I68" s="224"/>
      <c r="J68" s="224"/>
      <c r="K68" s="221" t="s">
        <v>228</v>
      </c>
      <c r="L68" s="226">
        <f>(IF(B58&gt;4,(I58/(B58+2)+L67),0))</f>
        <v>0</v>
      </c>
    </row>
    <row r="69" spans="1:14" customFormat="1" ht="15.75" x14ac:dyDescent="0.25">
      <c r="A69" s="158" t="s">
        <v>218</v>
      </c>
      <c r="B69" s="158" t="s">
        <v>218</v>
      </c>
      <c r="C69" s="223">
        <v>10</v>
      </c>
      <c r="D69" s="224">
        <f ca="1">((100/(I58))*C69)/100</f>
        <v>0.66666666666666674</v>
      </c>
      <c r="E69" s="224"/>
      <c r="F69" s="224"/>
      <c r="G69" s="224"/>
      <c r="H69" s="224"/>
      <c r="I69" s="224"/>
      <c r="J69" s="224"/>
      <c r="K69" s="221" t="s">
        <v>217</v>
      </c>
      <c r="L69" s="226">
        <f ca="1">(IF(B58=1,(I58/(B58+3)+L64),IF(B58=0,(I58/4+L64),IF(B58&gt;1,0))))</f>
        <v>11.25</v>
      </c>
    </row>
    <row r="70" spans="1:14" customFormat="1" ht="15.75" x14ac:dyDescent="0.25">
      <c r="A70" s="158" t="s">
        <v>220</v>
      </c>
      <c r="B70" s="158"/>
      <c r="C70" s="223">
        <v>0</v>
      </c>
      <c r="D70" s="224">
        <f ca="1">((100/(I58))*C70)/100</f>
        <v>0</v>
      </c>
      <c r="E70" s="224"/>
      <c r="F70" s="224"/>
      <c r="G70" s="224"/>
      <c r="H70" s="224"/>
      <c r="I70" s="224"/>
      <c r="J70" s="224"/>
      <c r="K70" s="221" t="s">
        <v>219</v>
      </c>
      <c r="L70" s="226">
        <f ca="1">(IF(B58&gt;1.5,(I58/(B58+2)+L64+MAX(0,L65-L64)+MAX(0,L66-L65)+MAX(0,L67-L66)+MAX(0,L68-L67)+MAX(0,L69-L68)),IF(B58=1,(I58/(B58+3)+L69),IF(B58=0,I58/4+L69))))</f>
        <v>15</v>
      </c>
    </row>
    <row r="71" spans="1:14" ht="15" hidden="1" customHeight="1" x14ac:dyDescent="0.25">
      <c r="A71" s="218" t="s">
        <v>221</v>
      </c>
      <c r="B71" s="219"/>
      <c r="C71" s="215" t="s">
        <v>197</v>
      </c>
      <c r="D71" s="216"/>
      <c r="E71" s="216"/>
      <c r="F71" s="216"/>
      <c r="G71" s="216"/>
      <c r="H71" s="216"/>
      <c r="I71" s="216"/>
      <c r="J71" s="217"/>
      <c r="K71" s="42" t="str">
        <f ca="1">IF(G84=100%,"All work Completed. Possession granted to the Building.",IF(G83=100%,"All work Completed, Waiting for OC",K72&amp;""&amp;K73&amp;""&amp;L72&amp;""&amp;L71&amp;" "&amp;L73))</f>
        <v>Excavation, Plinth, RCC Slab, Brickwork, Internal Plaster, External Plaster Completed, Flooring upto 14.5 Floor, Painting upto 13.5 Floor, Finishing upto 7.5 Floor Completed</v>
      </c>
      <c r="L71" s="43" t="str">
        <f ca="1">(IF(E77=(D72+G72+I72),"",IF(E77&gt;0,", RCC upto "&amp;E77&amp;" Slab","")))&amp;(IF(E78=I72,"",IF(E78&gt;0,", Brickwork upto "&amp;E78&amp;" Floor","")))&amp;(IF(E79=I72,"",IF(E79&gt;0,", Internal Plaster upto "&amp;E79&amp;" Floor","")))&amp;(IF(E80=I72,"",IF(E80&gt;0,", External Plaster upto "&amp;E80&amp;" Floor","")))&amp;(IF(E81=I72,"",IF(E81&gt;0,", Flooring upto "&amp;E81&amp;" Floor","")))&amp;(IF(E82=I72,"",IF(E82&gt;0,", Painting upto "&amp;E82&amp;" Floor","")))&amp;(IF(E83=I72,"",IF(E83&gt;0,", Finishing upto "&amp;E83&amp;" Floor","")))&amp;(IF(E84=I72,"",IF(E84&gt;0,", Possession upto "&amp;E84&amp;" Floor","")))</f>
        <v>, Flooring upto 14.5 Floor, Painting upto 13.5 Floor, Finishing upto 7.5 Floor</v>
      </c>
      <c r="M71" s="30"/>
    </row>
    <row r="72" spans="1:14" ht="15.75" hidden="1" x14ac:dyDescent="0.25">
      <c r="A72" s="35" t="s">
        <v>222</v>
      </c>
      <c r="B72" s="36">
        <v>0</v>
      </c>
      <c r="C72" s="36" t="s">
        <v>198</v>
      </c>
      <c r="D72" s="36">
        <v>1</v>
      </c>
      <c r="E72" s="169" t="s">
        <v>199</v>
      </c>
      <c r="F72" s="162"/>
      <c r="G72" s="36">
        <v>0</v>
      </c>
      <c r="H72" s="36" t="s">
        <v>200</v>
      </c>
      <c r="I72" s="170">
        <f ca="1">--TRIM(RIGHT(SUBSTITUTE(LEFT(C71,_xlfn.AGGREGATE(16,6,FIND({0,1,2,3,4,5,6,7,8,9},C71,ROW(INDIRECT("1:"&amp;LEN(C71)))),1))," ",REPT(" ",LEN(C71))),LEN(C71)))</f>
        <v>15</v>
      </c>
      <c r="J72" s="171"/>
      <c r="K72" s="44" t="str">
        <f ca="1">IF(G75=100%,"Excavation","")&amp;IF(G76=100%,", Plinth","")&amp;IF(G77=100%,", RCC Slab","")&amp;IF(G78=100%,", Brickwork","")&amp;IF(G79=100%,", Internal Plaster","")&amp;IF(G80=100%,", External Plaster","")&amp;IF(G81=100%,", Flooring","")&amp;IF(G82=100%,", Painting","")&amp;IF(G83=100%,", Building common Amenities","")</f>
        <v>Excavation, Plinth, RCC Slab, Brickwork, Internal Plaster, External Plaster</v>
      </c>
      <c r="L72" s="45" t="str">
        <f ca="1">(IF(C75=0,"Work not yet Started.",IF(G75=25%,"Piling work in process",IF(G75=50%,"Excavation work in process",IF(G75=100%,"","0")))))&amp;(IF(C76=0%,"",IF(C76=L77,", Footing work is process",IF(C76=L78,", Footing work Completed",IF(C76=L79,", 1st Basement Completed",IF(C76=L80,", 1st &amp; 2nd Basement Completed",IF(C76=L81,", 1st to 3rd Basement Completed",IF(C76=L82,", 1st to 4th Basement Completed",IF(C76=L83,", Plinth work is process",IF(C76=L84,"","0"))))))))))</f>
        <v/>
      </c>
      <c r="M72" s="31"/>
    </row>
    <row r="73" spans="1:14" ht="51" hidden="1" customHeight="1" x14ac:dyDescent="0.25">
      <c r="A73" s="163" t="s">
        <v>201</v>
      </c>
      <c r="B73" s="164"/>
      <c r="C73" s="165" t="str">
        <f ca="1">K71</f>
        <v>Excavation, Plinth, RCC Slab, Brickwork, Internal Plaster, External Plaster Completed, Flooring upto 14.5 Floor, Painting upto 13.5 Floor, Finishing upto 7.5 Floor Completed</v>
      </c>
      <c r="D73" s="165"/>
      <c r="E73" s="165"/>
      <c r="F73" s="165"/>
      <c r="G73" s="165"/>
      <c r="H73" s="165"/>
      <c r="I73" s="165"/>
      <c r="J73" s="166"/>
      <c r="K73" s="44" t="str">
        <f ca="1">IF(K72&lt;&gt;""," Completed","")</f>
        <v xml:space="preserve"> Completed</v>
      </c>
      <c r="L73" s="45" t="str">
        <f ca="1">IF(L71&lt;&gt;"","Completed","")</f>
        <v>Completed</v>
      </c>
      <c r="M73" s="31"/>
    </row>
    <row r="74" spans="1:14" ht="15.75" hidden="1" customHeight="1" x14ac:dyDescent="0.25">
      <c r="A74" s="157" t="s">
        <v>33</v>
      </c>
      <c r="B74" s="158"/>
      <c r="C74" s="37" t="s">
        <v>230</v>
      </c>
      <c r="D74" s="37" t="s">
        <v>231</v>
      </c>
      <c r="E74" s="90" t="s">
        <v>223</v>
      </c>
      <c r="F74" s="91"/>
      <c r="G74" s="51" t="s">
        <v>202</v>
      </c>
      <c r="H74" s="52" t="s">
        <v>203</v>
      </c>
      <c r="I74" s="172" t="s">
        <v>204</v>
      </c>
      <c r="J74" s="173"/>
      <c r="K74" s="46" t="s">
        <v>224</v>
      </c>
      <c r="L74" s="32">
        <f ca="1">I72*25%</f>
        <v>3.75</v>
      </c>
      <c r="M74" s="32"/>
    </row>
    <row r="75" spans="1:14" ht="15.75" hidden="1" customHeight="1" x14ac:dyDescent="0.25">
      <c r="A75" s="157" t="s">
        <v>205</v>
      </c>
      <c r="B75" s="158"/>
      <c r="C75" s="38">
        <v>15</v>
      </c>
      <c r="D75" s="38">
        <v>15</v>
      </c>
      <c r="E75" s="90">
        <f>(C75+D75)/2</f>
        <v>15</v>
      </c>
      <c r="F75" s="91"/>
      <c r="G75" s="39">
        <f ca="1">((100/I72)*E75)/100</f>
        <v>1</v>
      </c>
      <c r="H75" s="92">
        <f ca="1">(((E76/I72*10)+(40/(D72+G72+I72)*E77)+(7.5/(I72)*E78)+(7.5/(I72)*E79)+(10/I72*E80)+(10/I72*E81)+(5/I72*E82)+(5/I72*E83)+(5/I72*E84))/100)</f>
        <v>0.91666666666666674</v>
      </c>
      <c r="I75" s="92">
        <f ca="1">((((E75/I72)*20)+((E76/I72)*25)+(30/(I72+G72+D72)*E77)+(5/I72*E78)+(5/I72*E79)+(5/I72*E80)+(5/I72*E81)+(0/I72*E82)+(0/I72*E83)+(5/I72*E84))/100)</f>
        <v>0.94833333333333325</v>
      </c>
      <c r="J75" s="94"/>
      <c r="K75" s="46" t="s">
        <v>206</v>
      </c>
      <c r="L75" s="33">
        <f ca="1">I72*50%</f>
        <v>7.5</v>
      </c>
      <c r="M75" s="32"/>
    </row>
    <row r="76" spans="1:14" ht="15.75" hidden="1" x14ac:dyDescent="0.25">
      <c r="A76" s="157" t="s">
        <v>34</v>
      </c>
      <c r="B76" s="158"/>
      <c r="C76" s="38">
        <v>15</v>
      </c>
      <c r="D76" s="38">
        <v>15</v>
      </c>
      <c r="E76" s="90">
        <f>(C76+D76)/2</f>
        <v>15</v>
      </c>
      <c r="F76" s="91"/>
      <c r="G76" s="39">
        <f ca="1">((100/I72)*E76)/100</f>
        <v>1</v>
      </c>
      <c r="H76" s="92"/>
      <c r="I76" s="92"/>
      <c r="J76" s="94"/>
      <c r="K76" s="46" t="s">
        <v>209</v>
      </c>
      <c r="L76" s="33">
        <f ca="1">I72</f>
        <v>15</v>
      </c>
      <c r="M76" s="32"/>
    </row>
    <row r="77" spans="1:14" ht="15.75" hidden="1" customHeight="1" x14ac:dyDescent="0.25">
      <c r="A77" s="161" t="s">
        <v>229</v>
      </c>
      <c r="B77" s="162"/>
      <c r="C77" s="38">
        <v>16</v>
      </c>
      <c r="D77" s="38">
        <v>16</v>
      </c>
      <c r="E77" s="96">
        <f t="shared" ref="E77:E82" si="0">(C77+D77)/2</f>
        <v>16</v>
      </c>
      <c r="F77" s="97"/>
      <c r="G77" s="39">
        <f ca="1">((100/(D72+G72+I72))*E77)/100</f>
        <v>1</v>
      </c>
      <c r="H77" s="92"/>
      <c r="I77" s="92"/>
      <c r="J77" s="94"/>
      <c r="K77" s="46" t="s">
        <v>213</v>
      </c>
      <c r="L77" s="47">
        <f ca="1">(IF(B72&gt;1,(I72/(B72+2)),I72/4))</f>
        <v>3.75</v>
      </c>
      <c r="M77" s="33">
        <f ca="1">I72*50%</f>
        <v>7.5</v>
      </c>
    </row>
    <row r="78" spans="1:14" ht="15.75" hidden="1" customHeight="1" x14ac:dyDescent="0.25">
      <c r="A78" s="157" t="s">
        <v>207</v>
      </c>
      <c r="B78" s="158" t="s">
        <v>208</v>
      </c>
      <c r="C78" s="38">
        <v>15</v>
      </c>
      <c r="D78" s="38">
        <v>15</v>
      </c>
      <c r="E78" s="90">
        <f t="shared" si="0"/>
        <v>15</v>
      </c>
      <c r="F78" s="91"/>
      <c r="G78" s="39">
        <f ca="1">((100/I72)*E78)/100</f>
        <v>1</v>
      </c>
      <c r="H78" s="92"/>
      <c r="I78" s="92"/>
      <c r="J78" s="94"/>
      <c r="K78" s="46" t="s">
        <v>215</v>
      </c>
      <c r="L78" s="47">
        <f ca="1">(IF(B72&gt;1,(I72/(B72+2)+L77),I72/4+L77))</f>
        <v>7.5</v>
      </c>
      <c r="M78" s="33">
        <f ca="1">I72</f>
        <v>15</v>
      </c>
    </row>
    <row r="79" spans="1:14" ht="15" hidden="1" customHeight="1" x14ac:dyDescent="0.25">
      <c r="A79" s="157" t="s">
        <v>210</v>
      </c>
      <c r="B79" s="158" t="s">
        <v>208</v>
      </c>
      <c r="C79" s="38">
        <v>15</v>
      </c>
      <c r="D79" s="38">
        <v>15</v>
      </c>
      <c r="E79" s="96">
        <f t="shared" si="0"/>
        <v>15</v>
      </c>
      <c r="F79" s="97"/>
      <c r="G79" s="39">
        <f ca="1">((100/I72)*E79)/100</f>
        <v>1</v>
      </c>
      <c r="H79" s="92"/>
      <c r="I79" s="92"/>
      <c r="J79" s="94"/>
      <c r="K79" s="46" t="s">
        <v>225</v>
      </c>
      <c r="L79" s="47">
        <f>(IF(B72&gt;1,(I72/(B72+2)+L78),0))</f>
        <v>0</v>
      </c>
      <c r="M79" s="33"/>
    </row>
    <row r="80" spans="1:14" ht="15.75" hidden="1" customHeight="1" x14ac:dyDescent="0.25">
      <c r="A80" s="157" t="s">
        <v>211</v>
      </c>
      <c r="B80" s="158" t="s">
        <v>212</v>
      </c>
      <c r="C80" s="38">
        <v>15</v>
      </c>
      <c r="D80" s="38">
        <v>15</v>
      </c>
      <c r="E80" s="90">
        <f t="shared" si="0"/>
        <v>15</v>
      </c>
      <c r="F80" s="91"/>
      <c r="G80" s="39">
        <f ca="1">((100/(I72))*E80)/100</f>
        <v>1</v>
      </c>
      <c r="H80" s="92"/>
      <c r="I80" s="92"/>
      <c r="J80" s="94"/>
      <c r="K80" s="46" t="s">
        <v>226</v>
      </c>
      <c r="L80" s="47">
        <f>(IF(B72&gt;2,(I72/(B72+2)+L79),0))</f>
        <v>0</v>
      </c>
      <c r="M80" s="33">
        <f ca="1">I72*25%</f>
        <v>3.75</v>
      </c>
    </row>
    <row r="81" spans="1:13" ht="15.75" hidden="1" customHeight="1" x14ac:dyDescent="0.25">
      <c r="A81" s="157" t="s">
        <v>214</v>
      </c>
      <c r="B81" s="158" t="s">
        <v>214</v>
      </c>
      <c r="C81" s="38">
        <v>15</v>
      </c>
      <c r="D81" s="38">
        <v>14</v>
      </c>
      <c r="E81" s="90">
        <f t="shared" si="0"/>
        <v>14.5</v>
      </c>
      <c r="F81" s="91"/>
      <c r="G81" s="39">
        <f ca="1">((100/I72)*E81)/100</f>
        <v>0.96666666666666667</v>
      </c>
      <c r="H81" s="92"/>
      <c r="I81" s="92"/>
      <c r="J81" s="94"/>
      <c r="K81" s="46" t="s">
        <v>227</v>
      </c>
      <c r="L81" s="48">
        <f>(IF(B72&gt;3,(I72/(B72+2)+L80),0))</f>
        <v>0</v>
      </c>
      <c r="M81" s="33">
        <f ca="1">I72*50%</f>
        <v>7.5</v>
      </c>
    </row>
    <row r="82" spans="1:13" ht="15" hidden="1" customHeight="1" x14ac:dyDescent="0.25">
      <c r="A82" s="157" t="s">
        <v>216</v>
      </c>
      <c r="B82" s="158"/>
      <c r="C82" s="38">
        <v>14</v>
      </c>
      <c r="D82" s="38">
        <v>13</v>
      </c>
      <c r="E82" s="90">
        <f t="shared" si="0"/>
        <v>13.5</v>
      </c>
      <c r="F82" s="91"/>
      <c r="G82" s="39">
        <f ca="1">((100/I72)*E82)/100</f>
        <v>0.9</v>
      </c>
      <c r="H82" s="92"/>
      <c r="I82" s="92"/>
      <c r="J82" s="94"/>
      <c r="K82" s="46" t="s">
        <v>228</v>
      </c>
      <c r="L82" s="47">
        <f>(IF(B72&gt;4,(I72/(B72+2)+L81),0))</f>
        <v>0</v>
      </c>
      <c r="M82" s="33">
        <f ca="1">I72*75%</f>
        <v>11.25</v>
      </c>
    </row>
    <row r="83" spans="1:13" ht="15.75" hidden="1" customHeight="1" x14ac:dyDescent="0.25">
      <c r="A83" s="157" t="s">
        <v>218</v>
      </c>
      <c r="B83" s="158" t="s">
        <v>218</v>
      </c>
      <c r="C83" s="38">
        <v>8</v>
      </c>
      <c r="D83" s="38">
        <v>7</v>
      </c>
      <c r="E83" s="90">
        <f>(C83+D83)/2</f>
        <v>7.5</v>
      </c>
      <c r="F83" s="91"/>
      <c r="G83" s="39">
        <f ca="1">((100/(I72))*E83)/100</f>
        <v>0.5</v>
      </c>
      <c r="H83" s="92"/>
      <c r="I83" s="92"/>
      <c r="J83" s="94"/>
      <c r="K83" s="46" t="s">
        <v>217</v>
      </c>
      <c r="L83" s="47">
        <f ca="1">(IF(B72=1,(I72/(B72+3)+L78),IF(B72=0,(I72/4+L78),IF(B72&gt;1,0))))</f>
        <v>11.25</v>
      </c>
      <c r="M83" s="33">
        <f ca="1">I72</f>
        <v>15</v>
      </c>
    </row>
    <row r="84" spans="1:13" ht="16.5" hidden="1" customHeight="1" thickBot="1" x14ac:dyDescent="0.3">
      <c r="A84" s="159" t="s">
        <v>220</v>
      </c>
      <c r="B84" s="160"/>
      <c r="C84" s="40">
        <v>0</v>
      </c>
      <c r="D84" s="40">
        <v>0</v>
      </c>
      <c r="E84" s="167">
        <f t="shared" ref="E84" si="1">(C84+D84)/2</f>
        <v>0</v>
      </c>
      <c r="F84" s="168"/>
      <c r="G84" s="41">
        <f ca="1">((100/(I72))*E84)/100</f>
        <v>0</v>
      </c>
      <c r="H84" s="93"/>
      <c r="I84" s="93"/>
      <c r="J84" s="95"/>
      <c r="K84" s="49" t="s">
        <v>219</v>
      </c>
      <c r="L84" s="50">
        <f ca="1">(IF(B72&gt;1.5,(I72/(B72+2)+L78+MAX(0,L79-L78)+MAX(0,L80-L79)+MAX(0,L81-L80)+MAX(0,L82-L81)+MAX(0,L83-L82)),IF(B72=1,(I72/(B72+3)+L83),IF(B72=0,I72/4+L83))))</f>
        <v>15</v>
      </c>
      <c r="M84" s="34"/>
    </row>
    <row r="85" spans="1:13" x14ac:dyDescent="0.25">
      <c r="A85" s="98" t="s">
        <v>53</v>
      </c>
      <c r="B85" s="99"/>
      <c r="C85" s="99"/>
      <c r="D85" s="99"/>
      <c r="E85" s="99"/>
      <c r="F85" s="99"/>
      <c r="G85" s="99"/>
      <c r="H85" s="99"/>
      <c r="I85" s="99"/>
      <c r="J85" s="100"/>
    </row>
    <row r="86" spans="1:13" x14ac:dyDescent="0.25">
      <c r="A86" s="63" t="s">
        <v>45</v>
      </c>
      <c r="B86" s="64"/>
      <c r="C86" s="64"/>
      <c r="D86" s="64"/>
      <c r="E86" s="64"/>
      <c r="F86" s="64"/>
      <c r="G86" s="64"/>
      <c r="H86" s="64"/>
      <c r="I86" s="64"/>
      <c r="J86" s="65"/>
    </row>
    <row r="87" spans="1:13" ht="15" hidden="1" customHeight="1" x14ac:dyDescent="0.25">
      <c r="A87" s="104" t="s">
        <v>152</v>
      </c>
      <c r="B87" s="105"/>
      <c r="C87" s="106" t="s">
        <v>153</v>
      </c>
      <c r="D87" s="107"/>
      <c r="E87" s="107"/>
      <c r="F87" s="107"/>
      <c r="G87" s="107"/>
      <c r="H87" s="107"/>
      <c r="I87" s="107"/>
      <c r="J87" s="108"/>
    </row>
    <row r="88" spans="1:13" ht="16.5" customHeight="1" x14ac:dyDescent="0.25">
      <c r="A88" s="60" t="s">
        <v>24</v>
      </c>
      <c r="B88" s="61"/>
      <c r="C88" s="61"/>
      <c r="D88" s="61"/>
      <c r="E88" s="61"/>
      <c r="F88" s="61"/>
      <c r="G88" s="61"/>
      <c r="H88" s="61"/>
      <c r="I88" s="61"/>
      <c r="J88" s="62"/>
      <c r="K88" s="55"/>
      <c r="L88" s="55"/>
    </row>
    <row r="89" spans="1:13" ht="16.5" customHeight="1" x14ac:dyDescent="0.25">
      <c r="A89" s="63" t="s">
        <v>133</v>
      </c>
      <c r="B89" s="64"/>
      <c r="C89" s="64"/>
      <c r="D89" s="64"/>
      <c r="E89" s="64"/>
      <c r="F89" s="65"/>
      <c r="G89" s="101">
        <v>5000</v>
      </c>
      <c r="H89" s="102"/>
      <c r="I89" s="102"/>
      <c r="J89" s="103"/>
    </row>
    <row r="90" spans="1:13" ht="16.5" customHeight="1" x14ac:dyDescent="0.25">
      <c r="A90" s="79" t="s">
        <v>154</v>
      </c>
      <c r="B90" s="177"/>
      <c r="C90" s="177"/>
      <c r="D90" s="177"/>
      <c r="E90" s="177"/>
      <c r="F90" s="178"/>
      <c r="G90" s="179" t="s">
        <v>194</v>
      </c>
      <c r="H90" s="180"/>
      <c r="I90" s="180"/>
      <c r="J90" s="181"/>
    </row>
    <row r="91" spans="1:13" ht="16.5" customHeight="1" x14ac:dyDescent="0.25">
      <c r="A91" s="79" t="s">
        <v>193</v>
      </c>
      <c r="B91" s="177"/>
      <c r="C91" s="177"/>
      <c r="D91" s="177"/>
      <c r="E91" s="177"/>
      <c r="F91" s="178"/>
      <c r="G91" s="179" t="s">
        <v>195</v>
      </c>
      <c r="H91" s="180"/>
      <c r="I91" s="180"/>
      <c r="J91" s="181"/>
    </row>
    <row r="92" spans="1:13" ht="16.5" customHeight="1" x14ac:dyDescent="0.25">
      <c r="A92" s="63" t="s">
        <v>101</v>
      </c>
      <c r="B92" s="64"/>
      <c r="C92" s="64"/>
      <c r="D92" s="64"/>
      <c r="E92" s="64"/>
      <c r="F92" s="65"/>
      <c r="G92" s="82" t="s">
        <v>190</v>
      </c>
      <c r="H92" s="83"/>
      <c r="I92" s="83"/>
      <c r="J92" s="84"/>
    </row>
    <row r="93" spans="1:13" ht="16.5" customHeight="1" x14ac:dyDescent="0.25">
      <c r="A93" s="74" t="s">
        <v>191</v>
      </c>
      <c r="B93" s="75"/>
      <c r="C93" s="75"/>
      <c r="D93" s="75"/>
      <c r="E93" s="75"/>
      <c r="F93" s="76"/>
      <c r="G93" s="82" t="s">
        <v>192</v>
      </c>
      <c r="H93" s="83"/>
      <c r="I93" s="83"/>
      <c r="J93" s="84"/>
    </row>
    <row r="94" spans="1:13" ht="16.5" customHeight="1" x14ac:dyDescent="0.25">
      <c r="A94" s="63" t="s">
        <v>70</v>
      </c>
      <c r="B94" s="64"/>
      <c r="C94" s="64"/>
      <c r="D94" s="64"/>
      <c r="E94" s="64"/>
      <c r="F94" s="65"/>
      <c r="G94" s="82" t="s">
        <v>190</v>
      </c>
      <c r="H94" s="83"/>
      <c r="I94" s="83"/>
      <c r="J94" s="84"/>
    </row>
    <row r="95" spans="1:13" ht="16.5" customHeight="1" x14ac:dyDescent="0.25">
      <c r="A95" s="63" t="s">
        <v>92</v>
      </c>
      <c r="B95" s="64"/>
      <c r="C95" s="64"/>
      <c r="D95" s="64"/>
      <c r="E95" s="64"/>
      <c r="F95" s="65"/>
      <c r="G95" s="82" t="s">
        <v>189</v>
      </c>
      <c r="H95" s="83"/>
      <c r="I95" s="83"/>
      <c r="J95" s="84"/>
    </row>
    <row r="96" spans="1:13" ht="16.5" customHeight="1" x14ac:dyDescent="0.25">
      <c r="A96" s="63" t="s">
        <v>232</v>
      </c>
      <c r="B96" s="64"/>
      <c r="C96" s="64"/>
      <c r="D96" s="64"/>
      <c r="E96" s="64"/>
      <c r="F96" s="65"/>
      <c r="G96" s="82" t="s">
        <v>189</v>
      </c>
      <c r="H96" s="83"/>
      <c r="I96" s="83"/>
      <c r="J96" s="84"/>
    </row>
    <row r="97" spans="1:10" s="28" customFormat="1" ht="16.5" customHeight="1" x14ac:dyDescent="0.25">
      <c r="A97" s="60" t="s">
        <v>102</v>
      </c>
      <c r="B97" s="61"/>
      <c r="C97" s="61"/>
      <c r="D97" s="61"/>
      <c r="E97" s="61"/>
      <c r="F97" s="62"/>
      <c r="G97" s="190">
        <f>G89*0.8</f>
        <v>4000</v>
      </c>
      <c r="H97" s="144"/>
      <c r="I97" s="144"/>
      <c r="J97" s="145"/>
    </row>
    <row r="98" spans="1:10" x14ac:dyDescent="0.25">
      <c r="A98" s="86" t="s">
        <v>242</v>
      </c>
      <c r="B98" s="87"/>
      <c r="C98" s="87"/>
      <c r="D98" s="87"/>
      <c r="E98" s="87"/>
      <c r="F98" s="87"/>
      <c r="G98" s="87"/>
      <c r="H98" s="87"/>
      <c r="I98" s="87"/>
      <c r="J98" s="88"/>
    </row>
    <row r="99" spans="1:10" x14ac:dyDescent="0.25">
      <c r="A99" s="89" t="s">
        <v>238</v>
      </c>
      <c r="B99" s="89"/>
      <c r="C99" s="89" t="s">
        <v>239</v>
      </c>
      <c r="D99" s="89"/>
      <c r="E99" s="89" t="s">
        <v>240</v>
      </c>
      <c r="F99" s="89"/>
      <c r="G99" s="89"/>
      <c r="H99" s="89" t="s">
        <v>241</v>
      </c>
      <c r="I99" s="89"/>
      <c r="J99" s="89"/>
    </row>
    <row r="100" spans="1:10" x14ac:dyDescent="0.25">
      <c r="A100" s="59" t="s">
        <v>244</v>
      </c>
      <c r="B100" s="59"/>
      <c r="C100" s="58">
        <f>COUNT(D110:E113)</f>
        <v>4</v>
      </c>
      <c r="D100" s="59"/>
      <c r="E100" s="58">
        <f>SUM(D110:E113)</f>
        <v>1454.130488</v>
      </c>
      <c r="F100" s="59"/>
      <c r="G100" s="59"/>
      <c r="H100" s="58">
        <f>SUM(G110:G113)</f>
        <v>2326.6087808000002</v>
      </c>
      <c r="I100" s="59"/>
      <c r="J100" s="59"/>
    </row>
    <row r="101" spans="1:10" x14ac:dyDescent="0.25">
      <c r="A101" s="59" t="s">
        <v>245</v>
      </c>
      <c r="B101" s="59"/>
      <c r="C101" s="58">
        <f>COUNT(D115:E118)</f>
        <v>4</v>
      </c>
      <c r="D101" s="59"/>
      <c r="E101" s="58">
        <f t="shared" ref="E101" si="2">SUM(D115:E118)</f>
        <v>1523.573748</v>
      </c>
      <c r="F101" s="59"/>
      <c r="G101" s="59"/>
      <c r="H101" s="58">
        <f>SUM(G115:G118)</f>
        <v>2437.7179968</v>
      </c>
      <c r="I101" s="59"/>
      <c r="J101" s="59"/>
    </row>
    <row r="102" spans="1:10" x14ac:dyDescent="0.25">
      <c r="A102" s="89" t="s">
        <v>89</v>
      </c>
      <c r="B102" s="89"/>
      <c r="C102" s="198">
        <f>SUM(C100:C101)</f>
        <v>8</v>
      </c>
      <c r="D102" s="89"/>
      <c r="E102" s="198">
        <f>SUM(E100:E101)</f>
        <v>2977.704236</v>
      </c>
      <c r="F102" s="89"/>
      <c r="G102" s="89"/>
      <c r="H102" s="198">
        <f>SUM(H100:H101)</f>
        <v>4764.3267776000002</v>
      </c>
      <c r="I102" s="89"/>
      <c r="J102" s="89"/>
    </row>
    <row r="103" spans="1:10" x14ac:dyDescent="0.25">
      <c r="A103" s="86" t="s">
        <v>243</v>
      </c>
      <c r="B103" s="87"/>
      <c r="C103" s="87"/>
      <c r="D103" s="87"/>
      <c r="E103" s="87"/>
      <c r="F103" s="87"/>
      <c r="G103" s="87"/>
      <c r="H103" s="87"/>
      <c r="I103" s="87"/>
      <c r="J103" s="88"/>
    </row>
    <row r="104" spans="1:10" x14ac:dyDescent="0.25">
      <c r="A104" s="89" t="s">
        <v>238</v>
      </c>
      <c r="B104" s="89"/>
      <c r="C104" s="89" t="s">
        <v>239</v>
      </c>
      <c r="D104" s="89"/>
      <c r="E104" s="89" t="s">
        <v>240</v>
      </c>
      <c r="F104" s="89"/>
      <c r="G104" s="89"/>
      <c r="H104" s="89" t="s">
        <v>241</v>
      </c>
      <c r="I104" s="89"/>
      <c r="J104" s="89"/>
    </row>
    <row r="105" spans="1:10" x14ac:dyDescent="0.25">
      <c r="A105" s="59" t="s">
        <v>246</v>
      </c>
      <c r="B105" s="59"/>
      <c r="C105" s="59">
        <f>COUNT(D121:E124)*5+COUNT(D126:E129)*4+COUNT(D131:E134)+COUNT(D136:E137)+COUNT(D141:E142)+COUNT(D144:E145)</f>
        <v>46</v>
      </c>
      <c r="D105" s="59"/>
      <c r="E105" s="58">
        <f>SUM(D121:E124)*5+SUM(D126:E129)*4+SUM(D131:E134)+SUM(D136:E137)+SUM(D141:E142)+SUM(D144:E145)</f>
        <v>16787.103839999996</v>
      </c>
      <c r="F105" s="58"/>
      <c r="G105" s="58"/>
      <c r="H105" s="59">
        <f>SUM(G121:G124)*5+SUM(G126:G129)*4+SUM(G131:G134)+SUM(G136:G137)+SUM(G141:G142)+SUM(G144:G145)</f>
        <v>37655</v>
      </c>
      <c r="I105" s="59"/>
      <c r="J105" s="59"/>
    </row>
    <row r="106" spans="1:10" s="28" customFormat="1" ht="18.75" x14ac:dyDescent="0.25">
      <c r="A106" s="191" t="s">
        <v>103</v>
      </c>
      <c r="B106" s="192"/>
      <c r="C106" s="192"/>
      <c r="D106" s="192"/>
      <c r="E106" s="192"/>
      <c r="F106" s="192"/>
      <c r="G106" s="192"/>
      <c r="H106" s="192"/>
      <c r="I106" s="192"/>
      <c r="J106" s="193"/>
    </row>
    <row r="107" spans="1:10" x14ac:dyDescent="0.25">
      <c r="A107" s="86" t="s">
        <v>42</v>
      </c>
      <c r="B107" s="87"/>
      <c r="C107" s="87"/>
      <c r="D107" s="87"/>
      <c r="E107" s="87"/>
      <c r="F107" s="87"/>
      <c r="G107" s="87"/>
      <c r="H107" s="87"/>
      <c r="I107" s="87"/>
      <c r="J107" s="88"/>
    </row>
    <row r="108" spans="1:10" ht="38.25" x14ac:dyDescent="0.25">
      <c r="A108" s="194" t="s">
        <v>32</v>
      </c>
      <c r="B108" s="195"/>
      <c r="C108" s="4" t="s">
        <v>29</v>
      </c>
      <c r="D108" s="196" t="s">
        <v>134</v>
      </c>
      <c r="E108" s="197"/>
      <c r="F108" s="10" t="s">
        <v>30</v>
      </c>
      <c r="G108" s="4" t="s">
        <v>140</v>
      </c>
      <c r="H108" s="4" t="s">
        <v>31</v>
      </c>
      <c r="I108" s="194" t="s">
        <v>104</v>
      </c>
      <c r="J108" s="195"/>
    </row>
    <row r="109" spans="1:10" s="29" customFormat="1" ht="16.5" customHeight="1" x14ac:dyDescent="0.25">
      <c r="A109" s="174" t="s">
        <v>169</v>
      </c>
      <c r="B109" s="175"/>
      <c r="C109" s="175"/>
      <c r="D109" s="175"/>
      <c r="E109" s="175"/>
      <c r="F109" s="175"/>
      <c r="G109" s="175"/>
      <c r="H109" s="175"/>
      <c r="I109" s="175"/>
      <c r="J109" s="176"/>
    </row>
    <row r="110" spans="1:10" s="29" customFormat="1" ht="16.5" customHeight="1" x14ac:dyDescent="0.25">
      <c r="A110" s="188">
        <v>1</v>
      </c>
      <c r="B110" s="189"/>
      <c r="C110" s="27" t="s">
        <v>170</v>
      </c>
      <c r="D110" s="188">
        <f>47*10.764</f>
        <v>505.90799999999996</v>
      </c>
      <c r="E110" s="189"/>
      <c r="F110" s="27">
        <v>0</v>
      </c>
      <c r="G110" s="27">
        <f>D110*1.6</f>
        <v>809.45280000000002</v>
      </c>
      <c r="H110" s="27" t="s">
        <v>150</v>
      </c>
      <c r="I110" s="182" t="str">
        <f>A109</f>
        <v>Ground Floor is For Parking &amp; Commercial</v>
      </c>
      <c r="J110" s="183"/>
    </row>
    <row r="111" spans="1:10" s="29" customFormat="1" ht="16.5" customHeight="1" x14ac:dyDescent="0.25">
      <c r="A111" s="188">
        <v>2</v>
      </c>
      <c r="B111" s="189"/>
      <c r="C111" s="27" t="s">
        <v>170</v>
      </c>
      <c r="D111" s="188">
        <f>2.7*10.9*10.764</f>
        <v>316.78452000000004</v>
      </c>
      <c r="E111" s="189"/>
      <c r="F111" s="27">
        <v>0</v>
      </c>
      <c r="G111" s="27">
        <f>D111*1.6</f>
        <v>506.85523200000011</v>
      </c>
      <c r="H111" s="27" t="s">
        <v>150</v>
      </c>
      <c r="I111" s="184"/>
      <c r="J111" s="185"/>
    </row>
    <row r="112" spans="1:10" s="29" customFormat="1" ht="16.5" customHeight="1" x14ac:dyDescent="0.25">
      <c r="A112" s="188">
        <v>3</v>
      </c>
      <c r="B112" s="189"/>
      <c r="C112" s="27" t="s">
        <v>170</v>
      </c>
      <c r="D112" s="188">
        <v>317</v>
      </c>
      <c r="E112" s="189"/>
      <c r="F112" s="27">
        <v>0</v>
      </c>
      <c r="G112" s="27">
        <f>D112*1.6</f>
        <v>507.20000000000005</v>
      </c>
      <c r="H112" s="27" t="s">
        <v>150</v>
      </c>
      <c r="I112" s="184"/>
      <c r="J112" s="185"/>
    </row>
    <row r="113" spans="1:11" s="29" customFormat="1" ht="16.5" customHeight="1" x14ac:dyDescent="0.25">
      <c r="A113" s="188">
        <v>4</v>
      </c>
      <c r="B113" s="189"/>
      <c r="C113" s="27" t="s">
        <v>170</v>
      </c>
      <c r="D113" s="188">
        <f>2.68*10.764*10.9</f>
        <v>314.43796800000001</v>
      </c>
      <c r="E113" s="189"/>
      <c r="F113" s="27">
        <v>0</v>
      </c>
      <c r="G113" s="27">
        <f>D113*1.6</f>
        <v>503.10074880000002</v>
      </c>
      <c r="H113" s="27" t="s">
        <v>150</v>
      </c>
      <c r="I113" s="186"/>
      <c r="J113" s="187"/>
    </row>
    <row r="114" spans="1:11" s="29" customFormat="1" ht="16.5" customHeight="1" x14ac:dyDescent="0.25">
      <c r="A114" s="174" t="s">
        <v>186</v>
      </c>
      <c r="B114" s="175"/>
      <c r="C114" s="175"/>
      <c r="D114" s="175"/>
      <c r="E114" s="175"/>
      <c r="F114" s="175"/>
      <c r="G114" s="175"/>
      <c r="H114" s="175"/>
      <c r="I114" s="175"/>
      <c r="J114" s="176"/>
    </row>
    <row r="115" spans="1:11" s="29" customFormat="1" ht="16.5" customHeight="1" x14ac:dyDescent="0.25">
      <c r="A115" s="188">
        <v>1</v>
      </c>
      <c r="B115" s="189"/>
      <c r="C115" s="27" t="s">
        <v>171</v>
      </c>
      <c r="D115" s="188">
        <f>4.28*11.45*10.764</f>
        <v>527.500584</v>
      </c>
      <c r="E115" s="189"/>
      <c r="F115" s="27">
        <v>0</v>
      </c>
      <c r="G115" s="27">
        <f>D115*1.6</f>
        <v>844.00093440000001</v>
      </c>
      <c r="H115" s="27" t="s">
        <v>150</v>
      </c>
      <c r="I115" s="182" t="s">
        <v>172</v>
      </c>
      <c r="J115" s="183"/>
    </row>
    <row r="116" spans="1:11" s="29" customFormat="1" ht="16.5" customHeight="1" x14ac:dyDescent="0.25">
      <c r="A116" s="188">
        <v>2</v>
      </c>
      <c r="B116" s="189"/>
      <c r="C116" s="27" t="s">
        <v>171</v>
      </c>
      <c r="D116" s="188">
        <f>2.7*11.45*10.764</f>
        <v>332.76905999999997</v>
      </c>
      <c r="E116" s="189"/>
      <c r="F116" s="27">
        <v>0</v>
      </c>
      <c r="G116" s="27">
        <f>D116*1.6</f>
        <v>532.43049599999995</v>
      </c>
      <c r="H116" s="27" t="s">
        <v>150</v>
      </c>
      <c r="I116" s="184"/>
      <c r="J116" s="185"/>
    </row>
    <row r="117" spans="1:11" s="29" customFormat="1" ht="16.5" customHeight="1" x14ac:dyDescent="0.25">
      <c r="A117" s="188">
        <v>3</v>
      </c>
      <c r="B117" s="189"/>
      <c r="C117" s="27" t="s">
        <v>171</v>
      </c>
      <c r="D117" s="188">
        <v>333</v>
      </c>
      <c r="E117" s="189"/>
      <c r="F117" s="27">
        <v>0</v>
      </c>
      <c r="G117" s="27">
        <f>D117*1.6</f>
        <v>532.80000000000007</v>
      </c>
      <c r="H117" s="27" t="s">
        <v>150</v>
      </c>
      <c r="I117" s="184"/>
      <c r="J117" s="185"/>
    </row>
    <row r="118" spans="1:11" s="29" customFormat="1" ht="16.5" customHeight="1" x14ac:dyDescent="0.25">
      <c r="A118" s="188">
        <v>4</v>
      </c>
      <c r="B118" s="189"/>
      <c r="C118" s="27" t="s">
        <v>171</v>
      </c>
      <c r="D118" s="188">
        <f>2.68*11.45*10.764</f>
        <v>330.304104</v>
      </c>
      <c r="E118" s="189"/>
      <c r="F118" s="27">
        <v>0</v>
      </c>
      <c r="G118" s="27">
        <f>D118*1.6</f>
        <v>528.48656640000002</v>
      </c>
      <c r="H118" s="27" t="s">
        <v>150</v>
      </c>
      <c r="I118" s="186"/>
      <c r="J118" s="187"/>
    </row>
    <row r="119" spans="1:11" s="29" customFormat="1" ht="16.5" customHeight="1" x14ac:dyDescent="0.25">
      <c r="A119" s="174" t="s">
        <v>173</v>
      </c>
      <c r="B119" s="175"/>
      <c r="C119" s="175"/>
      <c r="D119" s="175"/>
      <c r="E119" s="175"/>
      <c r="F119" s="175"/>
      <c r="G119" s="175"/>
      <c r="H119" s="175"/>
      <c r="I119" s="175"/>
      <c r="J119" s="176"/>
    </row>
    <row r="120" spans="1:11" s="29" customFormat="1" ht="16.5" customHeight="1" x14ac:dyDescent="0.25">
      <c r="A120" s="174" t="s">
        <v>187</v>
      </c>
      <c r="B120" s="175"/>
      <c r="C120" s="175"/>
      <c r="D120" s="175"/>
      <c r="E120" s="175"/>
      <c r="F120" s="175"/>
      <c r="G120" s="175"/>
      <c r="H120" s="175"/>
      <c r="I120" s="175"/>
      <c r="J120" s="176"/>
    </row>
    <row r="121" spans="1:11" s="29" customFormat="1" ht="16.5" customHeight="1" x14ac:dyDescent="0.25">
      <c r="A121" s="188">
        <v>1</v>
      </c>
      <c r="B121" s="189"/>
      <c r="C121" s="27" t="s">
        <v>174</v>
      </c>
      <c r="D121" s="188">
        <f>29.53*10.764</f>
        <v>317.86091999999996</v>
      </c>
      <c r="E121" s="189"/>
      <c r="F121" s="27">
        <v>0</v>
      </c>
      <c r="G121" s="27">
        <v>732</v>
      </c>
      <c r="H121" s="27" t="s">
        <v>150</v>
      </c>
      <c r="I121" s="182" t="str">
        <f>A120</f>
        <v>3rd, 5th, 7th, 9th &amp; 11th Floor</v>
      </c>
      <c r="J121" s="183"/>
    </row>
    <row r="122" spans="1:11" s="29" customFormat="1" ht="16.5" customHeight="1" x14ac:dyDescent="0.25">
      <c r="A122" s="188">
        <v>2</v>
      </c>
      <c r="B122" s="189"/>
      <c r="C122" s="27" t="s">
        <v>175</v>
      </c>
      <c r="D122" s="188">
        <f>45.39*10.764</f>
        <v>488.57795999999996</v>
      </c>
      <c r="E122" s="189"/>
      <c r="F122" s="27">
        <v>0</v>
      </c>
      <c r="G122" s="27">
        <v>1070</v>
      </c>
      <c r="H122" s="27" t="s">
        <v>150</v>
      </c>
      <c r="I122" s="184"/>
      <c r="J122" s="185"/>
    </row>
    <row r="123" spans="1:11" s="29" customFormat="1" ht="16.5" customHeight="1" x14ac:dyDescent="0.25">
      <c r="A123" s="188">
        <v>3</v>
      </c>
      <c r="B123" s="189"/>
      <c r="C123" s="27" t="str">
        <f>C121</f>
        <v>1BHK</v>
      </c>
      <c r="D123" s="188">
        <f>29.71*10.764</f>
        <v>319.79843999999997</v>
      </c>
      <c r="E123" s="189"/>
      <c r="F123" s="27">
        <v>0</v>
      </c>
      <c r="G123" s="27">
        <v>727</v>
      </c>
      <c r="H123" s="27" t="s">
        <v>150</v>
      </c>
      <c r="I123" s="184"/>
      <c r="J123" s="185"/>
    </row>
    <row r="124" spans="1:11" s="29" customFormat="1" ht="16.5" customHeight="1" x14ac:dyDescent="0.25">
      <c r="A124" s="188">
        <v>4</v>
      </c>
      <c r="B124" s="189"/>
      <c r="C124" s="27" t="str">
        <f>C121</f>
        <v>1BHK</v>
      </c>
      <c r="D124" s="188">
        <f>30.24*10.764</f>
        <v>325.50335999999999</v>
      </c>
      <c r="E124" s="189"/>
      <c r="F124" s="27">
        <v>0</v>
      </c>
      <c r="G124" s="27">
        <v>715</v>
      </c>
      <c r="H124" s="27" t="s">
        <v>150</v>
      </c>
      <c r="I124" s="186"/>
      <c r="J124" s="187"/>
    </row>
    <row r="125" spans="1:11" s="29" customFormat="1" ht="16.5" customHeight="1" x14ac:dyDescent="0.25">
      <c r="A125" s="174" t="s">
        <v>188</v>
      </c>
      <c r="B125" s="175"/>
      <c r="C125" s="175"/>
      <c r="D125" s="175"/>
      <c r="E125" s="175"/>
      <c r="F125" s="175"/>
      <c r="G125" s="175"/>
      <c r="H125" s="175"/>
      <c r="I125" s="175"/>
      <c r="J125" s="176"/>
    </row>
    <row r="126" spans="1:11" s="29" customFormat="1" ht="16.5" customHeight="1" x14ac:dyDescent="0.25">
      <c r="A126" s="188">
        <v>1</v>
      </c>
      <c r="B126" s="189"/>
      <c r="C126" s="27" t="s">
        <v>174</v>
      </c>
      <c r="D126" s="188">
        <f>29.53*10.764</f>
        <v>317.86091999999996</v>
      </c>
      <c r="E126" s="189"/>
      <c r="F126" s="27">
        <v>0</v>
      </c>
      <c r="G126" s="27">
        <v>732</v>
      </c>
      <c r="H126" s="27" t="s">
        <v>150</v>
      </c>
      <c r="I126" s="182" t="str">
        <f>A125</f>
        <v>4th, 6th, 8th &amp; 10th Floor</v>
      </c>
      <c r="J126" s="183"/>
      <c r="K126" s="54">
        <f>300*1080</f>
        <v>324000</v>
      </c>
    </row>
    <row r="127" spans="1:11" s="29" customFormat="1" ht="16.5" customHeight="1" x14ac:dyDescent="0.25">
      <c r="A127" s="188">
        <v>2</v>
      </c>
      <c r="B127" s="189"/>
      <c r="C127" s="27" t="s">
        <v>175</v>
      </c>
      <c r="D127" s="188">
        <f>45.39*10.764</f>
        <v>488.57795999999996</v>
      </c>
      <c r="E127" s="189"/>
      <c r="F127" s="27">
        <v>0</v>
      </c>
      <c r="G127" s="27">
        <v>1080</v>
      </c>
      <c r="H127" s="27" t="s">
        <v>150</v>
      </c>
      <c r="I127" s="184"/>
      <c r="J127" s="185"/>
      <c r="K127" s="53"/>
    </row>
    <row r="128" spans="1:11" s="29" customFormat="1" ht="16.5" customHeight="1" x14ac:dyDescent="0.25">
      <c r="A128" s="188">
        <v>3</v>
      </c>
      <c r="B128" s="189"/>
      <c r="C128" s="27" t="str">
        <f>C126</f>
        <v>1BHK</v>
      </c>
      <c r="D128" s="188">
        <f>29.71*10.764</f>
        <v>319.79843999999997</v>
      </c>
      <c r="E128" s="189"/>
      <c r="F128" s="27">
        <v>0</v>
      </c>
      <c r="G128" s="27">
        <v>732</v>
      </c>
      <c r="H128" s="27" t="s">
        <v>150</v>
      </c>
      <c r="I128" s="184"/>
      <c r="J128" s="185"/>
    </row>
    <row r="129" spans="1:10" s="29" customFormat="1" ht="16.5" customHeight="1" x14ac:dyDescent="0.25">
      <c r="A129" s="188">
        <v>4</v>
      </c>
      <c r="B129" s="189"/>
      <c r="C129" s="27" t="str">
        <f>C126</f>
        <v>1BHK</v>
      </c>
      <c r="D129" s="188">
        <f>30.24*10.764</f>
        <v>325.50335999999999</v>
      </c>
      <c r="E129" s="189"/>
      <c r="F129" s="27">
        <v>0</v>
      </c>
      <c r="G129" s="27">
        <v>715</v>
      </c>
      <c r="H129" s="27" t="s">
        <v>150</v>
      </c>
      <c r="I129" s="186"/>
      <c r="J129" s="187"/>
    </row>
    <row r="130" spans="1:10" s="29" customFormat="1" ht="16.5" customHeight="1" x14ac:dyDescent="0.25">
      <c r="A130" s="174" t="s">
        <v>176</v>
      </c>
      <c r="B130" s="175"/>
      <c r="C130" s="175"/>
      <c r="D130" s="175"/>
      <c r="E130" s="175"/>
      <c r="F130" s="175"/>
      <c r="G130" s="175"/>
      <c r="H130" s="175"/>
      <c r="I130" s="175"/>
      <c r="J130" s="176"/>
    </row>
    <row r="131" spans="1:10" s="29" customFormat="1" ht="16.5" customHeight="1" x14ac:dyDescent="0.25">
      <c r="A131" s="188">
        <v>1</v>
      </c>
      <c r="B131" s="189"/>
      <c r="C131" s="27" t="s">
        <v>174</v>
      </c>
      <c r="D131" s="188">
        <f>29.53*10.764</f>
        <v>317.86091999999996</v>
      </c>
      <c r="E131" s="189"/>
      <c r="F131" s="27">
        <v>0</v>
      </c>
      <c r="G131" s="27">
        <v>715</v>
      </c>
      <c r="H131" s="27" t="s">
        <v>150</v>
      </c>
      <c r="I131" s="182" t="str">
        <f>A130</f>
        <v>12th Floor</v>
      </c>
      <c r="J131" s="183"/>
    </row>
    <row r="132" spans="1:10" s="29" customFormat="1" ht="16.5" customHeight="1" x14ac:dyDescent="0.25">
      <c r="A132" s="188">
        <v>2</v>
      </c>
      <c r="B132" s="189"/>
      <c r="C132" s="27" t="s">
        <v>175</v>
      </c>
      <c r="D132" s="188">
        <f>45.39*10.764</f>
        <v>488.57795999999996</v>
      </c>
      <c r="E132" s="189"/>
      <c r="F132" s="27">
        <v>0</v>
      </c>
      <c r="G132" s="27">
        <v>1070</v>
      </c>
      <c r="H132" s="27" t="s">
        <v>150</v>
      </c>
      <c r="I132" s="184"/>
      <c r="J132" s="185"/>
    </row>
    <row r="133" spans="1:10" s="29" customFormat="1" ht="16.5" customHeight="1" x14ac:dyDescent="0.25">
      <c r="A133" s="188">
        <v>3</v>
      </c>
      <c r="B133" s="189"/>
      <c r="C133" s="27" t="str">
        <f>C131</f>
        <v>1BHK</v>
      </c>
      <c r="D133" s="188">
        <f>29.71*10.764</f>
        <v>319.79843999999997</v>
      </c>
      <c r="E133" s="189"/>
      <c r="F133" s="27">
        <v>0</v>
      </c>
      <c r="G133" s="27">
        <v>696</v>
      </c>
      <c r="H133" s="27" t="s">
        <v>150</v>
      </c>
      <c r="I133" s="184"/>
      <c r="J133" s="185"/>
    </row>
    <row r="134" spans="1:10" s="29" customFormat="1" ht="16.5" customHeight="1" x14ac:dyDescent="0.25">
      <c r="A134" s="188">
        <v>4</v>
      </c>
      <c r="B134" s="189"/>
      <c r="C134" s="27" t="str">
        <f>C131</f>
        <v>1BHK</v>
      </c>
      <c r="D134" s="188">
        <f>30.24*10.764</f>
        <v>325.50335999999999</v>
      </c>
      <c r="E134" s="189"/>
      <c r="F134" s="27">
        <v>0</v>
      </c>
      <c r="G134" s="27">
        <v>696</v>
      </c>
      <c r="H134" s="27" t="s">
        <v>150</v>
      </c>
      <c r="I134" s="186"/>
      <c r="J134" s="187"/>
    </row>
    <row r="135" spans="1:10" s="29" customFormat="1" ht="16.5" customHeight="1" x14ac:dyDescent="0.25">
      <c r="A135" s="174" t="s">
        <v>177</v>
      </c>
      <c r="B135" s="175"/>
      <c r="C135" s="175"/>
      <c r="D135" s="175"/>
      <c r="E135" s="175"/>
      <c r="F135" s="175"/>
      <c r="G135" s="175"/>
      <c r="H135" s="175"/>
      <c r="I135" s="175"/>
      <c r="J135" s="176"/>
    </row>
    <row r="136" spans="1:10" s="29" customFormat="1" ht="16.5" customHeight="1" x14ac:dyDescent="0.25">
      <c r="A136" s="188">
        <v>1</v>
      </c>
      <c r="B136" s="189"/>
      <c r="C136" s="27" t="s">
        <v>174</v>
      </c>
      <c r="D136" s="188">
        <f>29.53*10.764</f>
        <v>317.86091999999996</v>
      </c>
      <c r="E136" s="189"/>
      <c r="F136" s="27">
        <v>0</v>
      </c>
      <c r="G136" s="27">
        <v>732</v>
      </c>
      <c r="H136" s="27" t="s">
        <v>150</v>
      </c>
      <c r="I136" s="182" t="str">
        <f>A135</f>
        <v>13th Floor</v>
      </c>
      <c r="J136" s="183"/>
    </row>
    <row r="137" spans="1:10" s="29" customFormat="1" ht="16.5" customHeight="1" x14ac:dyDescent="0.25">
      <c r="A137" s="188">
        <v>2</v>
      </c>
      <c r="B137" s="189"/>
      <c r="C137" s="27" t="s">
        <v>175</v>
      </c>
      <c r="D137" s="188">
        <f>45.39*10.764</f>
        <v>488.57795999999996</v>
      </c>
      <c r="E137" s="189"/>
      <c r="F137" s="27">
        <v>0</v>
      </c>
      <c r="G137" s="27">
        <v>1070</v>
      </c>
      <c r="H137" s="27" t="s">
        <v>150</v>
      </c>
      <c r="I137" s="184"/>
      <c r="J137" s="185"/>
    </row>
    <row r="138" spans="1:10" s="29" customFormat="1" ht="16.5" customHeight="1" x14ac:dyDescent="0.25">
      <c r="A138" s="188">
        <v>3</v>
      </c>
      <c r="B138" s="189"/>
      <c r="C138" s="182" t="s">
        <v>178</v>
      </c>
      <c r="D138" s="199"/>
      <c r="E138" s="199"/>
      <c r="F138" s="199"/>
      <c r="G138" s="183"/>
      <c r="H138" s="27" t="s">
        <v>150</v>
      </c>
      <c r="I138" s="184"/>
      <c r="J138" s="185"/>
    </row>
    <row r="139" spans="1:10" s="29" customFormat="1" ht="16.5" customHeight="1" x14ac:dyDescent="0.25">
      <c r="A139" s="188">
        <v>4</v>
      </c>
      <c r="B139" s="189"/>
      <c r="C139" s="186"/>
      <c r="D139" s="200"/>
      <c r="E139" s="200"/>
      <c r="F139" s="200"/>
      <c r="G139" s="187"/>
      <c r="H139" s="27" t="s">
        <v>150</v>
      </c>
      <c r="I139" s="186"/>
      <c r="J139" s="187"/>
    </row>
    <row r="140" spans="1:10" s="29" customFormat="1" ht="16.5" customHeight="1" x14ac:dyDescent="0.25">
      <c r="A140" s="174" t="s">
        <v>179</v>
      </c>
      <c r="B140" s="175"/>
      <c r="C140" s="175"/>
      <c r="D140" s="175"/>
      <c r="E140" s="175"/>
      <c r="F140" s="175"/>
      <c r="G140" s="175"/>
      <c r="H140" s="175"/>
      <c r="I140" s="175"/>
      <c r="J140" s="176"/>
    </row>
    <row r="141" spans="1:10" s="29" customFormat="1" ht="16.5" customHeight="1" x14ac:dyDescent="0.25">
      <c r="A141" s="188">
        <v>1</v>
      </c>
      <c r="B141" s="189"/>
      <c r="C141" s="27" t="s">
        <v>174</v>
      </c>
      <c r="D141" s="188">
        <f>29.53*10.764</f>
        <v>317.86091999999996</v>
      </c>
      <c r="E141" s="189"/>
      <c r="F141" s="27">
        <v>0</v>
      </c>
      <c r="G141" s="27">
        <v>715</v>
      </c>
      <c r="H141" s="27" t="s">
        <v>150</v>
      </c>
      <c r="I141" s="182" t="str">
        <f>A140</f>
        <v>14th Floor</v>
      </c>
      <c r="J141" s="183"/>
    </row>
    <row r="142" spans="1:10" s="29" customFormat="1" ht="16.5" customHeight="1" x14ac:dyDescent="0.25">
      <c r="A142" s="188">
        <v>2</v>
      </c>
      <c r="B142" s="189"/>
      <c r="C142" s="27" t="s">
        <v>175</v>
      </c>
      <c r="D142" s="188">
        <f>44.64*10.764</f>
        <v>480.50495999999998</v>
      </c>
      <c r="E142" s="189"/>
      <c r="F142" s="27">
        <v>0</v>
      </c>
      <c r="G142" s="27">
        <v>1070</v>
      </c>
      <c r="H142" s="27" t="s">
        <v>150</v>
      </c>
      <c r="I142" s="186"/>
      <c r="J142" s="187"/>
    </row>
    <row r="143" spans="1:10" s="29" customFormat="1" ht="16.5" customHeight="1" x14ac:dyDescent="0.25">
      <c r="A143" s="174" t="s">
        <v>180</v>
      </c>
      <c r="B143" s="175"/>
      <c r="C143" s="175"/>
      <c r="D143" s="175"/>
      <c r="E143" s="175"/>
      <c r="F143" s="175"/>
      <c r="G143" s="175"/>
      <c r="H143" s="175"/>
      <c r="I143" s="175"/>
      <c r="J143" s="176"/>
    </row>
    <row r="144" spans="1:10" s="29" customFormat="1" ht="16.5" customHeight="1" x14ac:dyDescent="0.25">
      <c r="A144" s="188">
        <v>1</v>
      </c>
      <c r="B144" s="189"/>
      <c r="C144" s="27" t="str">
        <f>C141</f>
        <v>1BHK</v>
      </c>
      <c r="D144" s="188">
        <f>29.53*10.764</f>
        <v>317.86091999999996</v>
      </c>
      <c r="E144" s="189"/>
      <c r="F144" s="27">
        <v>0</v>
      </c>
      <c r="G144" s="27">
        <v>715</v>
      </c>
      <c r="H144" s="27" t="s">
        <v>150</v>
      </c>
      <c r="I144" s="182" t="str">
        <f>A143</f>
        <v>15th Floor</v>
      </c>
      <c r="J144" s="183"/>
    </row>
    <row r="145" spans="1:10" s="29" customFormat="1" ht="16.5" customHeight="1" x14ac:dyDescent="0.25">
      <c r="A145" s="188">
        <v>2</v>
      </c>
      <c r="B145" s="189"/>
      <c r="C145" s="27" t="str">
        <f>C141</f>
        <v>1BHK</v>
      </c>
      <c r="D145" s="188">
        <f>32.24*10.764</f>
        <v>347.03136000000001</v>
      </c>
      <c r="E145" s="189"/>
      <c r="F145" s="27">
        <f>3.15*4.95*10.764</f>
        <v>167.83766999999997</v>
      </c>
      <c r="G145" s="27">
        <v>920</v>
      </c>
      <c r="H145" s="27" t="s">
        <v>150</v>
      </c>
      <c r="I145" s="186"/>
      <c r="J145" s="187"/>
    </row>
    <row r="146" spans="1:10" ht="201" customHeight="1" x14ac:dyDescent="0.25">
      <c r="A146" s="210" t="s">
        <v>256</v>
      </c>
      <c r="B146" s="211"/>
      <c r="C146" s="211"/>
      <c r="D146" s="211"/>
      <c r="E146" s="211"/>
      <c r="F146" s="211"/>
      <c r="G146" s="211"/>
      <c r="H146" s="211"/>
      <c r="I146" s="211"/>
      <c r="J146" s="212"/>
    </row>
    <row r="147" spans="1:10" x14ac:dyDescent="0.25">
      <c r="A147" s="137" t="s">
        <v>25</v>
      </c>
      <c r="B147" s="138"/>
      <c r="C147" s="138"/>
      <c r="D147" s="138"/>
      <c r="E147" s="138"/>
      <c r="F147" s="138"/>
      <c r="G147" s="138"/>
      <c r="H147" s="138"/>
      <c r="I147" s="138"/>
      <c r="J147" s="139"/>
    </row>
    <row r="148" spans="1:10" x14ac:dyDescent="0.25">
      <c r="A148" s="63" t="s">
        <v>151</v>
      </c>
      <c r="B148" s="64"/>
      <c r="C148" s="64"/>
      <c r="D148" s="64"/>
      <c r="E148" s="64"/>
      <c r="F148" s="64"/>
      <c r="G148" s="64"/>
      <c r="H148" s="64"/>
      <c r="I148" s="64"/>
      <c r="J148" s="65"/>
    </row>
    <row r="149" spans="1:10" x14ac:dyDescent="0.25">
      <c r="A149" s="137" t="s">
        <v>27</v>
      </c>
      <c r="B149" s="138"/>
      <c r="C149" s="138"/>
      <c r="D149" s="138"/>
      <c r="E149" s="138"/>
      <c r="F149" s="138"/>
      <c r="G149" s="138"/>
      <c r="H149" s="138"/>
      <c r="I149" s="138"/>
      <c r="J149" s="139"/>
    </row>
    <row r="150" spans="1:10" x14ac:dyDescent="0.25">
      <c r="A150" s="63" t="s">
        <v>37</v>
      </c>
      <c r="B150" s="64"/>
      <c r="C150" s="64"/>
      <c r="D150" s="64"/>
      <c r="E150" s="64"/>
      <c r="F150" s="64"/>
      <c r="G150" s="64"/>
      <c r="H150" s="64"/>
      <c r="I150" s="64"/>
      <c r="J150" s="65"/>
    </row>
    <row r="151" spans="1:10" x14ac:dyDescent="0.25">
      <c r="A151" s="63" t="s">
        <v>145</v>
      </c>
      <c r="B151" s="64"/>
      <c r="C151" s="64"/>
      <c r="D151" s="64"/>
      <c r="E151" s="64"/>
      <c r="F151" s="64"/>
      <c r="G151" s="64"/>
      <c r="H151" s="64"/>
      <c r="I151" s="64"/>
      <c r="J151" s="65"/>
    </row>
    <row r="152" spans="1:10" x14ac:dyDescent="0.25">
      <c r="A152" s="63" t="s">
        <v>146</v>
      </c>
      <c r="B152" s="64"/>
      <c r="C152" s="64"/>
      <c r="D152" s="64"/>
      <c r="E152" s="64"/>
      <c r="F152" s="64"/>
      <c r="G152" s="64"/>
      <c r="H152" s="64"/>
      <c r="I152" s="64"/>
      <c r="J152" s="65"/>
    </row>
    <row r="153" spans="1:10" ht="30.75" customHeight="1" x14ac:dyDescent="0.25">
      <c r="A153" s="74" t="s">
        <v>147</v>
      </c>
      <c r="B153" s="75"/>
      <c r="C153" s="75"/>
      <c r="D153" s="75"/>
      <c r="E153" s="75"/>
      <c r="F153" s="75"/>
      <c r="G153" s="75"/>
      <c r="H153" s="75"/>
      <c r="I153" s="75"/>
      <c r="J153" s="76"/>
    </row>
    <row r="154" spans="1:10" ht="15" customHeight="1" x14ac:dyDescent="0.25">
      <c r="A154" s="201" t="s">
        <v>26</v>
      </c>
      <c r="B154" s="202"/>
      <c r="C154" s="202"/>
      <c r="D154" s="202"/>
      <c r="E154" s="202"/>
      <c r="F154" s="202"/>
      <c r="G154" s="202"/>
      <c r="H154" s="202"/>
      <c r="I154" s="202"/>
      <c r="J154" s="203"/>
    </row>
    <row r="155" spans="1:10" x14ac:dyDescent="0.25">
      <c r="A155" s="204"/>
      <c r="B155" s="205"/>
      <c r="C155" s="205"/>
      <c r="D155" s="205"/>
      <c r="E155" s="205"/>
      <c r="F155" s="205"/>
      <c r="G155" s="205"/>
      <c r="H155" s="205"/>
      <c r="I155" s="205"/>
      <c r="J155" s="206"/>
    </row>
    <row r="156" spans="1:10" x14ac:dyDescent="0.25">
      <c r="A156" s="204"/>
      <c r="B156" s="205"/>
      <c r="C156" s="205"/>
      <c r="D156" s="205"/>
      <c r="E156" s="205"/>
      <c r="F156" s="205"/>
      <c r="G156" s="205"/>
      <c r="H156" s="205"/>
      <c r="I156" s="205"/>
      <c r="J156" s="206"/>
    </row>
    <row r="157" spans="1:10" x14ac:dyDescent="0.25">
      <c r="A157" s="207"/>
      <c r="B157" s="208"/>
      <c r="C157" s="208"/>
      <c r="D157" s="208"/>
      <c r="E157" s="208"/>
      <c r="F157" s="208"/>
      <c r="G157" s="208"/>
      <c r="H157" s="208"/>
      <c r="I157" s="208"/>
      <c r="J157" s="209"/>
    </row>
    <row r="158" spans="1:10" x14ac:dyDescent="0.25">
      <c r="A158" s="16" t="s">
        <v>139</v>
      </c>
      <c r="B158" s="15"/>
      <c r="C158" s="15"/>
      <c r="D158" s="24" t="str">
        <f>F8</f>
        <v>Uma Greens</v>
      </c>
      <c r="G158" s="15"/>
      <c r="H158" s="15"/>
      <c r="I158" s="15"/>
      <c r="J158" s="15"/>
    </row>
    <row r="159" spans="1:10" x14ac:dyDescent="0.25">
      <c r="A159" s="15"/>
      <c r="B159" s="15"/>
      <c r="C159" s="15"/>
      <c r="D159" s="15"/>
      <c r="E159" s="15"/>
      <c r="F159" s="15"/>
      <c r="G159" s="15"/>
      <c r="H159" s="15"/>
      <c r="I159" s="15"/>
      <c r="J159" s="15"/>
    </row>
    <row r="160" spans="1:10" x14ac:dyDescent="0.25">
      <c r="A160" s="15"/>
      <c r="B160" s="15"/>
      <c r="C160" s="15"/>
      <c r="D160" s="15"/>
      <c r="E160" s="15"/>
      <c r="F160" s="15"/>
      <c r="G160" s="15"/>
      <c r="H160" s="15"/>
      <c r="I160" s="15"/>
      <c r="J160" s="15"/>
    </row>
    <row r="166" spans="1:1" x14ac:dyDescent="0.25">
      <c r="A166"/>
    </row>
    <row r="202" spans="1:1" x14ac:dyDescent="0.25">
      <c r="A202" s="17"/>
    </row>
    <row r="204" spans="1:1" x14ac:dyDescent="0.25">
      <c r="A204" s="17" t="s">
        <v>128</v>
      </c>
    </row>
  </sheetData>
  <mergeCells count="320">
    <mergeCell ref="A67:B67"/>
    <mergeCell ref="D67:E67"/>
    <mergeCell ref="A68:B68"/>
    <mergeCell ref="D68:E68"/>
    <mergeCell ref="A69:B69"/>
    <mergeCell ref="D69:E69"/>
    <mergeCell ref="A57:B57"/>
    <mergeCell ref="C57:J57"/>
    <mergeCell ref="E58:F58"/>
    <mergeCell ref="I58:J58"/>
    <mergeCell ref="C59:J59"/>
    <mergeCell ref="F60:G60"/>
    <mergeCell ref="H60:J60"/>
    <mergeCell ref="F61:G70"/>
    <mergeCell ref="H61:J70"/>
    <mergeCell ref="A70:B70"/>
    <mergeCell ref="D70:E70"/>
    <mergeCell ref="A59:B59"/>
    <mergeCell ref="A60:B60"/>
    <mergeCell ref="D60:E60"/>
    <mergeCell ref="A61:B61"/>
    <mergeCell ref="D61:E61"/>
    <mergeCell ref="A62:B62"/>
    <mergeCell ref="D62:E62"/>
    <mergeCell ref="A63:B63"/>
    <mergeCell ref="D63:E63"/>
    <mergeCell ref="A64:B64"/>
    <mergeCell ref="D64:E64"/>
    <mergeCell ref="A65:B65"/>
    <mergeCell ref="D65:E65"/>
    <mergeCell ref="A66:B66"/>
    <mergeCell ref="D66:E66"/>
    <mergeCell ref="I144:J145"/>
    <mergeCell ref="A118:B118"/>
    <mergeCell ref="D121:E121"/>
    <mergeCell ref="D122:E122"/>
    <mergeCell ref="D126:E126"/>
    <mergeCell ref="D124:E124"/>
    <mergeCell ref="D127:E127"/>
    <mergeCell ref="D128:E128"/>
    <mergeCell ref="A129:B129"/>
    <mergeCell ref="I126:J129"/>
    <mergeCell ref="I131:J134"/>
    <mergeCell ref="A125:J125"/>
    <mergeCell ref="D145:E145"/>
    <mergeCell ref="D142:E142"/>
    <mergeCell ref="A138:B138"/>
    <mergeCell ref="A137:B137"/>
    <mergeCell ref="D137:E137"/>
    <mergeCell ref="A144:B144"/>
    <mergeCell ref="D144:E144"/>
    <mergeCell ref="D118:E118"/>
    <mergeCell ref="A154:J157"/>
    <mergeCell ref="F23:I23"/>
    <mergeCell ref="F25:I25"/>
    <mergeCell ref="C50:F50"/>
    <mergeCell ref="H50:J50"/>
    <mergeCell ref="A146:J146"/>
    <mergeCell ref="A110:B110"/>
    <mergeCell ref="A113:B113"/>
    <mergeCell ref="I136:J139"/>
    <mergeCell ref="A143:J143"/>
    <mergeCell ref="A149:J149"/>
    <mergeCell ref="A150:J150"/>
    <mergeCell ref="D129:E129"/>
    <mergeCell ref="D131:E131"/>
    <mergeCell ref="A132:B132"/>
    <mergeCell ref="D132:E132"/>
    <mergeCell ref="A126:B126"/>
    <mergeCell ref="A127:B127"/>
    <mergeCell ref="A128:B128"/>
    <mergeCell ref="E78:F78"/>
    <mergeCell ref="E79:F79"/>
    <mergeCell ref="E80:F80"/>
    <mergeCell ref="E81:F81"/>
    <mergeCell ref="E82:F82"/>
    <mergeCell ref="A151:J151"/>
    <mergeCell ref="A152:J152"/>
    <mergeCell ref="A153:J153"/>
    <mergeCell ref="D110:E110"/>
    <mergeCell ref="A111:B111"/>
    <mergeCell ref="D111:E111"/>
    <mergeCell ref="I141:J142"/>
    <mergeCell ref="A147:J147"/>
    <mergeCell ref="A148:J148"/>
    <mergeCell ref="A112:B112"/>
    <mergeCell ref="D112:E112"/>
    <mergeCell ref="A142:B142"/>
    <mergeCell ref="D113:E113"/>
    <mergeCell ref="A130:J130"/>
    <mergeCell ref="C138:G139"/>
    <mergeCell ref="A140:J140"/>
    <mergeCell ref="D117:E117"/>
    <mergeCell ref="A135:J135"/>
    <mergeCell ref="A145:B145"/>
    <mergeCell ref="A136:B136"/>
    <mergeCell ref="D136:E136"/>
    <mergeCell ref="A141:B141"/>
    <mergeCell ref="D141:E141"/>
    <mergeCell ref="A139:B139"/>
    <mergeCell ref="A116:B116"/>
    <mergeCell ref="A117:B117"/>
    <mergeCell ref="D116:E116"/>
    <mergeCell ref="A121:B121"/>
    <mergeCell ref="A122:B122"/>
    <mergeCell ref="A134:B134"/>
    <mergeCell ref="D134:E134"/>
    <mergeCell ref="A131:B131"/>
    <mergeCell ref="D133:E133"/>
    <mergeCell ref="A133:B133"/>
    <mergeCell ref="A114:J114"/>
    <mergeCell ref="I115:J118"/>
    <mergeCell ref="A119:J119"/>
    <mergeCell ref="A120:J120"/>
    <mergeCell ref="I121:J124"/>
    <mergeCell ref="A123:B123"/>
    <mergeCell ref="A115:B115"/>
    <mergeCell ref="D115:E115"/>
    <mergeCell ref="A97:F97"/>
    <mergeCell ref="G97:J97"/>
    <mergeCell ref="A106:J106"/>
    <mergeCell ref="A107:J107"/>
    <mergeCell ref="A108:B108"/>
    <mergeCell ref="D108:E108"/>
    <mergeCell ref="I108:J108"/>
    <mergeCell ref="I110:J113"/>
    <mergeCell ref="A102:B102"/>
    <mergeCell ref="C102:D102"/>
    <mergeCell ref="E102:G102"/>
    <mergeCell ref="H102:J102"/>
    <mergeCell ref="D123:E123"/>
    <mergeCell ref="A124:B124"/>
    <mergeCell ref="H101:J101"/>
    <mergeCell ref="A100:B100"/>
    <mergeCell ref="G95:J95"/>
    <mergeCell ref="A96:F96"/>
    <mergeCell ref="G96:J96"/>
    <mergeCell ref="A109:J109"/>
    <mergeCell ref="A90:F90"/>
    <mergeCell ref="G90:J90"/>
    <mergeCell ref="A92:F92"/>
    <mergeCell ref="G92:J92"/>
    <mergeCell ref="A93:F93"/>
    <mergeCell ref="G93:J93"/>
    <mergeCell ref="A91:F91"/>
    <mergeCell ref="G91:J91"/>
    <mergeCell ref="A103:J103"/>
    <mergeCell ref="A104:B104"/>
    <mergeCell ref="C104:D104"/>
    <mergeCell ref="E104:G104"/>
    <mergeCell ref="H104:J104"/>
    <mergeCell ref="A105:B105"/>
    <mergeCell ref="C105:D105"/>
    <mergeCell ref="E105:G105"/>
    <mergeCell ref="H105:J105"/>
    <mergeCell ref="A101:B101"/>
    <mergeCell ref="C101:D101"/>
    <mergeCell ref="E101:G101"/>
    <mergeCell ref="A55:C55"/>
    <mergeCell ref="D55:J55"/>
    <mergeCell ref="A56:J56"/>
    <mergeCell ref="A82:B82"/>
    <mergeCell ref="A83:B83"/>
    <mergeCell ref="A84:B84"/>
    <mergeCell ref="A71:B71"/>
    <mergeCell ref="C71:J71"/>
    <mergeCell ref="A77:B77"/>
    <mergeCell ref="A78:B78"/>
    <mergeCell ref="A79:B79"/>
    <mergeCell ref="A80:B80"/>
    <mergeCell ref="A81:B81"/>
    <mergeCell ref="A73:B73"/>
    <mergeCell ref="C73:J73"/>
    <mergeCell ref="A74:B74"/>
    <mergeCell ref="A75:B75"/>
    <mergeCell ref="E83:F83"/>
    <mergeCell ref="E84:F84"/>
    <mergeCell ref="A76:B76"/>
    <mergeCell ref="E72:F72"/>
    <mergeCell ref="I72:J72"/>
    <mergeCell ref="E74:F74"/>
    <mergeCell ref="I74:J74"/>
    <mergeCell ref="A53:C53"/>
    <mergeCell ref="D53:E53"/>
    <mergeCell ref="F54:J54"/>
    <mergeCell ref="A54:B54"/>
    <mergeCell ref="C54:E54"/>
    <mergeCell ref="F53:G53"/>
    <mergeCell ref="H53:J53"/>
    <mergeCell ref="A50:B50"/>
    <mergeCell ref="A51:C51"/>
    <mergeCell ref="D51:E51"/>
    <mergeCell ref="F51:G51"/>
    <mergeCell ref="H51:J51"/>
    <mergeCell ref="C46:F46"/>
    <mergeCell ref="H46:J46"/>
    <mergeCell ref="A47:B47"/>
    <mergeCell ref="C47:F47"/>
    <mergeCell ref="I47:J47"/>
    <mergeCell ref="A48:B48"/>
    <mergeCell ref="C48:F48"/>
    <mergeCell ref="H48:J48"/>
    <mergeCell ref="A52:J52"/>
    <mergeCell ref="A49:B49"/>
    <mergeCell ref="C49:F49"/>
    <mergeCell ref="H49:J49"/>
    <mergeCell ref="A30:J30"/>
    <mergeCell ref="A31:J31"/>
    <mergeCell ref="A32:B32"/>
    <mergeCell ref="A28:B28"/>
    <mergeCell ref="C28:D28"/>
    <mergeCell ref="E28:F28"/>
    <mergeCell ref="G28:H28"/>
    <mergeCell ref="I28:J28"/>
    <mergeCell ref="A29:B29"/>
    <mergeCell ref="C29:D29"/>
    <mergeCell ref="E29:F29"/>
    <mergeCell ref="G29:H29"/>
    <mergeCell ref="I29:J29"/>
    <mergeCell ref="C32:J32"/>
    <mergeCell ref="A25:E25"/>
    <mergeCell ref="A26:E26"/>
    <mergeCell ref="F26:J26"/>
    <mergeCell ref="A27:B27"/>
    <mergeCell ref="C27:D27"/>
    <mergeCell ref="E27:F27"/>
    <mergeCell ref="G27:H27"/>
    <mergeCell ref="I27:J27"/>
    <mergeCell ref="A21:E22"/>
    <mergeCell ref="F21:J22"/>
    <mergeCell ref="A23:E23"/>
    <mergeCell ref="A24:E24"/>
    <mergeCell ref="F24:J24"/>
    <mergeCell ref="A18:B18"/>
    <mergeCell ref="C18:E18"/>
    <mergeCell ref="F18:G18"/>
    <mergeCell ref="H18:J18"/>
    <mergeCell ref="A19:E20"/>
    <mergeCell ref="A13:E13"/>
    <mergeCell ref="F13:J13"/>
    <mergeCell ref="A14:B14"/>
    <mergeCell ref="C14:J14"/>
    <mergeCell ref="F19:J20"/>
    <mergeCell ref="I15:J15"/>
    <mergeCell ref="B16:E16"/>
    <mergeCell ref="G16:J16"/>
    <mergeCell ref="B17:E17"/>
    <mergeCell ref="G17:J17"/>
    <mergeCell ref="A12:E12"/>
    <mergeCell ref="F12:J12"/>
    <mergeCell ref="A15:B15"/>
    <mergeCell ref="C15:E15"/>
    <mergeCell ref="A5:E5"/>
    <mergeCell ref="F5:J5"/>
    <mergeCell ref="A6:E6"/>
    <mergeCell ref="F6:J6"/>
    <mergeCell ref="A7:E7"/>
    <mergeCell ref="F7:J7"/>
    <mergeCell ref="A8:E8"/>
    <mergeCell ref="F8:J8"/>
    <mergeCell ref="A9:E9"/>
    <mergeCell ref="F9:J9"/>
    <mergeCell ref="A1:J1"/>
    <mergeCell ref="A2:J2"/>
    <mergeCell ref="A3:E3"/>
    <mergeCell ref="F3:J3"/>
    <mergeCell ref="A4:E4"/>
    <mergeCell ref="A10:E10"/>
    <mergeCell ref="F10:J10"/>
    <mergeCell ref="A11:E11"/>
    <mergeCell ref="F11:J11"/>
    <mergeCell ref="F4:I4"/>
    <mergeCell ref="A33:B33"/>
    <mergeCell ref="C33:J33"/>
    <mergeCell ref="A98:J98"/>
    <mergeCell ref="A99:B99"/>
    <mergeCell ref="C99:D99"/>
    <mergeCell ref="E99:G99"/>
    <mergeCell ref="H99:J99"/>
    <mergeCell ref="E75:F75"/>
    <mergeCell ref="H75:H84"/>
    <mergeCell ref="I75:J84"/>
    <mergeCell ref="E76:F76"/>
    <mergeCell ref="E77:F77"/>
    <mergeCell ref="A85:J85"/>
    <mergeCell ref="A86:J86"/>
    <mergeCell ref="A88:J88"/>
    <mergeCell ref="A89:F89"/>
    <mergeCell ref="G89:J89"/>
    <mergeCell ref="A87:B87"/>
    <mergeCell ref="C87:J87"/>
    <mergeCell ref="A45:B45"/>
    <mergeCell ref="C45:F45"/>
    <mergeCell ref="H45:J45"/>
    <mergeCell ref="A40:E40"/>
    <mergeCell ref="F40:J40"/>
    <mergeCell ref="C100:D100"/>
    <mergeCell ref="E100:G100"/>
    <mergeCell ref="H100:J100"/>
    <mergeCell ref="A34:J34"/>
    <mergeCell ref="A38:E38"/>
    <mergeCell ref="F38:J38"/>
    <mergeCell ref="A39:E39"/>
    <mergeCell ref="F39:J39"/>
    <mergeCell ref="F35:I35"/>
    <mergeCell ref="A35:E35"/>
    <mergeCell ref="A36:E36"/>
    <mergeCell ref="F36:J36"/>
    <mergeCell ref="A37:J37"/>
    <mergeCell ref="A43:E43"/>
    <mergeCell ref="F43:J43"/>
    <mergeCell ref="A44:J44"/>
    <mergeCell ref="A94:F94"/>
    <mergeCell ref="G94:J94"/>
    <mergeCell ref="A95:F95"/>
    <mergeCell ref="A41:E41"/>
    <mergeCell ref="F41:J41"/>
    <mergeCell ref="A42:E42"/>
    <mergeCell ref="F42:J42"/>
    <mergeCell ref="A46:B46"/>
  </mergeCells>
  <hyperlinks>
    <hyperlink ref="C33" r:id="rId1"/>
  </hyperlinks>
  <printOptions horizontalCentered="1"/>
  <pageMargins left="0.39370078740157483" right="0.39370078740157483" top="0.78740157480314965" bottom="0.78740157480314965" header="0.19685039370078741" footer="0.19685039370078741"/>
  <pageSetup scale="93" fitToHeight="0" orientation="portrait" r:id="rId2"/>
  <headerFooter>
    <oddHeader>&amp;C&amp;G</oddHeader>
    <oddFooter>&amp;L&amp;"Times New Roman,Bold"Ref No: &amp;F&amp;C&amp;G&amp;R&amp;P</oddFooter>
  </headerFooter>
  <rowBreaks count="2" manualBreakCount="2">
    <brk id="157" max="9" man="1"/>
    <brk id="20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7" sqref="C7"/>
    </sheetView>
  </sheetViews>
  <sheetFormatPr defaultRowHeight="15" x14ac:dyDescent="0.25"/>
  <cols>
    <col min="2" max="2" width="11.7109375" customWidth="1"/>
  </cols>
  <sheetData>
    <row r="2" spans="1:15" x14ac:dyDescent="0.25">
      <c r="A2" t="s">
        <v>105</v>
      </c>
      <c r="B2" s="11" t="s">
        <v>125</v>
      </c>
      <c r="C2" s="11">
        <v>15</v>
      </c>
    </row>
    <row r="3" spans="1:15" x14ac:dyDescent="0.25">
      <c r="B3" t="s">
        <v>106</v>
      </c>
      <c r="C3" t="s">
        <v>107</v>
      </c>
    </row>
    <row r="4" spans="1:15" x14ac:dyDescent="0.25">
      <c r="A4" t="s">
        <v>108</v>
      </c>
      <c r="B4" s="5">
        <v>10</v>
      </c>
      <c r="C4" s="5">
        <v>10</v>
      </c>
      <c r="E4">
        <f>(100/B4)*C4</f>
        <v>100</v>
      </c>
    </row>
    <row r="5" spans="1:15" x14ac:dyDescent="0.25">
      <c r="A5" t="s">
        <v>109</v>
      </c>
      <c r="B5" t="s">
        <v>110</v>
      </c>
      <c r="C5" t="s">
        <v>111</v>
      </c>
      <c r="E5">
        <f>(100/B6)*C6</f>
        <v>6.25</v>
      </c>
      <c r="I5" s="5" t="s">
        <v>112</v>
      </c>
      <c r="J5" s="5" t="s">
        <v>113</v>
      </c>
      <c r="K5" s="5" t="s">
        <v>114</v>
      </c>
      <c r="L5" s="5" t="s">
        <v>36</v>
      </c>
      <c r="M5" s="5" t="s">
        <v>39</v>
      </c>
      <c r="N5" s="5" t="s">
        <v>115</v>
      </c>
      <c r="O5" s="5" t="s">
        <v>40</v>
      </c>
    </row>
    <row r="6" spans="1:15" x14ac:dyDescent="0.25">
      <c r="B6" s="5">
        <f>C2+1</f>
        <v>16</v>
      </c>
      <c r="C6" s="5">
        <v>1</v>
      </c>
      <c r="E6">
        <f>(100/B8)*C8</f>
        <v>0</v>
      </c>
      <c r="F6" s="12" t="s">
        <v>116</v>
      </c>
      <c r="I6" s="12">
        <f>C4</f>
        <v>10</v>
      </c>
      <c r="J6" s="12">
        <f>40/B6*C6</f>
        <v>2.5</v>
      </c>
      <c r="K6" s="12">
        <f>15/B8*C8</f>
        <v>0</v>
      </c>
      <c r="L6" s="12">
        <f>10/B10*C10</f>
        <v>0</v>
      </c>
      <c r="M6" s="12">
        <f>10/B12*C12</f>
        <v>0</v>
      </c>
      <c r="N6" s="12">
        <f>5/B14*C14</f>
        <v>0</v>
      </c>
      <c r="O6" s="12">
        <f>5/B16*C16</f>
        <v>0</v>
      </c>
    </row>
    <row r="7" spans="1:15" x14ac:dyDescent="0.25">
      <c r="A7" t="s">
        <v>117</v>
      </c>
      <c r="B7" t="s">
        <v>118</v>
      </c>
      <c r="C7" t="s">
        <v>119</v>
      </c>
      <c r="E7">
        <f>(100/B10)*C10</f>
        <v>0</v>
      </c>
      <c r="F7" s="5" t="s">
        <v>120</v>
      </c>
      <c r="G7" s="5"/>
      <c r="H7" s="5"/>
      <c r="I7" s="5">
        <f>I6+20</f>
        <v>30</v>
      </c>
      <c r="J7" s="5">
        <f>30/B6*C6</f>
        <v>1.875</v>
      </c>
      <c r="K7" s="5">
        <f>15/B8*C8</f>
        <v>0</v>
      </c>
      <c r="L7" s="5">
        <f>10/B10*C10</f>
        <v>0</v>
      </c>
      <c r="M7" s="5">
        <f>5/B12*C12</f>
        <v>0</v>
      </c>
      <c r="N7" s="5">
        <f>5/B14*C14</f>
        <v>0</v>
      </c>
      <c r="O7" s="5">
        <f>5/B16*C16</f>
        <v>0</v>
      </c>
    </row>
    <row r="8" spans="1:15" x14ac:dyDescent="0.25">
      <c r="B8" s="5">
        <f>C2</f>
        <v>15</v>
      </c>
      <c r="C8" s="5">
        <v>0</v>
      </c>
      <c r="E8">
        <f>(100/B12)*C12</f>
        <v>0</v>
      </c>
    </row>
    <row r="9" spans="1:15" x14ac:dyDescent="0.25">
      <c r="A9" t="s">
        <v>121</v>
      </c>
      <c r="B9" t="s">
        <v>118</v>
      </c>
      <c r="C9" t="s">
        <v>119</v>
      </c>
      <c r="E9">
        <f>(100/B14)*C14</f>
        <v>0</v>
      </c>
    </row>
    <row r="10" spans="1:15" x14ac:dyDescent="0.25">
      <c r="B10" s="5">
        <f>C2</f>
        <v>15</v>
      </c>
      <c r="C10" s="5">
        <v>0</v>
      </c>
      <c r="E10">
        <f>(100/B16)*C16</f>
        <v>0</v>
      </c>
    </row>
    <row r="11" spans="1:15" x14ac:dyDescent="0.25">
      <c r="A11" t="s">
        <v>39</v>
      </c>
      <c r="B11" t="s">
        <v>118</v>
      </c>
      <c r="C11" t="s">
        <v>119</v>
      </c>
    </row>
    <row r="12" spans="1:15" x14ac:dyDescent="0.25">
      <c r="B12" s="5">
        <f>C2</f>
        <v>15</v>
      </c>
      <c r="C12" s="5">
        <v>0</v>
      </c>
      <c r="F12" s="5"/>
      <c r="G12" s="5" t="s">
        <v>116</v>
      </c>
      <c r="H12" s="5" t="s">
        <v>122</v>
      </c>
      <c r="L12" t="s">
        <v>123</v>
      </c>
    </row>
    <row r="13" spans="1:15" ht="30" x14ac:dyDescent="0.25">
      <c r="A13" s="13" t="s">
        <v>115</v>
      </c>
      <c r="B13" t="s">
        <v>118</v>
      </c>
      <c r="C13" t="s">
        <v>119</v>
      </c>
      <c r="F13" s="5" t="s">
        <v>34</v>
      </c>
      <c r="G13" s="5">
        <f>I6</f>
        <v>10</v>
      </c>
      <c r="H13" s="5">
        <f>I7</f>
        <v>30</v>
      </c>
      <c r="L13" t="s">
        <v>123</v>
      </c>
    </row>
    <row r="14" spans="1:15" x14ac:dyDescent="0.25">
      <c r="B14" s="5">
        <f>C2</f>
        <v>15</v>
      </c>
      <c r="C14" s="5">
        <v>0</v>
      </c>
      <c r="F14" s="5" t="s">
        <v>35</v>
      </c>
      <c r="G14" s="5">
        <f>J6</f>
        <v>2.5</v>
      </c>
      <c r="H14" s="5">
        <f>J7</f>
        <v>1.875</v>
      </c>
    </row>
    <row r="15" spans="1:15" x14ac:dyDescent="0.25">
      <c r="A15" t="s">
        <v>40</v>
      </c>
      <c r="B15" t="s">
        <v>118</v>
      </c>
      <c r="C15" t="s">
        <v>119</v>
      </c>
      <c r="F15" s="5" t="s">
        <v>114</v>
      </c>
      <c r="G15" s="5">
        <f>K6</f>
        <v>0</v>
      </c>
      <c r="H15" s="5">
        <f>K7</f>
        <v>0</v>
      </c>
    </row>
    <row r="16" spans="1:15" x14ac:dyDescent="0.25">
      <c r="B16" s="5">
        <f>C2</f>
        <v>15</v>
      </c>
      <c r="C16" s="5">
        <v>0</v>
      </c>
      <c r="F16" s="5" t="s">
        <v>36</v>
      </c>
      <c r="G16" s="5">
        <f>L6</f>
        <v>0</v>
      </c>
      <c r="H16" s="5">
        <f>L7</f>
        <v>0</v>
      </c>
    </row>
    <row r="17" spans="5:8" x14ac:dyDescent="0.25">
      <c r="F17" s="5" t="s">
        <v>39</v>
      </c>
      <c r="G17" s="5">
        <f>M6</f>
        <v>0</v>
      </c>
      <c r="H17" s="5">
        <f>M7</f>
        <v>0</v>
      </c>
    </row>
    <row r="18" spans="5:8" ht="30" x14ac:dyDescent="0.25">
      <c r="F18" s="14" t="s">
        <v>115</v>
      </c>
      <c r="G18" s="5">
        <f>N6</f>
        <v>0</v>
      </c>
      <c r="H18" s="5">
        <f>N7</f>
        <v>0</v>
      </c>
    </row>
    <row r="19" spans="5:8" x14ac:dyDescent="0.25">
      <c r="F19" s="5" t="s">
        <v>40</v>
      </c>
      <c r="G19" s="5">
        <f>O6</f>
        <v>0</v>
      </c>
      <c r="H19" s="5">
        <f>O7</f>
        <v>0</v>
      </c>
    </row>
    <row r="20" spans="5:8" x14ac:dyDescent="0.25">
      <c r="F20" s="5" t="s">
        <v>124</v>
      </c>
      <c r="G20" s="5">
        <f>G13+G14+G15+G16+G17+G18+G19</f>
        <v>12.5</v>
      </c>
      <c r="H20" s="5">
        <f>H13+H14+H15+H16+H17+H18+H19</f>
        <v>31.875</v>
      </c>
    </row>
    <row r="21" spans="5:8" x14ac:dyDescent="0.25">
      <c r="E21" s="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D20" sqref="D20"/>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customWidth="1"/>
    <col min="9" max="9" width="12.7109375" customWidth="1"/>
    <col min="10" max="10" width="15.140625" customWidth="1"/>
    <col min="13" max="13" width="16.5703125" customWidth="1"/>
  </cols>
  <sheetData>
    <row r="2" spans="1:15" x14ac:dyDescent="0.25">
      <c r="A2" t="s">
        <v>105</v>
      </c>
      <c r="B2" s="11" t="s">
        <v>125</v>
      </c>
      <c r="C2" s="11">
        <v>4</v>
      </c>
    </row>
    <row r="3" spans="1:15" x14ac:dyDescent="0.25">
      <c r="B3" t="s">
        <v>106</v>
      </c>
      <c r="C3" t="s">
        <v>107</v>
      </c>
    </row>
    <row r="4" spans="1:15" x14ac:dyDescent="0.25">
      <c r="A4" t="s">
        <v>108</v>
      </c>
      <c r="B4" s="5">
        <v>10</v>
      </c>
      <c r="C4" s="5">
        <v>10</v>
      </c>
      <c r="E4">
        <f>(100/B4)*C4</f>
        <v>100</v>
      </c>
    </row>
    <row r="5" spans="1:15" x14ac:dyDescent="0.25">
      <c r="A5" t="s">
        <v>109</v>
      </c>
      <c r="B5" t="s">
        <v>110</v>
      </c>
      <c r="C5" t="s">
        <v>111</v>
      </c>
      <c r="E5">
        <f>(100/B6)*C6</f>
        <v>100</v>
      </c>
      <c r="I5" s="5" t="s">
        <v>112</v>
      </c>
      <c r="J5" s="5" t="s">
        <v>113</v>
      </c>
      <c r="K5" s="5" t="s">
        <v>114</v>
      </c>
      <c r="L5" s="5" t="s">
        <v>36</v>
      </c>
      <c r="M5" s="5" t="s">
        <v>39</v>
      </c>
      <c r="N5" s="5" t="s">
        <v>115</v>
      </c>
      <c r="O5" s="5" t="s">
        <v>40</v>
      </c>
    </row>
    <row r="6" spans="1:15" x14ac:dyDescent="0.25">
      <c r="B6" s="5">
        <f>C2+1</f>
        <v>5</v>
      </c>
      <c r="C6" s="5">
        <v>5</v>
      </c>
      <c r="E6">
        <f>(100/B8)*C8</f>
        <v>80</v>
      </c>
      <c r="F6" s="12" t="s">
        <v>116</v>
      </c>
      <c r="I6" s="12">
        <f>C4</f>
        <v>10</v>
      </c>
      <c r="J6" s="12">
        <f>40/B6*C6</f>
        <v>40</v>
      </c>
      <c r="K6" s="12">
        <f>15/B8*C8</f>
        <v>12</v>
      </c>
      <c r="L6" s="12">
        <f>10/B10*C10</f>
        <v>0</v>
      </c>
      <c r="M6" s="12">
        <f>10/B12*C12</f>
        <v>0</v>
      </c>
      <c r="N6" s="12">
        <f>5/B14*C14</f>
        <v>0</v>
      </c>
      <c r="O6" s="12">
        <f>5/B16*C16</f>
        <v>0</v>
      </c>
    </row>
    <row r="7" spans="1:15" x14ac:dyDescent="0.25">
      <c r="A7" t="s">
        <v>117</v>
      </c>
      <c r="B7" t="s">
        <v>118</v>
      </c>
      <c r="C7" t="s">
        <v>119</v>
      </c>
      <c r="E7">
        <f>(100/B10)*C10</f>
        <v>0</v>
      </c>
      <c r="F7" s="5" t="s">
        <v>120</v>
      </c>
      <c r="G7" s="5"/>
      <c r="H7" s="5"/>
      <c r="I7" s="5">
        <f>I6+20</f>
        <v>30</v>
      </c>
      <c r="J7" s="5">
        <f>30/B6*C6</f>
        <v>30</v>
      </c>
      <c r="K7" s="5">
        <f>15/B8*C8</f>
        <v>12</v>
      </c>
      <c r="L7" s="5">
        <f>10/B10*C10</f>
        <v>0</v>
      </c>
      <c r="M7" s="5">
        <f>5/B12*C12</f>
        <v>0</v>
      </c>
      <c r="N7" s="5">
        <f>5/B14*C14</f>
        <v>0</v>
      </c>
      <c r="O7" s="5">
        <f>5/B16*C16</f>
        <v>0</v>
      </c>
    </row>
    <row r="8" spans="1:15" x14ac:dyDescent="0.25">
      <c r="B8" s="5">
        <f>C2+1</f>
        <v>5</v>
      </c>
      <c r="C8" s="5">
        <v>4</v>
      </c>
      <c r="E8">
        <f>(100/B12)*C12</f>
        <v>0</v>
      </c>
    </row>
    <row r="9" spans="1:15" x14ac:dyDescent="0.25">
      <c r="A9" t="s">
        <v>121</v>
      </c>
      <c r="B9" t="s">
        <v>118</v>
      </c>
      <c r="C9" t="s">
        <v>119</v>
      </c>
      <c r="E9">
        <f>(100/B14)*C14</f>
        <v>0</v>
      </c>
    </row>
    <row r="10" spans="1:15" x14ac:dyDescent="0.25">
      <c r="B10" s="5">
        <f>C2+1</f>
        <v>5</v>
      </c>
      <c r="C10" s="5">
        <v>0</v>
      </c>
      <c r="E10">
        <f>(100/B16)*C16</f>
        <v>0</v>
      </c>
    </row>
    <row r="11" spans="1:15" x14ac:dyDescent="0.25">
      <c r="A11" t="s">
        <v>39</v>
      </c>
      <c r="B11" t="s">
        <v>118</v>
      </c>
      <c r="C11" t="s">
        <v>119</v>
      </c>
    </row>
    <row r="12" spans="1:15" x14ac:dyDescent="0.25">
      <c r="B12" s="5">
        <f>C2+1</f>
        <v>5</v>
      </c>
      <c r="C12" s="5">
        <v>0</v>
      </c>
      <c r="F12" s="5"/>
      <c r="G12" s="5" t="s">
        <v>116</v>
      </c>
      <c r="H12" s="5" t="s">
        <v>122</v>
      </c>
      <c r="L12" t="s">
        <v>123</v>
      </c>
    </row>
    <row r="13" spans="1:15" ht="31.5" customHeight="1" x14ac:dyDescent="0.25">
      <c r="A13" s="13" t="s">
        <v>115</v>
      </c>
      <c r="B13" t="s">
        <v>118</v>
      </c>
      <c r="C13" t="s">
        <v>119</v>
      </c>
      <c r="F13" s="5" t="s">
        <v>34</v>
      </c>
      <c r="G13" s="5">
        <f>I6</f>
        <v>10</v>
      </c>
      <c r="H13" s="5">
        <f>I7</f>
        <v>30</v>
      </c>
      <c r="L13" t="s">
        <v>123</v>
      </c>
    </row>
    <row r="14" spans="1:15" x14ac:dyDescent="0.25">
      <c r="B14" s="5">
        <f>C2+1</f>
        <v>5</v>
      </c>
      <c r="C14" s="5">
        <v>0</v>
      </c>
      <c r="F14" s="5" t="s">
        <v>35</v>
      </c>
      <c r="G14" s="5">
        <f>J6</f>
        <v>40</v>
      </c>
      <c r="H14" s="5">
        <f>J7</f>
        <v>30</v>
      </c>
    </row>
    <row r="15" spans="1:15" x14ac:dyDescent="0.25">
      <c r="A15" t="s">
        <v>40</v>
      </c>
      <c r="B15" t="s">
        <v>118</v>
      </c>
      <c r="C15" t="s">
        <v>119</v>
      </c>
      <c r="F15" s="5" t="s">
        <v>114</v>
      </c>
      <c r="G15" s="5">
        <f>K6</f>
        <v>12</v>
      </c>
      <c r="H15" s="5">
        <f>K7</f>
        <v>12</v>
      </c>
    </row>
    <row r="16" spans="1:15" x14ac:dyDescent="0.25">
      <c r="B16" s="5">
        <f>C2+1</f>
        <v>5</v>
      </c>
      <c r="C16" s="5">
        <v>0</v>
      </c>
      <c r="F16" s="5" t="s">
        <v>36</v>
      </c>
      <c r="G16" s="5">
        <f>L6</f>
        <v>0</v>
      </c>
      <c r="H16" s="5">
        <f>L7</f>
        <v>0</v>
      </c>
    </row>
    <row r="17" spans="6:8" x14ac:dyDescent="0.25">
      <c r="F17" s="5" t="s">
        <v>39</v>
      </c>
      <c r="G17" s="5">
        <f>M6</f>
        <v>0</v>
      </c>
      <c r="H17" s="5">
        <f>M7</f>
        <v>0</v>
      </c>
    </row>
    <row r="18" spans="6:8" ht="29.25" customHeight="1" x14ac:dyDescent="0.25">
      <c r="F18" s="14" t="s">
        <v>115</v>
      </c>
      <c r="G18" s="5">
        <f>N6</f>
        <v>0</v>
      </c>
      <c r="H18" s="5">
        <f>N7</f>
        <v>0</v>
      </c>
    </row>
    <row r="19" spans="6:8" x14ac:dyDescent="0.25">
      <c r="F19" s="5" t="s">
        <v>40</v>
      </c>
      <c r="G19" s="5">
        <f>O6</f>
        <v>0</v>
      </c>
      <c r="H19" s="5">
        <f>O7</f>
        <v>0</v>
      </c>
    </row>
    <row r="20" spans="6:8" x14ac:dyDescent="0.25">
      <c r="F20" s="5" t="s">
        <v>124</v>
      </c>
      <c r="G20" s="5">
        <f>G13+G14+G15+G16+G17+G18+G19</f>
        <v>62</v>
      </c>
      <c r="H20" s="5">
        <f>H13+H14+H15+H16+H17+H18+H19</f>
        <v>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196"/>
  <sheetViews>
    <sheetView topLeftCell="A112" workbookViewId="0">
      <selection activeCell="E132" sqref="E132"/>
    </sheetView>
  </sheetViews>
  <sheetFormatPr defaultRowHeight="15" x14ac:dyDescent="0.25"/>
  <sheetData>
    <row r="3" spans="2:13" x14ac:dyDescent="0.25">
      <c r="C3" s="8" t="s">
        <v>90</v>
      </c>
      <c r="D3" s="214"/>
      <c r="E3" s="214"/>
    </row>
    <row r="4" spans="2:13" x14ac:dyDescent="0.25">
      <c r="E4" s="7"/>
      <c r="F4" s="7"/>
      <c r="G4" s="7"/>
      <c r="H4" s="7"/>
      <c r="I4" s="7"/>
      <c r="J4" s="7"/>
    </row>
    <row r="5" spans="2:13" x14ac:dyDescent="0.25">
      <c r="B5" s="8" t="s">
        <v>91</v>
      </c>
      <c r="C5" s="6" t="s">
        <v>71</v>
      </c>
      <c r="D5" s="213" t="s">
        <v>72</v>
      </c>
      <c r="E5" s="213"/>
      <c r="F5" s="213"/>
      <c r="G5" s="9"/>
      <c r="H5" s="213" t="s">
        <v>73</v>
      </c>
      <c r="I5" s="213"/>
      <c r="J5" s="213"/>
      <c r="K5" s="213" t="s">
        <v>74</v>
      </c>
      <c r="L5" s="213"/>
      <c r="M5" s="213"/>
    </row>
    <row r="6" spans="2:13" x14ac:dyDescent="0.25">
      <c r="B6" s="8">
        <v>1</v>
      </c>
      <c r="C6" s="6"/>
      <c r="D6" s="6" t="s">
        <v>75</v>
      </c>
      <c r="E6" s="6" t="s">
        <v>76</v>
      </c>
      <c r="F6" s="6" t="s">
        <v>77</v>
      </c>
      <c r="G6" s="6"/>
      <c r="H6" s="6" t="s">
        <v>75</v>
      </c>
      <c r="I6" s="6" t="s">
        <v>76</v>
      </c>
      <c r="J6" s="6" t="s">
        <v>77</v>
      </c>
      <c r="K6" s="6" t="s">
        <v>75</v>
      </c>
      <c r="L6" s="6" t="s">
        <v>76</v>
      </c>
      <c r="M6" s="6" t="s">
        <v>77</v>
      </c>
    </row>
    <row r="7" spans="2:13" x14ac:dyDescent="0.25">
      <c r="C7" s="5" t="s">
        <v>78</v>
      </c>
      <c r="D7" s="5">
        <v>4.57</v>
      </c>
      <c r="E7" s="5">
        <v>2.95</v>
      </c>
      <c r="F7" s="5">
        <f>D7*E7</f>
        <v>13.481500000000002</v>
      </c>
      <c r="G7" s="5" t="s">
        <v>93</v>
      </c>
      <c r="H7" s="5">
        <v>1.6439999999999999</v>
      </c>
      <c r="I7" s="5">
        <v>1.1499999999999999</v>
      </c>
      <c r="J7" s="5">
        <f>H7*I7</f>
        <v>1.8905999999999998</v>
      </c>
      <c r="K7" s="5"/>
      <c r="L7" s="5"/>
      <c r="M7" s="5">
        <f>K7*L7</f>
        <v>0</v>
      </c>
    </row>
    <row r="8" spans="2:13" x14ac:dyDescent="0.25">
      <c r="C8" s="5"/>
      <c r="D8" s="5"/>
      <c r="E8" s="5"/>
      <c r="F8" s="5">
        <f t="shared" ref="F8:F34" si="0">D8*E8</f>
        <v>0</v>
      </c>
      <c r="G8" s="5" t="s">
        <v>94</v>
      </c>
      <c r="H8" s="5">
        <v>2.8359999999999999</v>
      </c>
      <c r="I8" s="5">
        <v>1</v>
      </c>
      <c r="J8" s="5">
        <f t="shared" ref="J8:J34" si="1">H8*I8</f>
        <v>2.8359999999999999</v>
      </c>
      <c r="K8" s="5"/>
      <c r="L8" s="5"/>
      <c r="M8" s="5">
        <f t="shared" ref="M8:M34" si="2">K8*L8</f>
        <v>0</v>
      </c>
    </row>
    <row r="9" spans="2:13" x14ac:dyDescent="0.25">
      <c r="C9" s="5"/>
      <c r="D9" s="5"/>
      <c r="E9" s="5"/>
      <c r="F9" s="5">
        <f t="shared" si="0"/>
        <v>0</v>
      </c>
      <c r="G9" s="5"/>
      <c r="H9" s="5"/>
      <c r="I9" s="5"/>
      <c r="J9" s="5">
        <f t="shared" si="1"/>
        <v>0</v>
      </c>
      <c r="K9" s="5"/>
      <c r="L9" s="5"/>
      <c r="M9" s="5">
        <f t="shared" si="2"/>
        <v>0</v>
      </c>
    </row>
    <row r="10" spans="2:13" x14ac:dyDescent="0.25">
      <c r="C10" s="5" t="s">
        <v>81</v>
      </c>
      <c r="D10" s="5">
        <v>1.69</v>
      </c>
      <c r="E10" s="5">
        <v>2.5499999999999998</v>
      </c>
      <c r="F10" s="5">
        <f t="shared" si="0"/>
        <v>4.3094999999999999</v>
      </c>
      <c r="G10" s="5" t="s">
        <v>93</v>
      </c>
      <c r="H10" s="5">
        <v>2.68</v>
      </c>
      <c r="I10" s="5">
        <v>1.1499999999999999</v>
      </c>
      <c r="J10" s="5">
        <f t="shared" si="1"/>
        <v>3.0819999999999999</v>
      </c>
      <c r="K10" s="5"/>
      <c r="L10" s="5"/>
      <c r="M10" s="5">
        <f t="shared" si="2"/>
        <v>0</v>
      </c>
    </row>
    <row r="11" spans="2:13" x14ac:dyDescent="0.25">
      <c r="C11" s="5"/>
      <c r="D11" s="5"/>
      <c r="E11" s="5"/>
      <c r="F11" s="5">
        <f t="shared" si="0"/>
        <v>0</v>
      </c>
      <c r="G11" s="5" t="s">
        <v>94</v>
      </c>
      <c r="H11" s="5">
        <v>1.6439999999999999</v>
      </c>
      <c r="I11" s="5">
        <v>1</v>
      </c>
      <c r="J11" s="5">
        <f t="shared" si="1"/>
        <v>1.6439999999999999</v>
      </c>
      <c r="K11" s="5"/>
      <c r="L11" s="5"/>
      <c r="M11" s="5">
        <f t="shared" si="2"/>
        <v>0</v>
      </c>
    </row>
    <row r="12" spans="2:13" x14ac:dyDescent="0.25">
      <c r="C12" s="5"/>
      <c r="D12" s="5"/>
      <c r="E12" s="5"/>
      <c r="F12" s="5">
        <f t="shared" si="0"/>
        <v>0</v>
      </c>
      <c r="G12" s="5"/>
      <c r="H12" s="5"/>
      <c r="I12" s="5"/>
      <c r="J12" s="5">
        <f t="shared" si="1"/>
        <v>0</v>
      </c>
      <c r="K12" s="5"/>
      <c r="L12" s="5"/>
      <c r="M12" s="5">
        <f t="shared" si="2"/>
        <v>0</v>
      </c>
    </row>
    <row r="13" spans="2:13" x14ac:dyDescent="0.25">
      <c r="C13" s="5"/>
      <c r="D13" s="5"/>
      <c r="E13" s="5"/>
      <c r="F13" s="5">
        <f t="shared" si="0"/>
        <v>0</v>
      </c>
      <c r="G13" s="5"/>
      <c r="H13" s="5"/>
      <c r="I13" s="5"/>
      <c r="J13" s="5">
        <f t="shared" si="1"/>
        <v>0</v>
      </c>
      <c r="K13" s="5"/>
      <c r="L13" s="5"/>
      <c r="M13" s="5">
        <f t="shared" si="2"/>
        <v>0</v>
      </c>
    </row>
    <row r="14" spans="2:13" x14ac:dyDescent="0.25">
      <c r="C14" s="5" t="s">
        <v>79</v>
      </c>
      <c r="D14" s="5">
        <v>2.8149999999999999</v>
      </c>
      <c r="E14" s="5">
        <v>2.98</v>
      </c>
      <c r="F14" s="5">
        <f t="shared" si="0"/>
        <v>8.3887</v>
      </c>
      <c r="G14" s="5" t="s">
        <v>93</v>
      </c>
      <c r="H14" s="5"/>
      <c r="I14" s="5"/>
      <c r="J14" s="5">
        <f t="shared" si="1"/>
        <v>0</v>
      </c>
      <c r="K14" s="5"/>
      <c r="L14" s="5"/>
      <c r="M14" s="5">
        <f t="shared" si="2"/>
        <v>0</v>
      </c>
    </row>
    <row r="15" spans="2:13" x14ac:dyDescent="0.25">
      <c r="C15" s="5"/>
      <c r="D15" s="5"/>
      <c r="E15" s="5"/>
      <c r="F15" s="5">
        <f t="shared" si="0"/>
        <v>0</v>
      </c>
      <c r="G15" s="5" t="s">
        <v>94</v>
      </c>
      <c r="H15" s="5"/>
      <c r="I15" s="5"/>
      <c r="J15" s="5">
        <f t="shared" si="1"/>
        <v>0</v>
      </c>
      <c r="K15" s="5"/>
      <c r="L15" s="5"/>
      <c r="M15" s="5">
        <f t="shared" si="2"/>
        <v>0</v>
      </c>
    </row>
    <row r="16" spans="2:13" x14ac:dyDescent="0.25">
      <c r="C16" s="5"/>
      <c r="D16" s="5"/>
      <c r="E16" s="5"/>
      <c r="F16" s="5">
        <f t="shared" si="0"/>
        <v>0</v>
      </c>
      <c r="G16" s="5"/>
      <c r="H16" s="5"/>
      <c r="I16" s="5"/>
      <c r="J16" s="5">
        <f t="shared" si="1"/>
        <v>0</v>
      </c>
      <c r="K16" s="5"/>
      <c r="L16" s="5"/>
      <c r="M16" s="5">
        <f t="shared" si="2"/>
        <v>0</v>
      </c>
    </row>
    <row r="17" spans="3:13" x14ac:dyDescent="0.25">
      <c r="C17" s="5"/>
      <c r="D17" s="5"/>
      <c r="E17" s="5"/>
      <c r="F17" s="5">
        <f t="shared" si="0"/>
        <v>0</v>
      </c>
      <c r="G17" s="5"/>
      <c r="H17" s="5"/>
      <c r="I17" s="5"/>
      <c r="J17" s="5">
        <f t="shared" si="1"/>
        <v>0</v>
      </c>
      <c r="K17" s="5"/>
      <c r="L17" s="5"/>
      <c r="M17" s="5">
        <f t="shared" si="2"/>
        <v>0</v>
      </c>
    </row>
    <row r="18" spans="3:13" x14ac:dyDescent="0.25">
      <c r="C18" s="5" t="s">
        <v>80</v>
      </c>
      <c r="D18" s="5">
        <v>2.75</v>
      </c>
      <c r="E18" s="5">
        <v>1.875</v>
      </c>
      <c r="F18" s="5">
        <f t="shared" si="0"/>
        <v>5.15625</v>
      </c>
      <c r="G18" s="5" t="s">
        <v>93</v>
      </c>
      <c r="H18" s="5"/>
      <c r="I18" s="5"/>
      <c r="J18" s="5">
        <f t="shared" si="1"/>
        <v>0</v>
      </c>
      <c r="K18" s="5"/>
      <c r="L18" s="5"/>
      <c r="M18" s="5">
        <f t="shared" si="2"/>
        <v>0</v>
      </c>
    </row>
    <row r="19" spans="3:13" x14ac:dyDescent="0.25">
      <c r="C19" s="5"/>
      <c r="D19" s="5"/>
      <c r="E19" s="5"/>
      <c r="F19" s="5">
        <f t="shared" si="0"/>
        <v>0</v>
      </c>
      <c r="G19" s="5" t="s">
        <v>94</v>
      </c>
      <c r="H19" s="5"/>
      <c r="I19" s="5"/>
      <c r="J19" s="5">
        <f t="shared" si="1"/>
        <v>0</v>
      </c>
      <c r="K19" s="5"/>
      <c r="L19" s="5"/>
      <c r="M19" s="5">
        <f t="shared" si="2"/>
        <v>0</v>
      </c>
    </row>
    <row r="20" spans="3:13" x14ac:dyDescent="0.25">
      <c r="C20" s="5"/>
      <c r="D20" s="5"/>
      <c r="E20" s="5"/>
      <c r="F20" s="5">
        <f t="shared" si="0"/>
        <v>0</v>
      </c>
      <c r="G20" s="5"/>
      <c r="H20" s="5"/>
      <c r="I20" s="5"/>
      <c r="J20" s="5">
        <f t="shared" si="1"/>
        <v>0</v>
      </c>
      <c r="K20" s="5"/>
      <c r="L20" s="5"/>
      <c r="M20" s="5">
        <f t="shared" si="2"/>
        <v>0</v>
      </c>
    </row>
    <row r="21" spans="3:13" x14ac:dyDescent="0.25">
      <c r="C21" s="5" t="s">
        <v>80</v>
      </c>
      <c r="D21" s="5"/>
      <c r="E21" s="5"/>
      <c r="F21" s="5">
        <f t="shared" si="0"/>
        <v>0</v>
      </c>
      <c r="G21" s="5" t="s">
        <v>93</v>
      </c>
      <c r="H21" s="5"/>
      <c r="I21" s="5"/>
      <c r="J21" s="5">
        <f t="shared" si="1"/>
        <v>0</v>
      </c>
      <c r="K21" s="5"/>
      <c r="L21" s="5"/>
      <c r="M21" s="5">
        <f t="shared" si="2"/>
        <v>0</v>
      </c>
    </row>
    <row r="22" spans="3:13" x14ac:dyDescent="0.25">
      <c r="C22" s="5"/>
      <c r="D22" s="5"/>
      <c r="E22" s="5"/>
      <c r="F22" s="5">
        <f t="shared" si="0"/>
        <v>0</v>
      </c>
      <c r="G22" s="5" t="s">
        <v>94</v>
      </c>
      <c r="H22" s="5"/>
      <c r="I22" s="5"/>
      <c r="J22" s="5">
        <f t="shared" si="1"/>
        <v>0</v>
      </c>
      <c r="K22" s="5"/>
      <c r="L22" s="5"/>
      <c r="M22" s="5">
        <f t="shared" si="2"/>
        <v>0</v>
      </c>
    </row>
    <row r="23" spans="3:13" x14ac:dyDescent="0.25">
      <c r="C23" s="5"/>
      <c r="D23" s="5"/>
      <c r="E23" s="5"/>
      <c r="F23" s="5">
        <f t="shared" si="0"/>
        <v>0</v>
      </c>
      <c r="G23" s="5"/>
      <c r="H23" s="5"/>
      <c r="I23" s="5"/>
      <c r="J23" s="5">
        <f t="shared" si="1"/>
        <v>0</v>
      </c>
      <c r="K23" s="5"/>
      <c r="L23" s="5"/>
      <c r="M23" s="5">
        <f t="shared" si="2"/>
        <v>0</v>
      </c>
    </row>
    <row r="24" spans="3:13" x14ac:dyDescent="0.25">
      <c r="C24" s="5" t="s">
        <v>86</v>
      </c>
      <c r="D24" s="5">
        <v>2.15</v>
      </c>
      <c r="E24" s="5">
        <v>1.2</v>
      </c>
      <c r="F24" s="5">
        <f t="shared" si="0"/>
        <v>2.5799999999999996</v>
      </c>
      <c r="G24" s="5" t="s">
        <v>95</v>
      </c>
      <c r="H24" s="5"/>
      <c r="I24" s="5"/>
      <c r="J24" s="5">
        <f t="shared" si="1"/>
        <v>0</v>
      </c>
      <c r="K24" s="5"/>
      <c r="L24" s="5"/>
      <c r="M24" s="5">
        <f t="shared" si="2"/>
        <v>0</v>
      </c>
    </row>
    <row r="25" spans="3:13" x14ac:dyDescent="0.25">
      <c r="C25" s="5" t="s">
        <v>87</v>
      </c>
      <c r="D25" s="5">
        <v>1.25</v>
      </c>
      <c r="E25" s="5">
        <v>1.95</v>
      </c>
      <c r="F25" s="5">
        <f t="shared" si="0"/>
        <v>2.4375</v>
      </c>
      <c r="G25" s="5" t="s">
        <v>95</v>
      </c>
      <c r="H25" s="5"/>
      <c r="I25" s="5"/>
      <c r="J25" s="5">
        <f t="shared" si="1"/>
        <v>0</v>
      </c>
      <c r="K25" s="5"/>
      <c r="L25" s="5"/>
      <c r="M25" s="5">
        <f t="shared" si="2"/>
        <v>0</v>
      </c>
    </row>
    <row r="26" spans="3:13" x14ac:dyDescent="0.25">
      <c r="C26" s="5" t="s">
        <v>88</v>
      </c>
      <c r="D26" s="5"/>
      <c r="E26" s="5"/>
      <c r="F26" s="5">
        <f t="shared" si="0"/>
        <v>0</v>
      </c>
      <c r="G26" s="5" t="s">
        <v>95</v>
      </c>
      <c r="H26" s="5"/>
      <c r="I26" s="5"/>
      <c r="J26" s="5">
        <f t="shared" si="1"/>
        <v>0</v>
      </c>
      <c r="K26" s="5"/>
      <c r="L26" s="5"/>
      <c r="M26" s="5">
        <f t="shared" si="2"/>
        <v>0</v>
      </c>
    </row>
    <row r="27" spans="3:13" x14ac:dyDescent="0.25">
      <c r="C27" s="5"/>
      <c r="D27" s="5"/>
      <c r="E27" s="5"/>
      <c r="F27" s="5">
        <f t="shared" si="0"/>
        <v>0</v>
      </c>
      <c r="G27" s="5"/>
      <c r="H27" s="5"/>
      <c r="I27" s="5"/>
      <c r="J27" s="5">
        <f t="shared" si="1"/>
        <v>0</v>
      </c>
      <c r="K27" s="5"/>
      <c r="L27" s="5"/>
      <c r="M27" s="5">
        <f t="shared" si="2"/>
        <v>0</v>
      </c>
    </row>
    <row r="28" spans="3:13" x14ac:dyDescent="0.25">
      <c r="C28" s="5" t="s">
        <v>82</v>
      </c>
      <c r="D28" s="5">
        <v>2.085</v>
      </c>
      <c r="E28" s="5">
        <v>0.6</v>
      </c>
      <c r="F28" s="5">
        <f t="shared" si="0"/>
        <v>1.2509999999999999</v>
      </c>
      <c r="G28" s="5"/>
      <c r="H28" s="5"/>
      <c r="I28" s="5"/>
      <c r="J28" s="5">
        <f t="shared" si="1"/>
        <v>0</v>
      </c>
      <c r="K28" s="5"/>
      <c r="L28" s="5"/>
      <c r="M28" s="5">
        <f t="shared" si="2"/>
        <v>0</v>
      </c>
    </row>
    <row r="29" spans="3:13" x14ac:dyDescent="0.25">
      <c r="C29" s="5" t="s">
        <v>83</v>
      </c>
      <c r="D29" s="5">
        <v>3</v>
      </c>
      <c r="E29" s="5">
        <v>1</v>
      </c>
      <c r="F29" s="5">
        <f t="shared" si="0"/>
        <v>3</v>
      </c>
      <c r="G29" s="5"/>
      <c r="H29" s="5"/>
      <c r="I29" s="5"/>
      <c r="J29" s="5">
        <f t="shared" si="1"/>
        <v>0</v>
      </c>
      <c r="K29" s="5"/>
      <c r="L29" s="5"/>
      <c r="M29" s="5">
        <f t="shared" si="2"/>
        <v>0</v>
      </c>
    </row>
    <row r="30" spans="3:13" x14ac:dyDescent="0.25">
      <c r="C30" s="5" t="s">
        <v>84</v>
      </c>
      <c r="D30" s="5">
        <v>0.6</v>
      </c>
      <c r="E30" s="5">
        <v>1.1499999999999999</v>
      </c>
      <c r="F30" s="5">
        <f t="shared" si="0"/>
        <v>0.69</v>
      </c>
      <c r="G30" s="5"/>
      <c r="H30" s="5"/>
      <c r="I30" s="5"/>
      <c r="J30" s="5">
        <f t="shared" si="1"/>
        <v>0</v>
      </c>
      <c r="K30" s="5"/>
      <c r="L30" s="5"/>
      <c r="M30" s="5">
        <f t="shared" si="2"/>
        <v>0</v>
      </c>
    </row>
    <row r="31" spans="3:13" x14ac:dyDescent="0.25">
      <c r="C31" s="5" t="s">
        <v>85</v>
      </c>
      <c r="D31" s="5">
        <v>1</v>
      </c>
      <c r="E31" s="5">
        <v>1</v>
      </c>
      <c r="F31" s="5">
        <f t="shared" si="0"/>
        <v>1</v>
      </c>
      <c r="G31" s="5"/>
      <c r="H31" s="5"/>
      <c r="I31" s="5"/>
      <c r="J31" s="5">
        <f t="shared" si="1"/>
        <v>0</v>
      </c>
      <c r="K31" s="5"/>
      <c r="L31" s="5"/>
      <c r="M31" s="5">
        <f t="shared" si="2"/>
        <v>0</v>
      </c>
    </row>
    <row r="32" spans="3:13" x14ac:dyDescent="0.25">
      <c r="C32" s="5"/>
      <c r="D32" s="5">
        <v>2.4089999999999998</v>
      </c>
      <c r="E32" s="5">
        <v>0.6</v>
      </c>
      <c r="F32" s="5">
        <f t="shared" si="0"/>
        <v>1.4453999999999998</v>
      </c>
      <c r="G32" s="5"/>
      <c r="H32" s="5"/>
      <c r="I32" s="5"/>
      <c r="J32" s="5">
        <f t="shared" si="1"/>
        <v>0</v>
      </c>
      <c r="K32" s="5"/>
      <c r="L32" s="5"/>
      <c r="M32" s="5">
        <f t="shared" si="2"/>
        <v>0</v>
      </c>
    </row>
    <row r="33" spans="2:13" x14ac:dyDescent="0.25">
      <c r="C33" s="5"/>
      <c r="D33" s="5"/>
      <c r="E33" s="5"/>
      <c r="F33" s="5">
        <f t="shared" si="0"/>
        <v>0</v>
      </c>
      <c r="G33" s="5"/>
      <c r="H33" s="5"/>
      <c r="I33" s="5"/>
      <c r="J33" s="5">
        <f t="shared" si="1"/>
        <v>0</v>
      </c>
      <c r="K33" s="5"/>
      <c r="L33" s="5"/>
      <c r="M33" s="5">
        <f t="shared" si="2"/>
        <v>0</v>
      </c>
    </row>
    <row r="34" spans="2:13" x14ac:dyDescent="0.25">
      <c r="C34" s="5"/>
      <c r="D34" s="5"/>
      <c r="E34" s="5"/>
      <c r="F34" s="5">
        <f t="shared" si="0"/>
        <v>0</v>
      </c>
      <c r="G34" s="5"/>
      <c r="H34" s="5"/>
      <c r="I34" s="5"/>
      <c r="J34" s="5">
        <f t="shared" si="1"/>
        <v>0</v>
      </c>
      <c r="K34" s="5"/>
      <c r="L34" s="5"/>
      <c r="M34" s="5">
        <f t="shared" si="2"/>
        <v>0</v>
      </c>
    </row>
    <row r="35" spans="2:13" x14ac:dyDescent="0.25">
      <c r="C35" s="5" t="s">
        <v>89</v>
      </c>
      <c r="D35" s="5"/>
      <c r="E35" s="5">
        <f>F35*10.764</f>
        <v>470.81574539999991</v>
      </c>
      <c r="F35" s="5">
        <f>SUM(F7:F34)</f>
        <v>43.739849999999997</v>
      </c>
      <c r="G35" s="5"/>
      <c r="H35" s="5"/>
      <c r="I35" s="5">
        <f>J35*10.764</f>
        <v>101.74778639999998</v>
      </c>
      <c r="J35" s="5">
        <f>SUM(J7:J34)</f>
        <v>9.4525999999999986</v>
      </c>
      <c r="K35" s="5"/>
      <c r="L35" s="5">
        <f>M35*10.764</f>
        <v>0</v>
      </c>
      <c r="M35" s="5">
        <f>SUM(M7:M34)</f>
        <v>0</v>
      </c>
    </row>
    <row r="39" spans="2:13" x14ac:dyDescent="0.25">
      <c r="D39">
        <f>E35+I35</f>
        <v>572.56353179999985</v>
      </c>
    </row>
    <row r="43" spans="2:13" x14ac:dyDescent="0.25">
      <c r="C43" s="8" t="s">
        <v>90</v>
      </c>
      <c r="D43" s="214"/>
      <c r="E43" s="214"/>
    </row>
    <row r="44" spans="2:13" x14ac:dyDescent="0.25">
      <c r="E44" s="7"/>
      <c r="F44" s="7"/>
      <c r="G44" s="7"/>
      <c r="H44" s="7"/>
      <c r="I44" s="7"/>
      <c r="J44" s="7"/>
    </row>
    <row r="45" spans="2:13" x14ac:dyDescent="0.25">
      <c r="B45" s="8" t="s">
        <v>91</v>
      </c>
      <c r="C45" s="6" t="s">
        <v>71</v>
      </c>
      <c r="D45" s="213" t="s">
        <v>72</v>
      </c>
      <c r="E45" s="213"/>
      <c r="F45" s="213"/>
      <c r="G45" s="9"/>
      <c r="H45" s="213" t="s">
        <v>73</v>
      </c>
      <c r="I45" s="213"/>
      <c r="J45" s="213"/>
      <c r="K45" s="213" t="s">
        <v>74</v>
      </c>
      <c r="L45" s="213"/>
      <c r="M45" s="213"/>
    </row>
    <row r="46" spans="2:13" x14ac:dyDescent="0.25">
      <c r="B46" s="8">
        <v>1</v>
      </c>
      <c r="C46" s="6"/>
      <c r="D46" s="6" t="s">
        <v>75</v>
      </c>
      <c r="E46" s="6" t="s">
        <v>76</v>
      </c>
      <c r="F46" s="6" t="s">
        <v>77</v>
      </c>
      <c r="G46" s="6"/>
      <c r="H46" s="6" t="s">
        <v>75</v>
      </c>
      <c r="I46" s="6" t="s">
        <v>76</v>
      </c>
      <c r="J46" s="6" t="s">
        <v>77</v>
      </c>
      <c r="K46" s="6" t="s">
        <v>75</v>
      </c>
      <c r="L46" s="6" t="s">
        <v>76</v>
      </c>
      <c r="M46" s="6" t="s">
        <v>77</v>
      </c>
    </row>
    <row r="47" spans="2:13" x14ac:dyDescent="0.25">
      <c r="C47" s="5" t="s">
        <v>78</v>
      </c>
      <c r="D47" s="5">
        <v>2.75</v>
      </c>
      <c r="E47" s="5">
        <v>1.8</v>
      </c>
      <c r="F47" s="5">
        <f>D47*E47</f>
        <v>4.95</v>
      </c>
      <c r="G47" s="5" t="s">
        <v>93</v>
      </c>
      <c r="H47" s="5">
        <v>2.2999999999999998</v>
      </c>
      <c r="I47" s="5">
        <v>1</v>
      </c>
      <c r="J47" s="5">
        <f>H47*I47</f>
        <v>2.2999999999999998</v>
      </c>
      <c r="K47" s="5"/>
      <c r="L47" s="5"/>
      <c r="M47" s="5">
        <f>K47*L47</f>
        <v>0</v>
      </c>
    </row>
    <row r="48" spans="2:13" x14ac:dyDescent="0.25">
      <c r="C48" s="5"/>
      <c r="D48" s="5">
        <v>2.4</v>
      </c>
      <c r="E48" s="5">
        <v>2.4</v>
      </c>
      <c r="F48" s="5">
        <f t="shared" ref="F48:F74" si="3">D48*E48</f>
        <v>5.76</v>
      </c>
      <c r="G48" s="5" t="s">
        <v>94</v>
      </c>
      <c r="H48" s="5">
        <v>2.7749999999999999</v>
      </c>
      <c r="I48" s="5">
        <v>1</v>
      </c>
      <c r="J48" s="5">
        <f t="shared" ref="J48:J74" si="4">H48*I48</f>
        <v>2.7749999999999999</v>
      </c>
      <c r="K48" s="5"/>
      <c r="L48" s="5"/>
      <c r="M48" s="5">
        <f t="shared" ref="M48:M74" si="5">K48*L48</f>
        <v>0</v>
      </c>
    </row>
    <row r="49" spans="3:13" x14ac:dyDescent="0.25">
      <c r="C49" s="5"/>
      <c r="D49" s="5"/>
      <c r="E49" s="5"/>
      <c r="F49" s="5">
        <f t="shared" si="3"/>
        <v>0</v>
      </c>
      <c r="G49" s="5"/>
      <c r="H49" s="5"/>
      <c r="I49" s="5"/>
      <c r="J49" s="5">
        <f t="shared" si="4"/>
        <v>0</v>
      </c>
      <c r="K49" s="5"/>
      <c r="L49" s="5"/>
      <c r="M49" s="5">
        <f t="shared" si="5"/>
        <v>0</v>
      </c>
    </row>
    <row r="50" spans="3:13" x14ac:dyDescent="0.25">
      <c r="C50" s="5" t="s">
        <v>81</v>
      </c>
      <c r="D50" s="5">
        <v>2</v>
      </c>
      <c r="E50" s="5">
        <v>2.1749999999999998</v>
      </c>
      <c r="F50" s="5">
        <f t="shared" si="3"/>
        <v>4.3499999999999996</v>
      </c>
      <c r="G50" s="5" t="s">
        <v>93</v>
      </c>
      <c r="H50" s="5"/>
      <c r="I50" s="5"/>
      <c r="J50" s="5">
        <f t="shared" si="4"/>
        <v>0</v>
      </c>
      <c r="K50" s="5"/>
      <c r="L50" s="5"/>
      <c r="M50" s="5">
        <f t="shared" si="5"/>
        <v>0</v>
      </c>
    </row>
    <row r="51" spans="3:13" x14ac:dyDescent="0.25">
      <c r="C51" s="5"/>
      <c r="D51" s="5"/>
      <c r="E51" s="5"/>
      <c r="F51" s="5">
        <f t="shared" si="3"/>
        <v>0</v>
      </c>
      <c r="G51" s="5" t="s">
        <v>94</v>
      </c>
      <c r="H51" s="5"/>
      <c r="I51" s="5"/>
      <c r="J51" s="5">
        <f t="shared" si="4"/>
        <v>0</v>
      </c>
      <c r="K51" s="5"/>
      <c r="L51" s="5"/>
      <c r="M51" s="5">
        <f t="shared" si="5"/>
        <v>0</v>
      </c>
    </row>
    <row r="52" spans="3:13" x14ac:dyDescent="0.25">
      <c r="C52" s="5"/>
      <c r="D52" s="5"/>
      <c r="E52" s="5"/>
      <c r="F52" s="5">
        <f t="shared" si="3"/>
        <v>0</v>
      </c>
      <c r="G52" s="5"/>
      <c r="H52" s="5"/>
      <c r="I52" s="5"/>
      <c r="J52" s="5">
        <f t="shared" si="4"/>
        <v>0</v>
      </c>
      <c r="K52" s="5"/>
      <c r="L52" s="5"/>
      <c r="M52" s="5">
        <f t="shared" si="5"/>
        <v>0</v>
      </c>
    </row>
    <row r="53" spans="3:13" x14ac:dyDescent="0.25">
      <c r="C53" s="5"/>
      <c r="D53" s="5"/>
      <c r="E53" s="5"/>
      <c r="F53" s="5">
        <f t="shared" si="3"/>
        <v>0</v>
      </c>
      <c r="G53" s="5"/>
      <c r="H53" s="5"/>
      <c r="I53" s="5"/>
      <c r="J53" s="5">
        <f t="shared" si="4"/>
        <v>0</v>
      </c>
      <c r="K53" s="5"/>
      <c r="L53" s="5"/>
      <c r="M53" s="5">
        <f t="shared" si="5"/>
        <v>0</v>
      </c>
    </row>
    <row r="54" spans="3:13" x14ac:dyDescent="0.25">
      <c r="C54" s="5" t="s">
        <v>79</v>
      </c>
      <c r="D54" s="5">
        <v>2.75</v>
      </c>
      <c r="E54" s="5">
        <v>2.7</v>
      </c>
      <c r="F54" s="5">
        <f t="shared" si="3"/>
        <v>7.4250000000000007</v>
      </c>
      <c r="G54" s="5" t="s">
        <v>93</v>
      </c>
      <c r="H54" s="5"/>
      <c r="I54" s="5"/>
      <c r="J54" s="5">
        <f t="shared" si="4"/>
        <v>0</v>
      </c>
      <c r="K54" s="5"/>
      <c r="L54" s="5"/>
      <c r="M54" s="5">
        <f t="shared" si="5"/>
        <v>0</v>
      </c>
    </row>
    <row r="55" spans="3:13" x14ac:dyDescent="0.25">
      <c r="C55" s="5"/>
      <c r="D55" s="5"/>
      <c r="E55" s="5"/>
      <c r="F55" s="5">
        <f t="shared" si="3"/>
        <v>0</v>
      </c>
      <c r="G55" s="5" t="s">
        <v>94</v>
      </c>
      <c r="H55" s="5"/>
      <c r="I55" s="5"/>
      <c r="J55" s="5">
        <f t="shared" si="4"/>
        <v>0</v>
      </c>
      <c r="K55" s="5"/>
      <c r="L55" s="5"/>
      <c r="M55" s="5">
        <f t="shared" si="5"/>
        <v>0</v>
      </c>
    </row>
    <row r="56" spans="3:13" x14ac:dyDescent="0.25">
      <c r="C56" s="5"/>
      <c r="D56" s="5"/>
      <c r="E56" s="5"/>
      <c r="F56" s="5">
        <f t="shared" si="3"/>
        <v>0</v>
      </c>
      <c r="G56" s="5"/>
      <c r="H56" s="5"/>
      <c r="I56" s="5"/>
      <c r="J56" s="5">
        <f t="shared" si="4"/>
        <v>0</v>
      </c>
      <c r="K56" s="5"/>
      <c r="L56" s="5"/>
      <c r="M56" s="5">
        <f t="shared" si="5"/>
        <v>0</v>
      </c>
    </row>
    <row r="57" spans="3:13" x14ac:dyDescent="0.25">
      <c r="C57" s="5"/>
      <c r="D57" s="5"/>
      <c r="E57" s="5"/>
      <c r="F57" s="5">
        <f t="shared" si="3"/>
        <v>0</v>
      </c>
      <c r="G57" s="5"/>
      <c r="H57" s="5"/>
      <c r="I57" s="5"/>
      <c r="J57" s="5">
        <f t="shared" si="4"/>
        <v>0</v>
      </c>
      <c r="K57" s="5"/>
      <c r="L57" s="5"/>
      <c r="M57" s="5">
        <f t="shared" si="5"/>
        <v>0</v>
      </c>
    </row>
    <row r="58" spans="3:13" x14ac:dyDescent="0.25">
      <c r="C58" s="5" t="s">
        <v>80</v>
      </c>
      <c r="D58" s="5"/>
      <c r="E58" s="5"/>
      <c r="F58" s="5">
        <f t="shared" si="3"/>
        <v>0</v>
      </c>
      <c r="G58" s="5" t="s">
        <v>93</v>
      </c>
      <c r="H58" s="5"/>
      <c r="I58" s="5"/>
      <c r="J58" s="5">
        <f t="shared" si="4"/>
        <v>0</v>
      </c>
      <c r="K58" s="5"/>
      <c r="L58" s="5"/>
      <c r="M58" s="5">
        <f t="shared" si="5"/>
        <v>0</v>
      </c>
    </row>
    <row r="59" spans="3:13" x14ac:dyDescent="0.25">
      <c r="C59" s="5"/>
      <c r="D59" s="5"/>
      <c r="E59" s="5"/>
      <c r="F59" s="5">
        <f t="shared" si="3"/>
        <v>0</v>
      </c>
      <c r="G59" s="5" t="s">
        <v>94</v>
      </c>
      <c r="H59" s="5"/>
      <c r="I59" s="5"/>
      <c r="J59" s="5">
        <f t="shared" si="4"/>
        <v>0</v>
      </c>
      <c r="K59" s="5"/>
      <c r="L59" s="5"/>
      <c r="M59" s="5">
        <f t="shared" si="5"/>
        <v>0</v>
      </c>
    </row>
    <row r="60" spans="3:13" x14ac:dyDescent="0.25">
      <c r="C60" s="5"/>
      <c r="D60" s="5"/>
      <c r="E60" s="5"/>
      <c r="F60" s="5">
        <f t="shared" si="3"/>
        <v>0</v>
      </c>
      <c r="G60" s="5"/>
      <c r="H60" s="5"/>
      <c r="I60" s="5"/>
      <c r="J60" s="5">
        <f t="shared" si="4"/>
        <v>0</v>
      </c>
      <c r="K60" s="5"/>
      <c r="L60" s="5"/>
      <c r="M60" s="5">
        <f t="shared" si="5"/>
        <v>0</v>
      </c>
    </row>
    <row r="61" spans="3:13" x14ac:dyDescent="0.25">
      <c r="C61" s="5" t="s">
        <v>80</v>
      </c>
      <c r="D61" s="5"/>
      <c r="E61" s="5"/>
      <c r="F61" s="5">
        <f t="shared" si="3"/>
        <v>0</v>
      </c>
      <c r="G61" s="5" t="s">
        <v>93</v>
      </c>
      <c r="H61" s="5"/>
      <c r="I61" s="5"/>
      <c r="J61" s="5">
        <f t="shared" si="4"/>
        <v>0</v>
      </c>
      <c r="K61" s="5"/>
      <c r="L61" s="5"/>
      <c r="M61" s="5">
        <f t="shared" si="5"/>
        <v>0</v>
      </c>
    </row>
    <row r="62" spans="3:13" x14ac:dyDescent="0.25">
      <c r="C62" s="5"/>
      <c r="D62" s="5"/>
      <c r="E62" s="5"/>
      <c r="F62" s="5">
        <f t="shared" si="3"/>
        <v>0</v>
      </c>
      <c r="G62" s="5" t="s">
        <v>94</v>
      </c>
      <c r="H62" s="5"/>
      <c r="I62" s="5"/>
      <c r="J62" s="5">
        <f t="shared" si="4"/>
        <v>0</v>
      </c>
      <c r="K62" s="5"/>
      <c r="L62" s="5"/>
      <c r="M62" s="5">
        <f t="shared" si="5"/>
        <v>0</v>
      </c>
    </row>
    <row r="63" spans="3:13" x14ac:dyDescent="0.25">
      <c r="C63" s="5"/>
      <c r="D63" s="5"/>
      <c r="E63" s="5"/>
      <c r="F63" s="5">
        <f t="shared" si="3"/>
        <v>0</v>
      </c>
      <c r="G63" s="5"/>
      <c r="H63" s="5"/>
      <c r="I63" s="5"/>
      <c r="J63" s="5">
        <f t="shared" si="4"/>
        <v>0</v>
      </c>
      <c r="K63" s="5"/>
      <c r="L63" s="5"/>
      <c r="M63" s="5">
        <f t="shared" si="5"/>
        <v>0</v>
      </c>
    </row>
    <row r="64" spans="3:13" x14ac:dyDescent="0.25">
      <c r="C64" s="5" t="s">
        <v>86</v>
      </c>
      <c r="D64" s="5">
        <v>1.1100000000000001</v>
      </c>
      <c r="E64" s="5">
        <v>1.575</v>
      </c>
      <c r="F64" s="5">
        <f t="shared" si="3"/>
        <v>1.7482500000000001</v>
      </c>
      <c r="G64" s="5" t="s">
        <v>95</v>
      </c>
      <c r="H64" s="5"/>
      <c r="I64" s="5"/>
      <c r="J64" s="5">
        <f t="shared" si="4"/>
        <v>0</v>
      </c>
      <c r="K64" s="5"/>
      <c r="L64" s="5"/>
      <c r="M64" s="5">
        <f t="shared" si="5"/>
        <v>0</v>
      </c>
    </row>
    <row r="65" spans="3:13" x14ac:dyDescent="0.25">
      <c r="C65" s="5" t="s">
        <v>87</v>
      </c>
      <c r="D65" s="5">
        <v>1.22</v>
      </c>
      <c r="E65" s="5">
        <v>0.95</v>
      </c>
      <c r="F65" s="5">
        <f t="shared" si="3"/>
        <v>1.159</v>
      </c>
      <c r="G65" s="5" t="s">
        <v>95</v>
      </c>
      <c r="H65" s="5"/>
      <c r="I65" s="5"/>
      <c r="J65" s="5">
        <f t="shared" si="4"/>
        <v>0</v>
      </c>
      <c r="K65" s="5"/>
      <c r="L65" s="5"/>
      <c r="M65" s="5">
        <f t="shared" si="5"/>
        <v>0</v>
      </c>
    </row>
    <row r="66" spans="3:13" x14ac:dyDescent="0.25">
      <c r="C66" s="5" t="s">
        <v>88</v>
      </c>
      <c r="D66" s="5"/>
      <c r="E66" s="5" t="s">
        <v>155</v>
      </c>
      <c r="F66" s="5"/>
      <c r="G66" s="5" t="s">
        <v>95</v>
      </c>
      <c r="H66" s="5"/>
      <c r="I66" s="5"/>
      <c r="J66" s="5">
        <f t="shared" si="4"/>
        <v>0</v>
      </c>
      <c r="K66" s="5"/>
      <c r="L66" s="5"/>
      <c r="M66" s="5">
        <f t="shared" si="5"/>
        <v>0</v>
      </c>
    </row>
    <row r="67" spans="3:13" x14ac:dyDescent="0.25">
      <c r="C67" s="5"/>
      <c r="D67" s="5"/>
      <c r="E67" s="5"/>
      <c r="F67" s="5">
        <f t="shared" si="3"/>
        <v>0</v>
      </c>
      <c r="G67" s="5"/>
      <c r="H67" s="5"/>
      <c r="I67" s="5"/>
      <c r="J67" s="5">
        <f t="shared" si="4"/>
        <v>0</v>
      </c>
      <c r="K67" s="5"/>
      <c r="L67" s="5"/>
      <c r="M67" s="5">
        <f t="shared" si="5"/>
        <v>0</v>
      </c>
    </row>
    <row r="68" spans="3:13" x14ac:dyDescent="0.25">
      <c r="C68" s="5" t="s">
        <v>82</v>
      </c>
      <c r="D68" s="5">
        <v>1.05</v>
      </c>
      <c r="E68" s="5">
        <v>1.1000000000000001</v>
      </c>
      <c r="F68" s="5">
        <f t="shared" si="3"/>
        <v>1.1550000000000002</v>
      </c>
      <c r="G68" s="5"/>
      <c r="H68" s="5"/>
      <c r="I68" s="5"/>
      <c r="J68" s="5">
        <f t="shared" si="4"/>
        <v>0</v>
      </c>
      <c r="K68" s="5"/>
      <c r="L68" s="5"/>
      <c r="M68" s="5">
        <f t="shared" si="5"/>
        <v>0</v>
      </c>
    </row>
    <row r="69" spans="3:13" x14ac:dyDescent="0.25">
      <c r="C69" s="5" t="s">
        <v>83</v>
      </c>
      <c r="D69" s="5">
        <v>2.4</v>
      </c>
      <c r="E69" s="5">
        <v>0.6</v>
      </c>
      <c r="F69" s="5">
        <f t="shared" si="3"/>
        <v>1.44</v>
      </c>
      <c r="G69" s="5"/>
      <c r="H69" s="5"/>
      <c r="I69" s="5"/>
      <c r="J69" s="5">
        <f t="shared" si="4"/>
        <v>0</v>
      </c>
      <c r="K69" s="5"/>
      <c r="L69" s="5"/>
      <c r="M69" s="5">
        <f t="shared" si="5"/>
        <v>0</v>
      </c>
    </row>
    <row r="70" spans="3:13" x14ac:dyDescent="0.25">
      <c r="C70" s="5" t="s">
        <v>84</v>
      </c>
      <c r="D70" s="5">
        <v>2.2999999999999998</v>
      </c>
      <c r="E70" s="5">
        <v>0.6</v>
      </c>
      <c r="F70" s="5">
        <f t="shared" si="3"/>
        <v>1.38</v>
      </c>
      <c r="G70" s="5"/>
      <c r="H70" s="5"/>
      <c r="I70" s="5"/>
      <c r="J70" s="5">
        <f t="shared" si="4"/>
        <v>0</v>
      </c>
      <c r="K70" s="5"/>
      <c r="L70" s="5"/>
      <c r="M70" s="5">
        <f t="shared" si="5"/>
        <v>0</v>
      </c>
    </row>
    <row r="71" spans="3:13" x14ac:dyDescent="0.25">
      <c r="C71" s="5" t="s">
        <v>85</v>
      </c>
      <c r="D71" s="5">
        <v>2</v>
      </c>
      <c r="E71" s="5">
        <v>1</v>
      </c>
      <c r="F71" s="5">
        <f t="shared" si="3"/>
        <v>2</v>
      </c>
      <c r="G71" s="5"/>
      <c r="H71" s="5"/>
      <c r="I71" s="5"/>
      <c r="J71" s="5">
        <f t="shared" si="4"/>
        <v>0</v>
      </c>
      <c r="K71" s="5"/>
      <c r="L71" s="5"/>
      <c r="M71" s="5">
        <f t="shared" si="5"/>
        <v>0</v>
      </c>
    </row>
    <row r="72" spans="3:13" x14ac:dyDescent="0.25">
      <c r="C72" s="5"/>
      <c r="D72" s="5"/>
      <c r="E72" s="5"/>
      <c r="F72" s="5">
        <f t="shared" si="3"/>
        <v>0</v>
      </c>
      <c r="G72" s="5"/>
      <c r="H72" s="5"/>
      <c r="I72" s="5"/>
      <c r="J72" s="5">
        <f t="shared" si="4"/>
        <v>0</v>
      </c>
      <c r="K72" s="5"/>
      <c r="L72" s="5"/>
      <c r="M72" s="5">
        <f t="shared" si="5"/>
        <v>0</v>
      </c>
    </row>
    <row r="73" spans="3:13" x14ac:dyDescent="0.25">
      <c r="C73" s="5"/>
      <c r="D73" s="5"/>
      <c r="E73" s="5"/>
      <c r="F73" s="5">
        <f t="shared" si="3"/>
        <v>0</v>
      </c>
      <c r="G73" s="5"/>
      <c r="H73" s="5"/>
      <c r="I73" s="5"/>
      <c r="J73" s="5">
        <f t="shared" si="4"/>
        <v>0</v>
      </c>
      <c r="K73" s="5"/>
      <c r="L73" s="5"/>
      <c r="M73" s="5">
        <f t="shared" si="5"/>
        <v>0</v>
      </c>
    </row>
    <row r="74" spans="3:13" x14ac:dyDescent="0.25">
      <c r="C74" s="5"/>
      <c r="D74" s="5"/>
      <c r="E74" s="5"/>
      <c r="F74" s="5">
        <f t="shared" si="3"/>
        <v>0</v>
      </c>
      <c r="G74" s="5"/>
      <c r="H74" s="5"/>
      <c r="I74" s="5"/>
      <c r="J74" s="5">
        <f t="shared" si="4"/>
        <v>0</v>
      </c>
      <c r="K74" s="5"/>
      <c r="L74" s="5"/>
      <c r="M74" s="5">
        <f t="shared" si="5"/>
        <v>0</v>
      </c>
    </row>
    <row r="75" spans="3:13" x14ac:dyDescent="0.25">
      <c r="C75" s="5" t="s">
        <v>89</v>
      </c>
      <c r="D75" s="5"/>
      <c r="E75" s="5">
        <f>F75*10.764</f>
        <v>337.63707899999997</v>
      </c>
      <c r="F75" s="5">
        <f>SUM(F47:F74)</f>
        <v>31.367249999999999</v>
      </c>
      <c r="G75" s="5"/>
      <c r="H75" s="5"/>
      <c r="I75" s="5">
        <f>J75*10.764</f>
        <v>54.627299999999991</v>
      </c>
      <c r="J75" s="5">
        <f>SUM(J47:J74)</f>
        <v>5.0749999999999993</v>
      </c>
      <c r="K75" s="5"/>
      <c r="L75" s="5">
        <f>M75*10.764</f>
        <v>0</v>
      </c>
      <c r="M75" s="5">
        <f>SUM(M47:M74)</f>
        <v>0</v>
      </c>
    </row>
    <row r="79" spans="3:13" x14ac:dyDescent="0.25">
      <c r="D79">
        <f>E75+I75</f>
        <v>392.26437899999996</v>
      </c>
    </row>
    <row r="83" spans="2:13" x14ac:dyDescent="0.25">
      <c r="C83" s="8" t="s">
        <v>90</v>
      </c>
      <c r="D83" s="214"/>
      <c r="E83" s="214"/>
    </row>
    <row r="84" spans="2:13" x14ac:dyDescent="0.25">
      <c r="E84" s="7"/>
      <c r="F84" s="7"/>
      <c r="G84" s="7"/>
      <c r="H84" s="7"/>
      <c r="I84" s="7"/>
      <c r="J84" s="7"/>
    </row>
    <row r="85" spans="2:13" x14ac:dyDescent="0.25">
      <c r="B85" s="8" t="s">
        <v>91</v>
      </c>
      <c r="C85" s="6" t="s">
        <v>71</v>
      </c>
      <c r="D85" s="213" t="s">
        <v>72</v>
      </c>
      <c r="E85" s="213"/>
      <c r="F85" s="213"/>
      <c r="G85" s="9"/>
      <c r="H85" s="213" t="s">
        <v>73</v>
      </c>
      <c r="I85" s="213"/>
      <c r="J85" s="213"/>
      <c r="K85" s="213" t="s">
        <v>74</v>
      </c>
      <c r="L85" s="213"/>
      <c r="M85" s="213"/>
    </row>
    <row r="86" spans="2:13" x14ac:dyDescent="0.25">
      <c r="B86" s="8">
        <v>1</v>
      </c>
      <c r="C86" s="6"/>
      <c r="D86" s="6" t="s">
        <v>75</v>
      </c>
      <c r="E86" s="6" t="s">
        <v>76</v>
      </c>
      <c r="F86" s="6" t="s">
        <v>77</v>
      </c>
      <c r="G86" s="6"/>
      <c r="H86" s="6" t="s">
        <v>75</v>
      </c>
      <c r="I86" s="6" t="s">
        <v>76</v>
      </c>
      <c r="J86" s="6" t="s">
        <v>77</v>
      </c>
      <c r="K86" s="6" t="s">
        <v>75</v>
      </c>
      <c r="L86" s="6" t="s">
        <v>76</v>
      </c>
      <c r="M86" s="6" t="s">
        <v>77</v>
      </c>
    </row>
    <row r="87" spans="2:13" x14ac:dyDescent="0.25">
      <c r="C87" s="5" t="s">
        <v>78</v>
      </c>
      <c r="D87" s="5">
        <v>2.9</v>
      </c>
      <c r="E87" s="5">
        <v>4.2</v>
      </c>
      <c r="F87" s="5">
        <f>D87*E87</f>
        <v>12.18</v>
      </c>
      <c r="G87" s="5" t="s">
        <v>93</v>
      </c>
      <c r="H87" s="5">
        <v>2.2999999999999998</v>
      </c>
      <c r="I87" s="5">
        <v>1</v>
      </c>
      <c r="J87" s="5">
        <f>H87*I87</f>
        <v>2.2999999999999998</v>
      </c>
      <c r="K87" s="5"/>
      <c r="L87" s="5"/>
      <c r="M87" s="5">
        <f>K87*L87</f>
        <v>0</v>
      </c>
    </row>
    <row r="88" spans="2:13" x14ac:dyDescent="0.25">
      <c r="C88" s="5"/>
      <c r="D88" s="5"/>
      <c r="E88" s="5"/>
      <c r="F88" s="5">
        <f t="shared" ref="F88:F114" si="6">D88*E88</f>
        <v>0</v>
      </c>
      <c r="G88" s="5" t="s">
        <v>94</v>
      </c>
      <c r="H88" s="5">
        <v>2.7</v>
      </c>
      <c r="I88" s="5">
        <v>1</v>
      </c>
      <c r="J88" s="5">
        <f t="shared" ref="J88:J114" si="7">H88*I88</f>
        <v>2.7</v>
      </c>
      <c r="K88" s="5"/>
      <c r="L88" s="5"/>
      <c r="M88" s="5">
        <f t="shared" ref="M88:M114" si="8">K88*L88</f>
        <v>0</v>
      </c>
    </row>
    <row r="89" spans="2:13" x14ac:dyDescent="0.25">
      <c r="C89" s="5"/>
      <c r="D89" s="5"/>
      <c r="E89" s="5"/>
      <c r="F89" s="5">
        <f t="shared" si="6"/>
        <v>0</v>
      </c>
      <c r="G89" s="5"/>
      <c r="H89" s="5"/>
      <c r="I89" s="5"/>
      <c r="J89" s="5">
        <f t="shared" si="7"/>
        <v>0</v>
      </c>
      <c r="K89" s="5"/>
      <c r="L89" s="5"/>
      <c r="M89" s="5">
        <f t="shared" si="8"/>
        <v>0</v>
      </c>
    </row>
    <row r="90" spans="2:13" x14ac:dyDescent="0.25">
      <c r="C90" s="5" t="s">
        <v>81</v>
      </c>
      <c r="D90" s="5">
        <v>2</v>
      </c>
      <c r="E90" s="5">
        <v>2.1749999999999998</v>
      </c>
      <c r="F90" s="5">
        <f t="shared" si="6"/>
        <v>4.3499999999999996</v>
      </c>
      <c r="G90" s="5" t="s">
        <v>93</v>
      </c>
      <c r="H90" s="5"/>
      <c r="I90" s="5"/>
      <c r="J90" s="5">
        <f t="shared" si="7"/>
        <v>0</v>
      </c>
      <c r="K90" s="5"/>
      <c r="L90" s="5"/>
      <c r="M90" s="5">
        <f t="shared" si="8"/>
        <v>0</v>
      </c>
    </row>
    <row r="91" spans="2:13" x14ac:dyDescent="0.25">
      <c r="C91" s="5"/>
      <c r="D91" s="5"/>
      <c r="E91" s="5"/>
      <c r="F91" s="5">
        <f t="shared" si="6"/>
        <v>0</v>
      </c>
      <c r="G91" s="5" t="s">
        <v>94</v>
      </c>
      <c r="H91" s="5"/>
      <c r="I91" s="5"/>
      <c r="J91" s="5">
        <f t="shared" si="7"/>
        <v>0</v>
      </c>
      <c r="K91" s="5"/>
      <c r="L91" s="5"/>
      <c r="M91" s="5">
        <f t="shared" si="8"/>
        <v>0</v>
      </c>
    </row>
    <row r="92" spans="2:13" x14ac:dyDescent="0.25">
      <c r="C92" s="5"/>
      <c r="D92" s="5"/>
      <c r="E92" s="5"/>
      <c r="F92" s="5">
        <f t="shared" si="6"/>
        <v>0</v>
      </c>
      <c r="G92" s="5"/>
      <c r="H92" s="5"/>
      <c r="I92" s="5"/>
      <c r="J92" s="5">
        <f t="shared" si="7"/>
        <v>0</v>
      </c>
      <c r="K92" s="5"/>
      <c r="L92" s="5"/>
      <c r="M92" s="5">
        <f t="shared" si="8"/>
        <v>0</v>
      </c>
    </row>
    <row r="93" spans="2:13" x14ac:dyDescent="0.25">
      <c r="C93" s="5"/>
      <c r="D93" s="5"/>
      <c r="E93" s="5"/>
      <c r="F93" s="5">
        <f t="shared" si="6"/>
        <v>0</v>
      </c>
      <c r="G93" s="5"/>
      <c r="H93" s="5"/>
      <c r="I93" s="5"/>
      <c r="J93" s="5">
        <f t="shared" si="7"/>
        <v>0</v>
      </c>
      <c r="K93" s="5"/>
      <c r="L93" s="5"/>
      <c r="M93" s="5">
        <f t="shared" si="8"/>
        <v>0</v>
      </c>
    </row>
    <row r="94" spans="2:13" x14ac:dyDescent="0.25">
      <c r="C94" s="5" t="s">
        <v>79</v>
      </c>
      <c r="D94" s="5">
        <v>2.75</v>
      </c>
      <c r="E94" s="5">
        <v>2.7</v>
      </c>
      <c r="F94" s="5">
        <f t="shared" si="6"/>
        <v>7.4250000000000007</v>
      </c>
      <c r="G94" s="5" t="s">
        <v>93</v>
      </c>
      <c r="H94" s="5"/>
      <c r="I94" s="5"/>
      <c r="J94" s="5">
        <f t="shared" si="7"/>
        <v>0</v>
      </c>
      <c r="K94" s="5"/>
      <c r="L94" s="5"/>
      <c r="M94" s="5">
        <f t="shared" si="8"/>
        <v>0</v>
      </c>
    </row>
    <row r="95" spans="2:13" x14ac:dyDescent="0.25">
      <c r="C95" s="5"/>
      <c r="D95" s="5"/>
      <c r="E95" s="5"/>
      <c r="F95" s="5">
        <f t="shared" si="6"/>
        <v>0</v>
      </c>
      <c r="G95" s="5" t="s">
        <v>94</v>
      </c>
      <c r="H95" s="5"/>
      <c r="I95" s="5"/>
      <c r="J95" s="5">
        <f t="shared" si="7"/>
        <v>0</v>
      </c>
      <c r="K95" s="5"/>
      <c r="L95" s="5"/>
      <c r="M95" s="5">
        <f t="shared" si="8"/>
        <v>0</v>
      </c>
    </row>
    <row r="96" spans="2:13" x14ac:dyDescent="0.25">
      <c r="C96" s="5"/>
      <c r="D96" s="5"/>
      <c r="E96" s="5"/>
      <c r="F96" s="5">
        <f t="shared" si="6"/>
        <v>0</v>
      </c>
      <c r="G96" s="5"/>
      <c r="H96" s="5"/>
      <c r="I96" s="5"/>
      <c r="J96" s="5">
        <f t="shared" si="7"/>
        <v>0</v>
      </c>
      <c r="K96" s="5"/>
      <c r="L96" s="5"/>
      <c r="M96" s="5">
        <f t="shared" si="8"/>
        <v>0</v>
      </c>
    </row>
    <row r="97" spans="3:13" x14ac:dyDescent="0.25">
      <c r="C97" s="5"/>
      <c r="D97" s="5"/>
      <c r="E97" s="5"/>
      <c r="F97" s="5">
        <f t="shared" si="6"/>
        <v>0</v>
      </c>
      <c r="G97" s="5"/>
      <c r="H97" s="5"/>
      <c r="I97" s="5"/>
      <c r="J97" s="5">
        <f t="shared" si="7"/>
        <v>0</v>
      </c>
      <c r="K97" s="5"/>
      <c r="L97" s="5"/>
      <c r="M97" s="5">
        <f t="shared" si="8"/>
        <v>0</v>
      </c>
    </row>
    <row r="98" spans="3:13" x14ac:dyDescent="0.25">
      <c r="C98" s="5" t="s">
        <v>80</v>
      </c>
      <c r="D98" s="5"/>
      <c r="E98" s="5"/>
      <c r="F98" s="5">
        <f t="shared" si="6"/>
        <v>0</v>
      </c>
      <c r="G98" s="5" t="s">
        <v>93</v>
      </c>
      <c r="H98" s="5"/>
      <c r="I98" s="5"/>
      <c r="J98" s="5">
        <f t="shared" si="7"/>
        <v>0</v>
      </c>
      <c r="K98" s="5"/>
      <c r="L98" s="5"/>
      <c r="M98" s="5">
        <f t="shared" si="8"/>
        <v>0</v>
      </c>
    </row>
    <row r="99" spans="3:13" x14ac:dyDescent="0.25">
      <c r="C99" s="5"/>
      <c r="D99" s="5"/>
      <c r="E99" s="5"/>
      <c r="F99" s="5">
        <f t="shared" si="6"/>
        <v>0</v>
      </c>
      <c r="G99" s="5" t="s">
        <v>94</v>
      </c>
      <c r="H99" s="5"/>
      <c r="I99" s="5"/>
      <c r="J99" s="5">
        <f t="shared" si="7"/>
        <v>0</v>
      </c>
      <c r="K99" s="5"/>
      <c r="L99" s="5"/>
      <c r="M99" s="5">
        <f t="shared" si="8"/>
        <v>0</v>
      </c>
    </row>
    <row r="100" spans="3:13" x14ac:dyDescent="0.25">
      <c r="C100" s="5"/>
      <c r="D100" s="5"/>
      <c r="E100" s="5"/>
      <c r="F100" s="5">
        <f t="shared" si="6"/>
        <v>0</v>
      </c>
      <c r="G100" s="5"/>
      <c r="H100" s="5"/>
      <c r="I100" s="5"/>
      <c r="J100" s="5">
        <f t="shared" si="7"/>
        <v>0</v>
      </c>
      <c r="K100" s="5"/>
      <c r="L100" s="5"/>
      <c r="M100" s="5">
        <f t="shared" si="8"/>
        <v>0</v>
      </c>
    </row>
    <row r="101" spans="3:13" x14ac:dyDescent="0.25">
      <c r="C101" s="5" t="s">
        <v>80</v>
      </c>
      <c r="D101" s="5"/>
      <c r="E101" s="5"/>
      <c r="F101" s="5">
        <f t="shared" si="6"/>
        <v>0</v>
      </c>
      <c r="G101" s="5" t="s">
        <v>93</v>
      </c>
      <c r="H101" s="5"/>
      <c r="I101" s="5"/>
      <c r="J101" s="5">
        <f t="shared" si="7"/>
        <v>0</v>
      </c>
      <c r="K101" s="5"/>
      <c r="L101" s="5"/>
      <c r="M101" s="5">
        <f t="shared" si="8"/>
        <v>0</v>
      </c>
    </row>
    <row r="102" spans="3:13" x14ac:dyDescent="0.25">
      <c r="C102" s="5"/>
      <c r="D102" s="5"/>
      <c r="E102" s="5"/>
      <c r="F102" s="5">
        <f t="shared" si="6"/>
        <v>0</v>
      </c>
      <c r="G102" s="5" t="s">
        <v>94</v>
      </c>
      <c r="H102" s="5"/>
      <c r="I102" s="5"/>
      <c r="J102" s="5">
        <f t="shared" si="7"/>
        <v>0</v>
      </c>
      <c r="K102" s="5"/>
      <c r="L102" s="5"/>
      <c r="M102" s="5">
        <f t="shared" si="8"/>
        <v>0</v>
      </c>
    </row>
    <row r="103" spans="3:13" x14ac:dyDescent="0.25">
      <c r="C103" s="5"/>
      <c r="D103" s="5"/>
      <c r="E103" s="5"/>
      <c r="F103" s="5">
        <f t="shared" si="6"/>
        <v>0</v>
      </c>
      <c r="G103" s="5"/>
      <c r="H103" s="5"/>
      <c r="I103" s="5"/>
      <c r="J103" s="5">
        <f t="shared" si="7"/>
        <v>0</v>
      </c>
      <c r="K103" s="5"/>
      <c r="L103" s="5"/>
      <c r="M103" s="5">
        <f t="shared" si="8"/>
        <v>0</v>
      </c>
    </row>
    <row r="104" spans="3:13" x14ac:dyDescent="0.25">
      <c r="C104" s="5" t="s">
        <v>86</v>
      </c>
      <c r="D104" s="5">
        <v>1.22</v>
      </c>
      <c r="E104" s="5">
        <v>0.95</v>
      </c>
      <c r="F104" s="5">
        <f t="shared" si="6"/>
        <v>1.159</v>
      </c>
      <c r="G104" s="5" t="s">
        <v>95</v>
      </c>
      <c r="H104" s="5"/>
      <c r="I104" s="5"/>
      <c r="J104" s="5">
        <f t="shared" si="7"/>
        <v>0</v>
      </c>
      <c r="K104" s="5"/>
      <c r="L104" s="5"/>
      <c r="M104" s="5">
        <f t="shared" si="8"/>
        <v>0</v>
      </c>
    </row>
    <row r="105" spans="3:13" x14ac:dyDescent="0.25">
      <c r="C105" s="5" t="s">
        <v>87</v>
      </c>
      <c r="D105" s="5">
        <v>1.1100000000000001</v>
      </c>
      <c r="E105" s="5">
        <v>1.575</v>
      </c>
      <c r="F105" s="5">
        <f t="shared" si="6"/>
        <v>1.7482500000000001</v>
      </c>
      <c r="G105" s="5" t="s">
        <v>95</v>
      </c>
      <c r="H105" s="5"/>
      <c r="I105" s="5"/>
      <c r="J105" s="5">
        <f t="shared" si="7"/>
        <v>0</v>
      </c>
      <c r="K105" s="5"/>
      <c r="L105" s="5"/>
      <c r="M105" s="5">
        <f t="shared" si="8"/>
        <v>0</v>
      </c>
    </row>
    <row r="106" spans="3:13" x14ac:dyDescent="0.25">
      <c r="C106" s="5" t="s">
        <v>88</v>
      </c>
      <c r="D106" s="5"/>
      <c r="E106" s="5"/>
      <c r="F106" s="5">
        <f t="shared" si="6"/>
        <v>0</v>
      </c>
      <c r="G106" s="5" t="s">
        <v>95</v>
      </c>
      <c r="H106" s="5"/>
      <c r="I106" s="5"/>
      <c r="J106" s="5">
        <f t="shared" si="7"/>
        <v>0</v>
      </c>
      <c r="K106" s="5"/>
      <c r="L106" s="5"/>
      <c r="M106" s="5">
        <f t="shared" si="8"/>
        <v>0</v>
      </c>
    </row>
    <row r="107" spans="3:13" x14ac:dyDescent="0.25">
      <c r="C107" s="5"/>
      <c r="D107" s="5"/>
      <c r="E107" s="5"/>
      <c r="F107" s="5">
        <f t="shared" si="6"/>
        <v>0</v>
      </c>
      <c r="G107" s="5"/>
      <c r="H107" s="5"/>
      <c r="I107" s="5"/>
      <c r="J107" s="5">
        <f t="shared" si="7"/>
        <v>0</v>
      </c>
      <c r="K107" s="5"/>
      <c r="L107" s="5"/>
      <c r="M107" s="5">
        <f t="shared" si="8"/>
        <v>0</v>
      </c>
    </row>
    <row r="108" spans="3:13" x14ac:dyDescent="0.25">
      <c r="C108" s="5" t="s">
        <v>82</v>
      </c>
      <c r="D108" s="5">
        <v>2.4</v>
      </c>
      <c r="E108" s="5">
        <v>0.6</v>
      </c>
      <c r="F108" s="5">
        <f t="shared" si="6"/>
        <v>1.44</v>
      </c>
      <c r="G108" s="5"/>
      <c r="H108" s="5"/>
      <c r="I108" s="5"/>
      <c r="J108" s="5">
        <f t="shared" si="7"/>
        <v>0</v>
      </c>
      <c r="K108" s="5"/>
      <c r="L108" s="5"/>
      <c r="M108" s="5">
        <f t="shared" si="8"/>
        <v>0</v>
      </c>
    </row>
    <row r="109" spans="3:13" x14ac:dyDescent="0.25">
      <c r="C109" s="5" t="s">
        <v>83</v>
      </c>
      <c r="D109" s="5">
        <v>1.05</v>
      </c>
      <c r="E109" s="5">
        <v>1.1000000000000001</v>
      </c>
      <c r="F109" s="5">
        <f t="shared" si="6"/>
        <v>1.1550000000000002</v>
      </c>
      <c r="G109" s="5"/>
      <c r="H109" s="5"/>
      <c r="I109" s="5"/>
      <c r="J109" s="5">
        <f t="shared" si="7"/>
        <v>0</v>
      </c>
      <c r="K109" s="5"/>
      <c r="L109" s="5"/>
      <c r="M109" s="5">
        <f t="shared" si="8"/>
        <v>0</v>
      </c>
    </row>
    <row r="110" spans="3:13" x14ac:dyDescent="0.25">
      <c r="C110" s="5" t="s">
        <v>84</v>
      </c>
      <c r="D110" s="5">
        <v>2</v>
      </c>
      <c r="E110" s="5">
        <v>1</v>
      </c>
      <c r="F110" s="5">
        <f t="shared" si="6"/>
        <v>2</v>
      </c>
      <c r="G110" s="5"/>
      <c r="H110" s="5"/>
      <c r="I110" s="5"/>
      <c r="J110" s="5">
        <f t="shared" si="7"/>
        <v>0</v>
      </c>
      <c r="K110" s="5"/>
      <c r="L110" s="5"/>
      <c r="M110" s="5">
        <f t="shared" si="8"/>
        <v>0</v>
      </c>
    </row>
    <row r="111" spans="3:13" x14ac:dyDescent="0.25">
      <c r="C111" s="5" t="s">
        <v>85</v>
      </c>
      <c r="D111" s="5"/>
      <c r="E111" s="5"/>
      <c r="F111" s="5">
        <f t="shared" si="6"/>
        <v>0</v>
      </c>
      <c r="G111" s="5"/>
      <c r="H111" s="5"/>
      <c r="I111" s="5"/>
      <c r="J111" s="5">
        <f t="shared" si="7"/>
        <v>0</v>
      </c>
      <c r="K111" s="5"/>
      <c r="L111" s="5"/>
      <c r="M111" s="5">
        <f t="shared" si="8"/>
        <v>0</v>
      </c>
    </row>
    <row r="112" spans="3:13" x14ac:dyDescent="0.25">
      <c r="C112" s="5"/>
      <c r="D112" s="5"/>
      <c r="E112" s="5"/>
      <c r="F112" s="5">
        <f t="shared" si="6"/>
        <v>0</v>
      </c>
      <c r="G112" s="5"/>
      <c r="H112" s="5"/>
      <c r="I112" s="5"/>
      <c r="J112" s="5">
        <f t="shared" si="7"/>
        <v>0</v>
      </c>
      <c r="K112" s="5"/>
      <c r="L112" s="5"/>
      <c r="M112" s="5">
        <f t="shared" si="8"/>
        <v>0</v>
      </c>
    </row>
    <row r="113" spans="2:13" x14ac:dyDescent="0.25">
      <c r="C113" s="5"/>
      <c r="D113" s="5"/>
      <c r="E113" s="5"/>
      <c r="F113" s="5">
        <f t="shared" si="6"/>
        <v>0</v>
      </c>
      <c r="G113" s="5"/>
      <c r="H113" s="5"/>
      <c r="I113" s="5"/>
      <c r="J113" s="5">
        <f t="shared" si="7"/>
        <v>0</v>
      </c>
      <c r="K113" s="5"/>
      <c r="L113" s="5"/>
      <c r="M113" s="5">
        <f t="shared" si="8"/>
        <v>0</v>
      </c>
    </row>
    <row r="114" spans="2:13" x14ac:dyDescent="0.25">
      <c r="C114" s="5"/>
      <c r="D114" s="5"/>
      <c r="E114" s="5"/>
      <c r="F114" s="5">
        <f t="shared" si="6"/>
        <v>0</v>
      </c>
      <c r="G114" s="5"/>
      <c r="H114" s="5"/>
      <c r="I114" s="5"/>
      <c r="J114" s="5">
        <f t="shared" si="7"/>
        <v>0</v>
      </c>
      <c r="K114" s="5"/>
      <c r="L114" s="5"/>
      <c r="M114" s="5">
        <f t="shared" si="8"/>
        <v>0</v>
      </c>
    </row>
    <row r="115" spans="2:13" x14ac:dyDescent="0.25">
      <c r="C115" s="5" t="s">
        <v>89</v>
      </c>
      <c r="D115" s="5"/>
      <c r="E115" s="5">
        <f>F115*10.764</f>
        <v>338.605839</v>
      </c>
      <c r="F115" s="5">
        <f>SUM(F87:F114)</f>
        <v>31.457250000000002</v>
      </c>
      <c r="G115" s="5"/>
      <c r="H115" s="5"/>
      <c r="I115" s="5">
        <f>J115*10.764</f>
        <v>53.819999999999993</v>
      </c>
      <c r="J115" s="5">
        <f>SUM(J87:J114)</f>
        <v>5</v>
      </c>
      <c r="K115" s="5"/>
      <c r="L115" s="5">
        <f>M115*10.764</f>
        <v>0</v>
      </c>
      <c r="M115" s="5">
        <f>SUM(M87:M114)</f>
        <v>0</v>
      </c>
    </row>
    <row r="120" spans="2:13" x14ac:dyDescent="0.25">
      <c r="C120" s="8" t="s">
        <v>90</v>
      </c>
      <c r="D120" s="214"/>
      <c r="E120" s="214"/>
    </row>
    <row r="121" spans="2:13" x14ac:dyDescent="0.25">
      <c r="E121" s="7"/>
      <c r="F121" s="7"/>
      <c r="G121" s="7"/>
      <c r="H121" s="7"/>
      <c r="I121" s="7"/>
      <c r="J121" s="7"/>
    </row>
    <row r="122" spans="2:13" x14ac:dyDescent="0.25">
      <c r="B122" s="8" t="s">
        <v>91</v>
      </c>
      <c r="C122" s="6" t="s">
        <v>71</v>
      </c>
      <c r="D122" s="213" t="s">
        <v>72</v>
      </c>
      <c r="E122" s="213"/>
      <c r="F122" s="213"/>
      <c r="G122" s="9"/>
      <c r="H122" s="213" t="s">
        <v>73</v>
      </c>
      <c r="I122" s="213"/>
      <c r="J122" s="213"/>
      <c r="K122" s="213" t="s">
        <v>74</v>
      </c>
      <c r="L122" s="213"/>
      <c r="M122" s="213"/>
    </row>
    <row r="123" spans="2:13" x14ac:dyDescent="0.25">
      <c r="B123" s="8">
        <v>1</v>
      </c>
      <c r="C123" s="6"/>
      <c r="D123" s="6" t="s">
        <v>75</v>
      </c>
      <c r="E123" s="6" t="s">
        <v>76</v>
      </c>
      <c r="F123" s="6" t="s">
        <v>77</v>
      </c>
      <c r="G123" s="6"/>
      <c r="H123" s="6" t="s">
        <v>75</v>
      </c>
      <c r="I123" s="6" t="s">
        <v>76</v>
      </c>
      <c r="J123" s="6" t="s">
        <v>77</v>
      </c>
      <c r="K123" s="6" t="s">
        <v>75</v>
      </c>
      <c r="L123" s="6" t="s">
        <v>76</v>
      </c>
      <c r="M123" s="6" t="s">
        <v>77</v>
      </c>
    </row>
    <row r="124" spans="2:13" x14ac:dyDescent="0.25">
      <c r="C124" s="5" t="s">
        <v>78</v>
      </c>
      <c r="D124" s="5">
        <v>4.57</v>
      </c>
      <c r="E124" s="5">
        <v>2.95</v>
      </c>
      <c r="F124" s="5">
        <f>D124*E124</f>
        <v>13.481500000000002</v>
      </c>
      <c r="G124" s="5" t="s">
        <v>93</v>
      </c>
      <c r="H124" s="5">
        <v>2.35</v>
      </c>
      <c r="I124" s="5">
        <v>1</v>
      </c>
      <c r="J124" s="5">
        <f>H124*I124</f>
        <v>2.35</v>
      </c>
      <c r="K124" s="5"/>
      <c r="L124" s="5"/>
      <c r="M124" s="5">
        <f>K124*L124</f>
        <v>0</v>
      </c>
    </row>
    <row r="125" spans="2:13" x14ac:dyDescent="0.25">
      <c r="C125" s="5"/>
      <c r="D125" s="5"/>
      <c r="E125" s="5"/>
      <c r="F125" s="5">
        <f t="shared" ref="F125:F151" si="9">D125*E125</f>
        <v>0</v>
      </c>
      <c r="G125" s="5" t="s">
        <v>94</v>
      </c>
      <c r="H125" s="5">
        <v>1.6439999999999999</v>
      </c>
      <c r="I125" s="5">
        <v>1.1499999999999999</v>
      </c>
      <c r="J125" s="5">
        <f t="shared" ref="J125:J151" si="10">H125*I125</f>
        <v>1.8905999999999998</v>
      </c>
      <c r="K125" s="5"/>
      <c r="L125" s="5"/>
      <c r="M125" s="5">
        <f t="shared" ref="M125:M151" si="11">K125*L125</f>
        <v>0</v>
      </c>
    </row>
    <row r="126" spans="2:13" x14ac:dyDescent="0.25">
      <c r="C126" s="5"/>
      <c r="D126" s="5"/>
      <c r="E126" s="5"/>
      <c r="F126" s="5">
        <f t="shared" si="9"/>
        <v>0</v>
      </c>
      <c r="G126" s="5"/>
      <c r="H126" s="5">
        <v>1.7</v>
      </c>
      <c r="I126" s="5">
        <v>1</v>
      </c>
      <c r="J126" s="5">
        <f t="shared" si="10"/>
        <v>1.7</v>
      </c>
      <c r="K126" s="5"/>
      <c r="L126" s="5"/>
      <c r="M126" s="5">
        <f t="shared" si="11"/>
        <v>0</v>
      </c>
    </row>
    <row r="127" spans="2:13" x14ac:dyDescent="0.25">
      <c r="C127" s="5" t="s">
        <v>81</v>
      </c>
      <c r="D127" s="5">
        <v>1.6950000000000001</v>
      </c>
      <c r="E127" s="5">
        <v>2.5499999999999998</v>
      </c>
      <c r="F127" s="5">
        <f t="shared" si="9"/>
        <v>4.3222499999999995</v>
      </c>
      <c r="G127" s="5" t="s">
        <v>93</v>
      </c>
      <c r="H127" s="5"/>
      <c r="I127" s="5"/>
      <c r="J127" s="5">
        <f t="shared" si="10"/>
        <v>0</v>
      </c>
      <c r="K127" s="5"/>
      <c r="L127" s="5"/>
      <c r="M127" s="5">
        <f t="shared" si="11"/>
        <v>0</v>
      </c>
    </row>
    <row r="128" spans="2:13" x14ac:dyDescent="0.25">
      <c r="C128" s="5"/>
      <c r="D128" s="5"/>
      <c r="E128" s="5"/>
      <c r="F128" s="5">
        <f t="shared" si="9"/>
        <v>0</v>
      </c>
      <c r="G128" s="5" t="s">
        <v>94</v>
      </c>
      <c r="H128" s="5"/>
      <c r="I128" s="5"/>
      <c r="J128" s="5">
        <f t="shared" si="10"/>
        <v>0</v>
      </c>
      <c r="K128" s="5"/>
      <c r="L128" s="5"/>
      <c r="M128" s="5">
        <f t="shared" si="11"/>
        <v>0</v>
      </c>
    </row>
    <row r="129" spans="3:13" x14ac:dyDescent="0.25">
      <c r="C129" s="5"/>
      <c r="D129" s="5"/>
      <c r="E129" s="5"/>
      <c r="F129" s="5">
        <f t="shared" si="9"/>
        <v>0</v>
      </c>
      <c r="G129" s="5"/>
      <c r="H129" s="5"/>
      <c r="I129" s="5"/>
      <c r="J129" s="5">
        <f t="shared" si="10"/>
        <v>0</v>
      </c>
      <c r="K129" s="5"/>
      <c r="L129" s="5"/>
      <c r="M129" s="5">
        <f t="shared" si="11"/>
        <v>0</v>
      </c>
    </row>
    <row r="130" spans="3:13" x14ac:dyDescent="0.25">
      <c r="C130" s="5"/>
      <c r="D130" s="5"/>
      <c r="E130" s="5"/>
      <c r="F130" s="5">
        <f t="shared" si="9"/>
        <v>0</v>
      </c>
      <c r="G130" s="5"/>
      <c r="H130" s="5"/>
      <c r="I130" s="5"/>
      <c r="J130" s="5">
        <f t="shared" si="10"/>
        <v>0</v>
      </c>
      <c r="K130" s="5"/>
      <c r="L130" s="5"/>
      <c r="M130" s="5">
        <f t="shared" si="11"/>
        <v>0</v>
      </c>
    </row>
    <row r="131" spans="3:13" x14ac:dyDescent="0.25">
      <c r="C131" s="5" t="s">
        <v>79</v>
      </c>
      <c r="D131" s="5">
        <v>2.75</v>
      </c>
      <c r="E131" s="5">
        <v>1.875</v>
      </c>
      <c r="F131" s="5">
        <f t="shared" si="9"/>
        <v>5.15625</v>
      </c>
      <c r="G131" s="5" t="s">
        <v>93</v>
      </c>
      <c r="H131" s="5"/>
      <c r="I131" s="5"/>
      <c r="J131" s="5">
        <f t="shared" si="10"/>
        <v>0</v>
      </c>
      <c r="K131" s="5"/>
      <c r="L131" s="5"/>
      <c r="M131" s="5">
        <f t="shared" si="11"/>
        <v>0</v>
      </c>
    </row>
    <row r="132" spans="3:13" x14ac:dyDescent="0.25">
      <c r="C132" s="5"/>
      <c r="D132" s="5"/>
      <c r="E132" s="5"/>
      <c r="F132" s="5">
        <f t="shared" si="9"/>
        <v>0</v>
      </c>
      <c r="G132" s="5" t="s">
        <v>94</v>
      </c>
      <c r="H132" s="5"/>
      <c r="I132" s="5"/>
      <c r="J132" s="5">
        <f t="shared" si="10"/>
        <v>0</v>
      </c>
      <c r="K132" s="5"/>
      <c r="L132" s="5"/>
      <c r="M132" s="5">
        <f t="shared" si="11"/>
        <v>0</v>
      </c>
    </row>
    <row r="133" spans="3:13" x14ac:dyDescent="0.25">
      <c r="C133" s="5"/>
      <c r="D133" s="5"/>
      <c r="E133" s="5"/>
      <c r="F133" s="5">
        <f t="shared" si="9"/>
        <v>0</v>
      </c>
      <c r="G133" s="5"/>
      <c r="H133" s="5"/>
      <c r="I133" s="5"/>
      <c r="J133" s="5">
        <f t="shared" si="10"/>
        <v>0</v>
      </c>
      <c r="K133" s="5"/>
      <c r="L133" s="5"/>
      <c r="M133" s="5">
        <f t="shared" si="11"/>
        <v>0</v>
      </c>
    </row>
    <row r="134" spans="3:13" x14ac:dyDescent="0.25">
      <c r="C134" s="5"/>
      <c r="D134" s="5"/>
      <c r="E134" s="5"/>
      <c r="F134" s="5">
        <f t="shared" si="9"/>
        <v>0</v>
      </c>
      <c r="G134" s="5"/>
      <c r="H134" s="5"/>
      <c r="I134" s="5"/>
      <c r="J134" s="5">
        <f t="shared" si="10"/>
        <v>0</v>
      </c>
      <c r="K134" s="5"/>
      <c r="L134" s="5"/>
      <c r="M134" s="5">
        <f t="shared" si="11"/>
        <v>0</v>
      </c>
    </row>
    <row r="135" spans="3:13" x14ac:dyDescent="0.25">
      <c r="C135" s="5" t="s">
        <v>80</v>
      </c>
      <c r="D135" s="5"/>
      <c r="E135" s="5"/>
      <c r="F135" s="5">
        <f t="shared" si="9"/>
        <v>0</v>
      </c>
      <c r="G135" s="5" t="s">
        <v>93</v>
      </c>
      <c r="H135" s="5"/>
      <c r="I135" s="5"/>
      <c r="J135" s="5">
        <f t="shared" si="10"/>
        <v>0</v>
      </c>
      <c r="K135" s="5"/>
      <c r="L135" s="5"/>
      <c r="M135" s="5">
        <f t="shared" si="11"/>
        <v>0</v>
      </c>
    </row>
    <row r="136" spans="3:13" x14ac:dyDescent="0.25">
      <c r="C136" s="5"/>
      <c r="D136" s="5"/>
      <c r="E136" s="5"/>
      <c r="F136" s="5">
        <f t="shared" si="9"/>
        <v>0</v>
      </c>
      <c r="G136" s="5" t="s">
        <v>94</v>
      </c>
      <c r="H136" s="5"/>
      <c r="I136" s="5"/>
      <c r="J136" s="5">
        <f t="shared" si="10"/>
        <v>0</v>
      </c>
      <c r="K136" s="5"/>
      <c r="L136" s="5"/>
      <c r="M136" s="5">
        <f t="shared" si="11"/>
        <v>0</v>
      </c>
    </row>
    <row r="137" spans="3:13" x14ac:dyDescent="0.25">
      <c r="C137" s="5"/>
      <c r="D137" s="5"/>
      <c r="E137" s="5"/>
      <c r="F137" s="5">
        <f t="shared" si="9"/>
        <v>0</v>
      </c>
      <c r="G137" s="5"/>
      <c r="H137" s="5"/>
      <c r="I137" s="5"/>
      <c r="J137" s="5">
        <f t="shared" si="10"/>
        <v>0</v>
      </c>
      <c r="K137" s="5"/>
      <c r="L137" s="5"/>
      <c r="M137" s="5">
        <f t="shared" si="11"/>
        <v>0</v>
      </c>
    </row>
    <row r="138" spans="3:13" x14ac:dyDescent="0.25">
      <c r="C138" s="5" t="s">
        <v>80</v>
      </c>
      <c r="D138" s="5"/>
      <c r="E138" s="5"/>
      <c r="F138" s="5">
        <f t="shared" si="9"/>
        <v>0</v>
      </c>
      <c r="G138" s="5" t="s">
        <v>93</v>
      </c>
      <c r="H138" s="5"/>
      <c r="I138" s="5"/>
      <c r="J138" s="5">
        <f t="shared" si="10"/>
        <v>0</v>
      </c>
      <c r="K138" s="5"/>
      <c r="L138" s="5"/>
      <c r="M138" s="5">
        <f t="shared" si="11"/>
        <v>0</v>
      </c>
    </row>
    <row r="139" spans="3:13" x14ac:dyDescent="0.25">
      <c r="C139" s="5"/>
      <c r="D139" s="5"/>
      <c r="E139" s="5"/>
      <c r="F139" s="5">
        <f t="shared" si="9"/>
        <v>0</v>
      </c>
      <c r="G139" s="5" t="s">
        <v>94</v>
      </c>
      <c r="H139" s="5"/>
      <c r="I139" s="5"/>
      <c r="J139" s="5">
        <f t="shared" si="10"/>
        <v>0</v>
      </c>
      <c r="K139" s="5"/>
      <c r="L139" s="5"/>
      <c r="M139" s="5">
        <f t="shared" si="11"/>
        <v>0</v>
      </c>
    </row>
    <row r="140" spans="3:13" x14ac:dyDescent="0.25">
      <c r="C140" s="5"/>
      <c r="D140" s="5"/>
      <c r="E140" s="5"/>
      <c r="F140" s="5">
        <f t="shared" si="9"/>
        <v>0</v>
      </c>
      <c r="G140" s="5"/>
      <c r="H140" s="5"/>
      <c r="I140" s="5"/>
      <c r="J140" s="5">
        <f t="shared" si="10"/>
        <v>0</v>
      </c>
      <c r="K140" s="5"/>
      <c r="L140" s="5"/>
      <c r="M140" s="5">
        <f t="shared" si="11"/>
        <v>0</v>
      </c>
    </row>
    <row r="141" spans="3:13" x14ac:dyDescent="0.25">
      <c r="C141" s="5" t="s">
        <v>86</v>
      </c>
      <c r="D141" s="5"/>
      <c r="E141" s="5"/>
      <c r="F141" s="5">
        <f t="shared" si="9"/>
        <v>0</v>
      </c>
      <c r="G141" s="5" t="s">
        <v>95</v>
      </c>
      <c r="H141" s="5"/>
      <c r="I141" s="5"/>
      <c r="J141" s="5">
        <f t="shared" si="10"/>
        <v>0</v>
      </c>
      <c r="K141" s="5"/>
      <c r="L141" s="5"/>
      <c r="M141" s="5">
        <f t="shared" si="11"/>
        <v>0</v>
      </c>
    </row>
    <row r="142" spans="3:13" x14ac:dyDescent="0.25">
      <c r="C142" s="5" t="s">
        <v>87</v>
      </c>
      <c r="D142" s="5"/>
      <c r="E142" s="5"/>
      <c r="F142" s="5">
        <f t="shared" si="9"/>
        <v>0</v>
      </c>
      <c r="G142" s="5" t="s">
        <v>95</v>
      </c>
      <c r="H142" s="5"/>
      <c r="I142" s="5"/>
      <c r="J142" s="5">
        <f t="shared" si="10"/>
        <v>0</v>
      </c>
      <c r="K142" s="5"/>
      <c r="L142" s="5"/>
      <c r="M142" s="5">
        <f t="shared" si="11"/>
        <v>0</v>
      </c>
    </row>
    <row r="143" spans="3:13" x14ac:dyDescent="0.25">
      <c r="C143" s="5" t="s">
        <v>88</v>
      </c>
      <c r="D143" s="5"/>
      <c r="E143" s="5"/>
      <c r="F143" s="5">
        <f t="shared" si="9"/>
        <v>0</v>
      </c>
      <c r="G143" s="5" t="s">
        <v>95</v>
      </c>
      <c r="H143" s="5"/>
      <c r="I143" s="5"/>
      <c r="J143" s="5">
        <f t="shared" si="10"/>
        <v>0</v>
      </c>
      <c r="K143" s="5"/>
      <c r="L143" s="5"/>
      <c r="M143" s="5">
        <f t="shared" si="11"/>
        <v>0</v>
      </c>
    </row>
    <row r="144" spans="3:13" x14ac:dyDescent="0.25">
      <c r="C144" s="5"/>
      <c r="D144" s="5"/>
      <c r="E144" s="5"/>
      <c r="F144" s="5">
        <f t="shared" si="9"/>
        <v>0</v>
      </c>
      <c r="G144" s="5"/>
      <c r="H144" s="5"/>
      <c r="I144" s="5"/>
      <c r="J144" s="5">
        <f t="shared" si="10"/>
        <v>0</v>
      </c>
      <c r="K144" s="5"/>
      <c r="L144" s="5"/>
      <c r="M144" s="5">
        <f t="shared" si="11"/>
        <v>0</v>
      </c>
    </row>
    <row r="145" spans="3:13" x14ac:dyDescent="0.25">
      <c r="C145" s="5" t="s">
        <v>82</v>
      </c>
      <c r="D145" s="5"/>
      <c r="E145" s="5"/>
      <c r="F145" s="5">
        <f t="shared" si="9"/>
        <v>0</v>
      </c>
      <c r="G145" s="5"/>
      <c r="H145" s="5"/>
      <c r="I145" s="5"/>
      <c r="J145" s="5">
        <f t="shared" si="10"/>
        <v>0</v>
      </c>
      <c r="K145" s="5"/>
      <c r="L145" s="5"/>
      <c r="M145" s="5">
        <f t="shared" si="11"/>
        <v>0</v>
      </c>
    </row>
    <row r="146" spans="3:13" x14ac:dyDescent="0.25">
      <c r="C146" s="5" t="s">
        <v>83</v>
      </c>
      <c r="D146" s="5"/>
      <c r="E146" s="5"/>
      <c r="F146" s="5">
        <f t="shared" si="9"/>
        <v>0</v>
      </c>
      <c r="G146" s="5"/>
      <c r="H146" s="5"/>
      <c r="I146" s="5"/>
      <c r="J146" s="5">
        <f t="shared" si="10"/>
        <v>0</v>
      </c>
      <c r="K146" s="5"/>
      <c r="L146" s="5"/>
      <c r="M146" s="5">
        <f t="shared" si="11"/>
        <v>0</v>
      </c>
    </row>
    <row r="147" spans="3:13" x14ac:dyDescent="0.25">
      <c r="C147" s="5" t="s">
        <v>84</v>
      </c>
      <c r="D147" s="5"/>
      <c r="E147" s="5"/>
      <c r="F147" s="5">
        <f t="shared" si="9"/>
        <v>0</v>
      </c>
      <c r="G147" s="5"/>
      <c r="H147" s="5"/>
      <c r="I147" s="5"/>
      <c r="J147" s="5">
        <f t="shared" si="10"/>
        <v>0</v>
      </c>
      <c r="K147" s="5"/>
      <c r="L147" s="5"/>
      <c r="M147" s="5">
        <f t="shared" si="11"/>
        <v>0</v>
      </c>
    </row>
    <row r="148" spans="3:13" x14ac:dyDescent="0.25">
      <c r="C148" s="5" t="s">
        <v>85</v>
      </c>
      <c r="D148" s="5"/>
      <c r="E148" s="5"/>
      <c r="F148" s="5">
        <f t="shared" si="9"/>
        <v>0</v>
      </c>
      <c r="G148" s="5"/>
      <c r="H148" s="5"/>
      <c r="I148" s="5"/>
      <c r="J148" s="5">
        <f t="shared" si="10"/>
        <v>0</v>
      </c>
      <c r="K148" s="5"/>
      <c r="L148" s="5"/>
      <c r="M148" s="5">
        <f t="shared" si="11"/>
        <v>0</v>
      </c>
    </row>
    <row r="149" spans="3:13" x14ac:dyDescent="0.25">
      <c r="C149" s="5"/>
      <c r="D149" s="5"/>
      <c r="E149" s="5"/>
      <c r="F149" s="5">
        <f t="shared" si="9"/>
        <v>0</v>
      </c>
      <c r="G149" s="5"/>
      <c r="H149" s="5"/>
      <c r="I149" s="5"/>
      <c r="J149" s="5">
        <f t="shared" si="10"/>
        <v>0</v>
      </c>
      <c r="K149" s="5"/>
      <c r="L149" s="5"/>
      <c r="M149" s="5">
        <f t="shared" si="11"/>
        <v>0</v>
      </c>
    </row>
    <row r="150" spans="3:13" x14ac:dyDescent="0.25">
      <c r="C150" s="5"/>
      <c r="D150" s="5"/>
      <c r="E150" s="5"/>
      <c r="F150" s="5">
        <f t="shared" si="9"/>
        <v>0</v>
      </c>
      <c r="G150" s="5"/>
      <c r="H150" s="5"/>
      <c r="I150" s="5"/>
      <c r="J150" s="5">
        <f t="shared" si="10"/>
        <v>0</v>
      </c>
      <c r="K150" s="5"/>
      <c r="L150" s="5"/>
      <c r="M150" s="5">
        <f t="shared" si="11"/>
        <v>0</v>
      </c>
    </row>
    <row r="151" spans="3:13" x14ac:dyDescent="0.25">
      <c r="C151" s="5"/>
      <c r="D151" s="5"/>
      <c r="E151" s="5"/>
      <c r="F151" s="5">
        <f t="shared" si="9"/>
        <v>0</v>
      </c>
      <c r="G151" s="5"/>
      <c r="H151" s="5"/>
      <c r="I151" s="5"/>
      <c r="J151" s="5">
        <f t="shared" si="10"/>
        <v>0</v>
      </c>
      <c r="K151" s="5"/>
      <c r="L151" s="5"/>
      <c r="M151" s="5">
        <f t="shared" si="11"/>
        <v>0</v>
      </c>
    </row>
    <row r="152" spans="3:13" x14ac:dyDescent="0.25">
      <c r="C152" s="5" t="s">
        <v>89</v>
      </c>
      <c r="D152" s="5"/>
      <c r="E152" s="5">
        <f>F152*10.764</f>
        <v>247.14143999999999</v>
      </c>
      <c r="F152" s="5">
        <f>SUM(F124:F151)</f>
        <v>22.96</v>
      </c>
      <c r="G152" s="5"/>
      <c r="H152" s="5"/>
      <c r="I152" s="5">
        <f>J152*10.764</f>
        <v>63.944618399999996</v>
      </c>
      <c r="J152" s="5">
        <f>SUM(J124:J151)</f>
        <v>5.9405999999999999</v>
      </c>
      <c r="K152" s="5"/>
      <c r="L152" s="5">
        <f>M152*10.764</f>
        <v>0</v>
      </c>
      <c r="M152" s="5">
        <f>SUM(M124:M151)</f>
        <v>0</v>
      </c>
    </row>
    <row r="156" spans="3:13" x14ac:dyDescent="0.25">
      <c r="D156">
        <f>E152+I152</f>
        <v>311.08605839999996</v>
      </c>
    </row>
    <row r="159" spans="3:13" x14ac:dyDescent="0.25">
      <c r="C159" s="8" t="s">
        <v>90</v>
      </c>
      <c r="D159" s="214"/>
      <c r="E159" s="214"/>
    </row>
    <row r="160" spans="3:13" x14ac:dyDescent="0.25">
      <c r="E160" s="7"/>
      <c r="F160" s="7"/>
      <c r="G160" s="7"/>
      <c r="H160" s="7"/>
      <c r="I160" s="7"/>
      <c r="J160" s="7"/>
    </row>
    <row r="161" spans="2:13" x14ac:dyDescent="0.25">
      <c r="B161" s="8" t="s">
        <v>91</v>
      </c>
      <c r="C161" s="6" t="s">
        <v>71</v>
      </c>
      <c r="D161" s="213" t="s">
        <v>72</v>
      </c>
      <c r="E161" s="213"/>
      <c r="F161" s="213"/>
      <c r="G161" s="9"/>
      <c r="H161" s="213" t="s">
        <v>73</v>
      </c>
      <c r="I161" s="213"/>
      <c r="J161" s="213"/>
      <c r="K161" s="213" t="s">
        <v>74</v>
      </c>
      <c r="L161" s="213"/>
      <c r="M161" s="213"/>
    </row>
    <row r="162" spans="2:13" x14ac:dyDescent="0.25">
      <c r="B162" s="8">
        <v>1</v>
      </c>
      <c r="C162" s="6"/>
      <c r="D162" s="6" t="s">
        <v>75</v>
      </c>
      <c r="E162" s="6" t="s">
        <v>76</v>
      </c>
      <c r="F162" s="6" t="s">
        <v>77</v>
      </c>
      <c r="G162" s="6"/>
      <c r="H162" s="6" t="s">
        <v>75</v>
      </c>
      <c r="I162" s="6" t="s">
        <v>76</v>
      </c>
      <c r="J162" s="6" t="s">
        <v>77</v>
      </c>
      <c r="K162" s="6" t="s">
        <v>75</v>
      </c>
      <c r="L162" s="6" t="s">
        <v>76</v>
      </c>
      <c r="M162" s="6" t="s">
        <v>77</v>
      </c>
    </row>
    <row r="163" spans="2:13" x14ac:dyDescent="0.25">
      <c r="C163" s="5" t="s">
        <v>78</v>
      </c>
      <c r="D163" s="5"/>
      <c r="E163" s="5"/>
      <c r="F163" s="5">
        <f>D163*E163</f>
        <v>0</v>
      </c>
      <c r="G163" s="5" t="s">
        <v>93</v>
      </c>
      <c r="H163" s="5"/>
      <c r="I163" s="5"/>
      <c r="J163" s="5">
        <f>H163*I163</f>
        <v>0</v>
      </c>
      <c r="K163" s="5"/>
      <c r="L163" s="5"/>
      <c r="M163" s="5">
        <f>K163*L163</f>
        <v>0</v>
      </c>
    </row>
    <row r="164" spans="2:13" x14ac:dyDescent="0.25">
      <c r="C164" s="5"/>
      <c r="D164" s="5"/>
      <c r="E164" s="5"/>
      <c r="F164" s="5">
        <f t="shared" ref="F164:F190" si="12">D164*E164</f>
        <v>0</v>
      </c>
      <c r="G164" s="5" t="s">
        <v>94</v>
      </c>
      <c r="H164" s="5"/>
      <c r="I164" s="5"/>
      <c r="J164" s="5">
        <f t="shared" ref="J164:J190" si="13">H164*I164</f>
        <v>0</v>
      </c>
      <c r="K164" s="5"/>
      <c r="L164" s="5"/>
      <c r="M164" s="5">
        <f t="shared" ref="M164:M190" si="14">K164*L164</f>
        <v>0</v>
      </c>
    </row>
    <row r="165" spans="2:13" x14ac:dyDescent="0.25">
      <c r="C165" s="5"/>
      <c r="D165" s="5"/>
      <c r="E165" s="5"/>
      <c r="F165" s="5">
        <f t="shared" si="12"/>
        <v>0</v>
      </c>
      <c r="G165" s="5"/>
      <c r="H165" s="5"/>
      <c r="I165" s="5"/>
      <c r="J165" s="5">
        <f t="shared" si="13"/>
        <v>0</v>
      </c>
      <c r="K165" s="5"/>
      <c r="L165" s="5"/>
      <c r="M165" s="5">
        <f t="shared" si="14"/>
        <v>0</v>
      </c>
    </row>
    <row r="166" spans="2:13" x14ac:dyDescent="0.25">
      <c r="C166" s="5" t="s">
        <v>81</v>
      </c>
      <c r="D166" s="5"/>
      <c r="E166" s="5"/>
      <c r="F166" s="5">
        <f t="shared" si="12"/>
        <v>0</v>
      </c>
      <c r="G166" s="5" t="s">
        <v>93</v>
      </c>
      <c r="H166" s="5"/>
      <c r="I166" s="5"/>
      <c r="J166" s="5">
        <f t="shared" si="13"/>
        <v>0</v>
      </c>
      <c r="K166" s="5"/>
      <c r="L166" s="5"/>
      <c r="M166" s="5">
        <f t="shared" si="14"/>
        <v>0</v>
      </c>
    </row>
    <row r="167" spans="2:13" x14ac:dyDescent="0.25">
      <c r="C167" s="5"/>
      <c r="D167" s="5"/>
      <c r="E167" s="5"/>
      <c r="F167" s="5">
        <f t="shared" si="12"/>
        <v>0</v>
      </c>
      <c r="G167" s="5" t="s">
        <v>94</v>
      </c>
      <c r="H167" s="5"/>
      <c r="I167" s="5"/>
      <c r="J167" s="5">
        <f t="shared" si="13"/>
        <v>0</v>
      </c>
      <c r="K167" s="5"/>
      <c r="L167" s="5"/>
      <c r="M167" s="5">
        <f t="shared" si="14"/>
        <v>0</v>
      </c>
    </row>
    <row r="168" spans="2:13" x14ac:dyDescent="0.25">
      <c r="C168" s="5"/>
      <c r="D168" s="5"/>
      <c r="E168" s="5"/>
      <c r="F168" s="5">
        <f t="shared" si="12"/>
        <v>0</v>
      </c>
      <c r="G168" s="5"/>
      <c r="H168" s="5"/>
      <c r="I168" s="5"/>
      <c r="J168" s="5">
        <f t="shared" si="13"/>
        <v>0</v>
      </c>
      <c r="K168" s="5"/>
      <c r="L168" s="5"/>
      <c r="M168" s="5">
        <f t="shared" si="14"/>
        <v>0</v>
      </c>
    </row>
    <row r="169" spans="2:13" x14ac:dyDescent="0.25">
      <c r="C169" s="5"/>
      <c r="D169" s="5"/>
      <c r="E169" s="5"/>
      <c r="F169" s="5">
        <f t="shared" si="12"/>
        <v>0</v>
      </c>
      <c r="G169" s="5"/>
      <c r="H169" s="5"/>
      <c r="I169" s="5"/>
      <c r="J169" s="5">
        <f t="shared" si="13"/>
        <v>0</v>
      </c>
      <c r="K169" s="5"/>
      <c r="L169" s="5"/>
      <c r="M169" s="5">
        <f t="shared" si="14"/>
        <v>0</v>
      </c>
    </row>
    <row r="170" spans="2:13" x14ac:dyDescent="0.25">
      <c r="C170" s="5" t="s">
        <v>79</v>
      </c>
      <c r="D170" s="5"/>
      <c r="E170" s="5"/>
      <c r="F170" s="5">
        <f t="shared" si="12"/>
        <v>0</v>
      </c>
      <c r="G170" s="5" t="s">
        <v>93</v>
      </c>
      <c r="H170" s="5"/>
      <c r="I170" s="5"/>
      <c r="J170" s="5">
        <f t="shared" si="13"/>
        <v>0</v>
      </c>
      <c r="K170" s="5"/>
      <c r="L170" s="5"/>
      <c r="M170" s="5">
        <f t="shared" si="14"/>
        <v>0</v>
      </c>
    </row>
    <row r="171" spans="2:13" x14ac:dyDescent="0.25">
      <c r="C171" s="5"/>
      <c r="D171" s="5"/>
      <c r="E171" s="5"/>
      <c r="F171" s="5">
        <f t="shared" si="12"/>
        <v>0</v>
      </c>
      <c r="G171" s="5" t="s">
        <v>94</v>
      </c>
      <c r="H171" s="5"/>
      <c r="I171" s="5"/>
      <c r="J171" s="5">
        <f t="shared" si="13"/>
        <v>0</v>
      </c>
      <c r="K171" s="5"/>
      <c r="L171" s="5"/>
      <c r="M171" s="5">
        <f t="shared" si="14"/>
        <v>0</v>
      </c>
    </row>
    <row r="172" spans="2:13" x14ac:dyDescent="0.25">
      <c r="C172" s="5"/>
      <c r="D172" s="5"/>
      <c r="E172" s="5"/>
      <c r="F172" s="5">
        <f t="shared" si="12"/>
        <v>0</v>
      </c>
      <c r="G172" s="5"/>
      <c r="H172" s="5"/>
      <c r="I172" s="5"/>
      <c r="J172" s="5">
        <f t="shared" si="13"/>
        <v>0</v>
      </c>
      <c r="K172" s="5"/>
      <c r="L172" s="5"/>
      <c r="M172" s="5">
        <f t="shared" si="14"/>
        <v>0</v>
      </c>
    </row>
    <row r="173" spans="2:13" x14ac:dyDescent="0.25">
      <c r="C173" s="5"/>
      <c r="D173" s="5"/>
      <c r="E173" s="5"/>
      <c r="F173" s="5">
        <f t="shared" si="12"/>
        <v>0</v>
      </c>
      <c r="G173" s="5"/>
      <c r="H173" s="5"/>
      <c r="I173" s="5"/>
      <c r="J173" s="5">
        <f t="shared" si="13"/>
        <v>0</v>
      </c>
      <c r="K173" s="5"/>
      <c r="L173" s="5"/>
      <c r="M173" s="5">
        <f t="shared" si="14"/>
        <v>0</v>
      </c>
    </row>
    <row r="174" spans="2:13" x14ac:dyDescent="0.25">
      <c r="C174" s="5" t="s">
        <v>80</v>
      </c>
      <c r="D174" s="5"/>
      <c r="E174" s="5"/>
      <c r="F174" s="5">
        <f t="shared" si="12"/>
        <v>0</v>
      </c>
      <c r="G174" s="5" t="s">
        <v>93</v>
      </c>
      <c r="H174" s="5"/>
      <c r="I174" s="5"/>
      <c r="J174" s="5">
        <f t="shared" si="13"/>
        <v>0</v>
      </c>
      <c r="K174" s="5"/>
      <c r="L174" s="5"/>
      <c r="M174" s="5">
        <f t="shared" si="14"/>
        <v>0</v>
      </c>
    </row>
    <row r="175" spans="2:13" x14ac:dyDescent="0.25">
      <c r="C175" s="5"/>
      <c r="D175" s="5"/>
      <c r="E175" s="5"/>
      <c r="F175" s="5">
        <f t="shared" si="12"/>
        <v>0</v>
      </c>
      <c r="G175" s="5" t="s">
        <v>94</v>
      </c>
      <c r="H175" s="5"/>
      <c r="I175" s="5"/>
      <c r="J175" s="5">
        <f t="shared" si="13"/>
        <v>0</v>
      </c>
      <c r="K175" s="5"/>
      <c r="L175" s="5"/>
      <c r="M175" s="5">
        <f t="shared" si="14"/>
        <v>0</v>
      </c>
    </row>
    <row r="176" spans="2:13" x14ac:dyDescent="0.25">
      <c r="C176" s="5"/>
      <c r="D176" s="5"/>
      <c r="E176" s="5"/>
      <c r="F176" s="5">
        <f t="shared" si="12"/>
        <v>0</v>
      </c>
      <c r="G176" s="5"/>
      <c r="H176" s="5"/>
      <c r="I176" s="5"/>
      <c r="J176" s="5">
        <f t="shared" si="13"/>
        <v>0</v>
      </c>
      <c r="K176" s="5"/>
      <c r="L176" s="5"/>
      <c r="M176" s="5">
        <f t="shared" si="14"/>
        <v>0</v>
      </c>
    </row>
    <row r="177" spans="3:13" x14ac:dyDescent="0.25">
      <c r="C177" s="5" t="s">
        <v>80</v>
      </c>
      <c r="D177" s="5"/>
      <c r="E177" s="5"/>
      <c r="F177" s="5">
        <f t="shared" si="12"/>
        <v>0</v>
      </c>
      <c r="G177" s="5" t="s">
        <v>93</v>
      </c>
      <c r="H177" s="5"/>
      <c r="I177" s="5"/>
      <c r="J177" s="5">
        <f t="shared" si="13"/>
        <v>0</v>
      </c>
      <c r="K177" s="5"/>
      <c r="L177" s="5"/>
      <c r="M177" s="5">
        <f t="shared" si="14"/>
        <v>0</v>
      </c>
    </row>
    <row r="178" spans="3:13" x14ac:dyDescent="0.25">
      <c r="C178" s="5"/>
      <c r="D178" s="5"/>
      <c r="E178" s="5"/>
      <c r="F178" s="5">
        <f t="shared" si="12"/>
        <v>0</v>
      </c>
      <c r="G178" s="5" t="s">
        <v>94</v>
      </c>
      <c r="H178" s="5"/>
      <c r="I178" s="5"/>
      <c r="J178" s="5">
        <f t="shared" si="13"/>
        <v>0</v>
      </c>
      <c r="K178" s="5"/>
      <c r="L178" s="5"/>
      <c r="M178" s="5">
        <f t="shared" si="14"/>
        <v>0</v>
      </c>
    </row>
    <row r="179" spans="3:13" x14ac:dyDescent="0.25">
      <c r="C179" s="5"/>
      <c r="D179" s="5"/>
      <c r="E179" s="5"/>
      <c r="F179" s="5">
        <f t="shared" si="12"/>
        <v>0</v>
      </c>
      <c r="G179" s="5"/>
      <c r="H179" s="5"/>
      <c r="I179" s="5"/>
      <c r="J179" s="5">
        <f t="shared" si="13"/>
        <v>0</v>
      </c>
      <c r="K179" s="5"/>
      <c r="L179" s="5"/>
      <c r="M179" s="5">
        <f t="shared" si="14"/>
        <v>0</v>
      </c>
    </row>
    <row r="180" spans="3:13" x14ac:dyDescent="0.25">
      <c r="C180" s="5" t="s">
        <v>86</v>
      </c>
      <c r="D180" s="5"/>
      <c r="E180" s="5"/>
      <c r="F180" s="5">
        <f t="shared" si="12"/>
        <v>0</v>
      </c>
      <c r="G180" s="5" t="s">
        <v>95</v>
      </c>
      <c r="H180" s="5"/>
      <c r="I180" s="5"/>
      <c r="J180" s="5">
        <f t="shared" si="13"/>
        <v>0</v>
      </c>
      <c r="K180" s="5"/>
      <c r="L180" s="5"/>
      <c r="M180" s="5">
        <f t="shared" si="14"/>
        <v>0</v>
      </c>
    </row>
    <row r="181" spans="3:13" x14ac:dyDescent="0.25">
      <c r="C181" s="5" t="s">
        <v>87</v>
      </c>
      <c r="D181" s="5"/>
      <c r="E181" s="5"/>
      <c r="F181" s="5">
        <f t="shared" si="12"/>
        <v>0</v>
      </c>
      <c r="G181" s="5" t="s">
        <v>95</v>
      </c>
      <c r="H181" s="5"/>
      <c r="I181" s="5"/>
      <c r="J181" s="5">
        <f t="shared" si="13"/>
        <v>0</v>
      </c>
      <c r="K181" s="5"/>
      <c r="L181" s="5"/>
      <c r="M181" s="5">
        <f t="shared" si="14"/>
        <v>0</v>
      </c>
    </row>
    <row r="182" spans="3:13" x14ac:dyDescent="0.25">
      <c r="C182" s="5" t="s">
        <v>88</v>
      </c>
      <c r="D182" s="5"/>
      <c r="E182" s="5"/>
      <c r="F182" s="5">
        <f t="shared" si="12"/>
        <v>0</v>
      </c>
      <c r="G182" s="5" t="s">
        <v>95</v>
      </c>
      <c r="H182" s="5"/>
      <c r="I182" s="5"/>
      <c r="J182" s="5">
        <f t="shared" si="13"/>
        <v>0</v>
      </c>
      <c r="K182" s="5"/>
      <c r="L182" s="5"/>
      <c r="M182" s="5">
        <f t="shared" si="14"/>
        <v>0</v>
      </c>
    </row>
    <row r="183" spans="3:13" x14ac:dyDescent="0.25">
      <c r="C183" s="5"/>
      <c r="D183" s="5"/>
      <c r="E183" s="5"/>
      <c r="F183" s="5">
        <f t="shared" si="12"/>
        <v>0</v>
      </c>
      <c r="G183" s="5"/>
      <c r="H183" s="5"/>
      <c r="I183" s="5"/>
      <c r="J183" s="5">
        <f t="shared" si="13"/>
        <v>0</v>
      </c>
      <c r="K183" s="5"/>
      <c r="L183" s="5"/>
      <c r="M183" s="5">
        <f t="shared" si="14"/>
        <v>0</v>
      </c>
    </row>
    <row r="184" spans="3:13" x14ac:dyDescent="0.25">
      <c r="C184" s="5" t="s">
        <v>82</v>
      </c>
      <c r="D184" s="5"/>
      <c r="E184" s="5"/>
      <c r="F184" s="5">
        <f t="shared" si="12"/>
        <v>0</v>
      </c>
      <c r="G184" s="5"/>
      <c r="H184" s="5"/>
      <c r="I184" s="5"/>
      <c r="J184" s="5">
        <f t="shared" si="13"/>
        <v>0</v>
      </c>
      <c r="K184" s="5"/>
      <c r="L184" s="5"/>
      <c r="M184" s="5">
        <f t="shared" si="14"/>
        <v>0</v>
      </c>
    </row>
    <row r="185" spans="3:13" x14ac:dyDescent="0.25">
      <c r="C185" s="5" t="s">
        <v>83</v>
      </c>
      <c r="D185" s="5"/>
      <c r="E185" s="5"/>
      <c r="F185" s="5">
        <f t="shared" si="12"/>
        <v>0</v>
      </c>
      <c r="G185" s="5"/>
      <c r="H185" s="5"/>
      <c r="I185" s="5"/>
      <c r="J185" s="5">
        <f t="shared" si="13"/>
        <v>0</v>
      </c>
      <c r="K185" s="5"/>
      <c r="L185" s="5"/>
      <c r="M185" s="5">
        <f t="shared" si="14"/>
        <v>0</v>
      </c>
    </row>
    <row r="186" spans="3:13" x14ac:dyDescent="0.25">
      <c r="C186" s="5" t="s">
        <v>84</v>
      </c>
      <c r="D186" s="5"/>
      <c r="E186" s="5"/>
      <c r="F186" s="5">
        <f t="shared" si="12"/>
        <v>0</v>
      </c>
      <c r="G186" s="5"/>
      <c r="H186" s="5"/>
      <c r="I186" s="5"/>
      <c r="J186" s="5">
        <f t="shared" si="13"/>
        <v>0</v>
      </c>
      <c r="K186" s="5"/>
      <c r="L186" s="5"/>
      <c r="M186" s="5">
        <f t="shared" si="14"/>
        <v>0</v>
      </c>
    </row>
    <row r="187" spans="3:13" x14ac:dyDescent="0.25">
      <c r="C187" s="5" t="s">
        <v>85</v>
      </c>
      <c r="D187" s="5"/>
      <c r="E187" s="5"/>
      <c r="F187" s="5">
        <f t="shared" si="12"/>
        <v>0</v>
      </c>
      <c r="G187" s="5"/>
      <c r="H187" s="5"/>
      <c r="I187" s="5"/>
      <c r="J187" s="5">
        <f t="shared" si="13"/>
        <v>0</v>
      </c>
      <c r="K187" s="5"/>
      <c r="L187" s="5"/>
      <c r="M187" s="5">
        <f t="shared" si="14"/>
        <v>0</v>
      </c>
    </row>
    <row r="188" spans="3:13" x14ac:dyDescent="0.25">
      <c r="C188" s="5"/>
      <c r="D188" s="5"/>
      <c r="E188" s="5"/>
      <c r="F188" s="5">
        <f t="shared" si="12"/>
        <v>0</v>
      </c>
      <c r="G188" s="5"/>
      <c r="H188" s="5"/>
      <c r="I188" s="5"/>
      <c r="J188" s="5">
        <f t="shared" si="13"/>
        <v>0</v>
      </c>
      <c r="K188" s="5"/>
      <c r="L188" s="5"/>
      <c r="M188" s="5">
        <f t="shared" si="14"/>
        <v>0</v>
      </c>
    </row>
    <row r="189" spans="3:13" x14ac:dyDescent="0.25">
      <c r="C189" s="5"/>
      <c r="D189" s="5"/>
      <c r="E189" s="5"/>
      <c r="F189" s="5">
        <f t="shared" si="12"/>
        <v>0</v>
      </c>
      <c r="G189" s="5"/>
      <c r="H189" s="5"/>
      <c r="I189" s="5"/>
      <c r="J189" s="5">
        <f t="shared" si="13"/>
        <v>0</v>
      </c>
      <c r="K189" s="5"/>
      <c r="L189" s="5"/>
      <c r="M189" s="5">
        <f t="shared" si="14"/>
        <v>0</v>
      </c>
    </row>
    <row r="190" spans="3:13" x14ac:dyDescent="0.25">
      <c r="C190" s="5"/>
      <c r="D190" s="5"/>
      <c r="E190" s="5"/>
      <c r="F190" s="5">
        <f t="shared" si="12"/>
        <v>0</v>
      </c>
      <c r="G190" s="5"/>
      <c r="H190" s="5"/>
      <c r="I190" s="5"/>
      <c r="J190" s="5">
        <f t="shared" si="13"/>
        <v>0</v>
      </c>
      <c r="K190" s="5"/>
      <c r="L190" s="5"/>
      <c r="M190" s="5">
        <f t="shared" si="14"/>
        <v>0</v>
      </c>
    </row>
    <row r="191" spans="3:13" x14ac:dyDescent="0.25">
      <c r="C191" s="5" t="s">
        <v>89</v>
      </c>
      <c r="D191" s="5"/>
      <c r="E191" s="5">
        <f>F191*10.764</f>
        <v>0</v>
      </c>
      <c r="F191" s="5">
        <f>SUM(F163:F190)</f>
        <v>0</v>
      </c>
      <c r="G191" s="5"/>
      <c r="H191" s="5"/>
      <c r="I191" s="5">
        <f>J191*10.764</f>
        <v>0</v>
      </c>
      <c r="J191" s="5">
        <f>SUM(J163:J190)</f>
        <v>0</v>
      </c>
      <c r="K191" s="5"/>
      <c r="L191" s="5">
        <f>M191*10.764</f>
        <v>0</v>
      </c>
      <c r="M191" s="5">
        <f>SUM(M163:M190)</f>
        <v>0</v>
      </c>
    </row>
    <row r="196" spans="4:4" x14ac:dyDescent="0.25">
      <c r="D196">
        <f>E191+I191</f>
        <v>0</v>
      </c>
    </row>
  </sheetData>
  <mergeCells count="20">
    <mergeCell ref="D159:E159"/>
    <mergeCell ref="D161:F161"/>
    <mergeCell ref="H161:J161"/>
    <mergeCell ref="K161:M161"/>
    <mergeCell ref="D83:E83"/>
    <mergeCell ref="D85:F85"/>
    <mergeCell ref="H85:J85"/>
    <mergeCell ref="K85:M85"/>
    <mergeCell ref="D120:E120"/>
    <mergeCell ref="D122:F122"/>
    <mergeCell ref="H122:J122"/>
    <mergeCell ref="K122:M122"/>
    <mergeCell ref="D45:F45"/>
    <mergeCell ref="H45:J45"/>
    <mergeCell ref="K45:M45"/>
    <mergeCell ref="D3:E3"/>
    <mergeCell ref="D5:F5"/>
    <mergeCell ref="H5:J5"/>
    <mergeCell ref="K5:M5"/>
    <mergeCell ref="D43:E4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sqref="A1:IV65536"/>
    </sheetView>
  </sheetViews>
  <sheetFormatPr defaultRowHeight="15" x14ac:dyDescent="0.25"/>
  <sheetData>
    <row r="3" spans="2:13" x14ac:dyDescent="0.25">
      <c r="C3" s="8" t="s">
        <v>90</v>
      </c>
      <c r="D3" s="214"/>
      <c r="E3" s="214"/>
    </row>
    <row r="4" spans="2:13" x14ac:dyDescent="0.25">
      <c r="E4" s="7"/>
      <c r="F4" s="7"/>
      <c r="G4" s="7"/>
      <c r="H4" s="7"/>
      <c r="I4" s="7"/>
      <c r="J4" s="7"/>
    </row>
    <row r="5" spans="2:13" x14ac:dyDescent="0.25">
      <c r="B5" s="8" t="s">
        <v>91</v>
      </c>
      <c r="C5" s="6" t="s">
        <v>71</v>
      </c>
      <c r="D5" s="213" t="s">
        <v>72</v>
      </c>
      <c r="E5" s="213"/>
      <c r="F5" s="213"/>
      <c r="G5" s="9"/>
      <c r="H5" s="213" t="s">
        <v>73</v>
      </c>
      <c r="I5" s="213"/>
      <c r="J5" s="213"/>
      <c r="K5" s="213" t="s">
        <v>74</v>
      </c>
      <c r="L5" s="213"/>
      <c r="M5" s="213"/>
    </row>
    <row r="6" spans="2:13" x14ac:dyDescent="0.25">
      <c r="B6" s="8">
        <v>1</v>
      </c>
      <c r="C6" s="6"/>
      <c r="D6" s="6" t="s">
        <v>75</v>
      </c>
      <c r="E6" s="6" t="s">
        <v>76</v>
      </c>
      <c r="F6" s="6" t="s">
        <v>77</v>
      </c>
      <c r="G6" s="6"/>
      <c r="H6" s="6" t="s">
        <v>75</v>
      </c>
      <c r="I6" s="6" t="s">
        <v>76</v>
      </c>
      <c r="J6" s="6" t="s">
        <v>77</v>
      </c>
      <c r="K6" s="6" t="s">
        <v>75</v>
      </c>
      <c r="L6" s="6" t="s">
        <v>76</v>
      </c>
      <c r="M6" s="6" t="s">
        <v>77</v>
      </c>
    </row>
    <row r="7" spans="2:13" x14ac:dyDescent="0.25">
      <c r="C7" s="5" t="s">
        <v>78</v>
      </c>
      <c r="D7" s="5"/>
      <c r="E7" s="5"/>
      <c r="F7" s="5">
        <f>D7*E7</f>
        <v>0</v>
      </c>
      <c r="G7" s="5" t="s">
        <v>93</v>
      </c>
      <c r="H7" s="5"/>
      <c r="I7" s="5"/>
      <c r="J7" s="5">
        <f>H7*I7</f>
        <v>0</v>
      </c>
      <c r="K7" s="5"/>
      <c r="L7" s="5"/>
      <c r="M7" s="5">
        <f>K7*L7</f>
        <v>0</v>
      </c>
    </row>
    <row r="8" spans="2:13" x14ac:dyDescent="0.25">
      <c r="C8" s="5"/>
      <c r="D8" s="5"/>
      <c r="E8" s="5"/>
      <c r="F8" s="5">
        <f t="shared" ref="F8:F34" si="0">D8*E8</f>
        <v>0</v>
      </c>
      <c r="G8" s="5" t="s">
        <v>94</v>
      </c>
      <c r="H8" s="5"/>
      <c r="I8" s="5"/>
      <c r="J8" s="5">
        <f t="shared" ref="J8:J34" si="1">H8*I8</f>
        <v>0</v>
      </c>
      <c r="K8" s="5"/>
      <c r="L8" s="5"/>
      <c r="M8" s="5">
        <f t="shared" ref="M8:M34" si="2">K8*L8</f>
        <v>0</v>
      </c>
    </row>
    <row r="9" spans="2:13" x14ac:dyDescent="0.25">
      <c r="C9" s="5"/>
      <c r="D9" s="5"/>
      <c r="E9" s="5"/>
      <c r="F9" s="5">
        <f t="shared" si="0"/>
        <v>0</v>
      </c>
      <c r="G9" s="5"/>
      <c r="H9" s="5"/>
      <c r="I9" s="5"/>
      <c r="J9" s="5">
        <f t="shared" si="1"/>
        <v>0</v>
      </c>
      <c r="K9" s="5"/>
      <c r="L9" s="5"/>
      <c r="M9" s="5">
        <f t="shared" si="2"/>
        <v>0</v>
      </c>
    </row>
    <row r="10" spans="2:13" x14ac:dyDescent="0.25">
      <c r="C10" s="5" t="s">
        <v>81</v>
      </c>
      <c r="D10" s="5"/>
      <c r="E10" s="5"/>
      <c r="F10" s="5">
        <f t="shared" si="0"/>
        <v>0</v>
      </c>
      <c r="G10" s="5" t="s">
        <v>93</v>
      </c>
      <c r="H10" s="5"/>
      <c r="I10" s="5"/>
      <c r="J10" s="5">
        <f t="shared" si="1"/>
        <v>0</v>
      </c>
      <c r="K10" s="5"/>
      <c r="L10" s="5"/>
      <c r="M10" s="5">
        <f t="shared" si="2"/>
        <v>0</v>
      </c>
    </row>
    <row r="11" spans="2:13" x14ac:dyDescent="0.25">
      <c r="C11" s="5"/>
      <c r="D11" s="5"/>
      <c r="E11" s="5"/>
      <c r="F11" s="5">
        <f t="shared" si="0"/>
        <v>0</v>
      </c>
      <c r="G11" s="5" t="s">
        <v>94</v>
      </c>
      <c r="H11" s="5"/>
      <c r="I11" s="5"/>
      <c r="J11" s="5">
        <f t="shared" si="1"/>
        <v>0</v>
      </c>
      <c r="K11" s="5"/>
      <c r="L11" s="5"/>
      <c r="M11" s="5">
        <f t="shared" si="2"/>
        <v>0</v>
      </c>
    </row>
    <row r="12" spans="2:13" x14ac:dyDescent="0.25">
      <c r="C12" s="5"/>
      <c r="D12" s="5"/>
      <c r="E12" s="5"/>
      <c r="F12" s="5">
        <f t="shared" si="0"/>
        <v>0</v>
      </c>
      <c r="G12" s="5"/>
      <c r="H12" s="5"/>
      <c r="I12" s="5"/>
      <c r="J12" s="5">
        <f t="shared" si="1"/>
        <v>0</v>
      </c>
      <c r="K12" s="5"/>
      <c r="L12" s="5"/>
      <c r="M12" s="5">
        <f t="shared" si="2"/>
        <v>0</v>
      </c>
    </row>
    <row r="13" spans="2:13" x14ac:dyDescent="0.25">
      <c r="C13" s="5"/>
      <c r="D13" s="5"/>
      <c r="E13" s="5"/>
      <c r="F13" s="5">
        <f t="shared" si="0"/>
        <v>0</v>
      </c>
      <c r="G13" s="5"/>
      <c r="H13" s="5"/>
      <c r="I13" s="5"/>
      <c r="J13" s="5">
        <f t="shared" si="1"/>
        <v>0</v>
      </c>
      <c r="K13" s="5"/>
      <c r="L13" s="5"/>
      <c r="M13" s="5">
        <f t="shared" si="2"/>
        <v>0</v>
      </c>
    </row>
    <row r="14" spans="2:13" x14ac:dyDescent="0.25">
      <c r="C14" s="5" t="s">
        <v>79</v>
      </c>
      <c r="D14" s="5"/>
      <c r="E14" s="5"/>
      <c r="F14" s="5">
        <f t="shared" si="0"/>
        <v>0</v>
      </c>
      <c r="G14" s="5" t="s">
        <v>93</v>
      </c>
      <c r="H14" s="5"/>
      <c r="I14" s="5"/>
      <c r="J14" s="5">
        <f t="shared" si="1"/>
        <v>0</v>
      </c>
      <c r="K14" s="5"/>
      <c r="L14" s="5"/>
      <c r="M14" s="5">
        <f t="shared" si="2"/>
        <v>0</v>
      </c>
    </row>
    <row r="15" spans="2:13" x14ac:dyDescent="0.25">
      <c r="C15" s="5"/>
      <c r="D15" s="5"/>
      <c r="E15" s="5"/>
      <c r="F15" s="5">
        <f t="shared" si="0"/>
        <v>0</v>
      </c>
      <c r="G15" s="5" t="s">
        <v>94</v>
      </c>
      <c r="H15" s="5"/>
      <c r="I15" s="5"/>
      <c r="J15" s="5">
        <f t="shared" si="1"/>
        <v>0</v>
      </c>
      <c r="K15" s="5"/>
      <c r="L15" s="5"/>
      <c r="M15" s="5">
        <f t="shared" si="2"/>
        <v>0</v>
      </c>
    </row>
    <row r="16" spans="2:13" x14ac:dyDescent="0.25">
      <c r="C16" s="5"/>
      <c r="D16" s="5"/>
      <c r="E16" s="5"/>
      <c r="F16" s="5">
        <f t="shared" si="0"/>
        <v>0</v>
      </c>
      <c r="G16" s="5"/>
      <c r="H16" s="5"/>
      <c r="I16" s="5"/>
      <c r="J16" s="5">
        <f t="shared" si="1"/>
        <v>0</v>
      </c>
      <c r="K16" s="5"/>
      <c r="L16" s="5"/>
      <c r="M16" s="5">
        <f t="shared" si="2"/>
        <v>0</v>
      </c>
    </row>
    <row r="17" spans="3:13" x14ac:dyDescent="0.25">
      <c r="C17" s="5"/>
      <c r="D17" s="5"/>
      <c r="E17" s="5"/>
      <c r="F17" s="5">
        <f t="shared" si="0"/>
        <v>0</v>
      </c>
      <c r="G17" s="5"/>
      <c r="H17" s="5"/>
      <c r="I17" s="5"/>
      <c r="J17" s="5">
        <f t="shared" si="1"/>
        <v>0</v>
      </c>
      <c r="K17" s="5"/>
      <c r="L17" s="5"/>
      <c r="M17" s="5">
        <f t="shared" si="2"/>
        <v>0</v>
      </c>
    </row>
    <row r="18" spans="3:13" x14ac:dyDescent="0.25">
      <c r="C18" s="5" t="s">
        <v>80</v>
      </c>
      <c r="D18" s="5"/>
      <c r="E18" s="5"/>
      <c r="F18" s="5">
        <f t="shared" si="0"/>
        <v>0</v>
      </c>
      <c r="G18" s="5" t="s">
        <v>93</v>
      </c>
      <c r="H18" s="5"/>
      <c r="I18" s="5"/>
      <c r="J18" s="5">
        <f t="shared" si="1"/>
        <v>0</v>
      </c>
      <c r="K18" s="5"/>
      <c r="L18" s="5"/>
      <c r="M18" s="5">
        <f t="shared" si="2"/>
        <v>0</v>
      </c>
    </row>
    <row r="19" spans="3:13" x14ac:dyDescent="0.25">
      <c r="C19" s="5"/>
      <c r="D19" s="5"/>
      <c r="E19" s="5"/>
      <c r="F19" s="5">
        <f t="shared" si="0"/>
        <v>0</v>
      </c>
      <c r="G19" s="5" t="s">
        <v>94</v>
      </c>
      <c r="H19" s="5"/>
      <c r="I19" s="5"/>
      <c r="J19" s="5">
        <f t="shared" si="1"/>
        <v>0</v>
      </c>
      <c r="K19" s="5"/>
      <c r="L19" s="5"/>
      <c r="M19" s="5">
        <f t="shared" si="2"/>
        <v>0</v>
      </c>
    </row>
    <row r="20" spans="3:13" x14ac:dyDescent="0.25">
      <c r="C20" s="5"/>
      <c r="D20" s="5"/>
      <c r="E20" s="5"/>
      <c r="F20" s="5">
        <f t="shared" si="0"/>
        <v>0</v>
      </c>
      <c r="G20" s="5"/>
      <c r="H20" s="5"/>
      <c r="I20" s="5"/>
      <c r="J20" s="5">
        <f t="shared" si="1"/>
        <v>0</v>
      </c>
      <c r="K20" s="5"/>
      <c r="L20" s="5"/>
      <c r="M20" s="5">
        <f t="shared" si="2"/>
        <v>0</v>
      </c>
    </row>
    <row r="21" spans="3:13" x14ac:dyDescent="0.25">
      <c r="C21" s="5" t="s">
        <v>80</v>
      </c>
      <c r="D21" s="5"/>
      <c r="E21" s="5"/>
      <c r="F21" s="5">
        <f t="shared" si="0"/>
        <v>0</v>
      </c>
      <c r="G21" s="5" t="s">
        <v>93</v>
      </c>
      <c r="H21" s="5"/>
      <c r="I21" s="5"/>
      <c r="J21" s="5">
        <f t="shared" si="1"/>
        <v>0</v>
      </c>
      <c r="K21" s="5"/>
      <c r="L21" s="5"/>
      <c r="M21" s="5">
        <f t="shared" si="2"/>
        <v>0</v>
      </c>
    </row>
    <row r="22" spans="3:13" x14ac:dyDescent="0.25">
      <c r="C22" s="5"/>
      <c r="D22" s="5"/>
      <c r="E22" s="5"/>
      <c r="F22" s="5">
        <f t="shared" si="0"/>
        <v>0</v>
      </c>
      <c r="G22" s="5" t="s">
        <v>94</v>
      </c>
      <c r="H22" s="5"/>
      <c r="I22" s="5"/>
      <c r="J22" s="5">
        <f t="shared" si="1"/>
        <v>0</v>
      </c>
      <c r="K22" s="5"/>
      <c r="L22" s="5"/>
      <c r="M22" s="5">
        <f t="shared" si="2"/>
        <v>0</v>
      </c>
    </row>
    <row r="23" spans="3:13" x14ac:dyDescent="0.25">
      <c r="C23" s="5"/>
      <c r="D23" s="5"/>
      <c r="E23" s="5"/>
      <c r="F23" s="5">
        <f t="shared" si="0"/>
        <v>0</v>
      </c>
      <c r="G23" s="5"/>
      <c r="H23" s="5"/>
      <c r="I23" s="5"/>
      <c r="J23" s="5">
        <f t="shared" si="1"/>
        <v>0</v>
      </c>
      <c r="K23" s="5"/>
      <c r="L23" s="5"/>
      <c r="M23" s="5">
        <f t="shared" si="2"/>
        <v>0</v>
      </c>
    </row>
    <row r="24" spans="3:13" x14ac:dyDescent="0.25">
      <c r="C24" s="5" t="s">
        <v>86</v>
      </c>
      <c r="D24" s="5"/>
      <c r="E24" s="5"/>
      <c r="F24" s="5">
        <f t="shared" si="0"/>
        <v>0</v>
      </c>
      <c r="G24" s="5" t="s">
        <v>95</v>
      </c>
      <c r="H24" s="5"/>
      <c r="I24" s="5"/>
      <c r="J24" s="5">
        <f t="shared" si="1"/>
        <v>0</v>
      </c>
      <c r="K24" s="5"/>
      <c r="L24" s="5"/>
      <c r="M24" s="5">
        <f t="shared" si="2"/>
        <v>0</v>
      </c>
    </row>
    <row r="25" spans="3:13" x14ac:dyDescent="0.25">
      <c r="C25" s="5" t="s">
        <v>87</v>
      </c>
      <c r="D25" s="5"/>
      <c r="E25" s="5"/>
      <c r="F25" s="5">
        <f t="shared" si="0"/>
        <v>0</v>
      </c>
      <c r="G25" s="5" t="s">
        <v>95</v>
      </c>
      <c r="H25" s="5"/>
      <c r="I25" s="5"/>
      <c r="J25" s="5">
        <f t="shared" si="1"/>
        <v>0</v>
      </c>
      <c r="K25" s="5"/>
      <c r="L25" s="5"/>
      <c r="M25" s="5">
        <f t="shared" si="2"/>
        <v>0</v>
      </c>
    </row>
    <row r="26" spans="3:13" x14ac:dyDescent="0.25">
      <c r="C26" s="5" t="s">
        <v>88</v>
      </c>
      <c r="D26" s="5"/>
      <c r="E26" s="5"/>
      <c r="F26" s="5">
        <f t="shared" si="0"/>
        <v>0</v>
      </c>
      <c r="G26" s="5" t="s">
        <v>95</v>
      </c>
      <c r="H26" s="5"/>
      <c r="I26" s="5"/>
      <c r="J26" s="5">
        <f t="shared" si="1"/>
        <v>0</v>
      </c>
      <c r="K26" s="5"/>
      <c r="L26" s="5"/>
      <c r="M26" s="5">
        <f t="shared" si="2"/>
        <v>0</v>
      </c>
    </row>
    <row r="27" spans="3:13" x14ac:dyDescent="0.25">
      <c r="C27" s="5"/>
      <c r="D27" s="5"/>
      <c r="E27" s="5"/>
      <c r="F27" s="5">
        <f t="shared" si="0"/>
        <v>0</v>
      </c>
      <c r="G27" s="5"/>
      <c r="H27" s="5"/>
      <c r="I27" s="5"/>
      <c r="J27" s="5">
        <f t="shared" si="1"/>
        <v>0</v>
      </c>
      <c r="K27" s="5"/>
      <c r="L27" s="5"/>
      <c r="M27" s="5">
        <f t="shared" si="2"/>
        <v>0</v>
      </c>
    </row>
    <row r="28" spans="3:13" x14ac:dyDescent="0.25">
      <c r="C28" s="5" t="s">
        <v>82</v>
      </c>
      <c r="D28" s="5"/>
      <c r="E28" s="5"/>
      <c r="F28" s="5">
        <f t="shared" si="0"/>
        <v>0</v>
      </c>
      <c r="G28" s="5"/>
      <c r="H28" s="5"/>
      <c r="I28" s="5"/>
      <c r="J28" s="5">
        <f t="shared" si="1"/>
        <v>0</v>
      </c>
      <c r="K28" s="5"/>
      <c r="L28" s="5"/>
      <c r="M28" s="5">
        <f t="shared" si="2"/>
        <v>0</v>
      </c>
    </row>
    <row r="29" spans="3:13" x14ac:dyDescent="0.25">
      <c r="C29" s="5" t="s">
        <v>83</v>
      </c>
      <c r="D29" s="5"/>
      <c r="E29" s="5"/>
      <c r="F29" s="5">
        <f t="shared" si="0"/>
        <v>0</v>
      </c>
      <c r="G29" s="5"/>
      <c r="H29" s="5"/>
      <c r="I29" s="5"/>
      <c r="J29" s="5">
        <f t="shared" si="1"/>
        <v>0</v>
      </c>
      <c r="K29" s="5"/>
      <c r="L29" s="5"/>
      <c r="M29" s="5">
        <f t="shared" si="2"/>
        <v>0</v>
      </c>
    </row>
    <row r="30" spans="3:13" x14ac:dyDescent="0.25">
      <c r="C30" s="5" t="s">
        <v>84</v>
      </c>
      <c r="D30" s="5"/>
      <c r="E30" s="5"/>
      <c r="F30" s="5">
        <f t="shared" si="0"/>
        <v>0</v>
      </c>
      <c r="G30" s="5"/>
      <c r="H30" s="5"/>
      <c r="I30" s="5"/>
      <c r="J30" s="5">
        <f t="shared" si="1"/>
        <v>0</v>
      </c>
      <c r="K30" s="5"/>
      <c r="L30" s="5"/>
      <c r="M30" s="5">
        <f t="shared" si="2"/>
        <v>0</v>
      </c>
    </row>
    <row r="31" spans="3:13" x14ac:dyDescent="0.25">
      <c r="C31" s="5" t="s">
        <v>85</v>
      </c>
      <c r="D31" s="5"/>
      <c r="E31" s="5"/>
      <c r="F31" s="5">
        <f t="shared" si="0"/>
        <v>0</v>
      </c>
      <c r="G31" s="5"/>
      <c r="H31" s="5"/>
      <c r="I31" s="5"/>
      <c r="J31" s="5">
        <f t="shared" si="1"/>
        <v>0</v>
      </c>
      <c r="K31" s="5"/>
      <c r="L31" s="5"/>
      <c r="M31" s="5">
        <f t="shared" si="2"/>
        <v>0</v>
      </c>
    </row>
    <row r="32" spans="3:13" x14ac:dyDescent="0.25">
      <c r="C32" s="5"/>
      <c r="D32" s="5"/>
      <c r="E32" s="5"/>
      <c r="F32" s="5">
        <f t="shared" si="0"/>
        <v>0</v>
      </c>
      <c r="G32" s="5"/>
      <c r="H32" s="5"/>
      <c r="I32" s="5"/>
      <c r="J32" s="5">
        <f t="shared" si="1"/>
        <v>0</v>
      </c>
      <c r="K32" s="5"/>
      <c r="L32" s="5"/>
      <c r="M32" s="5">
        <f t="shared" si="2"/>
        <v>0</v>
      </c>
    </row>
    <row r="33" spans="3:13" x14ac:dyDescent="0.25">
      <c r="C33" s="5"/>
      <c r="D33" s="5"/>
      <c r="E33" s="5"/>
      <c r="F33" s="5">
        <f t="shared" si="0"/>
        <v>0</v>
      </c>
      <c r="G33" s="5"/>
      <c r="H33" s="5"/>
      <c r="I33" s="5"/>
      <c r="J33" s="5">
        <f t="shared" si="1"/>
        <v>0</v>
      </c>
      <c r="K33" s="5"/>
      <c r="L33" s="5"/>
      <c r="M33" s="5">
        <f t="shared" si="2"/>
        <v>0</v>
      </c>
    </row>
    <row r="34" spans="3:13" x14ac:dyDescent="0.25">
      <c r="C34" s="5"/>
      <c r="D34" s="5"/>
      <c r="E34" s="5"/>
      <c r="F34" s="5">
        <f t="shared" si="0"/>
        <v>0</v>
      </c>
      <c r="G34" s="5"/>
      <c r="H34" s="5"/>
      <c r="I34" s="5"/>
      <c r="J34" s="5">
        <f t="shared" si="1"/>
        <v>0</v>
      </c>
      <c r="K34" s="5"/>
      <c r="L34" s="5"/>
      <c r="M34" s="5">
        <f t="shared" si="2"/>
        <v>0</v>
      </c>
    </row>
    <row r="35" spans="3:13" x14ac:dyDescent="0.25">
      <c r="C35" s="5" t="s">
        <v>89</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B26" sqref="B26"/>
    </sheetView>
  </sheetViews>
  <sheetFormatPr defaultRowHeight="15" x14ac:dyDescent="0.25"/>
  <sheetData>
    <row r="3" spans="3:14" x14ac:dyDescent="0.25">
      <c r="D3" s="8" t="s">
        <v>90</v>
      </c>
      <c r="E3" s="214"/>
      <c r="F3" s="214"/>
    </row>
    <row r="4" spans="3:14" x14ac:dyDescent="0.25">
      <c r="F4" s="7"/>
      <c r="G4" s="7"/>
      <c r="H4" s="7"/>
      <c r="I4" s="7"/>
      <c r="J4" s="7"/>
      <c r="K4" s="7"/>
    </row>
    <row r="5" spans="3:14" x14ac:dyDescent="0.25">
      <c r="C5" s="8" t="s">
        <v>91</v>
      </c>
      <c r="D5" s="6" t="s">
        <v>71</v>
      </c>
      <c r="E5" s="213" t="s">
        <v>72</v>
      </c>
      <c r="F5" s="213"/>
      <c r="G5" s="213"/>
      <c r="H5" s="9"/>
      <c r="I5" s="213" t="s">
        <v>73</v>
      </c>
      <c r="J5" s="213"/>
      <c r="K5" s="213"/>
      <c r="L5" s="213" t="s">
        <v>74</v>
      </c>
      <c r="M5" s="213"/>
      <c r="N5" s="213"/>
    </row>
    <row r="6" spans="3:14" x14ac:dyDescent="0.25">
      <c r="C6" s="8">
        <v>1</v>
      </c>
      <c r="D6" s="6"/>
      <c r="E6" s="6" t="s">
        <v>75</v>
      </c>
      <c r="F6" s="6" t="s">
        <v>76</v>
      </c>
      <c r="G6" s="6" t="s">
        <v>77</v>
      </c>
      <c r="H6" s="6"/>
      <c r="I6" s="6" t="s">
        <v>75</v>
      </c>
      <c r="J6" s="6" t="s">
        <v>76</v>
      </c>
      <c r="K6" s="6" t="s">
        <v>77</v>
      </c>
      <c r="L6" s="6" t="s">
        <v>75</v>
      </c>
      <c r="M6" s="6" t="s">
        <v>76</v>
      </c>
      <c r="N6" s="6" t="s">
        <v>77</v>
      </c>
    </row>
    <row r="7" spans="3:14" x14ac:dyDescent="0.25">
      <c r="D7" s="5" t="s">
        <v>78</v>
      </c>
      <c r="E7" s="5"/>
      <c r="F7" s="5"/>
      <c r="G7" s="5">
        <f>E7*F7</f>
        <v>0</v>
      </c>
      <c r="H7" s="5" t="s">
        <v>93</v>
      </c>
      <c r="I7" s="5"/>
      <c r="J7" s="5"/>
      <c r="K7" s="5">
        <f>I7*J7</f>
        <v>0</v>
      </c>
      <c r="L7" s="5"/>
      <c r="M7" s="5"/>
      <c r="N7" s="5">
        <f>L7*M7</f>
        <v>0</v>
      </c>
    </row>
    <row r="8" spans="3:14" x14ac:dyDescent="0.25">
      <c r="D8" s="5"/>
      <c r="E8" s="5"/>
      <c r="F8" s="5"/>
      <c r="G8" s="5">
        <f t="shared" ref="G8:G34" si="0">E8*F8</f>
        <v>0</v>
      </c>
      <c r="H8" s="5" t="s">
        <v>94</v>
      </c>
      <c r="I8" s="5"/>
      <c r="J8" s="5"/>
      <c r="K8" s="5">
        <f t="shared" ref="K8:K34" si="1">I8*J8</f>
        <v>0</v>
      </c>
      <c r="L8" s="5"/>
      <c r="M8" s="5"/>
      <c r="N8" s="5">
        <f t="shared" ref="N8:N34" si="2">L8*M8</f>
        <v>0</v>
      </c>
    </row>
    <row r="9" spans="3:14" x14ac:dyDescent="0.25">
      <c r="D9" s="5"/>
      <c r="E9" s="5"/>
      <c r="F9" s="5"/>
      <c r="G9" s="5">
        <f t="shared" si="0"/>
        <v>0</v>
      </c>
      <c r="H9" s="5"/>
      <c r="I9" s="5"/>
      <c r="J9" s="5"/>
      <c r="K9" s="5">
        <f t="shared" si="1"/>
        <v>0</v>
      </c>
      <c r="L9" s="5"/>
      <c r="M9" s="5"/>
      <c r="N9" s="5">
        <f t="shared" si="2"/>
        <v>0</v>
      </c>
    </row>
    <row r="10" spans="3:14" x14ac:dyDescent="0.25">
      <c r="D10" s="5" t="s">
        <v>81</v>
      </c>
      <c r="E10" s="5"/>
      <c r="F10" s="5"/>
      <c r="G10" s="5">
        <f t="shared" si="0"/>
        <v>0</v>
      </c>
      <c r="H10" s="5" t="s">
        <v>93</v>
      </c>
      <c r="I10" s="5"/>
      <c r="J10" s="5"/>
      <c r="K10" s="5">
        <f t="shared" si="1"/>
        <v>0</v>
      </c>
      <c r="L10" s="5"/>
      <c r="M10" s="5"/>
      <c r="N10" s="5">
        <f t="shared" si="2"/>
        <v>0</v>
      </c>
    </row>
    <row r="11" spans="3:14" x14ac:dyDescent="0.25">
      <c r="D11" s="5"/>
      <c r="E11" s="5"/>
      <c r="F11" s="5"/>
      <c r="G11" s="5">
        <f t="shared" si="0"/>
        <v>0</v>
      </c>
      <c r="H11" s="5" t="s">
        <v>94</v>
      </c>
      <c r="I11" s="5"/>
      <c r="J11" s="5"/>
      <c r="K11" s="5">
        <f t="shared" si="1"/>
        <v>0</v>
      </c>
      <c r="L11" s="5"/>
      <c r="M11" s="5"/>
      <c r="N11" s="5">
        <f t="shared" si="2"/>
        <v>0</v>
      </c>
    </row>
    <row r="12" spans="3:14" x14ac:dyDescent="0.25">
      <c r="D12" s="5"/>
      <c r="E12" s="5"/>
      <c r="F12" s="5"/>
      <c r="G12" s="5">
        <f t="shared" si="0"/>
        <v>0</v>
      </c>
      <c r="H12" s="5"/>
      <c r="I12" s="5"/>
      <c r="J12" s="5"/>
      <c r="K12" s="5">
        <f t="shared" si="1"/>
        <v>0</v>
      </c>
      <c r="L12" s="5"/>
      <c r="M12" s="5"/>
      <c r="N12" s="5">
        <f t="shared" si="2"/>
        <v>0</v>
      </c>
    </row>
    <row r="13" spans="3:14" x14ac:dyDescent="0.25">
      <c r="D13" s="5"/>
      <c r="E13" s="5"/>
      <c r="F13" s="5"/>
      <c r="G13" s="5">
        <f t="shared" si="0"/>
        <v>0</v>
      </c>
      <c r="H13" s="5"/>
      <c r="I13" s="5"/>
      <c r="J13" s="5"/>
      <c r="K13" s="5">
        <f t="shared" si="1"/>
        <v>0</v>
      </c>
      <c r="L13" s="5"/>
      <c r="M13" s="5"/>
      <c r="N13" s="5">
        <f t="shared" si="2"/>
        <v>0</v>
      </c>
    </row>
    <row r="14" spans="3:14" x14ac:dyDescent="0.25">
      <c r="D14" s="5" t="s">
        <v>79</v>
      </c>
      <c r="E14" s="5"/>
      <c r="F14" s="5"/>
      <c r="G14" s="5">
        <f t="shared" si="0"/>
        <v>0</v>
      </c>
      <c r="H14" s="5" t="s">
        <v>93</v>
      </c>
      <c r="I14" s="5"/>
      <c r="J14" s="5"/>
      <c r="K14" s="5">
        <f t="shared" si="1"/>
        <v>0</v>
      </c>
      <c r="L14" s="5"/>
      <c r="M14" s="5"/>
      <c r="N14" s="5">
        <f t="shared" si="2"/>
        <v>0</v>
      </c>
    </row>
    <row r="15" spans="3:14" x14ac:dyDescent="0.25">
      <c r="D15" s="5"/>
      <c r="E15" s="5"/>
      <c r="F15" s="5"/>
      <c r="G15" s="5">
        <f t="shared" si="0"/>
        <v>0</v>
      </c>
      <c r="H15" s="5" t="s">
        <v>94</v>
      </c>
      <c r="I15" s="5"/>
      <c r="J15" s="5"/>
      <c r="K15" s="5">
        <f t="shared" si="1"/>
        <v>0</v>
      </c>
      <c r="L15" s="5"/>
      <c r="M15" s="5"/>
      <c r="N15" s="5">
        <f t="shared" si="2"/>
        <v>0</v>
      </c>
    </row>
    <row r="16" spans="3:14" x14ac:dyDescent="0.25">
      <c r="D16" s="5"/>
      <c r="E16" s="5"/>
      <c r="F16" s="5"/>
      <c r="G16" s="5">
        <f t="shared" si="0"/>
        <v>0</v>
      </c>
      <c r="H16" s="5"/>
      <c r="I16" s="5"/>
      <c r="J16" s="5"/>
      <c r="K16" s="5">
        <f t="shared" si="1"/>
        <v>0</v>
      </c>
      <c r="L16" s="5"/>
      <c r="M16" s="5"/>
      <c r="N16" s="5">
        <f t="shared" si="2"/>
        <v>0</v>
      </c>
    </row>
    <row r="17" spans="4:14" x14ac:dyDescent="0.25">
      <c r="D17" s="5"/>
      <c r="E17" s="5"/>
      <c r="F17" s="5"/>
      <c r="G17" s="5">
        <f t="shared" si="0"/>
        <v>0</v>
      </c>
      <c r="H17" s="5"/>
      <c r="I17" s="5"/>
      <c r="J17" s="5"/>
      <c r="K17" s="5">
        <f t="shared" si="1"/>
        <v>0</v>
      </c>
      <c r="L17" s="5"/>
      <c r="M17" s="5"/>
      <c r="N17" s="5">
        <f t="shared" si="2"/>
        <v>0</v>
      </c>
    </row>
    <row r="18" spans="4:14" x14ac:dyDescent="0.25">
      <c r="D18" s="5" t="s">
        <v>80</v>
      </c>
      <c r="E18" s="5"/>
      <c r="F18" s="5"/>
      <c r="G18" s="5">
        <f t="shared" si="0"/>
        <v>0</v>
      </c>
      <c r="H18" s="5" t="s">
        <v>93</v>
      </c>
      <c r="I18" s="5"/>
      <c r="J18" s="5"/>
      <c r="K18" s="5">
        <f t="shared" si="1"/>
        <v>0</v>
      </c>
      <c r="L18" s="5"/>
      <c r="M18" s="5"/>
      <c r="N18" s="5">
        <f t="shared" si="2"/>
        <v>0</v>
      </c>
    </row>
    <row r="19" spans="4:14" x14ac:dyDescent="0.25">
      <c r="D19" s="5"/>
      <c r="E19" s="5"/>
      <c r="F19" s="5"/>
      <c r="G19" s="5">
        <f t="shared" si="0"/>
        <v>0</v>
      </c>
      <c r="H19" s="5" t="s">
        <v>94</v>
      </c>
      <c r="I19" s="5"/>
      <c r="J19" s="5"/>
      <c r="K19" s="5">
        <f t="shared" si="1"/>
        <v>0</v>
      </c>
      <c r="L19" s="5"/>
      <c r="M19" s="5"/>
      <c r="N19" s="5">
        <f t="shared" si="2"/>
        <v>0</v>
      </c>
    </row>
    <row r="20" spans="4:14" x14ac:dyDescent="0.25">
      <c r="D20" s="5"/>
      <c r="E20" s="5"/>
      <c r="F20" s="5"/>
      <c r="G20" s="5">
        <f t="shared" si="0"/>
        <v>0</v>
      </c>
      <c r="H20" s="5"/>
      <c r="I20" s="5"/>
      <c r="J20" s="5"/>
      <c r="K20" s="5">
        <f t="shared" si="1"/>
        <v>0</v>
      </c>
      <c r="L20" s="5"/>
      <c r="M20" s="5"/>
      <c r="N20" s="5">
        <f t="shared" si="2"/>
        <v>0</v>
      </c>
    </row>
    <row r="21" spans="4:14" x14ac:dyDescent="0.25">
      <c r="D21" s="5" t="s">
        <v>80</v>
      </c>
      <c r="E21" s="5"/>
      <c r="F21" s="5"/>
      <c r="G21" s="5">
        <f t="shared" si="0"/>
        <v>0</v>
      </c>
      <c r="H21" s="5" t="s">
        <v>93</v>
      </c>
      <c r="I21" s="5"/>
      <c r="J21" s="5"/>
      <c r="K21" s="5">
        <f t="shared" si="1"/>
        <v>0</v>
      </c>
      <c r="L21" s="5"/>
      <c r="M21" s="5"/>
      <c r="N21" s="5">
        <f t="shared" si="2"/>
        <v>0</v>
      </c>
    </row>
    <row r="22" spans="4:14" x14ac:dyDescent="0.25">
      <c r="D22" s="5"/>
      <c r="E22" s="5"/>
      <c r="F22" s="5"/>
      <c r="G22" s="5">
        <f t="shared" si="0"/>
        <v>0</v>
      </c>
      <c r="H22" s="5" t="s">
        <v>94</v>
      </c>
      <c r="I22" s="5"/>
      <c r="J22" s="5"/>
      <c r="K22" s="5">
        <f t="shared" si="1"/>
        <v>0</v>
      </c>
      <c r="L22" s="5"/>
      <c r="M22" s="5"/>
      <c r="N22" s="5">
        <f t="shared" si="2"/>
        <v>0</v>
      </c>
    </row>
    <row r="23" spans="4:14" x14ac:dyDescent="0.25">
      <c r="D23" s="5"/>
      <c r="E23" s="5"/>
      <c r="F23" s="5"/>
      <c r="G23" s="5">
        <f t="shared" si="0"/>
        <v>0</v>
      </c>
      <c r="H23" s="5"/>
      <c r="I23" s="5"/>
      <c r="J23" s="5"/>
      <c r="K23" s="5">
        <f t="shared" si="1"/>
        <v>0</v>
      </c>
      <c r="L23" s="5"/>
      <c r="M23" s="5"/>
      <c r="N23" s="5">
        <f t="shared" si="2"/>
        <v>0</v>
      </c>
    </row>
    <row r="24" spans="4:14" x14ac:dyDescent="0.25">
      <c r="D24" s="5" t="s">
        <v>86</v>
      </c>
      <c r="E24" s="5"/>
      <c r="F24" s="5"/>
      <c r="G24" s="5">
        <f t="shared" si="0"/>
        <v>0</v>
      </c>
      <c r="H24" s="5" t="s">
        <v>95</v>
      </c>
      <c r="I24" s="5"/>
      <c r="J24" s="5"/>
      <c r="K24" s="5">
        <f t="shared" si="1"/>
        <v>0</v>
      </c>
      <c r="L24" s="5"/>
      <c r="M24" s="5"/>
      <c r="N24" s="5">
        <f t="shared" si="2"/>
        <v>0</v>
      </c>
    </row>
    <row r="25" spans="4:14" x14ac:dyDescent="0.25">
      <c r="D25" s="5" t="s">
        <v>87</v>
      </c>
      <c r="E25" s="5"/>
      <c r="F25" s="5"/>
      <c r="G25" s="5">
        <f t="shared" si="0"/>
        <v>0</v>
      </c>
      <c r="H25" s="5" t="s">
        <v>95</v>
      </c>
      <c r="I25" s="5"/>
      <c r="J25" s="5"/>
      <c r="K25" s="5">
        <f t="shared" si="1"/>
        <v>0</v>
      </c>
      <c r="L25" s="5"/>
      <c r="M25" s="5"/>
      <c r="N25" s="5">
        <f t="shared" si="2"/>
        <v>0</v>
      </c>
    </row>
    <row r="26" spans="4:14" x14ac:dyDescent="0.25">
      <c r="D26" s="5" t="s">
        <v>88</v>
      </c>
      <c r="E26" s="5"/>
      <c r="F26" s="5"/>
      <c r="G26" s="5">
        <f t="shared" si="0"/>
        <v>0</v>
      </c>
      <c r="H26" s="5" t="s">
        <v>95</v>
      </c>
      <c r="I26" s="5"/>
      <c r="J26" s="5"/>
      <c r="K26" s="5">
        <f t="shared" si="1"/>
        <v>0</v>
      </c>
      <c r="L26" s="5"/>
      <c r="M26" s="5"/>
      <c r="N26" s="5">
        <f t="shared" si="2"/>
        <v>0</v>
      </c>
    </row>
    <row r="27" spans="4:14" x14ac:dyDescent="0.25">
      <c r="D27" s="5"/>
      <c r="E27" s="5"/>
      <c r="F27" s="5"/>
      <c r="G27" s="5">
        <f t="shared" si="0"/>
        <v>0</v>
      </c>
      <c r="H27" s="5"/>
      <c r="I27" s="5"/>
      <c r="J27" s="5"/>
      <c r="K27" s="5">
        <f t="shared" si="1"/>
        <v>0</v>
      </c>
      <c r="L27" s="5"/>
      <c r="M27" s="5"/>
      <c r="N27" s="5">
        <f t="shared" si="2"/>
        <v>0</v>
      </c>
    </row>
    <row r="28" spans="4:14" x14ac:dyDescent="0.25">
      <c r="D28" s="5" t="s">
        <v>82</v>
      </c>
      <c r="E28" s="5"/>
      <c r="F28" s="5"/>
      <c r="G28" s="5">
        <f t="shared" si="0"/>
        <v>0</v>
      </c>
      <c r="H28" s="5"/>
      <c r="I28" s="5"/>
      <c r="J28" s="5"/>
      <c r="K28" s="5">
        <f t="shared" si="1"/>
        <v>0</v>
      </c>
      <c r="L28" s="5"/>
      <c r="M28" s="5"/>
      <c r="N28" s="5">
        <f t="shared" si="2"/>
        <v>0</v>
      </c>
    </row>
    <row r="29" spans="4:14" x14ac:dyDescent="0.25">
      <c r="D29" s="5" t="s">
        <v>83</v>
      </c>
      <c r="E29" s="5"/>
      <c r="F29" s="5"/>
      <c r="G29" s="5">
        <f t="shared" si="0"/>
        <v>0</v>
      </c>
      <c r="H29" s="5"/>
      <c r="I29" s="5"/>
      <c r="J29" s="5"/>
      <c r="K29" s="5">
        <f t="shared" si="1"/>
        <v>0</v>
      </c>
      <c r="L29" s="5"/>
      <c r="M29" s="5"/>
      <c r="N29" s="5">
        <f t="shared" si="2"/>
        <v>0</v>
      </c>
    </row>
    <row r="30" spans="4:14" x14ac:dyDescent="0.25">
      <c r="D30" s="5" t="s">
        <v>84</v>
      </c>
      <c r="E30" s="5"/>
      <c r="F30" s="5"/>
      <c r="G30" s="5">
        <f t="shared" si="0"/>
        <v>0</v>
      </c>
      <c r="H30" s="5"/>
      <c r="I30" s="5"/>
      <c r="J30" s="5"/>
      <c r="K30" s="5">
        <f t="shared" si="1"/>
        <v>0</v>
      </c>
      <c r="L30" s="5"/>
      <c r="M30" s="5"/>
      <c r="N30" s="5">
        <f t="shared" si="2"/>
        <v>0</v>
      </c>
    </row>
    <row r="31" spans="4:14" x14ac:dyDescent="0.25">
      <c r="D31" s="5" t="s">
        <v>85</v>
      </c>
      <c r="E31" s="5"/>
      <c r="F31" s="5"/>
      <c r="G31" s="5">
        <f t="shared" si="0"/>
        <v>0</v>
      </c>
      <c r="H31" s="5"/>
      <c r="I31" s="5"/>
      <c r="J31" s="5"/>
      <c r="K31" s="5">
        <f t="shared" si="1"/>
        <v>0</v>
      </c>
      <c r="L31" s="5"/>
      <c r="M31" s="5"/>
      <c r="N31" s="5">
        <f t="shared" si="2"/>
        <v>0</v>
      </c>
    </row>
    <row r="32" spans="4:14" x14ac:dyDescent="0.25">
      <c r="D32" s="5"/>
      <c r="E32" s="5"/>
      <c r="F32" s="5"/>
      <c r="G32" s="5">
        <f t="shared" si="0"/>
        <v>0</v>
      </c>
      <c r="H32" s="5"/>
      <c r="I32" s="5"/>
      <c r="J32" s="5"/>
      <c r="K32" s="5">
        <f t="shared" si="1"/>
        <v>0</v>
      </c>
      <c r="L32" s="5"/>
      <c r="M32" s="5"/>
      <c r="N32" s="5">
        <f t="shared" si="2"/>
        <v>0</v>
      </c>
    </row>
    <row r="33" spans="4:14" x14ac:dyDescent="0.25">
      <c r="D33" s="5"/>
      <c r="E33" s="5"/>
      <c r="F33" s="5"/>
      <c r="G33" s="5">
        <f t="shared" si="0"/>
        <v>0</v>
      </c>
      <c r="H33" s="5"/>
      <c r="I33" s="5"/>
      <c r="J33" s="5"/>
      <c r="K33" s="5">
        <f t="shared" si="1"/>
        <v>0</v>
      </c>
      <c r="L33" s="5"/>
      <c r="M33" s="5"/>
      <c r="N33" s="5">
        <f t="shared" si="2"/>
        <v>0</v>
      </c>
    </row>
    <row r="34" spans="4:14" x14ac:dyDescent="0.25">
      <c r="D34" s="5"/>
      <c r="E34" s="5"/>
      <c r="F34" s="5"/>
      <c r="G34" s="5">
        <f t="shared" si="0"/>
        <v>0</v>
      </c>
      <c r="H34" s="5"/>
      <c r="I34" s="5"/>
      <c r="J34" s="5"/>
      <c r="K34" s="5">
        <f t="shared" si="1"/>
        <v>0</v>
      </c>
      <c r="L34" s="5"/>
      <c r="M34" s="5"/>
      <c r="N34" s="5">
        <f t="shared" si="2"/>
        <v>0</v>
      </c>
    </row>
    <row r="35" spans="4:14" x14ac:dyDescent="0.25">
      <c r="D35" s="5" t="s">
        <v>89</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if Stilt - C%</vt:lpstr>
      <vt:lpstr>if Ground - C%</vt:lpstr>
      <vt:lpstr>Wing A</vt:lpstr>
      <vt:lpstr>Wing B</vt:lpstr>
      <vt:lpstr>Wing C</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Welcome</cp:lastModifiedBy>
  <cp:lastPrinted>2025-09-17T18:07:05Z</cp:lastPrinted>
  <dcterms:created xsi:type="dcterms:W3CDTF">2013-11-23T05:32:33Z</dcterms:created>
  <dcterms:modified xsi:type="dcterms:W3CDTF">2025-09-17T18:07:42Z</dcterms:modified>
</cp:coreProperties>
</file>