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Research" sheetId="4" r:id="rId2"/>
    <sheet name="valuation" sheetId="5" r:id="rId3"/>
    <sheet name="Area Calculation" sheetId="7" r:id="rId4"/>
    <sheet name="Remarks" sheetId="6" r:id="rId5"/>
  </sheets>
  <definedNames>
    <definedName name="_xlnm.Print_Area" localSheetId="0">Report!$A$1:$H$473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5" i="1" l="1"/>
  <c r="J211" i="1"/>
  <c r="J210" i="1"/>
  <c r="I211" i="1"/>
  <c r="I210" i="1"/>
  <c r="J152" i="1"/>
  <c r="J142" i="1" l="1"/>
  <c r="E224" i="1"/>
  <c r="E211" i="1"/>
  <c r="E210" i="1"/>
  <c r="E222" i="1"/>
  <c r="E216" i="1"/>
  <c r="E217" i="1"/>
  <c r="D224" i="1"/>
  <c r="D222" i="1"/>
  <c r="D220" i="1"/>
  <c r="D219" i="1"/>
  <c r="D218" i="1"/>
  <c r="F218" i="1" s="1"/>
  <c r="H218" i="1" s="1"/>
  <c r="D217" i="1"/>
  <c r="D216" i="1"/>
  <c r="F216" i="1" s="1"/>
  <c r="H216" i="1" s="1"/>
  <c r="D214" i="1"/>
  <c r="F214" i="1" s="1"/>
  <c r="H214" i="1" s="1"/>
  <c r="D213" i="1"/>
  <c r="F213" i="1" s="1"/>
  <c r="H213" i="1" s="1"/>
  <c r="D212" i="1"/>
  <c r="D211" i="1"/>
  <c r="D210" i="1"/>
  <c r="D208" i="1"/>
  <c r="D207" i="1"/>
  <c r="F207" i="1" s="1"/>
  <c r="H207" i="1" s="1"/>
  <c r="D206" i="1"/>
  <c r="F206" i="1" s="1"/>
  <c r="H206" i="1" s="1"/>
  <c r="D205" i="1"/>
  <c r="F205" i="1" s="1"/>
  <c r="H205" i="1" s="1"/>
  <c r="D204" i="1"/>
  <c r="F204" i="1" s="1"/>
  <c r="H204" i="1" s="1"/>
  <c r="D202" i="1"/>
  <c r="D201" i="1"/>
  <c r="D200" i="1"/>
  <c r="D199" i="1"/>
  <c r="D198" i="1"/>
  <c r="F198" i="1" s="1"/>
  <c r="H198" i="1" s="1"/>
  <c r="D196" i="1"/>
  <c r="F196" i="1" s="1"/>
  <c r="H196" i="1" s="1"/>
  <c r="D195" i="1"/>
  <c r="F195" i="1" s="1"/>
  <c r="H195" i="1" s="1"/>
  <c r="D194" i="1"/>
  <c r="F194" i="1" s="1"/>
  <c r="H194" i="1" s="1"/>
  <c r="D193" i="1"/>
  <c r="D192" i="1"/>
  <c r="D190" i="1"/>
  <c r="D189" i="1"/>
  <c r="F189" i="1" s="1"/>
  <c r="H189" i="1" s="1"/>
  <c r="D188" i="1"/>
  <c r="F188" i="1" s="1"/>
  <c r="H188" i="1" s="1"/>
  <c r="D187" i="1"/>
  <c r="D186" i="1"/>
  <c r="F186" i="1" s="1"/>
  <c r="H186" i="1" s="1"/>
  <c r="D184" i="1"/>
  <c r="F184" i="1" s="1"/>
  <c r="H184" i="1" s="1"/>
  <c r="D183" i="1"/>
  <c r="D182" i="1"/>
  <c r="F182" i="1" s="1"/>
  <c r="H182" i="1" s="1"/>
  <c r="D181" i="1"/>
  <c r="D180" i="1"/>
  <c r="D178" i="1"/>
  <c r="F178" i="1" s="1"/>
  <c r="H178" i="1" s="1"/>
  <c r="D177" i="1"/>
  <c r="F177" i="1" s="1"/>
  <c r="H177" i="1" s="1"/>
  <c r="D176" i="1"/>
  <c r="F176" i="1" s="1"/>
  <c r="H176" i="1" s="1"/>
  <c r="D175" i="1"/>
  <c r="F175" i="1" s="1"/>
  <c r="H175" i="1" s="1"/>
  <c r="D174" i="1"/>
  <c r="D172" i="1"/>
  <c r="D171" i="1"/>
  <c r="D170" i="1"/>
  <c r="D169" i="1"/>
  <c r="D168" i="1"/>
  <c r="D166" i="1"/>
  <c r="F166" i="1" s="1"/>
  <c r="H166" i="1" s="1"/>
  <c r="D165" i="1"/>
  <c r="F165" i="1" s="1"/>
  <c r="H165" i="1" s="1"/>
  <c r="D164" i="1"/>
  <c r="F164" i="1" s="1"/>
  <c r="H164" i="1" s="1"/>
  <c r="D163" i="1"/>
  <c r="F163" i="1" s="1"/>
  <c r="H163" i="1" s="1"/>
  <c r="D162" i="1"/>
  <c r="D160" i="1"/>
  <c r="D159" i="1"/>
  <c r="F159" i="1" s="1"/>
  <c r="H159" i="1" s="1"/>
  <c r="D158" i="1"/>
  <c r="F158" i="1" s="1"/>
  <c r="H158" i="1" s="1"/>
  <c r="D157" i="1"/>
  <c r="F157" i="1" s="1"/>
  <c r="H157" i="1" s="1"/>
  <c r="D155" i="1"/>
  <c r="F155" i="1" s="1"/>
  <c r="H155" i="1" s="1"/>
  <c r="L109" i="1" s="1"/>
  <c r="D154" i="1"/>
  <c r="D153" i="1"/>
  <c r="D152" i="1"/>
  <c r="I224" i="1"/>
  <c r="F222" i="1"/>
  <c r="H222" i="1" s="1"/>
  <c r="I217" i="1"/>
  <c r="I205" i="1"/>
  <c r="I198" i="1"/>
  <c r="I183" i="1"/>
  <c r="I164" i="1"/>
  <c r="I154" i="1"/>
  <c r="I152" i="1"/>
  <c r="F208" i="1"/>
  <c r="H208" i="1" s="1"/>
  <c r="F199" i="1"/>
  <c r="H199" i="1" s="1"/>
  <c r="F200" i="1"/>
  <c r="H200" i="1" s="1"/>
  <c r="A224" i="1"/>
  <c r="F220" i="1"/>
  <c r="H220" i="1" s="1"/>
  <c r="F219" i="1"/>
  <c r="H219" i="1" s="1"/>
  <c r="A217" i="1"/>
  <c r="A218" i="1" s="1"/>
  <c r="A219" i="1" s="1"/>
  <c r="A220" i="1" s="1"/>
  <c r="F212" i="1"/>
  <c r="H212" i="1" s="1"/>
  <c r="A211" i="1"/>
  <c r="A212" i="1" s="1"/>
  <c r="A213" i="1" s="1"/>
  <c r="A214" i="1" s="1"/>
  <c r="F210" i="1"/>
  <c r="H210" i="1" s="1"/>
  <c r="A205" i="1"/>
  <c r="A206" i="1" s="1"/>
  <c r="A207" i="1" s="1"/>
  <c r="A208" i="1" s="1"/>
  <c r="A199" i="1"/>
  <c r="A200" i="1" s="1"/>
  <c r="A201" i="1" s="1"/>
  <c r="A202" i="1" s="1"/>
  <c r="F202" i="1"/>
  <c r="H202" i="1" s="1"/>
  <c r="F201" i="1"/>
  <c r="H201" i="1" s="1"/>
  <c r="F193" i="1"/>
  <c r="H193" i="1" s="1"/>
  <c r="A193" i="1"/>
  <c r="A194" i="1" s="1"/>
  <c r="A195" i="1" s="1"/>
  <c r="A196" i="1" s="1"/>
  <c r="F192" i="1"/>
  <c r="H192" i="1" s="1"/>
  <c r="F190" i="1"/>
  <c r="H190" i="1" s="1"/>
  <c r="F187" i="1"/>
  <c r="H187" i="1" s="1"/>
  <c r="A187" i="1"/>
  <c r="A188" i="1" s="1"/>
  <c r="A189" i="1" s="1"/>
  <c r="A190" i="1" s="1"/>
  <c r="F183" i="1"/>
  <c r="H183" i="1" s="1"/>
  <c r="F181" i="1"/>
  <c r="H181" i="1" s="1"/>
  <c r="A181" i="1"/>
  <c r="A182" i="1" s="1"/>
  <c r="A183" i="1" s="1"/>
  <c r="A184" i="1" s="1"/>
  <c r="F180" i="1"/>
  <c r="H180" i="1" s="1"/>
  <c r="A175" i="1"/>
  <c r="A176" i="1" s="1"/>
  <c r="A177" i="1" s="1"/>
  <c r="A178" i="1" s="1"/>
  <c r="F174" i="1"/>
  <c r="H174" i="1" s="1"/>
  <c r="F160" i="1"/>
  <c r="H160" i="1" s="1"/>
  <c r="A158" i="1"/>
  <c r="A159" i="1" s="1"/>
  <c r="A160" i="1" s="1"/>
  <c r="F154" i="1"/>
  <c r="H154" i="1" s="1"/>
  <c r="L111" i="1" s="1"/>
  <c r="F153" i="1"/>
  <c r="H153" i="1" s="1"/>
  <c r="L110" i="1" s="1"/>
  <c r="F152" i="1"/>
  <c r="H152" i="1" s="1"/>
  <c r="A153" i="1"/>
  <c r="A154" i="1" s="1"/>
  <c r="A155" i="1" s="1"/>
  <c r="F162" i="1"/>
  <c r="H162" i="1" s="1"/>
  <c r="A163" i="1"/>
  <c r="A164" i="1" s="1"/>
  <c r="A165" i="1" s="1"/>
  <c r="A166" i="1" s="1"/>
  <c r="E43" i="1"/>
  <c r="C127" i="1" l="1"/>
  <c r="F211" i="1"/>
  <c r="H211" i="1" s="1"/>
  <c r="F224" i="1"/>
  <c r="H224" i="1" s="1"/>
  <c r="F217" i="1"/>
  <c r="H217" i="1" s="1"/>
  <c r="F136" i="1"/>
  <c r="H136"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74" i="1"/>
  <c r="B246" i="1"/>
  <c r="B245" i="1"/>
  <c r="F242" i="1"/>
  <c r="H242" i="1" s="1"/>
  <c r="F241" i="1"/>
  <c r="H241" i="1" s="1"/>
  <c r="F240" i="1"/>
  <c r="H240" i="1" s="1"/>
  <c r="F239" i="1"/>
  <c r="H239" i="1" s="1"/>
  <c r="F238" i="1"/>
  <c r="H238" i="1" s="1"/>
  <c r="F236" i="1"/>
  <c r="H236" i="1" s="1"/>
  <c r="F235" i="1"/>
  <c r="H235" i="1" s="1"/>
  <c r="F234" i="1"/>
  <c r="H234" i="1" s="1"/>
  <c r="F233" i="1"/>
  <c r="H233" i="1" s="1"/>
  <c r="F232" i="1"/>
  <c r="H232" i="1" s="1"/>
  <c r="F230" i="1"/>
  <c r="H230" i="1" s="1"/>
  <c r="F229" i="1"/>
  <c r="H229" i="1" s="1"/>
  <c r="F228" i="1"/>
  <c r="H228" i="1" s="1"/>
  <c r="F227" i="1"/>
  <c r="H227" i="1" s="1"/>
  <c r="F226" i="1"/>
  <c r="H226" i="1" s="1"/>
  <c r="F172" i="1"/>
  <c r="H172" i="1" s="1"/>
  <c r="F171" i="1"/>
  <c r="H171" i="1" s="1"/>
  <c r="F170" i="1"/>
  <c r="H170" i="1" s="1"/>
  <c r="F169" i="1"/>
  <c r="H169" i="1" s="1"/>
  <c r="F168" i="1"/>
  <c r="A169" i="1"/>
  <c r="A170" i="1" s="1"/>
  <c r="A171" i="1" s="1"/>
  <c r="A172" i="1" s="1"/>
  <c r="F150" i="1"/>
  <c r="H150" i="1" s="1"/>
  <c r="F149" i="1"/>
  <c r="H149" i="1" s="1"/>
  <c r="F148" i="1"/>
  <c r="H148" i="1" s="1"/>
  <c r="A148" i="1"/>
  <c r="A149" i="1" s="1"/>
  <c r="A150" i="1" s="1"/>
  <c r="F147" i="1"/>
  <c r="H147" i="1" s="1"/>
  <c r="F139" i="1"/>
  <c r="H139" i="1" s="1"/>
  <c r="F138" i="1"/>
  <c r="H138" i="1" s="1"/>
  <c r="F137" i="1"/>
  <c r="H137" i="1" s="1"/>
  <c r="A137" i="1"/>
  <c r="A138" i="1" s="1"/>
  <c r="A139" i="1" s="1"/>
  <c r="G130" i="1"/>
  <c r="E130" i="1"/>
  <c r="C130" i="1"/>
  <c r="F119" i="1"/>
  <c r="C93" i="1"/>
  <c r="C79" i="1"/>
  <c r="B80" i="1" s="1"/>
  <c r="D73" i="1"/>
  <c r="D66" i="1"/>
  <c r="G60" i="1"/>
  <c r="C60" i="1"/>
  <c r="K58" i="1"/>
  <c r="G51" i="1"/>
  <c r="C51" i="1"/>
  <c r="E44" i="1"/>
  <c r="E45" i="1" s="1"/>
  <c r="S33" i="1"/>
  <c r="E31" i="1"/>
  <c r="E28" i="1"/>
  <c r="E26" i="1"/>
  <c r="C16" i="1"/>
  <c r="I15" i="1"/>
  <c r="Z13" i="1"/>
  <c r="E8" i="1"/>
  <c r="E3" i="1"/>
  <c r="B256" i="1" s="1"/>
  <c r="A232" i="1"/>
  <c r="H94" i="1"/>
  <c r="A226" i="1"/>
  <c r="H80" i="1"/>
  <c r="A238" i="1"/>
  <c r="E42" i="7" l="1"/>
  <c r="H168" i="1"/>
  <c r="G127" i="1" s="1"/>
  <c r="E127" i="1"/>
  <c r="J87" i="1"/>
  <c r="J88" i="1"/>
  <c r="I42" i="7"/>
  <c r="H42" i="7" s="1"/>
  <c r="L42" i="7"/>
  <c r="K42" i="7" s="1"/>
  <c r="J93" i="1"/>
  <c r="J95" i="1" s="1"/>
  <c r="D102" i="1"/>
  <c r="D101" i="1"/>
  <c r="D106" i="1"/>
  <c r="D100" i="1"/>
  <c r="J96" i="1"/>
  <c r="D105" i="1"/>
  <c r="J98" i="1"/>
  <c r="C97" i="1" s="1"/>
  <c r="D99" i="1"/>
  <c r="D104" i="1"/>
  <c r="J97" i="1"/>
  <c r="D103" i="1"/>
  <c r="D88" i="1"/>
  <c r="J82" i="1"/>
  <c r="D87" i="1"/>
  <c r="D92" i="1"/>
  <c r="D86" i="1"/>
  <c r="D91" i="1"/>
  <c r="D85" i="1"/>
  <c r="J84" i="1"/>
  <c r="C83" i="1" s="1"/>
  <c r="D90" i="1"/>
  <c r="D89" i="1"/>
  <c r="J83" i="1"/>
  <c r="J79" i="1"/>
  <c r="J81" i="1" s="1"/>
  <c r="D42" i="7"/>
  <c r="L58" i="1"/>
  <c r="B94" i="1"/>
  <c r="J89" i="1"/>
  <c r="J90" i="1"/>
  <c r="I56" i="1"/>
  <c r="J85" i="1"/>
  <c r="J86" i="1" s="1"/>
  <c r="J91" i="1" s="1"/>
  <c r="J92" i="1" s="1"/>
  <c r="C84" i="1" s="1"/>
  <c r="A239" i="1"/>
  <c r="A227" i="1"/>
  <c r="A233" i="1"/>
  <c r="D44" i="7" l="1"/>
  <c r="E44" i="7"/>
  <c r="E83" i="1"/>
  <c r="D84" i="1"/>
  <c r="G83" i="1"/>
  <c r="D77" i="1" s="1"/>
  <c r="D83" i="1"/>
  <c r="D97" i="1"/>
  <c r="J102" i="1"/>
  <c r="J99" i="1"/>
  <c r="J100" i="1" s="1"/>
  <c r="J105" i="1" s="1"/>
  <c r="J106" i="1" s="1"/>
  <c r="C98" i="1" s="1"/>
  <c r="J104" i="1"/>
  <c r="J101" i="1"/>
  <c r="J103" i="1"/>
  <c r="A240" i="1"/>
  <c r="A228" i="1"/>
  <c r="A234" i="1"/>
  <c r="I80" i="1" l="1"/>
  <c r="I81" i="1" s="1"/>
  <c r="J80" i="1"/>
  <c r="E97" i="1"/>
  <c r="D98" i="1"/>
  <c r="I94" i="1" s="1"/>
  <c r="J94" i="1"/>
  <c r="G97" i="1"/>
  <c r="D78" i="1"/>
  <c r="F78" i="1"/>
  <c r="A241" i="1"/>
  <c r="A235" i="1"/>
  <c r="A229" i="1"/>
  <c r="I79" i="1" l="1"/>
  <c r="C81" i="1" s="1"/>
  <c r="I95" i="1"/>
  <c r="I93" i="1" s="1"/>
  <c r="C95" i="1" s="1"/>
  <c r="A236" i="1"/>
  <c r="A242" i="1"/>
  <c r="A230"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9" authorId="1">
      <text>
        <r>
          <rPr>
            <b/>
            <sz val="9"/>
            <color indexed="81"/>
            <rFont val="Tahoma"/>
            <family val="2"/>
          </rPr>
          <t>SACHIN:</t>
        </r>
        <r>
          <rPr>
            <sz val="9"/>
            <color indexed="81"/>
            <rFont val="Tahoma"/>
            <family val="2"/>
          </rPr>
          <t xml:space="preserve">
Floor with height</t>
        </r>
      </text>
    </comment>
    <comment ref="C61" authorId="1">
      <text>
        <r>
          <rPr>
            <b/>
            <sz val="9"/>
            <color indexed="81"/>
            <rFont val="Tahoma"/>
            <family val="2"/>
          </rPr>
          <t>SACHIN:</t>
        </r>
        <r>
          <rPr>
            <sz val="9"/>
            <color indexed="81"/>
            <rFont val="Tahoma"/>
            <family val="2"/>
          </rPr>
          <t xml:space="preserve">
Survey Nos.</t>
        </r>
      </text>
    </comment>
    <comment ref="C63" authorId="1">
      <text>
        <r>
          <rPr>
            <b/>
            <sz val="9"/>
            <color indexed="81"/>
            <rFont val="Tahoma"/>
            <family val="2"/>
          </rPr>
          <t>SACHIN:</t>
        </r>
        <r>
          <rPr>
            <sz val="9"/>
            <color indexed="81"/>
            <rFont val="Tahoma"/>
            <family val="2"/>
          </rPr>
          <t xml:space="preserve">
Height from AMSL</t>
        </r>
      </text>
    </comment>
    <comment ref="D66"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2"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<sst xmlns="http://schemas.openxmlformats.org/spreadsheetml/2006/main" count="751" uniqueCount="435">
  <si>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</si>
  <si>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</si>
  <si>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</si>
  <si>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</si>
  <si>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</si>
  <si>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</si>
  <si>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</si>
  <si>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</si>
  <si>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</si>
  <si>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</si>
  <si>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</si>
  <si>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</si>
  <si>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</si>
  <si>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</si>
  <si>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</si>
  <si>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</si>
  <si>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</si>
  <si>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</si>
  <si>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</si>
  <si>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</si>
  <si>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</si>
  <si>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</si>
  <si>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</si>
  <si>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</si>
  <si>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</si>
  <si>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</si>
  <si>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</si>
  <si>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</si>
  <si>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</si>
  <si>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</si>
  <si>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</si>
  <si>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</si>
  <si>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</si>
  <si>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</si>
  <si>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</si>
  <si>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</si>
  <si>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</si>
  <si>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</si>
  <si>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</si>
  <si>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</si>
  <si>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</si>
  <si>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</si>
  <si>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</si>
  <si>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</si>
  <si>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</si>
  <si>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</si>
  <si>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</si>
  <si>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</si>
  <si>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</si>
  <si>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</si>
  <si>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</si>
  <si>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</si>
  <si>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</si>
  <si>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</si>
  <si>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</si>
  <si>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</si>
  <si>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</si>
  <si>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</si>
  <si>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</si>
  <si>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</si>
  <si>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</si>
  <si>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</si>
  <si>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</si>
  <si>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</si>
  <si>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</si>
  <si>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</si>
  <si>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</si>
  <si>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</si>
  <si>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</si>
  <si>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</si>
  <si>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</si>
  <si>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</si>
  <si>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</si>
  <si>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</si>
  <si>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</si>
  <si>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</si>
  <si>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</si>
  <si>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</si>
  <si>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</si>
  <si>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</si>
  <si>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</si>
  <si>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</si>
  <si>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</si>
  <si>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</si>
  <si>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</si>
  <si>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</si>
  <si>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</si>
  <si>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</si>
  <si>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</si>
  <si>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</si>
  <si>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</si>
  <si>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</si>
  <si>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</si>
  <si>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</si>
  <si>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</si>
  <si>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</si>
  <si>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</si>
  <si>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</si>
  <si>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</si>
  <si>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</si>
  <si>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</si>
  <si>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</si>
  <si>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</si>
  <si>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</si>
  <si>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</si>
  <si>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</si>
  <si>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</si>
  <si>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</si>
  <si>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</si>
  <si>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</si>
  <si>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</si>
  <si>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</si>
  <si>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</si>
  <si>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</si>
  <si>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</si>
  <si>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</si>
  <si>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</si>
  <si>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</si>
  <si>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</si>
  <si>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</si>
  <si>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</si>
  <si>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</si>
  <si>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</si>
  <si>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</si>
  <si>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</si>
  <si>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</si>
  <si>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</si>
  <si>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</si>
  <si>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</si>
  <si>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</si>
  <si>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</si>
  <si>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</si>
  <si>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</si>
  <si>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</si>
  <si>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</si>
  <si>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</si>
  <si>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</si>
  <si>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</si>
  <si>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</si>
  <si>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</si>
  <si>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</si>
  <si>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</si>
  <si>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</si>
  <si>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</si>
  <si>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</si>
  <si>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</si>
  <si>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</si>
  <si>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</si>
  <si>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</si>
  <si>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</si>
  <si>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</si>
  <si>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</si>
  <si>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</si>
  <si>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</si>
  <si>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</si>
  <si>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</si>
  <si>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</si>
  <si>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</si>
  <si>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</si>
  <si>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</si>
  <si>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</si>
  <si>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</si>
  <si>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</si>
  <si>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</si>
  <si>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</si>
  <si>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</si>
  <si>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</si>
  <si>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</si>
  <si>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</si>
  <si>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</si>
  <si>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</si>
  <si>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</si>
  <si>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</si>
  <si>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</si>
  <si>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</si>
  <si>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</si>
  <si>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</si>
  <si>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</si>
  <si>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</si>
  <si>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</si>
  <si>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</si>
  <si>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</si>
  <si>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</si>
  <si>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</si>
  <si>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</si>
  <si>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</si>
  <si>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</si>
  <si>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</si>
  <si>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</si>
  <si>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</si>
  <si>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</si>
  <si>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</si>
  <si>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</si>
  <si>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</si>
  <si>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</si>
  <si>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</si>
  <si>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</si>
  <si>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</si>
  <si>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</si>
  <si>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</si>
  <si>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</si>
  <si>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</si>
  <si>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</si>
  <si>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</si>
  <si>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</si>
  <si>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</si>
  <si>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</si>
  <si>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</si>
  <si>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</si>
  <si>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</si>
  <si>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</si>
  <si>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</si>
  <si>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</si>
  <si>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</si>
  <si>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</si>
  <si>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</si>
  <si>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</si>
  <si>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</si>
  <si>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</si>
  <si>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</si>
  <si>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</si>
  <si>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</si>
  <si>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</si>
  <si>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</si>
  <si>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</si>
  <si>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</si>
  <si>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</si>
  <si>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</si>
  <si>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</si>
  <si>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</si>
  <si>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</si>
  <si>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</si>
  <si>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</si>
  <si>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</si>
  <si>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</si>
  <si>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</si>
  <si>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</si>
  <si>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</si>
  <si>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</si>
  <si>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</si>
  <si>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</si>
  <si>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</si>
  <si>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</si>
  <si>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</si>
  <si>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</si>
  <si>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</si>
  <si>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</si>
  <si>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</si>
  <si>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</si>
  <si>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</si>
  <si>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</si>
  <si>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</si>
  <si>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</si>
  <si>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</si>
  <si>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</si>
  <si>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</si>
  <si>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</si>
  <si>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</si>
  <si>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</si>
  <si>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</si>
  <si>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</si>
  <si>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</si>
  <si>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</si>
  <si>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</si>
  <si>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</si>
  <si>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</si>
  <si>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</si>
  <si>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</si>
  <si>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</si>
  <si>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</si>
  <si>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</si>
  <si>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</si>
  <si>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</si>
  <si>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</si>
  <si>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</si>
  <si>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</si>
  <si>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</si>
  <si>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</si>
  <si>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</si>
  <si>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</si>
  <si>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</si>
  <si>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</si>
  <si>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</si>
  <si>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</si>
  <si>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</si>
  <si>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</si>
  <si>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</si>
  <si>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</si>
  <si>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</si>
  <si>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</si>
  <si>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</si>
  <si>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</si>
  <si>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</si>
  <si>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</si>
  <si>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</si>
  <si>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</si>
  <si>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</si>
  <si>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</si>
  <si>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</si>
  <si>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</si>
  <si>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</si>
  <si>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</si>
  <si>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</si>
  <si>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</si>
  <si>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</si>
  <si>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</si>
  <si>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</si>
  <si>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</si>
  <si>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</si>
  <si>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</si>
  <si>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</si>
  <si>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</si>
  <si>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</si>
  <si>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</si>
  <si>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</si>
  <si>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</si>
  <si>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</si>
  <si>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</si>
  <si>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</si>
  <si>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</si>
  <si>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</si>
  <si>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</si>
  <si>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</si>
  <si>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</si>
  <si>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</si>
  <si>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</si>
  <si>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</si>
  <si>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</si>
  <si>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</si>
  <si>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</si>
  <si>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</si>
  <si>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</si>
  <si>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</si>
  <si>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</si>
  <si>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</si>
  <si>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</si>
  <si>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</si>
  <si>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</si>
  <si>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</si>
  <si>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</si>
  <si>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</si>
  <si>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</si>
  <si>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</si>
  <si>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</si>
  <si>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</si>
  <si>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</si>
  <si>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</si>
  <si>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</si>
  <si>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</si>
  <si>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</si>
  <si>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</si>
  <si>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</si>
  <si>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</si>
  <si>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</si>
  <si>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</si>
  <si>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</si>
  <si>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</si>
  <si>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</si>
  <si>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</si>
  <si>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</si>
  <si>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</si>
  <si>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</si>
  <si>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</si>
  <si>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Sumukha Developers</t>
  </si>
  <si>
    <t>KDO CHSL</t>
  </si>
  <si>
    <t>P51800054480</t>
  </si>
  <si>
    <t>Survey No</t>
  </si>
  <si>
    <t>Madhur Milan</t>
  </si>
  <si>
    <t>1000 &amp; Plot No. 1011 &amp; CTS No.890, Redevelopement of " Madhur Milan "</t>
  </si>
  <si>
    <t>Mulund</t>
  </si>
  <si>
    <t>P &amp; T Staff Colony</t>
  </si>
  <si>
    <t>Dr. Rajendra Prasad Road</t>
  </si>
  <si>
    <t>1.9 KM from Mulund Railway Station</t>
  </si>
  <si>
    <t>Mulund West</t>
  </si>
  <si>
    <t>Sudama Sadan</t>
  </si>
  <si>
    <t>19.1784187,72.9455663</t>
  </si>
  <si>
    <t>https://maps.app.goo.gl/FD957XJEMMhJToLy8</t>
  </si>
  <si>
    <t>18.30 M W Road</t>
  </si>
  <si>
    <t>11.60 M W Road</t>
  </si>
  <si>
    <t>Other Plot</t>
  </si>
  <si>
    <t>Baba Maharaj Singh Marg</t>
  </si>
  <si>
    <t>Sanaya Astrio</t>
  </si>
  <si>
    <t>P-9980/2022/(890)/T WARD/
MULUND-W</t>
  </si>
  <si>
    <t>P-9980/2022/(890)/T Ward/MULUND-W/FCC/1/Amend</t>
  </si>
  <si>
    <t>Further C.C. is granted for part podium portion up to 4th podium level marked A-B-C-D on plan as per amended approved plan dated 13.06.2023 subject to timely renewal of B.G, SWM NOC, Workmen’s compensation policy and taking all sorts of precautions during construction and for air pollution.</t>
  </si>
  <si>
    <t>LBS Road</t>
  </si>
  <si>
    <t xml:space="preserve">Gr + 1P to 4P + 1st to 16th Floor
</t>
  </si>
  <si>
    <t>As per RERA - 30/11/2026</t>
  </si>
  <si>
    <t>Ground Floor For Fitness Center, Meter Room, Entrance Lobby &amp; Parking</t>
  </si>
  <si>
    <t>1st to 3rd Podium Floor For Parking</t>
  </si>
  <si>
    <t>4th Podium Floor For Society Office &amp; Parking</t>
  </si>
  <si>
    <t>2BHK</t>
  </si>
  <si>
    <t>1BHK</t>
  </si>
  <si>
    <t>1st Floor For Residential</t>
  </si>
  <si>
    <t>2nd Floor For Residential</t>
  </si>
  <si>
    <t>4th Floor</t>
  </si>
  <si>
    <t>6th Floor</t>
  </si>
  <si>
    <t>8th Floor</t>
  </si>
  <si>
    <t>10th &amp; 12th Floor</t>
  </si>
  <si>
    <t>11th Floor (Refuge Area At Mid-Landing)</t>
  </si>
  <si>
    <t>3rd &amp; 5th Floor (Refuge Area At Mid-Landing)</t>
  </si>
  <si>
    <t>7th Floor (Refuge Area At Mid-Landing)</t>
  </si>
  <si>
    <t>9th Floor (Refuge Area At Mid-Landing)</t>
  </si>
  <si>
    <t>4BHK</t>
  </si>
  <si>
    <t>Terrace Area</t>
  </si>
  <si>
    <t xml:space="preserve">Details of Residential in Building   </t>
  </si>
  <si>
    <t>RERA Carpet area</t>
  </si>
  <si>
    <t>We considered Gross carpet area = Net carpet + Deck Area.</t>
  </si>
  <si>
    <t>Flats</t>
  </si>
  <si>
    <t>P-9980/2022/(890)/T Ward/ Mulund-W-CFO/1/NEW</t>
  </si>
  <si>
    <t xml:space="preserve">Fire Noc No
Valid Up to: </t>
  </si>
  <si>
    <t>Gr. + 1st to 3rd podium floor + 4th podium floor + 1st to 17th upper residential floors with a total height of 69.75 mtrs.</t>
  </si>
  <si>
    <t>Flats - 75</t>
  </si>
  <si>
    <t>Gr + 1P to 4P + 1st to 17th Floor</t>
  </si>
  <si>
    <t>Fitness Center, Garden, Vitrified tiles flooring, Granite Kitchen Platform, Decorative Enternace, etc,</t>
  </si>
  <si>
    <r>
      <t xml:space="preserve">Proposed Amenities :                                                                                                                                                                                                                         </t>
    </r>
    <r>
      <rPr>
        <b/>
        <sz val="12"/>
        <rFont val="Times New Roman"/>
        <family val="1"/>
      </rPr>
      <t xml:space="preserve">                                               </t>
    </r>
  </si>
  <si>
    <t>Mr. Vikram Surve 9967795923</t>
  </si>
  <si>
    <t>as per visitor</t>
  </si>
  <si>
    <t>as per online</t>
  </si>
  <si>
    <t>Nainesh Tambe</t>
  </si>
  <si>
    <t>We have referred CC &amp; Fire NOC from Official MCGM Site</t>
  </si>
  <si>
    <t xml:space="preserve">Validity of CC is expired on 19/11/2024. Please provide revised CC.
</t>
  </si>
  <si>
    <t xml:space="preserve">Miss. Mansi Keni 7304558160
</t>
  </si>
  <si>
    <t>P-9980/2022/(890)/T Ward/MULUND-W/FCC/1/New</t>
  </si>
  <si>
    <t>P-9980/2022/(890)/T
Ward/MULUND-W/CC/1/New</t>
  </si>
  <si>
    <t>Further C.C.is granted upto 14th floor excluding podium portion by restricting C.C. of 15th &amp; 16th (pt) upper floors
for instalment facility and handing over of set back as per last approved amended plans dt. 13.06.2023, subject to timely renewal of Workmen’s compensation policy, BG and SWM NOC and taking all sorts of precautions during construction and for air pollution.</t>
  </si>
  <si>
    <t>C.C. upto plinth is approved as per last approved amended plans dated 
13-06-2023.</t>
  </si>
  <si>
    <t>Builder Clarification Letter :</t>
  </si>
  <si>
    <t xml:space="preserve">We have updated Floor Numbering as per clarification letter, which is provided by the bank officials on mail, is attached below.
</t>
  </si>
  <si>
    <t>16th Floor (Part Terrace Area) (As per Approved plan)
17th Floor (As per builder)</t>
  </si>
  <si>
    <t>14th Floor (As per Approved plan)
15th Floor (As per builder)</t>
  </si>
  <si>
    <t>13th &amp; 15th Floor (Refuge Area At Mid-Landing) (As per Approved plan)
14th &amp; 16th Floor (Refuge Area At Mid-Landing) (As per builder)</t>
  </si>
  <si>
    <t>We have updated CC revalidation (On 23/06/2025).</t>
  </si>
  <si>
    <t>Shruti Tathare</t>
  </si>
  <si>
    <t>Construction work is in process at the time of Visit. Internal visit was not allowed.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</si>
</sst>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64"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7" fillId="0" borderId="35"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Fill="1" applyBorder="1" applyAlignment="1" applyProtection="1">
      <alignment horizontal="left" vertical="top" wrapText="1"/>
      <protection locked="0"/>
    </xf>
    <xf numFmtId="0" fontId="12" fillId="0" borderId="24"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0" xfId="1" applyFont="1" applyFill="1" applyAlignment="1" applyProtection="1">
      <alignment horizontal="left" vertical="top" wrapText="1"/>
      <protection locked="0"/>
    </xf>
    <xf numFmtId="0" fontId="12" fillId="0" borderId="19" xfId="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10" fillId="0" borderId="33" xfId="0"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13</xdr:row>
      <xdr:rowOff>101372</xdr:rowOff>
    </xdr:from>
    <xdr:to>
      <xdr:col>13</xdr:col>
      <xdr:colOff>675642</xdr:colOff>
      <xdr:row>15</xdr:row>
      <xdr:rowOff>561861</xdr:rowOff>
    </xdr:to>
    <xdr:pic>
      <xdr:nvPicPr>
        <xdr:cNvPr id="2" name="Picture 1"/>
        <xdr:cNvPicPr>
          <a:picLocks noChangeAspect="1"/>
        </xdr:cNvPicPr>
      </xdr:nvPicPr>
      <xdr:blipFill>
        <a:blip xmlns:r="http://schemas.openxmlformats.org/officeDocument/2006/relationships" r:embed="rId1"/>
        <a:stretch>
          <a:fillRect/>
        </a:stretch>
      </xdr:blipFill>
      <xdr:spPr>
        <a:xfrm>
          <a:off x="6562725" y="3082697"/>
          <a:ext cx="4819017" cy="860539"/>
        </a:xfrm>
        <a:prstGeom prst="rect">
          <a:avLst/>
        </a:prstGeom>
      </xdr:spPr>
    </xdr:pic>
    <xdr:clientData/>
  </xdr:twoCellAnchor>
  <xdr:twoCellAnchor editAs="oneCell">
    <xdr:from>
      <xdr:col>8</xdr:col>
      <xdr:colOff>171450</xdr:colOff>
      <xdr:row>10</xdr:row>
      <xdr:rowOff>19050</xdr:rowOff>
    </xdr:from>
    <xdr:to>
      <xdr:col>12</xdr:col>
      <xdr:colOff>209095</xdr:colOff>
      <xdr:row>12</xdr:row>
      <xdr:rowOff>142810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86525" y="2400300"/>
          <a:ext cx="3638095" cy="523810"/>
        </a:xfrm>
        <a:prstGeom prst="rect">
          <a:avLst/>
        </a:prstGeom>
      </xdr:spPr>
    </xdr:pic>
    <xdr:clientData/>
  </xdr:twoCellAnchor>
  <xdr:twoCellAnchor editAs="oneCell">
    <xdr:from>
      <xdr:col>8</xdr:col>
      <xdr:colOff>552450</xdr:colOff>
      <xdr:row>16</xdr:row>
      <xdr:rowOff>28575</xdr:rowOff>
    </xdr:from>
    <xdr:to>
      <xdr:col>12</xdr:col>
      <xdr:colOff>409143</xdr:colOff>
      <xdr:row>22</xdr:row>
      <xdr:rowOff>171256</xdr:rowOff>
    </xdr:to>
    <xdr:pic>
      <xdr:nvPicPr>
        <xdr:cNvPr id="4" name="Picture 3"/>
        <xdr:cNvPicPr>
          <a:picLocks noChangeAspect="1"/>
        </xdr:cNvPicPr>
      </xdr:nvPicPr>
      <xdr:blipFill>
        <a:blip xmlns:r="http://schemas.openxmlformats.org/officeDocument/2006/relationships" r:embed="rId3"/>
        <a:stretch>
          <a:fillRect/>
        </a:stretch>
      </xdr:blipFill>
      <xdr:spPr>
        <a:xfrm>
          <a:off x="6867525" y="4029075"/>
          <a:ext cx="3457143" cy="1552381"/>
        </a:xfrm>
        <a:prstGeom prst="rect">
          <a:avLst/>
        </a:prstGeom>
      </xdr:spPr>
    </xdr:pic>
    <xdr:clientData/>
  </xdr:twoCellAnchor>
  <xdr:twoCellAnchor editAs="oneCell">
    <xdr:from>
      <xdr:col>8</xdr:col>
      <xdr:colOff>409575</xdr:colOff>
      <xdr:row>48</xdr:row>
      <xdr:rowOff>38100</xdr:rowOff>
    </xdr:from>
    <xdr:to>
      <xdr:col>13</xdr:col>
      <xdr:colOff>399502</xdr:colOff>
      <xdr:row>48</xdr:row>
      <xdr:rowOff>400005</xdr:rowOff>
    </xdr:to>
    <xdr:pic>
      <xdr:nvPicPr>
        <xdr:cNvPr id="5" name="Picture 4"/>
        <xdr:cNvPicPr>
          <a:picLocks noChangeAspect="1"/>
        </xdr:cNvPicPr>
      </xdr:nvPicPr>
      <xdr:blipFill>
        <a:blip xmlns:r="http://schemas.openxmlformats.org/officeDocument/2006/relationships" r:embed="rId4"/>
        <a:stretch>
          <a:fillRect/>
        </a:stretch>
      </xdr:blipFill>
      <xdr:spPr>
        <a:xfrm>
          <a:off x="6724650" y="10858500"/>
          <a:ext cx="4380952" cy="361905"/>
        </a:xfrm>
        <a:prstGeom prst="rect">
          <a:avLst/>
        </a:prstGeom>
      </xdr:spPr>
    </xdr:pic>
    <xdr:clientData/>
  </xdr:twoCellAnchor>
  <xdr:twoCellAnchor editAs="oneCell">
    <xdr:from>
      <xdr:col>10</xdr:col>
      <xdr:colOff>138954</xdr:colOff>
      <xdr:row>197</xdr:row>
      <xdr:rowOff>19050</xdr:rowOff>
    </xdr:from>
    <xdr:to>
      <xdr:col>14</xdr:col>
      <xdr:colOff>341903</xdr:colOff>
      <xdr:row>217</xdr:row>
      <xdr:rowOff>190479</xdr:rowOff>
    </xdr:to>
    <xdr:pic>
      <xdr:nvPicPr>
        <xdr:cNvPr id="6" name="Picture 5"/>
        <xdr:cNvPicPr>
          <a:picLocks noChangeAspect="1"/>
        </xdr:cNvPicPr>
      </xdr:nvPicPr>
      <xdr:blipFill>
        <a:blip xmlns:r="http://schemas.openxmlformats.org/officeDocument/2006/relationships" r:embed="rId5"/>
        <a:stretch>
          <a:fillRect/>
        </a:stretch>
      </xdr:blipFill>
      <xdr:spPr>
        <a:xfrm>
          <a:off x="8378079" y="33108900"/>
          <a:ext cx="3508124" cy="4619604"/>
        </a:xfrm>
        <a:prstGeom prst="rect">
          <a:avLst/>
        </a:prstGeom>
      </xdr:spPr>
    </xdr:pic>
    <xdr:clientData/>
  </xdr:twoCellAnchor>
  <xdr:twoCellAnchor editAs="oneCell">
    <xdr:from>
      <xdr:col>8</xdr:col>
      <xdr:colOff>419101</xdr:colOff>
      <xdr:row>124</xdr:row>
      <xdr:rowOff>93010</xdr:rowOff>
    </xdr:from>
    <xdr:to>
      <xdr:col>11</xdr:col>
      <xdr:colOff>199719</xdr:colOff>
      <xdr:row>150</xdr:row>
      <xdr:rowOff>79823</xdr:rowOff>
    </xdr:to>
    <xdr:pic>
      <xdr:nvPicPr>
        <xdr:cNvPr id="7" name="Picture 6"/>
        <xdr:cNvPicPr>
          <a:picLocks noChangeAspect="1"/>
        </xdr:cNvPicPr>
      </xdr:nvPicPr>
      <xdr:blipFill>
        <a:blip xmlns:r="http://schemas.openxmlformats.org/officeDocument/2006/relationships" r:embed="rId6"/>
        <a:stretch>
          <a:fillRect/>
        </a:stretch>
      </xdr:blipFill>
      <xdr:spPr>
        <a:xfrm>
          <a:off x="6734176" y="21381385"/>
          <a:ext cx="2457143" cy="2387114"/>
        </a:xfrm>
        <a:prstGeom prst="rect">
          <a:avLst/>
        </a:prstGeom>
      </xdr:spPr>
    </xdr:pic>
    <xdr:clientData/>
  </xdr:twoCellAnchor>
  <xdr:twoCellAnchor editAs="oneCell">
    <xdr:from>
      <xdr:col>1</xdr:col>
      <xdr:colOff>171450</xdr:colOff>
      <xdr:row>431</xdr:row>
      <xdr:rowOff>28574</xdr:rowOff>
    </xdr:from>
    <xdr:to>
      <xdr:col>6</xdr:col>
      <xdr:colOff>486512</xdr:colOff>
      <xdr:row>450</xdr:row>
      <xdr:rowOff>49792</xdr:rowOff>
    </xdr:to>
    <xdr:pic>
      <xdr:nvPicPr>
        <xdr:cNvPr id="8" name="Picture 7"/>
        <xdr:cNvPicPr>
          <a:picLocks noChangeAspect="1"/>
        </xdr:cNvPicPr>
      </xdr:nvPicPr>
      <xdr:blipFill>
        <a:blip xmlns:r="http://schemas.openxmlformats.org/officeDocument/2006/relationships" r:embed="rId7"/>
        <a:stretch>
          <a:fillRect/>
        </a:stretch>
      </xdr:blipFill>
      <xdr:spPr>
        <a:xfrm>
          <a:off x="933450" y="61026674"/>
          <a:ext cx="4401287" cy="3821694"/>
        </a:xfrm>
        <a:prstGeom prst="rect">
          <a:avLst/>
        </a:prstGeom>
        <a:ln>
          <a:solidFill>
            <a:schemeClr val="tx1"/>
          </a:solidFill>
        </a:ln>
      </xdr:spPr>
    </xdr:pic>
    <xdr:clientData/>
  </xdr:twoCellAnchor>
  <xdr:twoCellAnchor editAs="oneCell">
    <xdr:from>
      <xdr:col>3</xdr:col>
      <xdr:colOff>665582</xdr:colOff>
      <xdr:row>387</xdr:row>
      <xdr:rowOff>85724</xdr:rowOff>
    </xdr:from>
    <xdr:to>
      <xdr:col>7</xdr:col>
      <xdr:colOff>666073</xdr:colOff>
      <xdr:row>410</xdr:row>
      <xdr:rowOff>49240</xdr:rowOff>
    </xdr:to>
    <xdr:pic>
      <xdr:nvPicPr>
        <xdr:cNvPr id="9" name="Picture 8"/>
        <xdr:cNvPicPr>
          <a:picLocks noChangeAspect="1"/>
        </xdr:cNvPicPr>
      </xdr:nvPicPr>
      <xdr:blipFill>
        <a:blip xmlns:r="http://schemas.openxmlformats.org/officeDocument/2006/relationships" r:embed="rId8"/>
        <a:stretch>
          <a:fillRect/>
        </a:stretch>
      </xdr:blipFill>
      <xdr:spPr>
        <a:xfrm rot="10800000">
          <a:off x="3075407" y="55083074"/>
          <a:ext cx="3172316" cy="4564092"/>
        </a:xfrm>
        <a:prstGeom prst="rect">
          <a:avLst/>
        </a:prstGeom>
        <a:ln>
          <a:solidFill>
            <a:schemeClr val="tx1"/>
          </a:solidFill>
        </a:ln>
      </xdr:spPr>
    </xdr:pic>
    <xdr:clientData/>
  </xdr:twoCellAnchor>
  <xdr:twoCellAnchor editAs="oneCell">
    <xdr:from>
      <xdr:col>0</xdr:col>
      <xdr:colOff>76201</xdr:colOff>
      <xdr:row>387</xdr:row>
      <xdr:rowOff>94506</xdr:rowOff>
    </xdr:from>
    <xdr:to>
      <xdr:col>3</xdr:col>
      <xdr:colOff>581342</xdr:colOff>
      <xdr:row>404</xdr:row>
      <xdr:rowOff>28575</xdr:rowOff>
    </xdr:to>
    <xdr:pic>
      <xdr:nvPicPr>
        <xdr:cNvPr id="10" name="Picture 9"/>
        <xdr:cNvPicPr>
          <a:picLocks noChangeAspect="1"/>
        </xdr:cNvPicPr>
      </xdr:nvPicPr>
      <xdr:blipFill>
        <a:blip xmlns:r="http://schemas.openxmlformats.org/officeDocument/2006/relationships" r:embed="rId9"/>
        <a:stretch>
          <a:fillRect/>
        </a:stretch>
      </xdr:blipFill>
      <xdr:spPr>
        <a:xfrm>
          <a:off x="76201" y="55091856"/>
          <a:ext cx="2914966" cy="3334494"/>
        </a:xfrm>
        <a:prstGeom prst="rect">
          <a:avLst/>
        </a:prstGeom>
        <a:ln>
          <a:solidFill>
            <a:schemeClr val="tx1"/>
          </a:solidFill>
        </a:ln>
      </xdr:spPr>
    </xdr:pic>
    <xdr:clientData/>
  </xdr:twoCellAnchor>
  <xdr:twoCellAnchor>
    <xdr:from>
      <xdr:col>0</xdr:col>
      <xdr:colOff>319717</xdr:colOff>
      <xdr:row>450</xdr:row>
      <xdr:rowOff>133350</xdr:rowOff>
    </xdr:from>
    <xdr:to>
      <xdr:col>7</xdr:col>
      <xdr:colOff>300667</xdr:colOff>
      <xdr:row>471</xdr:row>
      <xdr:rowOff>180975</xdr:rowOff>
    </xdr:to>
    <xdr:grpSp>
      <xdr:nvGrpSpPr>
        <xdr:cNvPr id="13" name="Group 12"/>
        <xdr:cNvGrpSpPr/>
      </xdr:nvGrpSpPr>
      <xdr:grpSpPr>
        <a:xfrm>
          <a:off x="319717" y="78219300"/>
          <a:ext cx="5562600" cy="4248150"/>
          <a:chOff x="319717" y="65396409"/>
          <a:chExt cx="5561479" cy="4283448"/>
        </a:xfrm>
      </xdr:grpSpPr>
      <xdr:pic>
        <xdr:nvPicPr>
          <xdr:cNvPr id="11" name="Picture 10"/>
          <xdr:cNvPicPr>
            <a:picLocks noChangeAspect="1"/>
          </xdr:cNvPicPr>
        </xdr:nvPicPr>
        <xdr:blipFill>
          <a:blip xmlns:r="http://schemas.openxmlformats.org/officeDocument/2006/relationships" r:embed="rId10"/>
          <a:stretch>
            <a:fillRect/>
          </a:stretch>
        </xdr:blipFill>
        <xdr:spPr>
          <a:xfrm>
            <a:off x="319717" y="65396409"/>
            <a:ext cx="5561479" cy="4283448"/>
          </a:xfrm>
          <a:prstGeom prst="rect">
            <a:avLst/>
          </a:prstGeom>
          <a:ln>
            <a:solidFill>
              <a:schemeClr val="tx1"/>
            </a:solidFill>
          </a:ln>
        </xdr:spPr>
      </xdr:pic>
      <xdr:sp macro="" textlink="">
        <xdr:nvSpPr>
          <xdr:cNvPr id="12" name="Rectangle 11"/>
          <xdr:cNvSpPr/>
        </xdr:nvSpPr>
        <xdr:spPr>
          <a:xfrm>
            <a:off x="2386293" y="67106986"/>
            <a:ext cx="1684804" cy="110377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362270</xdr:colOff>
      <xdr:row>50</xdr:row>
      <xdr:rowOff>298555</xdr:rowOff>
    </xdr:from>
    <xdr:to>
      <xdr:col>15</xdr:col>
      <xdr:colOff>558937</xdr:colOff>
      <xdr:row>54</xdr:row>
      <xdr:rowOff>255509</xdr:rowOff>
    </xdr:to>
    <xdr:pic>
      <xdr:nvPicPr>
        <xdr:cNvPr id="21" name="Picture 20"/>
        <xdr:cNvPicPr>
          <a:picLocks noChangeAspect="1"/>
        </xdr:cNvPicPr>
      </xdr:nvPicPr>
      <xdr:blipFill>
        <a:blip xmlns:r="http://schemas.openxmlformats.org/officeDocument/2006/relationships" r:embed="rId11"/>
        <a:stretch>
          <a:fillRect/>
        </a:stretch>
      </xdr:blipFill>
      <xdr:spPr>
        <a:xfrm>
          <a:off x="7836594" y="11795790"/>
          <a:ext cx="5071225" cy="1783513"/>
        </a:xfrm>
        <a:prstGeom prst="rect">
          <a:avLst/>
        </a:prstGeom>
      </xdr:spPr>
    </xdr:pic>
    <xdr:clientData/>
  </xdr:twoCellAnchor>
  <xdr:twoCellAnchor editAs="oneCell">
    <xdr:from>
      <xdr:col>9</xdr:col>
      <xdr:colOff>0</xdr:colOff>
      <xdr:row>15</xdr:row>
      <xdr:rowOff>104775</xdr:rowOff>
    </xdr:from>
    <xdr:to>
      <xdr:col>16</xdr:col>
      <xdr:colOff>151280</xdr:colOff>
      <xdr:row>39</xdr:row>
      <xdr:rowOff>54349</xdr:rowOff>
    </xdr:to>
    <xdr:pic>
      <xdr:nvPicPr>
        <xdr:cNvPr id="22" name="Picture 21"/>
        <xdr:cNvPicPr>
          <a:picLocks noChangeAspect="1"/>
        </xdr:cNvPicPr>
      </xdr:nvPicPr>
      <xdr:blipFill rotWithShape="1">
        <a:blip xmlns:r="http://schemas.openxmlformats.org/officeDocument/2006/relationships" r:embed="rId12"/>
        <a:srcRect l="36461" t="11520" r="18892" b="14951"/>
        <a:stretch/>
      </xdr:blipFill>
      <xdr:spPr>
        <a:xfrm>
          <a:off x="7477125" y="3486150"/>
          <a:ext cx="5809130" cy="5378824"/>
        </a:xfrm>
        <a:prstGeom prst="rect">
          <a:avLst/>
        </a:prstGeom>
      </xdr:spPr>
    </xdr:pic>
    <xdr:clientData/>
  </xdr:twoCellAnchor>
  <xdr:twoCellAnchor editAs="oneCell">
    <xdr:from>
      <xdr:col>9</xdr:col>
      <xdr:colOff>365552</xdr:colOff>
      <xdr:row>56</xdr:row>
      <xdr:rowOff>370595</xdr:rowOff>
    </xdr:from>
    <xdr:to>
      <xdr:col>16</xdr:col>
      <xdr:colOff>3659</xdr:colOff>
      <xdr:row>65</xdr:row>
      <xdr:rowOff>13459</xdr:rowOff>
    </xdr:to>
    <xdr:pic>
      <xdr:nvPicPr>
        <xdr:cNvPr id="19" name="Picture 18"/>
        <xdr:cNvPicPr>
          <a:picLocks noChangeAspect="1"/>
        </xdr:cNvPicPr>
      </xdr:nvPicPr>
      <xdr:blipFill>
        <a:blip xmlns:r="http://schemas.openxmlformats.org/officeDocument/2006/relationships" r:embed="rId13"/>
        <a:stretch>
          <a:fillRect/>
        </a:stretch>
      </xdr:blipFill>
      <xdr:spPr>
        <a:xfrm>
          <a:off x="7839876" y="15106330"/>
          <a:ext cx="5297077" cy="2474591"/>
        </a:xfrm>
        <a:prstGeom prst="rect">
          <a:avLst/>
        </a:prstGeom>
      </xdr:spPr>
    </xdr:pic>
    <xdr:clientData/>
  </xdr:twoCellAnchor>
  <xdr:twoCellAnchor editAs="oneCell">
    <xdr:from>
      <xdr:col>9</xdr:col>
      <xdr:colOff>76840</xdr:colOff>
      <xdr:row>54</xdr:row>
      <xdr:rowOff>703568</xdr:rowOff>
    </xdr:from>
    <xdr:to>
      <xdr:col>16</xdr:col>
      <xdr:colOff>311506</xdr:colOff>
      <xdr:row>56</xdr:row>
      <xdr:rowOff>499261</xdr:rowOff>
    </xdr:to>
    <xdr:pic>
      <xdr:nvPicPr>
        <xdr:cNvPr id="23" name="Picture 22"/>
        <xdr:cNvPicPr>
          <a:picLocks noChangeAspect="1"/>
        </xdr:cNvPicPr>
      </xdr:nvPicPr>
      <xdr:blipFill>
        <a:blip xmlns:r="http://schemas.openxmlformats.org/officeDocument/2006/relationships" r:embed="rId14"/>
        <a:stretch>
          <a:fillRect/>
        </a:stretch>
      </xdr:blipFill>
      <xdr:spPr>
        <a:xfrm>
          <a:off x="7551164" y="12985215"/>
          <a:ext cx="5893636" cy="2243618"/>
        </a:xfrm>
        <a:prstGeom prst="rect">
          <a:avLst/>
        </a:prstGeom>
      </xdr:spPr>
    </xdr:pic>
    <xdr:clientData/>
  </xdr:twoCellAnchor>
  <xdr:twoCellAnchor editAs="oneCell">
    <xdr:from>
      <xdr:col>1</xdr:col>
      <xdr:colOff>66675</xdr:colOff>
      <xdr:row>317</xdr:row>
      <xdr:rowOff>123824</xdr:rowOff>
    </xdr:from>
    <xdr:to>
      <xdr:col>6</xdr:col>
      <xdr:colOff>583914</xdr:colOff>
      <xdr:row>357</xdr:row>
      <xdr:rowOff>171449</xdr:rowOff>
    </xdr:to>
    <xdr:pic>
      <xdr:nvPicPr>
        <xdr:cNvPr id="26" name="Picture 25"/>
        <xdr:cNvPicPr>
          <a:picLocks noChangeAspect="1"/>
        </xdr:cNvPicPr>
      </xdr:nvPicPr>
      <xdr:blipFill>
        <a:blip xmlns:r="http://schemas.openxmlformats.org/officeDocument/2006/relationships" r:embed="rId15"/>
        <a:stretch>
          <a:fillRect/>
        </a:stretch>
      </xdr:blipFill>
      <xdr:spPr>
        <a:xfrm>
          <a:off x="828675" y="57035699"/>
          <a:ext cx="4603464" cy="5248275"/>
        </a:xfrm>
        <a:prstGeom prst="rect">
          <a:avLst/>
        </a:prstGeom>
        <a:ln>
          <a:solidFill>
            <a:schemeClr val="tx1"/>
          </a:solidFill>
        </a:ln>
      </xdr:spPr>
    </xdr:pic>
    <xdr:clientData/>
  </xdr:twoCellAnchor>
  <xdr:twoCellAnchor editAs="oneCell">
    <xdr:from>
      <xdr:col>1</xdr:col>
      <xdr:colOff>57151</xdr:colOff>
      <xdr:row>359</xdr:row>
      <xdr:rowOff>187101</xdr:rowOff>
    </xdr:from>
    <xdr:to>
      <xdr:col>6</xdr:col>
      <xdr:colOff>638176</xdr:colOff>
      <xdr:row>382</xdr:row>
      <xdr:rowOff>38099</xdr:rowOff>
    </xdr:to>
    <xdr:pic>
      <xdr:nvPicPr>
        <xdr:cNvPr id="27" name="Picture 26"/>
        <xdr:cNvPicPr>
          <a:picLocks noChangeAspect="1"/>
        </xdr:cNvPicPr>
      </xdr:nvPicPr>
      <xdr:blipFill>
        <a:blip xmlns:r="http://schemas.openxmlformats.org/officeDocument/2006/relationships" r:embed="rId16"/>
        <a:stretch>
          <a:fillRect/>
        </a:stretch>
      </xdr:blipFill>
      <xdr:spPr>
        <a:xfrm>
          <a:off x="819151" y="62699676"/>
          <a:ext cx="4667250" cy="4451573"/>
        </a:xfrm>
        <a:prstGeom prst="rect">
          <a:avLst/>
        </a:prstGeom>
        <a:ln>
          <a:solidFill>
            <a:schemeClr val="tx1"/>
          </a:solidFill>
        </a:ln>
      </xdr:spPr>
    </xdr:pic>
    <xdr:clientData/>
  </xdr:twoCellAnchor>
  <xdr:twoCellAnchor editAs="oneCell">
    <xdr:from>
      <xdr:col>8</xdr:col>
      <xdr:colOff>927100</xdr:colOff>
      <xdr:row>52</xdr:row>
      <xdr:rowOff>626784</xdr:rowOff>
    </xdr:from>
    <xdr:to>
      <xdr:col>13</xdr:col>
      <xdr:colOff>649700</xdr:colOff>
      <xdr:row>56</xdr:row>
      <xdr:rowOff>305053</xdr:rowOff>
    </xdr:to>
    <xdr:pic>
      <xdr:nvPicPr>
        <xdr:cNvPr id="42" name="Picture 41"/>
        <xdr:cNvPicPr>
          <a:picLocks noChangeAspect="1"/>
        </xdr:cNvPicPr>
      </xdr:nvPicPr>
      <xdr:blipFill>
        <a:blip xmlns:r="http://schemas.openxmlformats.org/officeDocument/2006/relationships" r:embed="rId17"/>
        <a:stretch>
          <a:fillRect/>
        </a:stretch>
      </xdr:blipFill>
      <xdr:spPr>
        <a:xfrm>
          <a:off x="7553512" y="12639490"/>
          <a:ext cx="4317012" cy="3167034"/>
        </a:xfrm>
        <a:prstGeom prst="rect">
          <a:avLst/>
        </a:prstGeom>
        <a:ln>
          <a:solidFill>
            <a:schemeClr val="tx1"/>
          </a:solidFill>
        </a:ln>
      </xdr:spPr>
    </xdr:pic>
    <xdr:clientData/>
  </xdr:twoCellAnchor>
  <xdr:twoCellAnchor editAs="oneCell">
    <xdr:from>
      <xdr:col>3</xdr:col>
      <xdr:colOff>123825</xdr:colOff>
      <xdr:row>308</xdr:row>
      <xdr:rowOff>23829</xdr:rowOff>
    </xdr:from>
    <xdr:to>
      <xdr:col>4</xdr:col>
      <xdr:colOff>333375</xdr:colOff>
      <xdr:row>315</xdr:row>
      <xdr:rowOff>118085</xdr:rowOff>
    </xdr:to>
    <xdr:pic>
      <xdr:nvPicPr>
        <xdr:cNvPr id="43" name="Picture 42" descr="https://vsjcllp.vsjadon.com/upload/insp-246654-152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533650" y="55068804"/>
          <a:ext cx="1123950" cy="14944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294</xdr:row>
      <xdr:rowOff>142874</xdr:rowOff>
    </xdr:from>
    <xdr:to>
      <xdr:col>2</xdr:col>
      <xdr:colOff>493636</xdr:colOff>
      <xdr:row>307</xdr:row>
      <xdr:rowOff>161924</xdr:rowOff>
    </xdr:to>
    <xdr:pic>
      <xdr:nvPicPr>
        <xdr:cNvPr id="44" name="Picture 43" descr="https://vsjcllp.vsjadon.com/upload/insp-246654-843.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85725" y="52387499"/>
          <a:ext cx="1970011"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274</xdr:row>
      <xdr:rowOff>47624</xdr:rowOff>
    </xdr:from>
    <xdr:to>
      <xdr:col>3</xdr:col>
      <xdr:colOff>739354</xdr:colOff>
      <xdr:row>294</xdr:row>
      <xdr:rowOff>28574</xdr:rowOff>
    </xdr:to>
    <xdr:pic>
      <xdr:nvPicPr>
        <xdr:cNvPr id="45" name="Picture 44" descr="https://vsjcllp.vsjadon.com/upload/insp-246654-84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61925" y="48301274"/>
          <a:ext cx="2987254" cy="3971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294</xdr:row>
      <xdr:rowOff>142874</xdr:rowOff>
    </xdr:from>
    <xdr:to>
      <xdr:col>5</xdr:col>
      <xdr:colOff>45961</xdr:colOff>
      <xdr:row>307</xdr:row>
      <xdr:rowOff>161924</xdr:rowOff>
    </xdr:to>
    <xdr:pic>
      <xdr:nvPicPr>
        <xdr:cNvPr id="46" name="Picture 45" descr="https://vsjcllp.vsjadon.com/upload/insp-246654-847.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181225" y="52387499"/>
          <a:ext cx="1970011"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828675</xdr:colOff>
      <xdr:row>274</xdr:row>
      <xdr:rowOff>38099</xdr:rowOff>
    </xdr:from>
    <xdr:to>
      <xdr:col>7</xdr:col>
      <xdr:colOff>644104</xdr:colOff>
      <xdr:row>294</xdr:row>
      <xdr:rowOff>19049</xdr:rowOff>
    </xdr:to>
    <xdr:pic>
      <xdr:nvPicPr>
        <xdr:cNvPr id="47" name="Picture 46" descr="https://vsjcllp.vsjadon.com/upload/insp-246654-883.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3238500" y="48291749"/>
          <a:ext cx="2987254" cy="3971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294</xdr:row>
      <xdr:rowOff>133349</xdr:rowOff>
    </xdr:from>
    <xdr:to>
      <xdr:col>7</xdr:col>
      <xdr:colOff>646036</xdr:colOff>
      <xdr:row>307</xdr:row>
      <xdr:rowOff>152399</xdr:rowOff>
    </xdr:to>
    <xdr:pic>
      <xdr:nvPicPr>
        <xdr:cNvPr id="48" name="Picture 47" descr="https://vsjcllp.vsjadon.com/upload/insp-246654-93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4257675" y="52377974"/>
          <a:ext cx="1970011"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1199029</xdr:colOff>
      <xdr:row>14</xdr:row>
      <xdr:rowOff>11206</xdr:rowOff>
    </xdr:from>
    <xdr:to>
      <xdr:col>6</xdr:col>
      <xdr:colOff>829041</xdr:colOff>
      <xdr:row>29</xdr:row>
      <xdr:rowOff>39420</xdr:rowOff>
    </xdr:to>
    <xdr:pic>
      <xdr:nvPicPr>
        <xdr:cNvPr id="3" name="Picture 2"/>
        <xdr:cNvPicPr>
          <a:picLocks noChangeAspect="1"/>
        </xdr:cNvPicPr>
      </xdr:nvPicPr>
      <xdr:blipFill>
        <a:blip xmlns:r="http://schemas.openxmlformats.org/officeDocument/2006/relationships" r:embed="rId2"/>
        <a:stretch>
          <a:fillRect/>
        </a:stretch>
      </xdr:blipFill>
      <xdr:spPr>
        <a:xfrm>
          <a:off x="1781735" y="2689412"/>
          <a:ext cx="6028571" cy="2885714"/>
        </a:xfrm>
        <a:prstGeom prst="rect">
          <a:avLst/>
        </a:prstGeom>
      </xdr:spPr>
    </xdr:pic>
    <xdr:clientData/>
  </xdr:twoCellAnchor>
  <xdr:twoCellAnchor editAs="oneCell">
    <xdr:from>
      <xdr:col>2</xdr:col>
      <xdr:colOff>78441</xdr:colOff>
      <xdr:row>31</xdr:row>
      <xdr:rowOff>0</xdr:rowOff>
    </xdr:from>
    <xdr:to>
      <xdr:col>6</xdr:col>
      <xdr:colOff>920963</xdr:colOff>
      <xdr:row>39</xdr:row>
      <xdr:rowOff>95048</xdr:rowOff>
    </xdr:to>
    <xdr:pic>
      <xdr:nvPicPr>
        <xdr:cNvPr id="4" name="Picture 3"/>
        <xdr:cNvPicPr>
          <a:picLocks noChangeAspect="1"/>
        </xdr:cNvPicPr>
      </xdr:nvPicPr>
      <xdr:blipFill>
        <a:blip xmlns:r="http://schemas.openxmlformats.org/officeDocument/2006/relationships" r:embed="rId3"/>
        <a:stretch>
          <a:fillRect/>
        </a:stretch>
      </xdr:blipFill>
      <xdr:spPr>
        <a:xfrm>
          <a:off x="2140323" y="5916706"/>
          <a:ext cx="5761905" cy="16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D957XJEMMhJToLy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31"/>
  <sheetViews>
    <sheetView tabSelected="1" view="pageBreakPreview" zoomScaleNormal="100" zoomScaleSheetLayoutView="100" zoomScalePageLayoutView="85" workbookViewId="0">
      <selection activeCell="J42" sqref="J4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14" t="s">
        <v>167</v>
      </c>
      <c r="B1" s="214"/>
      <c r="C1" s="214"/>
      <c r="D1" s="214"/>
      <c r="E1" s="214"/>
      <c r="F1" s="214"/>
      <c r="G1" s="214"/>
      <c r="H1" s="214"/>
    </row>
    <row r="2" spans="1:26" ht="16.5" customHeight="1" x14ac:dyDescent="0.25">
      <c r="A2" s="215" t="s">
        <v>0</v>
      </c>
      <c r="B2" s="215"/>
      <c r="C2" s="215"/>
      <c r="D2" s="215"/>
      <c r="E2" s="215"/>
      <c r="F2" s="215"/>
      <c r="G2" s="215"/>
      <c r="H2" s="215"/>
    </row>
    <row r="3" spans="1:26" x14ac:dyDescent="0.25">
      <c r="A3" s="158" t="s">
        <v>1</v>
      </c>
      <c r="B3" s="158"/>
      <c r="C3" s="158"/>
      <c r="D3" s="158"/>
      <c r="E3" s="158" t="str">
        <f ca="1">TEXT(TODAY(),"DD/MM/YYYY")</f>
        <v>10/09/2025</v>
      </c>
      <c r="F3" s="158"/>
      <c r="G3" s="158"/>
      <c r="H3" s="158"/>
      <c r="K3" s="61" t="s">
        <v>240</v>
      </c>
      <c r="L3" s="57" t="s">
        <v>238</v>
      </c>
      <c r="M3" s="57" t="s">
        <v>243</v>
      </c>
      <c r="N3" s="57" t="s">
        <v>241</v>
      </c>
      <c r="O3" s="57" t="s">
        <v>362</v>
      </c>
      <c r="P3" s="57" t="s">
        <v>244</v>
      </c>
    </row>
    <row r="4" spans="1:26" ht="15" customHeight="1" x14ac:dyDescent="0.25">
      <c r="A4" s="158" t="s">
        <v>237</v>
      </c>
      <c r="B4" s="158"/>
      <c r="C4" s="158"/>
      <c r="D4" s="158"/>
      <c r="E4" s="158" t="s">
        <v>238</v>
      </c>
      <c r="F4" s="158"/>
      <c r="G4" s="158"/>
      <c r="H4" s="158"/>
      <c r="K4" s="56" t="s">
        <v>239</v>
      </c>
      <c r="L4" s="57" t="s">
        <v>174</v>
      </c>
      <c r="M4" s="57" t="s">
        <v>248</v>
      </c>
      <c r="N4" s="57" t="s">
        <v>250</v>
      </c>
      <c r="O4" s="57" t="s">
        <v>345</v>
      </c>
      <c r="P4" s="57"/>
    </row>
    <row r="5" spans="1:26" ht="15" customHeight="1" x14ac:dyDescent="0.25">
      <c r="A5" s="158" t="s">
        <v>2</v>
      </c>
      <c r="B5" s="158"/>
      <c r="C5" s="158"/>
      <c r="D5" s="158"/>
      <c r="E5" s="158" t="s">
        <v>246</v>
      </c>
      <c r="F5" s="158"/>
      <c r="G5" s="158"/>
      <c r="H5" s="158"/>
      <c r="K5" s="56"/>
      <c r="L5" s="57" t="s">
        <v>245</v>
      </c>
      <c r="M5" s="57" t="s">
        <v>249</v>
      </c>
      <c r="N5" s="57" t="s">
        <v>251</v>
      </c>
      <c r="O5" s="57" t="s">
        <v>346</v>
      </c>
      <c r="P5" s="57"/>
    </row>
    <row r="6" spans="1:26" x14ac:dyDescent="0.25">
      <c r="A6" s="196" t="s">
        <v>3</v>
      </c>
      <c r="B6" s="196"/>
      <c r="C6" s="196"/>
      <c r="D6" s="196"/>
      <c r="E6" s="216">
        <v>45909</v>
      </c>
      <c r="F6" s="158"/>
      <c r="G6" s="158"/>
      <c r="H6" s="158"/>
      <c r="K6" s="56"/>
      <c r="L6" s="57" t="s">
        <v>246</v>
      </c>
      <c r="M6" s="57" t="s">
        <v>360</v>
      </c>
      <c r="N6" s="57"/>
      <c r="O6" s="57" t="s">
        <v>347</v>
      </c>
      <c r="P6" s="57"/>
    </row>
    <row r="7" spans="1:26" ht="16.5" customHeight="1" x14ac:dyDescent="0.25">
      <c r="A7" s="158" t="s">
        <v>4</v>
      </c>
      <c r="B7" s="158"/>
      <c r="C7" s="158"/>
      <c r="D7" s="158"/>
      <c r="E7" s="158" t="s">
        <v>363</v>
      </c>
      <c r="F7" s="158"/>
      <c r="G7" s="158"/>
      <c r="H7" s="158"/>
      <c r="K7" s="56"/>
      <c r="L7" s="57" t="s">
        <v>247</v>
      </c>
      <c r="M7" s="57"/>
      <c r="N7" s="57"/>
      <c r="O7" s="57" t="s">
        <v>347</v>
      </c>
      <c r="P7" s="57"/>
    </row>
    <row r="8" spans="1:26" ht="15" customHeight="1" x14ac:dyDescent="0.25">
      <c r="A8" s="158" t="s">
        <v>5</v>
      </c>
      <c r="B8" s="158"/>
      <c r="C8" s="158"/>
      <c r="D8" s="158"/>
      <c r="E8" s="158" t="str">
        <f>E7</f>
        <v>Sumukha Developers</v>
      </c>
      <c r="F8" s="158"/>
      <c r="G8" s="158"/>
      <c r="H8" s="158"/>
      <c r="K8" s="56"/>
      <c r="L8" s="57"/>
      <c r="M8" s="57"/>
      <c r="N8" s="57"/>
      <c r="O8" s="57" t="s">
        <v>348</v>
      </c>
      <c r="P8" s="57"/>
    </row>
    <row r="9" spans="1:26" x14ac:dyDescent="0.25">
      <c r="A9" s="158" t="s">
        <v>6</v>
      </c>
      <c r="B9" s="158"/>
      <c r="C9" s="158"/>
      <c r="D9" s="158"/>
      <c r="E9" s="178" t="s">
        <v>364</v>
      </c>
      <c r="F9" s="178"/>
      <c r="G9" s="178"/>
      <c r="H9" s="178"/>
      <c r="K9" s="56"/>
      <c r="L9" s="57"/>
      <c r="M9" s="57"/>
      <c r="N9" s="57"/>
      <c r="O9" s="57" t="s">
        <v>349</v>
      </c>
      <c r="P9" s="57"/>
    </row>
    <row r="10" spans="1:26" x14ac:dyDescent="0.25">
      <c r="A10" s="158" t="s">
        <v>170</v>
      </c>
      <c r="B10" s="158"/>
      <c r="C10" s="158"/>
      <c r="D10" s="158"/>
      <c r="E10" s="197" t="s">
        <v>422</v>
      </c>
      <c r="F10" s="158"/>
      <c r="G10" s="158"/>
      <c r="H10" s="158"/>
      <c r="K10" s="56"/>
      <c r="L10" s="57"/>
      <c r="M10" s="57"/>
      <c r="N10" s="57"/>
      <c r="O10" s="57" t="s">
        <v>350</v>
      </c>
      <c r="P10" s="57"/>
    </row>
    <row r="11" spans="1:26" x14ac:dyDescent="0.25">
      <c r="A11" s="196" t="s">
        <v>171</v>
      </c>
      <c r="B11" s="196"/>
      <c r="C11" s="196"/>
      <c r="D11" s="196"/>
      <c r="E11" s="158" t="s">
        <v>416</v>
      </c>
      <c r="F11" s="158"/>
      <c r="G11" s="158"/>
      <c r="H11" s="158"/>
      <c r="O11" s="57" t="s">
        <v>351</v>
      </c>
    </row>
    <row r="12" spans="1:26" x14ac:dyDescent="0.25">
      <c r="A12" s="158" t="s">
        <v>7</v>
      </c>
      <c r="B12" s="158"/>
      <c r="C12" s="158"/>
      <c r="D12" s="158"/>
      <c r="E12" s="158" t="s">
        <v>119</v>
      </c>
      <c r="F12" s="158"/>
      <c r="G12" s="158"/>
      <c r="H12" s="158"/>
    </row>
    <row r="13" spans="1:26" x14ac:dyDescent="0.25">
      <c r="A13" s="196" t="s">
        <v>175</v>
      </c>
      <c r="B13" s="196"/>
      <c r="C13" s="196"/>
      <c r="D13" s="196"/>
      <c r="E13" s="158" t="s">
        <v>367</v>
      </c>
      <c r="F13" s="158"/>
      <c r="G13" s="158"/>
      <c r="H13" s="158"/>
      <c r="S13" s="57" t="s">
        <v>183</v>
      </c>
      <c r="T13" s="57" t="s">
        <v>192</v>
      </c>
      <c r="U13" s="57" t="s">
        <v>176</v>
      </c>
      <c r="V13" s="57" t="s">
        <v>197</v>
      </c>
      <c r="W13" s="57" t="s">
        <v>215</v>
      </c>
      <c r="X13"/>
      <c r="Y13" t="s">
        <v>197</v>
      </c>
      <c r="Z13" t="e">
        <f ca="1">OFFSET($S$13,1,MATCH($G20,$S$13:$W$13,0)-1,15,1)</f>
        <v>#VALUE!</v>
      </c>
    </row>
    <row r="14" spans="1:26" x14ac:dyDescent="0.25">
      <c r="A14" s="217" t="s">
        <v>283</v>
      </c>
      <c r="B14" s="217"/>
      <c r="C14" s="217"/>
      <c r="D14" s="217"/>
      <c r="E14" s="197" t="s">
        <v>231</v>
      </c>
      <c r="F14" s="197"/>
      <c r="G14" s="197"/>
      <c r="H14" s="197"/>
      <c r="S14" s="57" t="s">
        <v>183</v>
      </c>
      <c r="T14" s="57" t="s">
        <v>190</v>
      </c>
      <c r="U14" s="57" t="s">
        <v>212</v>
      </c>
      <c r="V14" s="57" t="s">
        <v>198</v>
      </c>
      <c r="W14" s="57" t="s">
        <v>216</v>
      </c>
      <c r="X14"/>
      <c r="Y14"/>
      <c r="Z14"/>
    </row>
    <row r="15" spans="1:26" x14ac:dyDescent="0.25">
      <c r="A15" s="154" t="s">
        <v>8</v>
      </c>
      <c r="B15" s="154"/>
      <c r="C15" s="154"/>
      <c r="D15" s="154"/>
      <c r="E15" s="197" t="s">
        <v>365</v>
      </c>
      <c r="F15" s="158"/>
      <c r="G15" s="158"/>
      <c r="H15" s="158"/>
      <c r="I15" s="186" t="e">
        <f ca="1">OFFSET($D$5,1,MATCH($J13,$D$5:$H$5,0)-1,15,1)</f>
        <v>#N/A</v>
      </c>
      <c r="J15" s="187"/>
      <c r="K15" s="187"/>
      <c r="L15" s="187"/>
      <c r="M15" s="187"/>
      <c r="N15" s="187"/>
      <c r="O15" s="187"/>
      <c r="P15" s="187"/>
      <c r="S15" s="57" t="s">
        <v>184</v>
      </c>
      <c r="T15" s="57" t="s">
        <v>191</v>
      </c>
      <c r="U15" s="57" t="s">
        <v>213</v>
      </c>
      <c r="V15" s="57" t="s">
        <v>199</v>
      </c>
      <c r="W15" s="57" t="s">
        <v>229</v>
      </c>
      <c r="X15"/>
      <c r="Y15"/>
      <c r="Z15"/>
    </row>
    <row r="16" spans="1:26" ht="48.75" customHeight="1" x14ac:dyDescent="0.25">
      <c r="A16" s="144" t="s">
        <v>9</v>
      </c>
      <c r="B16" s="144"/>
      <c r="C16" s="144" t="str">
        <f>CONCATENATE((IF(OR(E9="",E9="NA"),"",E9)),", ",(IF(OR(A17="",A17="NA"),"",A17)),".",(IF(OR(C17="",C17="NA"),"",C17)),", near ",(IF(OR(C22="",C22="NA"),"",C22)),", ",(IF(OR(C19="",C19="NA"),"",C19)),", ",(IF(OR(C18="",C18="NA"),"",C18)),", ",(IF(OR(G19="",G19="NA"),"",G19)),", ",(IF(OR(C20="",C20="NA"),"",C20)),", ",(IF(OR(C21="",C21="NA"),"",C21)),", ",(IF(OR(G20="",G20="NA"),"",G20))," - ",(IF(OR(G21="",G21="NA"),"",G21)),".")</f>
        <v>KDO CHSL, Survey No.1000 &amp; Plot No. 1011 &amp; CTS No.890, Redevelopement of " Madhur Milan ", near Sudama Sadan, LBS Road, P &amp; T Staff Colony, Mulund, Mulund West, Kurla, Mumbai - 400080.</v>
      </c>
      <c r="D16" s="144"/>
      <c r="E16" s="144"/>
      <c r="F16" s="144"/>
      <c r="G16" s="144"/>
      <c r="H16" s="144"/>
      <c r="S16" s="57" t="s">
        <v>185</v>
      </c>
      <c r="T16" s="57" t="s">
        <v>193</v>
      </c>
      <c r="U16" s="57" t="s">
        <v>214</v>
      </c>
      <c r="V16" s="57" t="s">
        <v>200</v>
      </c>
      <c r="W16" s="57" t="s">
        <v>217</v>
      </c>
      <c r="X16"/>
      <c r="Y16"/>
      <c r="Z16"/>
    </row>
    <row r="17" spans="1:26" x14ac:dyDescent="0.25">
      <c r="A17" s="197" t="s">
        <v>366</v>
      </c>
      <c r="B17" s="197"/>
      <c r="C17" s="197" t="s">
        <v>368</v>
      </c>
      <c r="D17" s="197"/>
      <c r="E17" s="197"/>
      <c r="F17" s="197"/>
      <c r="G17" s="197"/>
      <c r="H17" s="197"/>
      <c r="S17" s="57" t="s">
        <v>186</v>
      </c>
      <c r="T17" s="57" t="s">
        <v>194</v>
      </c>
      <c r="U17" s="57" t="s">
        <v>176</v>
      </c>
      <c r="V17" s="57" t="s">
        <v>201</v>
      </c>
      <c r="W17" s="57" t="s">
        <v>218</v>
      </c>
      <c r="X17"/>
      <c r="Y17"/>
      <c r="Z17"/>
    </row>
    <row r="18" spans="1:26" ht="15.75" customHeight="1" x14ac:dyDescent="0.25">
      <c r="A18" s="197" t="s">
        <v>165</v>
      </c>
      <c r="B18" s="197"/>
      <c r="C18" s="197" t="s">
        <v>370</v>
      </c>
      <c r="D18" s="197"/>
      <c r="E18" s="197"/>
      <c r="F18" s="197"/>
      <c r="G18" s="197"/>
      <c r="H18" s="197"/>
      <c r="S18" s="57" t="s">
        <v>187</v>
      </c>
      <c r="T18" s="57" t="s">
        <v>192</v>
      </c>
      <c r="U18" s="57"/>
      <c r="V18" s="57" t="s">
        <v>202</v>
      </c>
      <c r="W18" s="57" t="s">
        <v>219</v>
      </c>
      <c r="X18"/>
      <c r="Y18"/>
      <c r="Z18"/>
    </row>
    <row r="19" spans="1:26" ht="15.75" customHeight="1" x14ac:dyDescent="0.25">
      <c r="A19" s="144" t="s">
        <v>10</v>
      </c>
      <c r="B19" s="144"/>
      <c r="C19" s="158" t="s">
        <v>385</v>
      </c>
      <c r="D19" s="158"/>
      <c r="E19" s="197" t="s">
        <v>69</v>
      </c>
      <c r="F19" s="197"/>
      <c r="G19" s="197" t="s">
        <v>369</v>
      </c>
      <c r="H19" s="197"/>
      <c r="S19" s="57" t="s">
        <v>188</v>
      </c>
      <c r="T19" s="57" t="s">
        <v>195</v>
      </c>
      <c r="U19" s="57"/>
      <c r="V19" s="57" t="s">
        <v>203</v>
      </c>
      <c r="W19" s="57" t="s">
        <v>220</v>
      </c>
      <c r="X19"/>
      <c r="Y19"/>
      <c r="Z19"/>
    </row>
    <row r="20" spans="1:26" x14ac:dyDescent="0.25">
      <c r="A20" s="154" t="s">
        <v>12</v>
      </c>
      <c r="B20" s="154"/>
      <c r="C20" s="197" t="s">
        <v>373</v>
      </c>
      <c r="D20" s="197"/>
      <c r="E20" s="197" t="s">
        <v>11</v>
      </c>
      <c r="F20" s="197"/>
      <c r="G20" s="218" t="s">
        <v>176</v>
      </c>
      <c r="H20" s="218"/>
      <c r="S20" s="57" t="s">
        <v>189</v>
      </c>
      <c r="T20" s="57" t="s">
        <v>196</v>
      </c>
      <c r="U20" s="57"/>
      <c r="V20" s="57" t="s">
        <v>204</v>
      </c>
      <c r="W20" s="57" t="s">
        <v>221</v>
      </c>
      <c r="X20"/>
      <c r="Y20"/>
      <c r="Z20"/>
    </row>
    <row r="21" spans="1:26" x14ac:dyDescent="0.25">
      <c r="A21" s="154" t="s">
        <v>70</v>
      </c>
      <c r="B21" s="154"/>
      <c r="C21" s="197" t="s">
        <v>214</v>
      </c>
      <c r="D21" s="197"/>
      <c r="E21" s="197" t="s">
        <v>13</v>
      </c>
      <c r="F21" s="197"/>
      <c r="G21" s="197">
        <v>400080</v>
      </c>
      <c r="H21" s="197"/>
      <c r="S21" s="57"/>
      <c r="T21" s="57"/>
      <c r="U21" s="57"/>
      <c r="V21" s="57" t="s">
        <v>205</v>
      </c>
      <c r="W21" s="57" t="s">
        <v>222</v>
      </c>
      <c r="X21"/>
      <c r="Y21"/>
      <c r="Z21"/>
    </row>
    <row r="22" spans="1:26" ht="32.25" customHeight="1" x14ac:dyDescent="0.25">
      <c r="A22" s="154" t="s">
        <v>121</v>
      </c>
      <c r="B22" s="154"/>
      <c r="C22" s="197" t="s">
        <v>374</v>
      </c>
      <c r="D22" s="197"/>
      <c r="E22" s="197" t="s">
        <v>14</v>
      </c>
      <c r="F22" s="197"/>
      <c r="G22" s="197" t="s">
        <v>372</v>
      </c>
      <c r="H22" s="197"/>
      <c r="S22" s="57"/>
      <c r="T22" s="57"/>
      <c r="U22" s="57"/>
      <c r="V22" s="57" t="s">
        <v>206</v>
      </c>
      <c r="W22" s="57" t="s">
        <v>223</v>
      </c>
      <c r="X22"/>
      <c r="Y22"/>
      <c r="Z22"/>
    </row>
    <row r="23" spans="1:26" ht="15" customHeight="1" x14ac:dyDescent="0.25">
      <c r="A23" s="144" t="s">
        <v>72</v>
      </c>
      <c r="B23" s="144"/>
      <c r="C23" s="144"/>
      <c r="D23" s="144"/>
      <c r="E23" s="158" t="s">
        <v>15</v>
      </c>
      <c r="F23" s="158"/>
      <c r="G23" s="158"/>
      <c r="H23" s="158"/>
      <c r="S23" s="57"/>
      <c r="T23" s="57"/>
      <c r="U23" s="57"/>
      <c r="V23" s="57" t="s">
        <v>207</v>
      </c>
      <c r="W23" s="57" t="s">
        <v>224</v>
      </c>
      <c r="X23"/>
      <c r="Y23"/>
      <c r="Z23"/>
    </row>
    <row r="24" spans="1:26" ht="18.75" customHeight="1" x14ac:dyDescent="0.25">
      <c r="A24" s="144"/>
      <c r="B24" s="144"/>
      <c r="C24" s="144"/>
      <c r="D24" s="144"/>
      <c r="E24" s="158"/>
      <c r="F24" s="158"/>
      <c r="G24" s="158"/>
      <c r="H24" s="158"/>
      <c r="S24" s="57"/>
      <c r="T24" s="57"/>
      <c r="U24" s="57"/>
      <c r="V24" s="57" t="s">
        <v>208</v>
      </c>
      <c r="W24" s="57" t="s">
        <v>225</v>
      </c>
      <c r="X24"/>
      <c r="Y24"/>
      <c r="Z24"/>
    </row>
    <row r="25" spans="1:26" ht="15" customHeight="1" x14ac:dyDescent="0.25">
      <c r="A25" s="144" t="s">
        <v>16</v>
      </c>
      <c r="B25" s="144"/>
      <c r="C25" s="144"/>
      <c r="D25" s="144"/>
      <c r="E25" s="197" t="s">
        <v>17</v>
      </c>
      <c r="F25" s="197"/>
      <c r="G25" s="197"/>
      <c r="H25" s="197"/>
      <c r="S25" s="57"/>
      <c r="T25" s="57"/>
      <c r="U25" s="57"/>
      <c r="V25" s="57" t="s">
        <v>209</v>
      </c>
      <c r="W25" s="57" t="s">
        <v>226</v>
      </c>
      <c r="X25"/>
      <c r="Y25"/>
      <c r="Z25"/>
    </row>
    <row r="26" spans="1:26" ht="15" customHeight="1" x14ac:dyDescent="0.25">
      <c r="A26" s="154" t="s">
        <v>18</v>
      </c>
      <c r="B26" s="154"/>
      <c r="C26" s="154"/>
      <c r="D26" s="154"/>
      <c r="E26" s="197" t="str">
        <f>IF(AND(G20="Mumbai"),"Upper Class","Middle Class")</f>
        <v>Upper Class</v>
      </c>
      <c r="F26" s="197"/>
      <c r="G26" s="197"/>
      <c r="H26" s="197"/>
      <c r="S26" s="57"/>
      <c r="T26" s="57"/>
      <c r="U26" s="57"/>
      <c r="V26" s="57" t="s">
        <v>210</v>
      </c>
      <c r="W26" s="57" t="s">
        <v>227</v>
      </c>
      <c r="X26"/>
      <c r="Y26"/>
      <c r="Z26"/>
    </row>
    <row r="27" spans="1:26" x14ac:dyDescent="0.25">
      <c r="A27" s="154" t="s">
        <v>19</v>
      </c>
      <c r="B27" s="154"/>
      <c r="C27" s="154"/>
      <c r="D27" s="154"/>
      <c r="E27" s="197" t="s">
        <v>20</v>
      </c>
      <c r="F27" s="197"/>
      <c r="G27" s="197"/>
      <c r="H27" s="197"/>
      <c r="S27" s="57"/>
      <c r="T27" s="57"/>
      <c r="U27" s="57"/>
      <c r="V27" s="57" t="s">
        <v>211</v>
      </c>
      <c r="W27" s="57" t="s">
        <v>228</v>
      </c>
      <c r="X27"/>
      <c r="Y27"/>
      <c r="Z27"/>
    </row>
    <row r="28" spans="1:26" ht="15.75" customHeight="1" x14ac:dyDescent="0.25">
      <c r="A28" s="154" t="s">
        <v>21</v>
      </c>
      <c r="B28" s="154"/>
      <c r="C28" s="154"/>
      <c r="D28" s="154"/>
      <c r="E28" s="197" t="str">
        <f>IF(AND(G20="Mumbai"),"Developed","Developing")</f>
        <v>Developed</v>
      </c>
      <c r="F28" s="197"/>
      <c r="G28" s="197"/>
      <c r="H28" s="197"/>
    </row>
    <row r="29" spans="1:26" x14ac:dyDescent="0.25">
      <c r="A29" s="154" t="s">
        <v>22</v>
      </c>
      <c r="B29" s="154"/>
      <c r="C29" s="154"/>
      <c r="D29" s="154"/>
      <c r="E29" s="197" t="s">
        <v>23</v>
      </c>
      <c r="F29" s="197"/>
      <c r="G29" s="197"/>
      <c r="H29" s="197"/>
    </row>
    <row r="30" spans="1:26" ht="15.75" customHeight="1" x14ac:dyDescent="0.25">
      <c r="A30" s="154" t="s">
        <v>77</v>
      </c>
      <c r="B30" s="154"/>
      <c r="C30" s="154"/>
      <c r="D30" s="154"/>
      <c r="E30" s="197" t="s">
        <v>78</v>
      </c>
      <c r="F30" s="197"/>
      <c r="G30" s="197"/>
      <c r="H30" s="197"/>
    </row>
    <row r="31" spans="1:26" ht="15" customHeight="1" x14ac:dyDescent="0.25">
      <c r="A31" s="154" t="s">
        <v>30</v>
      </c>
      <c r="B31" s="154"/>
      <c r="C31" s="154"/>
      <c r="D31" s="154"/>
      <c r="E31" s="197" t="str">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Residential</v>
      </c>
      <c r="F31" s="197"/>
      <c r="G31" s="197"/>
      <c r="H31" s="197"/>
    </row>
    <row r="32" spans="1:26" ht="15.75" customHeight="1" x14ac:dyDescent="0.25">
      <c r="A32" s="154" t="s">
        <v>89</v>
      </c>
      <c r="B32" s="154"/>
      <c r="C32" s="154"/>
      <c r="D32" s="154"/>
      <c r="E32" s="197" t="s">
        <v>31</v>
      </c>
      <c r="F32" s="197"/>
      <c r="G32" s="197"/>
      <c r="H32" s="197"/>
    </row>
    <row r="33" spans="1:19" s="22" customFormat="1" x14ac:dyDescent="0.25">
      <c r="A33" s="226" t="s">
        <v>90</v>
      </c>
      <c r="B33" s="226"/>
      <c r="C33" s="223" t="s">
        <v>177</v>
      </c>
      <c r="D33" s="224"/>
      <c r="E33" s="225"/>
      <c r="F33" s="223" t="s">
        <v>29</v>
      </c>
      <c r="G33" s="224"/>
      <c r="H33" s="225"/>
      <c r="S33" s="22" t="e">
        <f ca="1">OFFSET($S$13,1,MATCH($G20,$S$13:$W$13,0)-1,15,1)</f>
        <v>#VALUE!</v>
      </c>
    </row>
    <row r="34" spans="1:19" s="22" customFormat="1" x14ac:dyDescent="0.25">
      <c r="A34" s="219" t="s">
        <v>24</v>
      </c>
      <c r="B34" s="219" t="s">
        <v>28</v>
      </c>
      <c r="C34" s="220" t="s">
        <v>378</v>
      </c>
      <c r="D34" s="221"/>
      <c r="E34" s="222"/>
      <c r="F34" s="220" t="s">
        <v>380</v>
      </c>
      <c r="G34" s="221"/>
      <c r="H34" s="222"/>
    </row>
    <row r="35" spans="1:19" x14ac:dyDescent="0.25">
      <c r="A35" s="219" t="s">
        <v>25</v>
      </c>
      <c r="B35" s="219" t="s">
        <v>28</v>
      </c>
      <c r="C35" s="220" t="s">
        <v>379</v>
      </c>
      <c r="D35" s="221"/>
      <c r="E35" s="222"/>
      <c r="F35" s="220" t="s">
        <v>374</v>
      </c>
      <c r="G35" s="221"/>
      <c r="H35" s="222"/>
    </row>
    <row r="36" spans="1:19" s="22" customFormat="1" x14ac:dyDescent="0.25">
      <c r="A36" s="219" t="s">
        <v>27</v>
      </c>
      <c r="B36" s="219" t="s">
        <v>28</v>
      </c>
      <c r="C36" s="220" t="s">
        <v>377</v>
      </c>
      <c r="D36" s="221"/>
      <c r="E36" s="222"/>
      <c r="F36" s="220" t="s">
        <v>371</v>
      </c>
      <c r="G36" s="221"/>
      <c r="H36" s="222"/>
    </row>
    <row r="37" spans="1:19" x14ac:dyDescent="0.25">
      <c r="A37" s="219" t="s">
        <v>26</v>
      </c>
      <c r="B37" s="219" t="s">
        <v>28</v>
      </c>
      <c r="C37" s="220" t="s">
        <v>379</v>
      </c>
      <c r="D37" s="221"/>
      <c r="E37" s="222"/>
      <c r="F37" s="220" t="s">
        <v>381</v>
      </c>
      <c r="G37" s="221"/>
      <c r="H37" s="222"/>
    </row>
    <row r="38" spans="1:19" x14ac:dyDescent="0.25">
      <c r="A38" s="154" t="s">
        <v>284</v>
      </c>
      <c r="B38" s="154"/>
      <c r="C38" s="154"/>
      <c r="D38" s="154"/>
      <c r="E38" s="154"/>
      <c r="F38" s="154"/>
      <c r="G38" s="154"/>
      <c r="H38" s="154"/>
    </row>
    <row r="39" spans="1:19" ht="15.75" customHeight="1" x14ac:dyDescent="0.25">
      <c r="A39" s="154" t="s">
        <v>168</v>
      </c>
      <c r="B39" s="154"/>
      <c r="C39" s="229" t="s">
        <v>375</v>
      </c>
      <c r="D39" s="229"/>
      <c r="E39" s="229"/>
      <c r="F39" s="229"/>
      <c r="G39" s="229"/>
      <c r="H39" s="229"/>
    </row>
    <row r="40" spans="1:19" x14ac:dyDescent="0.25">
      <c r="A40" s="154" t="s">
        <v>164</v>
      </c>
      <c r="B40" s="154"/>
      <c r="C40" s="257" t="s">
        <v>376</v>
      </c>
      <c r="D40" s="197"/>
      <c r="E40" s="197"/>
      <c r="F40" s="197"/>
      <c r="G40" s="197"/>
      <c r="H40" s="197"/>
    </row>
    <row r="41" spans="1:19" x14ac:dyDescent="0.25">
      <c r="A41" s="229" t="s">
        <v>32</v>
      </c>
      <c r="B41" s="229"/>
      <c r="C41" s="229"/>
      <c r="D41" s="229"/>
      <c r="E41" s="229"/>
      <c r="F41" s="229"/>
      <c r="G41" s="229"/>
      <c r="H41" s="229"/>
    </row>
    <row r="42" spans="1:19" x14ac:dyDescent="0.25">
      <c r="A42" s="154" t="s">
        <v>33</v>
      </c>
      <c r="B42" s="154"/>
      <c r="C42" s="154"/>
      <c r="D42" s="154"/>
      <c r="E42" s="248">
        <v>1476.6</v>
      </c>
      <c r="F42" s="248"/>
      <c r="G42" s="248"/>
      <c r="H42" s="248"/>
    </row>
    <row r="43" spans="1:19" x14ac:dyDescent="0.25">
      <c r="A43" s="154" t="s">
        <v>34</v>
      </c>
      <c r="B43" s="154"/>
      <c r="C43" s="154"/>
      <c r="D43" s="154"/>
      <c r="E43" s="169">
        <f>1476.6/E42</f>
        <v>1</v>
      </c>
      <c r="F43" s="169"/>
      <c r="G43" s="169"/>
      <c r="H43" s="169"/>
    </row>
    <row r="44" spans="1:19" x14ac:dyDescent="0.25">
      <c r="A44" s="154" t="s">
        <v>35</v>
      </c>
      <c r="B44" s="154"/>
      <c r="C44" s="154"/>
      <c r="D44" s="154"/>
      <c r="E44" s="169">
        <f>E46/E42-E43</f>
        <v>1.2769876743871054</v>
      </c>
      <c r="F44" s="169"/>
      <c r="G44" s="169"/>
      <c r="H44" s="169"/>
    </row>
    <row r="45" spans="1:19" x14ac:dyDescent="0.25">
      <c r="A45" s="154" t="s">
        <v>36</v>
      </c>
      <c r="B45" s="154"/>
      <c r="C45" s="154"/>
      <c r="D45" s="154"/>
      <c r="E45" s="169">
        <f>E43+E44</f>
        <v>2.2769876743871054</v>
      </c>
      <c r="F45" s="169"/>
      <c r="G45" s="169"/>
      <c r="H45" s="169"/>
    </row>
    <row r="46" spans="1:19" x14ac:dyDescent="0.25">
      <c r="A46" s="154" t="s">
        <v>88</v>
      </c>
      <c r="B46" s="154"/>
      <c r="C46" s="154"/>
      <c r="D46" s="154"/>
      <c r="E46" s="228">
        <v>3362.2</v>
      </c>
      <c r="F46" s="228"/>
      <c r="G46" s="228"/>
      <c r="H46" s="228"/>
    </row>
    <row r="47" spans="1:19" x14ac:dyDescent="0.25">
      <c r="A47" s="158" t="s">
        <v>37</v>
      </c>
      <c r="B47" s="158"/>
      <c r="C47" s="158"/>
      <c r="D47" s="158"/>
      <c r="E47" s="158" t="s">
        <v>119</v>
      </c>
      <c r="F47" s="158"/>
      <c r="G47" s="158"/>
      <c r="H47" s="158"/>
    </row>
    <row r="48" spans="1:19" x14ac:dyDescent="0.25">
      <c r="A48" s="229" t="s">
        <v>38</v>
      </c>
      <c r="B48" s="229"/>
      <c r="C48" s="229"/>
      <c r="D48" s="229"/>
      <c r="E48" s="229"/>
      <c r="F48" s="229"/>
      <c r="G48" s="229"/>
      <c r="H48" s="229"/>
    </row>
    <row r="49" spans="1:24" ht="33.75" customHeight="1" x14ac:dyDescent="0.25">
      <c r="A49" s="117" t="s">
        <v>153</v>
      </c>
      <c r="B49" s="119"/>
      <c r="C49" s="232" t="s">
        <v>259</v>
      </c>
      <c r="D49" s="233"/>
      <c r="E49" s="233"/>
      <c r="F49" s="233"/>
      <c r="G49" s="233"/>
      <c r="H49" s="234"/>
      <c r="R49" t="s">
        <v>257</v>
      </c>
      <c r="S49" s="62" t="s">
        <v>176</v>
      </c>
      <c r="T49" s="62" t="s">
        <v>183</v>
      </c>
      <c r="U49" s="62" t="s">
        <v>197</v>
      </c>
      <c r="V49" s="62" t="s">
        <v>192</v>
      </c>
    </row>
    <row r="50" spans="1:24" ht="30.75" customHeight="1" x14ac:dyDescent="0.25">
      <c r="A50" s="117" t="s">
        <v>39</v>
      </c>
      <c r="B50" s="119"/>
      <c r="C50" s="117" t="s">
        <v>382</v>
      </c>
      <c r="D50" s="118"/>
      <c r="E50" s="119"/>
      <c r="F50" s="18" t="s">
        <v>40</v>
      </c>
      <c r="G50" s="120">
        <v>45090</v>
      </c>
      <c r="H50" s="121"/>
      <c r="R50"/>
      <c r="S50" s="62" t="s">
        <v>258</v>
      </c>
      <c r="T50" s="62" t="s">
        <v>263</v>
      </c>
      <c r="U50" s="62" t="s">
        <v>274</v>
      </c>
      <c r="V50" s="62" t="s">
        <v>279</v>
      </c>
    </row>
    <row r="51" spans="1:24" ht="30" customHeight="1" x14ac:dyDescent="0.25">
      <c r="A51" s="117" t="s">
        <v>41</v>
      </c>
      <c r="B51" s="119"/>
      <c r="C51" s="117" t="str">
        <f>C50</f>
        <v>P-9980/2022/(890)/T WARD/
MULUND-W</v>
      </c>
      <c r="D51" s="118"/>
      <c r="E51" s="119"/>
      <c r="F51" s="18" t="s">
        <v>40</v>
      </c>
      <c r="G51" s="120">
        <f>G50</f>
        <v>45090</v>
      </c>
      <c r="H51" s="121"/>
      <c r="R51"/>
      <c r="S51" s="62" t="s">
        <v>259</v>
      </c>
      <c r="T51" s="62" t="s">
        <v>264</v>
      </c>
      <c r="U51" s="62" t="s">
        <v>272</v>
      </c>
      <c r="V51" s="62" t="s">
        <v>280</v>
      </c>
    </row>
    <row r="52" spans="1:24" s="23" customFormat="1" ht="31.5" customHeight="1" x14ac:dyDescent="0.25">
      <c r="A52" s="113" t="s">
        <v>157</v>
      </c>
      <c r="B52" s="114"/>
      <c r="C52" s="117" t="s">
        <v>424</v>
      </c>
      <c r="D52" s="118"/>
      <c r="E52" s="119"/>
      <c r="F52" s="18" t="s">
        <v>40</v>
      </c>
      <c r="G52" s="120">
        <v>45250</v>
      </c>
      <c r="H52" s="121"/>
      <c r="I52" s="22"/>
      <c r="J52" s="94"/>
      <c r="R52"/>
      <c r="S52" s="62" t="s">
        <v>260</v>
      </c>
      <c r="T52" s="62" t="s">
        <v>265</v>
      </c>
      <c r="U52" s="62" t="s">
        <v>262</v>
      </c>
      <c r="V52" s="62" t="s">
        <v>281</v>
      </c>
    </row>
    <row r="53" spans="1:24" s="23" customFormat="1" ht="50.25" customHeight="1" x14ac:dyDescent="0.25">
      <c r="A53" s="115"/>
      <c r="B53" s="116"/>
      <c r="C53" s="117" t="s">
        <v>426</v>
      </c>
      <c r="D53" s="118"/>
      <c r="E53" s="119"/>
      <c r="F53" s="18" t="s">
        <v>120</v>
      </c>
      <c r="G53" s="120">
        <v>45615</v>
      </c>
      <c r="H53" s="121"/>
      <c r="R53"/>
      <c r="S53" s="62" t="s">
        <v>261</v>
      </c>
      <c r="T53" s="62" t="s">
        <v>268</v>
      </c>
      <c r="U53" s="62" t="s">
        <v>275</v>
      </c>
      <c r="V53" s="86" t="s">
        <v>354</v>
      </c>
    </row>
    <row r="54" spans="1:24" s="23" customFormat="1" ht="31.5" customHeight="1" x14ac:dyDescent="0.25">
      <c r="A54" s="144" t="s">
        <v>157</v>
      </c>
      <c r="B54" s="144"/>
      <c r="C54" s="144" t="s">
        <v>423</v>
      </c>
      <c r="D54" s="144"/>
      <c r="E54" s="144"/>
      <c r="F54" s="18" t="s">
        <v>40</v>
      </c>
      <c r="G54" s="247">
        <v>45616</v>
      </c>
      <c r="H54" s="247"/>
      <c r="I54" s="22"/>
      <c r="J54" s="94"/>
      <c r="R54"/>
      <c r="S54" s="62" t="s">
        <v>260</v>
      </c>
      <c r="T54" s="62" t="s">
        <v>265</v>
      </c>
      <c r="U54" s="62" t="s">
        <v>262</v>
      </c>
      <c r="V54" s="62" t="s">
        <v>281</v>
      </c>
    </row>
    <row r="55" spans="1:24" s="23" customFormat="1" ht="161.25" customHeight="1" x14ac:dyDescent="0.25">
      <c r="A55" s="144"/>
      <c r="B55" s="144"/>
      <c r="C55" s="144" t="s">
        <v>425</v>
      </c>
      <c r="D55" s="144"/>
      <c r="E55" s="144"/>
      <c r="F55" s="18" t="s">
        <v>120</v>
      </c>
      <c r="G55" s="247">
        <v>45980</v>
      </c>
      <c r="H55" s="247"/>
      <c r="R55"/>
      <c r="S55" s="62" t="s">
        <v>261</v>
      </c>
      <c r="T55" s="62" t="s">
        <v>268</v>
      </c>
      <c r="U55" s="62" t="s">
        <v>275</v>
      </c>
      <c r="V55" s="86" t="s">
        <v>354</v>
      </c>
    </row>
    <row r="56" spans="1:24" s="23" customFormat="1" ht="31.5" customHeight="1" x14ac:dyDescent="0.25">
      <c r="A56" s="144" t="s">
        <v>157</v>
      </c>
      <c r="B56" s="144"/>
      <c r="C56" s="144" t="s">
        <v>383</v>
      </c>
      <c r="D56" s="144"/>
      <c r="E56" s="144"/>
      <c r="F56" s="18" t="s">
        <v>40</v>
      </c>
      <c r="G56" s="247">
        <v>45492</v>
      </c>
      <c r="H56" s="247"/>
      <c r="I56" s="22" t="str">
        <f ca="1">IF(G56&gt;EDATE(E3,-48),"NO REMARK","CC REMARK FOR CC")</f>
        <v>NO REMARK</v>
      </c>
      <c r="J56" s="94"/>
      <c r="R56"/>
      <c r="S56" s="62" t="s">
        <v>260</v>
      </c>
      <c r="T56" s="62" t="s">
        <v>265</v>
      </c>
      <c r="U56" s="62" t="s">
        <v>262</v>
      </c>
      <c r="V56" s="62" t="s">
        <v>281</v>
      </c>
    </row>
    <row r="57" spans="1:24" s="23" customFormat="1" ht="127.5" customHeight="1" x14ac:dyDescent="0.25">
      <c r="A57" s="144"/>
      <c r="B57" s="144"/>
      <c r="C57" s="144" t="s">
        <v>384</v>
      </c>
      <c r="D57" s="144"/>
      <c r="E57" s="144"/>
      <c r="F57" s="18" t="s">
        <v>120</v>
      </c>
      <c r="G57" s="247">
        <v>45615</v>
      </c>
      <c r="H57" s="247"/>
      <c r="R57"/>
      <c r="S57" s="62" t="s">
        <v>261</v>
      </c>
      <c r="T57" s="62" t="s">
        <v>268</v>
      </c>
      <c r="U57" s="62" t="s">
        <v>275</v>
      </c>
      <c r="V57" s="86" t="s">
        <v>354</v>
      </c>
    </row>
    <row r="58" spans="1:24" s="23" customFormat="1" ht="30.75" customHeight="1" x14ac:dyDescent="0.25">
      <c r="A58" s="161" t="s">
        <v>410</v>
      </c>
      <c r="B58" s="162"/>
      <c r="C58" s="117" t="s">
        <v>409</v>
      </c>
      <c r="D58" s="118"/>
      <c r="E58" s="119"/>
      <c r="F58" s="18" t="s">
        <v>40</v>
      </c>
      <c r="G58" s="120">
        <v>44593</v>
      </c>
      <c r="H58" s="121"/>
      <c r="K58" s="95">
        <f>EDATE(G56,-48)</f>
        <v>44031</v>
      </c>
      <c r="L58" s="23" t="str">
        <f ca="1">IF(G56&gt;EDATE(E3,-48),"NO REMARK","CC REMARK FOR CC")</f>
        <v>NO REMARK</v>
      </c>
      <c r="R58"/>
      <c r="S58" s="62" t="s">
        <v>260</v>
      </c>
      <c r="T58" s="62" t="s">
        <v>265</v>
      </c>
      <c r="U58" s="62" t="s">
        <v>262</v>
      </c>
      <c r="V58" s="62" t="s">
        <v>281</v>
      </c>
    </row>
    <row r="59" spans="1:24" s="23" customFormat="1" ht="32.25" customHeight="1" x14ac:dyDescent="0.25">
      <c r="A59" s="163"/>
      <c r="B59" s="164"/>
      <c r="C59" s="262" t="s">
        <v>411</v>
      </c>
      <c r="D59" s="263"/>
      <c r="E59" s="263"/>
      <c r="F59" s="263"/>
      <c r="G59" s="263"/>
      <c r="H59" s="264"/>
      <c r="R59"/>
      <c r="S59" s="62" t="s">
        <v>262</v>
      </c>
      <c r="T59" s="62" t="s">
        <v>266</v>
      </c>
      <c r="U59" s="62" t="s">
        <v>276</v>
      </c>
      <c r="V59" s="87"/>
      <c r="W59" s="21"/>
      <c r="X59" s="21"/>
    </row>
    <row r="60" spans="1:24" s="23" customFormat="1" ht="34.5" hidden="1" customHeight="1" x14ac:dyDescent="0.25">
      <c r="A60" s="173" t="s">
        <v>285</v>
      </c>
      <c r="B60" s="174"/>
      <c r="C60" s="117" t="str">
        <f>C59</f>
        <v>Gr. + 1st to 3rd podium floor + 4th podium floor + 1st to 17th upper residential floors with a total height of 69.75 mtrs.</v>
      </c>
      <c r="D60" s="118"/>
      <c r="E60" s="119"/>
      <c r="F60" s="18" t="s">
        <v>40</v>
      </c>
      <c r="G60" s="120">
        <f>G59</f>
        <v>0</v>
      </c>
      <c r="H60" s="121"/>
      <c r="R60"/>
      <c r="S60" s="87"/>
      <c r="T60" s="62" t="s">
        <v>267</v>
      </c>
      <c r="U60" s="62" t="s">
        <v>277</v>
      </c>
      <c r="V60" s="87"/>
      <c r="W60" s="21"/>
      <c r="X60" s="21"/>
    </row>
    <row r="61" spans="1:24" s="23" customFormat="1" ht="41.25" hidden="1" customHeight="1" x14ac:dyDescent="0.25">
      <c r="A61" s="175"/>
      <c r="B61" s="176"/>
      <c r="C61" s="117"/>
      <c r="D61" s="118"/>
      <c r="E61" s="118"/>
      <c r="F61" s="118"/>
      <c r="G61" s="118"/>
      <c r="H61" s="119"/>
      <c r="R61"/>
      <c r="S61" s="87"/>
      <c r="T61" s="62" t="s">
        <v>269</v>
      </c>
      <c r="U61" s="62" t="s">
        <v>278</v>
      </c>
      <c r="V61" s="87"/>
      <c r="W61" s="21"/>
      <c r="X61" s="21"/>
    </row>
    <row r="62" spans="1:24" s="23" customFormat="1" ht="15.75" hidden="1" customHeight="1" x14ac:dyDescent="0.25">
      <c r="A62" s="173" t="s">
        <v>357</v>
      </c>
      <c r="B62" s="174"/>
      <c r="C62" s="117"/>
      <c r="D62" s="118"/>
      <c r="E62" s="119"/>
      <c r="F62" s="18" t="s">
        <v>40</v>
      </c>
      <c r="G62" s="120"/>
      <c r="H62" s="121"/>
      <c r="R62"/>
      <c r="S62" s="87"/>
      <c r="T62" s="62" t="s">
        <v>270</v>
      </c>
      <c r="U62" s="87" t="s">
        <v>299</v>
      </c>
      <c r="V62" s="87"/>
      <c r="W62" s="21"/>
      <c r="X62" s="21"/>
    </row>
    <row r="63" spans="1:24" s="23" customFormat="1" ht="33.75" hidden="1" customHeight="1" x14ac:dyDescent="0.25">
      <c r="A63" s="175"/>
      <c r="B63" s="176"/>
      <c r="C63" s="144" t="s">
        <v>359</v>
      </c>
      <c r="D63" s="144"/>
      <c r="E63" s="144"/>
      <c r="F63" s="18" t="s">
        <v>358</v>
      </c>
      <c r="G63" s="120"/>
      <c r="H63" s="121"/>
      <c r="R63"/>
      <c r="S63" s="87"/>
      <c r="T63" s="62" t="s">
        <v>271</v>
      </c>
      <c r="U63" s="87"/>
      <c r="V63" s="87"/>
      <c r="W63" s="21"/>
      <c r="X63" s="21"/>
    </row>
    <row r="64" spans="1:24" x14ac:dyDescent="0.25">
      <c r="A64" s="189" t="s">
        <v>42</v>
      </c>
      <c r="B64" s="190"/>
      <c r="C64" s="189" t="s">
        <v>102</v>
      </c>
      <c r="D64" s="191"/>
      <c r="E64" s="190"/>
      <c r="F64" s="45" t="s">
        <v>40</v>
      </c>
      <c r="G64" s="159" t="s">
        <v>28</v>
      </c>
      <c r="H64" s="160"/>
      <c r="R64"/>
      <c r="S64" s="87"/>
      <c r="T64" s="62" t="s">
        <v>273</v>
      </c>
      <c r="U64" s="87"/>
      <c r="V64" s="87"/>
    </row>
    <row r="65" spans="1:22" x14ac:dyDescent="0.25">
      <c r="A65" s="202" t="s">
        <v>44</v>
      </c>
      <c r="B65" s="202"/>
      <c r="C65" s="202"/>
      <c r="D65" s="202"/>
      <c r="E65" s="202"/>
      <c r="F65" s="202"/>
      <c r="G65" s="202"/>
      <c r="H65" s="202"/>
      <c r="S65" s="87"/>
      <c r="T65" s="62" t="s">
        <v>282</v>
      </c>
      <c r="U65" s="87"/>
      <c r="V65" s="87"/>
    </row>
    <row r="66" spans="1:22" x14ac:dyDescent="0.25">
      <c r="A66" s="144" t="s">
        <v>87</v>
      </c>
      <c r="B66" s="144"/>
      <c r="C66" s="144"/>
      <c r="D66" s="154">
        <f>E46</f>
        <v>3362.2</v>
      </c>
      <c r="E66" s="154"/>
      <c r="F66" s="154"/>
      <c r="G66" s="154"/>
      <c r="H66" s="154"/>
      <c r="R66"/>
    </row>
    <row r="67" spans="1:22" x14ac:dyDescent="0.25">
      <c r="A67" s="250" t="s">
        <v>45</v>
      </c>
      <c r="B67" s="196"/>
      <c r="C67" s="196"/>
      <c r="D67" s="158" t="s">
        <v>412</v>
      </c>
      <c r="E67" s="158"/>
      <c r="F67" s="158"/>
      <c r="G67" s="158"/>
      <c r="H67" s="158"/>
      <c r="I67" s="24"/>
      <c r="R67"/>
    </row>
    <row r="68" spans="1:22" x14ac:dyDescent="0.25">
      <c r="A68" s="161" t="s">
        <v>46</v>
      </c>
      <c r="B68" s="231"/>
      <c r="C68" s="162"/>
      <c r="D68" s="145" t="s">
        <v>386</v>
      </c>
      <c r="E68" s="230"/>
      <c r="F68" s="230"/>
      <c r="G68" s="230"/>
      <c r="H68" s="230"/>
      <c r="R68"/>
    </row>
    <row r="69" spans="1:22" ht="15.75" customHeight="1" x14ac:dyDescent="0.25">
      <c r="A69" s="235" t="s">
        <v>85</v>
      </c>
      <c r="B69" s="236"/>
      <c r="C69" s="236"/>
      <c r="D69" s="241" t="s">
        <v>413</v>
      </c>
      <c r="E69" s="242"/>
      <c r="F69" s="242"/>
      <c r="G69" s="242"/>
      <c r="H69" s="243"/>
      <c r="R69"/>
    </row>
    <row r="70" spans="1:22" ht="15.75" hidden="1" customHeight="1" x14ac:dyDescent="0.25">
      <c r="A70" s="237"/>
      <c r="B70" s="238"/>
      <c r="C70" s="238"/>
      <c r="D70" s="244" t="s">
        <v>300</v>
      </c>
      <c r="E70" s="245"/>
      <c r="F70" s="245"/>
      <c r="G70" s="245"/>
      <c r="H70" s="246"/>
      <c r="R70"/>
    </row>
    <row r="71" spans="1:22" ht="15.75" hidden="1" customHeight="1" x14ac:dyDescent="0.25">
      <c r="A71" s="239"/>
      <c r="B71" s="240"/>
      <c r="C71" s="240"/>
      <c r="D71" s="170" t="s">
        <v>172</v>
      </c>
      <c r="E71" s="171"/>
      <c r="F71" s="171"/>
      <c r="G71" s="171"/>
      <c r="H71" s="172"/>
      <c r="S71"/>
    </row>
    <row r="72" spans="1:22" ht="15.75" customHeight="1" x14ac:dyDescent="0.25">
      <c r="A72" s="154" t="s">
        <v>43</v>
      </c>
      <c r="B72" s="154"/>
      <c r="C72" s="154"/>
      <c r="D72" s="249" t="s">
        <v>387</v>
      </c>
      <c r="E72" s="249"/>
      <c r="F72" s="249"/>
      <c r="G72" s="249"/>
      <c r="H72" s="249"/>
      <c r="J72" s="25"/>
      <c r="K72" s="24"/>
      <c r="N72" s="24"/>
      <c r="S72"/>
    </row>
    <row r="73" spans="1:22" ht="15.75" customHeight="1" x14ac:dyDescent="0.25">
      <c r="A73" s="154" t="s">
        <v>83</v>
      </c>
      <c r="B73" s="154"/>
      <c r="C73" s="154"/>
      <c r="D73" s="227" t="str">
        <f>(IF(G64="NA","60 Years After Completion",IF(G64&lt;&gt;"NA",""&amp;60-ROUNDDOWN((E3-G64)/360,0)&amp;" Years"," ")))</f>
        <v>60 Years After Completion</v>
      </c>
      <c r="E73" s="227"/>
      <c r="F73" s="227"/>
      <c r="G73" s="227"/>
      <c r="H73" s="227"/>
      <c r="N73" s="24"/>
      <c r="S73"/>
    </row>
    <row r="74" spans="1:22" ht="15.75" customHeight="1" x14ac:dyDescent="0.25">
      <c r="A74" s="154" t="s">
        <v>84</v>
      </c>
      <c r="B74" s="154"/>
      <c r="C74" s="154"/>
      <c r="D74" s="144" t="s">
        <v>23</v>
      </c>
      <c r="E74" s="144"/>
      <c r="F74" s="144"/>
      <c r="G74" s="144"/>
      <c r="H74" s="144"/>
      <c r="J74" s="26"/>
      <c r="K74" s="26"/>
      <c r="S74"/>
    </row>
    <row r="75" spans="1:22" ht="33" customHeight="1" x14ac:dyDescent="0.25">
      <c r="A75" s="196" t="s">
        <v>415</v>
      </c>
      <c r="B75" s="196"/>
      <c r="C75" s="196"/>
      <c r="D75" s="197" t="s">
        <v>414</v>
      </c>
      <c r="E75" s="144"/>
      <c r="F75" s="144"/>
      <c r="G75" s="144"/>
      <c r="H75" s="144"/>
      <c r="S75"/>
    </row>
    <row r="76" spans="1:22" x14ac:dyDescent="0.25">
      <c r="A76" s="144" t="s">
        <v>149</v>
      </c>
      <c r="B76" s="144"/>
      <c r="C76" s="144"/>
      <c r="D76" s="144" t="s">
        <v>28</v>
      </c>
      <c r="E76" s="144"/>
      <c r="F76" s="144"/>
      <c r="G76" s="144"/>
      <c r="H76" s="144"/>
      <c r="I76" s="27"/>
      <c r="J76" s="27"/>
      <c r="K76" s="27"/>
      <c r="L76" s="27"/>
      <c r="M76" s="27"/>
      <c r="N76" s="27"/>
    </row>
    <row r="77" spans="1:22" ht="15.75" customHeight="1" x14ac:dyDescent="0.25">
      <c r="A77" s="199" t="s">
        <v>82</v>
      </c>
      <c r="B77" s="199"/>
      <c r="C77" s="199"/>
      <c r="D77" s="145" t="str">
        <f ca="1">(IF(G83&gt;95%,"Nothing",IF(G83&gt;0%,"Cement, Aggregate, Steel, etc",IF(G83=0%,"Work not yet Started"))))</f>
        <v>Cement, Aggregate, Steel, etc</v>
      </c>
      <c r="E77" s="145"/>
      <c r="F77" s="145"/>
      <c r="G77" s="145"/>
      <c r="H77" s="145"/>
      <c r="J77" s="26"/>
      <c r="S77"/>
    </row>
    <row r="78" spans="1:22" ht="33.75" customHeight="1" thickBot="1" x14ac:dyDescent="0.3">
      <c r="A78" s="198" t="s">
        <v>115</v>
      </c>
      <c r="B78" s="198"/>
      <c r="C78" s="198"/>
      <c r="D78" s="145" t="str">
        <f ca="1">(IF(D77="Nothing","Yes",IF(D77="Cement, Aggregate, Steel, etc","Under Construction",IF(D77="Work not yet Started","Work not yet Started"))))</f>
        <v>Under Construction</v>
      </c>
      <c r="E78" s="145"/>
      <c r="F78" s="145" t="str">
        <f ca="1">(IF(D77="Nothing","Yes",IF(D77="Cement, Aggregate, Steel, etc","Under Construction",IF(D77="Work not yet Started","Work not yet Started"))))</f>
        <v>Under Construction</v>
      </c>
      <c r="G78" s="145"/>
      <c r="H78" s="145"/>
      <c r="S78"/>
    </row>
    <row r="79" spans="1:22" ht="15.75" customHeight="1" x14ac:dyDescent="0.25">
      <c r="A79" s="179" t="s">
        <v>139</v>
      </c>
      <c r="B79" s="180"/>
      <c r="C79" s="181" t="str">
        <f>D69</f>
        <v>Gr + 1P to 4P + 1st to 17th Floor</v>
      </c>
      <c r="D79" s="182"/>
      <c r="E79" s="182"/>
      <c r="F79" s="182"/>
      <c r="G79" s="182"/>
      <c r="H79" s="183"/>
      <c r="I79" s="49" t="str">
        <f ca="1">IF(D92=100%,"All work Completed. Possession granted to the Building.",IF(D91=100%,"All work Completed, Waiting for OC",I80&amp;""&amp;I81&amp;""&amp;J80&amp;""&amp;J79&amp;" "&amp;J81))</f>
        <v>Excavation, Plinth Completed, RCC upto 9 Slab Completed</v>
      </c>
      <c r="J79" s="50"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RCC upto 9 Slab</v>
      </c>
      <c r="S79"/>
    </row>
    <row r="80" spans="1:22" x14ac:dyDescent="0.25">
      <c r="A80" s="16" t="s">
        <v>141</v>
      </c>
      <c r="B80" s="53">
        <f>IF(AND(ISNUMBER(SEARCH("1B",C79))),1,IF(AND(ISNUMBER(SEARCH("2B",C79))),2,IF(AND(ISNUMBER(SEARCH("3B",C79))),3,IF(AND(ISNUMBER(SEARCH("4B",C79))),4,IF(ISNUMBER(SEARCH("5B",C79)),5,0)))))</f>
        <v>0</v>
      </c>
      <c r="C80" s="47" t="s">
        <v>68</v>
      </c>
      <c r="D80" s="47">
        <v>1</v>
      </c>
      <c r="E80" s="47" t="s">
        <v>67</v>
      </c>
      <c r="F80" s="54">
        <v>4</v>
      </c>
      <c r="G80" s="48" t="s">
        <v>76</v>
      </c>
      <c r="H80" s="17">
        <f ca="1">--TRIM(RIGHT(SUBSTITUTE(LEFT(C79,_xlfn.AGGREGATE(16,6,FIND({0,1,2,3,4,5,6,7,8,9},C79,ROW(INDIRECT("1:"&amp;LEN(C79)))),1))," ",REPT(" ",LEN(C79))),LEN(C79)))</f>
        <v>17</v>
      </c>
      <c r="I80" s="51" t="str">
        <f ca="1">IF(D83=100%,"Excavation","")&amp;IF(D84=100%,", Plinth","")&amp;IF(D85=100%,", RCC Slab","")&amp;IF(D86=100%,", Brickwork","")&amp;IF(D87=100%,", Internal Plaster","")&amp;IF(D88=100%,", External Plaster","")&amp;IF(D89=100%,", Flooring","")&amp;IF(D90=100%,", Painting","")&amp;IF(D91=100%,", Building common Amenities","")</f>
        <v>Excavation, Plinth</v>
      </c>
      <c r="J80" s="52"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c>
      <c r="S80"/>
    </row>
    <row r="81" spans="1:19" x14ac:dyDescent="0.25">
      <c r="A81" s="177" t="s">
        <v>86</v>
      </c>
      <c r="B81" s="178"/>
      <c r="C81" s="184" t="str">
        <f ca="1">I79</f>
        <v>Excavation, Plinth Completed, RCC upto 9 Slab Completed</v>
      </c>
      <c r="D81" s="184"/>
      <c r="E81" s="184"/>
      <c r="F81" s="184"/>
      <c r="G81" s="184"/>
      <c r="H81" s="185"/>
      <c r="I81" s="51" t="str">
        <f ca="1">IF(I80&lt;&gt;""," Completed","")</f>
        <v xml:space="preserve"> Completed</v>
      </c>
      <c r="J81" s="52" t="str">
        <f ca="1">IF(J79&lt;&gt;"","Completed","")</f>
        <v>Completed</v>
      </c>
      <c r="S81"/>
    </row>
    <row r="82" spans="1:19" ht="15.75" customHeight="1" x14ac:dyDescent="0.25">
      <c r="A82" s="146" t="s">
        <v>47</v>
      </c>
      <c r="B82" s="147"/>
      <c r="C82" s="43" t="s">
        <v>138</v>
      </c>
      <c r="D82" s="43" t="s">
        <v>79</v>
      </c>
      <c r="E82" s="147" t="s">
        <v>81</v>
      </c>
      <c r="F82" s="147"/>
      <c r="G82" s="147" t="s">
        <v>80</v>
      </c>
      <c r="H82" s="148"/>
      <c r="I82" s="13" t="s">
        <v>140</v>
      </c>
      <c r="J82" s="28">
        <f ca="1">H80*25%</f>
        <v>4.25</v>
      </c>
      <c r="S82"/>
    </row>
    <row r="83" spans="1:19" x14ac:dyDescent="0.25">
      <c r="A83" s="146" t="s">
        <v>127</v>
      </c>
      <c r="B83" s="147"/>
      <c r="C83" s="104">
        <f ca="1">J84</f>
        <v>17</v>
      </c>
      <c r="D83" s="19">
        <f ca="1">((100/H80)*C83)/100</f>
        <v>1</v>
      </c>
      <c r="E83" s="165">
        <f ca="1">(((C84/H80*10)+(40/(D80+F80+H80)*C85)+(7.5/(H80)*C86)+(7.5/(H80)*C87)+(10/H80*C88)+(10/H80*C89)+(5/H80*C90)+(5/H80*C91)+(5/H80*C92))/100)</f>
        <v>0.26363636363636361</v>
      </c>
      <c r="F83" s="253"/>
      <c r="G83" s="165">
        <f ca="1">((((C83/H80)*20)+((C84/H80)*25)+(30/(H80+F80+D80)*C85)+(5/H80*C86)+(5/H80*C87)+(5/H80*C88)+(5/H80*C89)+(0/H80*C90)+(0/H80*C91)+(5/H80*C92))/100)</f>
        <v>0.57272727272727275</v>
      </c>
      <c r="H83" s="166"/>
      <c r="I83" s="13" t="s">
        <v>97</v>
      </c>
      <c r="J83" s="29">
        <f ca="1">H80*50%</f>
        <v>8.5</v>
      </c>
    </row>
    <row r="84" spans="1:19" x14ac:dyDescent="0.25">
      <c r="A84" s="146" t="s">
        <v>48</v>
      </c>
      <c r="B84" s="147"/>
      <c r="C84" s="43">
        <f ca="1">J92</f>
        <v>17</v>
      </c>
      <c r="D84" s="19">
        <f ca="1">((100/H80)*C84)/100</f>
        <v>1</v>
      </c>
      <c r="E84" s="167"/>
      <c r="F84" s="254"/>
      <c r="G84" s="167"/>
      <c r="H84" s="168"/>
      <c r="I84" s="13" t="s">
        <v>98</v>
      </c>
      <c r="J84" s="29">
        <f ca="1">H80</f>
        <v>17</v>
      </c>
      <c r="S84"/>
    </row>
    <row r="85" spans="1:19" ht="15.75" customHeight="1" x14ac:dyDescent="0.25">
      <c r="A85" s="146" t="s">
        <v>128</v>
      </c>
      <c r="B85" s="147"/>
      <c r="C85" s="43">
        <v>9</v>
      </c>
      <c r="D85" s="19">
        <f ca="1">((100/(D80+F80+H80))*C85)/100</f>
        <v>0.40909090909090912</v>
      </c>
      <c r="E85" s="167"/>
      <c r="F85" s="254"/>
      <c r="G85" s="167"/>
      <c r="H85" s="168"/>
      <c r="I85" s="13" t="s">
        <v>99</v>
      </c>
      <c r="J85" s="30">
        <f ca="1">(IF(B80&gt;1,(H80/(B80+2)),H80/4))</f>
        <v>4.25</v>
      </c>
      <c r="S85"/>
    </row>
    <row r="86" spans="1:19" ht="15.75" customHeight="1" x14ac:dyDescent="0.25">
      <c r="A86" s="146" t="s">
        <v>135</v>
      </c>
      <c r="B86" s="147" t="s">
        <v>129</v>
      </c>
      <c r="C86" s="43">
        <v>0</v>
      </c>
      <c r="D86" s="19">
        <f ca="1">((100/H80)*C86)/100</f>
        <v>0</v>
      </c>
      <c r="E86" s="167"/>
      <c r="F86" s="254"/>
      <c r="G86" s="167"/>
      <c r="H86" s="168"/>
      <c r="I86" s="13" t="s">
        <v>100</v>
      </c>
      <c r="J86" s="30">
        <f ca="1">(IF(B80&gt;1,(H80/(B80+2)+J85),H80/4+J85))</f>
        <v>8.5</v>
      </c>
    </row>
    <row r="87" spans="1:19" ht="15.75" customHeight="1" x14ac:dyDescent="0.25">
      <c r="A87" s="146" t="s">
        <v>136</v>
      </c>
      <c r="B87" s="147" t="s">
        <v>129</v>
      </c>
      <c r="C87" s="43">
        <v>0</v>
      </c>
      <c r="D87" s="19">
        <f ca="1">((100/H80)*C87)/100</f>
        <v>0</v>
      </c>
      <c r="E87" s="167"/>
      <c r="F87" s="254"/>
      <c r="G87" s="167"/>
      <c r="H87" s="168"/>
      <c r="I87" s="13" t="s">
        <v>147</v>
      </c>
      <c r="J87" s="30">
        <f>(IF(B80&gt;1,(H80/(B80+2)+J86),0))</f>
        <v>0</v>
      </c>
    </row>
    <row r="88" spans="1:19" ht="15" customHeight="1" x14ac:dyDescent="0.25">
      <c r="A88" s="146" t="s">
        <v>134</v>
      </c>
      <c r="B88" s="147" t="s">
        <v>131</v>
      </c>
      <c r="C88" s="66">
        <v>0</v>
      </c>
      <c r="D88" s="19">
        <f ca="1">((100/(H80))*C88)/100</f>
        <v>0</v>
      </c>
      <c r="E88" s="167"/>
      <c r="F88" s="254"/>
      <c r="G88" s="167"/>
      <c r="H88" s="168"/>
      <c r="I88" s="13" t="s">
        <v>142</v>
      </c>
      <c r="J88" s="30">
        <f>(IF(B80&gt;2,(H80/(B80+2)+J87),0))</f>
        <v>0</v>
      </c>
    </row>
    <row r="89" spans="1:19" ht="15.75" customHeight="1" x14ac:dyDescent="0.25">
      <c r="A89" s="146" t="s">
        <v>130</v>
      </c>
      <c r="B89" s="147" t="s">
        <v>130</v>
      </c>
      <c r="C89" s="43">
        <v>0</v>
      </c>
      <c r="D89" s="19">
        <f ca="1">((100/H80)*C89)/100</f>
        <v>0</v>
      </c>
      <c r="E89" s="167"/>
      <c r="F89" s="254"/>
      <c r="G89" s="167"/>
      <c r="H89" s="168"/>
      <c r="I89" s="13" t="s">
        <v>143</v>
      </c>
      <c r="J89" s="31">
        <f>(IF(B80&gt;3,(H80/(B80+2)+J88),0))</f>
        <v>0</v>
      </c>
    </row>
    <row r="90" spans="1:19" ht="15.75" customHeight="1" x14ac:dyDescent="0.25">
      <c r="A90" s="146" t="s">
        <v>137</v>
      </c>
      <c r="B90" s="147"/>
      <c r="C90" s="43">
        <v>0</v>
      </c>
      <c r="D90" s="19">
        <f ca="1">((100/H80)*C90)/100</f>
        <v>0</v>
      </c>
      <c r="E90" s="167"/>
      <c r="F90" s="254"/>
      <c r="G90" s="167"/>
      <c r="H90" s="168"/>
      <c r="I90" s="13" t="s">
        <v>144</v>
      </c>
      <c r="J90" s="30">
        <f>(IF(B80&gt;4,(H80/(B80+2)+J89),0))</f>
        <v>0</v>
      </c>
    </row>
    <row r="91" spans="1:19" ht="15.75" customHeight="1" x14ac:dyDescent="0.25">
      <c r="A91" s="146" t="s">
        <v>132</v>
      </c>
      <c r="B91" s="147" t="s">
        <v>132</v>
      </c>
      <c r="C91" s="43">
        <v>0</v>
      </c>
      <c r="D91" s="19">
        <f ca="1">((100/(H80))*C91)/100</f>
        <v>0</v>
      </c>
      <c r="E91" s="167"/>
      <c r="F91" s="254"/>
      <c r="G91" s="167"/>
      <c r="H91" s="168"/>
      <c r="I91" s="13" t="s">
        <v>148</v>
      </c>
      <c r="J91" s="30">
        <f ca="1">(IF(B80=1,(H80/(B80+3)+J86),IF(B80=0,(H80/4+J86),IF(B80&gt;1,0))))</f>
        <v>12.75</v>
      </c>
    </row>
    <row r="92" spans="1:19" ht="16.5" thickBot="1" x14ac:dyDescent="0.3">
      <c r="A92" s="149" t="s">
        <v>133</v>
      </c>
      <c r="B92" s="150"/>
      <c r="C92" s="44">
        <v>0</v>
      </c>
      <c r="D92" s="20">
        <f ca="1">((100/(H80))*C92)/100</f>
        <v>0</v>
      </c>
      <c r="E92" s="265"/>
      <c r="F92" s="266"/>
      <c r="G92" s="265"/>
      <c r="H92" s="270"/>
      <c r="I92" s="15" t="s">
        <v>101</v>
      </c>
      <c r="J92" s="32">
        <f ca="1">(IF(B80&gt;1.5,(H80/(B80+2)+J86+MAX(0,J87-J86)+MAX(0,J88-J87)+MAX(0,J89-J88)+MAX(0,J90-J89)+MAX(0,J91-J90)),IF(B80=1,(H80/(B80+3)+J91),IF(B80=0,H80/4+J91))))</f>
        <v>17</v>
      </c>
    </row>
    <row r="93" spans="1:19" ht="15.75" hidden="1" customHeight="1" x14ac:dyDescent="0.25">
      <c r="A93" s="179" t="s">
        <v>139</v>
      </c>
      <c r="B93" s="180"/>
      <c r="C93" s="181" t="str">
        <f>D70</f>
        <v>B Wing = 1B + G + 1st to 19th Floor</v>
      </c>
      <c r="D93" s="182"/>
      <c r="E93" s="182"/>
      <c r="F93" s="182"/>
      <c r="G93" s="182"/>
      <c r="H93" s="183"/>
      <c r="I93" s="49" t="str">
        <f ca="1">IF(D106=100%,"All work Completed. Possession granted to the Building.",IF(D105=100%,"All work Completed, Waiting for OC",I94&amp;""&amp;I95&amp;""&amp;J94&amp;""&amp;J93&amp;" "&amp;J95))</f>
        <v xml:space="preserve">Excavation, Plinth Completed </v>
      </c>
      <c r="J93" s="50" t="str">
        <f ca="1">(IF(C99=(D94+F94+H94),"",IF(C99&gt;0,", RCC upto "&amp;C99&amp;" Slab","")))&amp;(IF(C100=H94,"",IF(C100&gt;0,", Brickwork upto "&amp;C100&amp;" Floor","")))&amp;(IF(C101=H94,"",IF(C101&gt;0,", Internal Plaster upto "&amp;C101&amp;" Floor","")))&amp;(IF(C102=H94,"",IF(C102&gt;0,", External Plaster upto "&amp;C102&amp;" Floor","")))&amp;(IF(C103=H94,"",IF(C103&gt;0,", Flooring upto "&amp;C103&amp;" Floor","")))&amp;(IF(C104=H94,"",IF(C104&gt;0,", Painting upto "&amp;C104&amp;" Floor","")))&amp;(IF(C105=H94,"",IF(C105&gt;0,", Finishing upto "&amp;C105&amp;" Floor","")))&amp;(IF(C106=H94,"",IF(C106&gt;0,", Possession upto "&amp;C106&amp;" Floor","")))</f>
        <v/>
      </c>
      <c r="S93"/>
    </row>
    <row r="94" spans="1:19" hidden="1" x14ac:dyDescent="0.25">
      <c r="A94" s="16" t="s">
        <v>141</v>
      </c>
      <c r="B94" s="54">
        <f>IF(AND(ISNUMBER(SEARCH("1B",C93))),1,IF(AND(ISNUMBER(SEARCH("2B",C93))),2,IF(AND(ISNUMBER(SEARCH("3B",C93))),3,IF(AND(ISNUMBER(SEARCH("4B",C93))),4,IF(ISNUMBER(SEARCH("5B",C93)),5,0)))))</f>
        <v>1</v>
      </c>
      <c r="C94" s="54" t="s">
        <v>68</v>
      </c>
      <c r="D94" s="54">
        <v>1</v>
      </c>
      <c r="E94" s="54" t="s">
        <v>67</v>
      </c>
      <c r="F94" s="14">
        <v>0</v>
      </c>
      <c r="G94" s="48" t="s">
        <v>76</v>
      </c>
      <c r="H94" s="17">
        <f ca="1">--TRIM(RIGHT(SUBSTITUTE(LEFT(C93,_xlfn.AGGREGATE(16,6,FIND({0,1,2,3,4,5,6,7,8,9},C93,ROW(INDIRECT("1:"&amp;LEN(C93)))),1))," ",REPT(" ",LEN(C93))),LEN(C93)))</f>
        <v>19</v>
      </c>
      <c r="I94" s="51" t="str">
        <f ca="1">IF(D97=100%,"Excavation","")&amp;IF(D98=100%,", Plinth","")&amp;IF(D99=100%,", RCC Slab","")&amp;IF(D100=100%,", Brickwork","")&amp;IF(D101=100%,", Internal Plaster","")&amp;IF(D102=100%,", External Plaster","")&amp;IF(D103=100%,", Flooring","")&amp;IF(D104=100%,", Painting","")&amp;IF(D105=100%,", Building common Amenities","")</f>
        <v>Excavation, Plinth</v>
      </c>
      <c r="J94" s="52" t="str">
        <f ca="1">(IF(C97=0,"Work not yet Started.",IF(D97=25%,"Piling work in process",IF(D97=50%,"Excavation work in process",IF(D97=100%,"","0")))))&amp;(IF(C98=0%,"",IF(C98=J99,", Footing work is process",IF(C98=J100,", Footing work Completed",IF(C98=J101,", 1st Basement Completed",IF(C98=J102,", 1st &amp; 2nd Basement Completed",IF(C98=J103,", 1st to 3rd Basement Completed",IF(C98=J104,", 1st to 4th Basement Completed",IF(C98=J105,", Plinth work is process",IF(C98=J106,"","0"))))))))))</f>
        <v/>
      </c>
      <c r="S94"/>
    </row>
    <row r="95" spans="1:19" ht="36.75" hidden="1" customHeight="1" x14ac:dyDescent="0.25">
      <c r="A95" s="177" t="s">
        <v>86</v>
      </c>
      <c r="B95" s="178"/>
      <c r="C95" s="184" t="str">
        <f ca="1">I93</f>
        <v xml:space="preserve">Excavation, Plinth Completed </v>
      </c>
      <c r="D95" s="184"/>
      <c r="E95" s="184"/>
      <c r="F95" s="184"/>
      <c r="G95" s="184"/>
      <c r="H95" s="185"/>
      <c r="I95" s="51" t="str">
        <f ca="1">IF(I94&lt;&gt;""," Completed","")</f>
        <v xml:space="preserve"> Completed</v>
      </c>
      <c r="J95" s="52" t="str">
        <f ca="1">IF(J93&lt;&gt;"","Completed","")</f>
        <v/>
      </c>
      <c r="S95"/>
    </row>
    <row r="96" spans="1:19" ht="15.75" hidden="1" customHeight="1" x14ac:dyDescent="0.25">
      <c r="A96" s="146" t="s">
        <v>47</v>
      </c>
      <c r="B96" s="147"/>
      <c r="C96" s="88" t="s">
        <v>138</v>
      </c>
      <c r="D96" s="88" t="s">
        <v>79</v>
      </c>
      <c r="E96" s="147" t="s">
        <v>81</v>
      </c>
      <c r="F96" s="147"/>
      <c r="G96" s="147" t="s">
        <v>80</v>
      </c>
      <c r="H96" s="148"/>
      <c r="I96" s="13" t="s">
        <v>140</v>
      </c>
      <c r="J96" s="28">
        <f ca="1">H94*25%</f>
        <v>4.75</v>
      </c>
      <c r="S96"/>
    </row>
    <row r="97" spans="1:22" hidden="1" x14ac:dyDescent="0.25">
      <c r="A97" s="146" t="s">
        <v>127</v>
      </c>
      <c r="B97" s="147"/>
      <c r="C97" s="67">
        <f ca="1">J98</f>
        <v>19</v>
      </c>
      <c r="D97" s="19">
        <f ca="1">((100/H94)*C97)/100</f>
        <v>1</v>
      </c>
      <c r="E97" s="165">
        <f ca="1">(((C98/H94*10)+(40/(D94+F94+H94)*C99)+(7.5/(H94)*C100)+(7.5/(H94)*C101)+(10/H94*C102)+(10/H94*C103)+(5/H94*C104)+(5/H94*C105)+(5/H94*C106))/100)</f>
        <v>0.1</v>
      </c>
      <c r="F97" s="253"/>
      <c r="G97" s="165">
        <f ca="1">((((C97/H94)*20)+((C98/H94)*25)+(30/(H94+F94+D94)*C99)+(5/H94*C100)+(5/H94*C101)+(5/H94*C102)+(5/H94*C103)+(0/H94*C104)+(0/H94*C105)+(5/H94*C106))/100)</f>
        <v>0.45</v>
      </c>
      <c r="H97" s="166"/>
      <c r="I97" s="13" t="s">
        <v>97</v>
      </c>
      <c r="J97" s="29">
        <f ca="1">H94*50%</f>
        <v>9.5</v>
      </c>
    </row>
    <row r="98" spans="1:22" hidden="1" x14ac:dyDescent="0.25">
      <c r="A98" s="146" t="s">
        <v>48</v>
      </c>
      <c r="B98" s="147"/>
      <c r="C98" s="88">
        <f ca="1">J106</f>
        <v>19</v>
      </c>
      <c r="D98" s="19">
        <f ca="1">((100/H94)*C98)/100</f>
        <v>1</v>
      </c>
      <c r="E98" s="167"/>
      <c r="F98" s="254"/>
      <c r="G98" s="167"/>
      <c r="H98" s="168"/>
      <c r="I98" s="13" t="s">
        <v>98</v>
      </c>
      <c r="J98" s="29">
        <f ca="1">H94</f>
        <v>19</v>
      </c>
      <c r="S98"/>
    </row>
    <row r="99" spans="1:22" ht="15.75" hidden="1" customHeight="1" x14ac:dyDescent="0.25">
      <c r="A99" s="146" t="s">
        <v>128</v>
      </c>
      <c r="B99" s="147"/>
      <c r="C99" s="88">
        <v>0</v>
      </c>
      <c r="D99" s="19">
        <f ca="1">((100/(D94+F94+H94))*C99)/100</f>
        <v>0</v>
      </c>
      <c r="E99" s="167"/>
      <c r="F99" s="254"/>
      <c r="G99" s="167"/>
      <c r="H99" s="168"/>
      <c r="I99" s="13" t="s">
        <v>99</v>
      </c>
      <c r="J99" s="30">
        <f ca="1">(IF(B94&gt;1,(H94/(B94+2)),H94/4))</f>
        <v>4.75</v>
      </c>
      <c r="S99"/>
    </row>
    <row r="100" spans="1:22" ht="15.75" hidden="1" customHeight="1" x14ac:dyDescent="0.25">
      <c r="A100" s="146" t="s">
        <v>135</v>
      </c>
      <c r="B100" s="147" t="s">
        <v>129</v>
      </c>
      <c r="C100" s="88">
        <v>0</v>
      </c>
      <c r="D100" s="19">
        <f ca="1">((100/H94)*C100)/100</f>
        <v>0</v>
      </c>
      <c r="E100" s="167"/>
      <c r="F100" s="254"/>
      <c r="G100" s="167"/>
      <c r="H100" s="168"/>
      <c r="I100" s="13" t="s">
        <v>100</v>
      </c>
      <c r="J100" s="30">
        <f ca="1">(IF(B94&gt;1,(H94/(B94+2)+J99),H94/4+J99))</f>
        <v>9.5</v>
      </c>
    </row>
    <row r="101" spans="1:22" ht="15.75" hidden="1" customHeight="1" x14ac:dyDescent="0.25">
      <c r="A101" s="146" t="s">
        <v>136</v>
      </c>
      <c r="B101" s="147" t="s">
        <v>129</v>
      </c>
      <c r="C101" s="88">
        <v>0</v>
      </c>
      <c r="D101" s="19">
        <f ca="1">((100/H94)*C101)/100</f>
        <v>0</v>
      </c>
      <c r="E101" s="167"/>
      <c r="F101" s="254"/>
      <c r="G101" s="167"/>
      <c r="H101" s="168"/>
      <c r="I101" s="13" t="s">
        <v>147</v>
      </c>
      <c r="J101" s="30">
        <f>(IF(B94&gt;1,(H94/(B94+2)+J100),0))</f>
        <v>0</v>
      </c>
    </row>
    <row r="102" spans="1:22" ht="15" hidden="1" customHeight="1" x14ac:dyDescent="0.25">
      <c r="A102" s="146" t="s">
        <v>134</v>
      </c>
      <c r="B102" s="147" t="s">
        <v>131</v>
      </c>
      <c r="C102" s="88">
        <v>0</v>
      </c>
      <c r="D102" s="19">
        <f ca="1">((100/(H94))*C102)/100</f>
        <v>0</v>
      </c>
      <c r="E102" s="167"/>
      <c r="F102" s="254"/>
      <c r="G102" s="167"/>
      <c r="H102" s="168"/>
      <c r="I102" s="13" t="s">
        <v>142</v>
      </c>
      <c r="J102" s="30">
        <f>(IF(B94&gt;2,(H94/(B94+2)+J101),0))</f>
        <v>0</v>
      </c>
    </row>
    <row r="103" spans="1:22" ht="15.75" hidden="1" customHeight="1" x14ac:dyDescent="0.25">
      <c r="A103" s="146" t="s">
        <v>130</v>
      </c>
      <c r="B103" s="147" t="s">
        <v>130</v>
      </c>
      <c r="C103" s="88">
        <v>0</v>
      </c>
      <c r="D103" s="19">
        <f ca="1">((100/H94)*C103)/100</f>
        <v>0</v>
      </c>
      <c r="E103" s="167"/>
      <c r="F103" s="254"/>
      <c r="G103" s="167"/>
      <c r="H103" s="168"/>
      <c r="I103" s="13" t="s">
        <v>143</v>
      </c>
      <c r="J103" s="31">
        <f>(IF(B94&gt;3,(H94/(B94+2)+J102),0))</f>
        <v>0</v>
      </c>
    </row>
    <row r="104" spans="1:22" ht="15.75" hidden="1" customHeight="1" x14ac:dyDescent="0.25">
      <c r="A104" s="146" t="s">
        <v>137</v>
      </c>
      <c r="B104" s="147"/>
      <c r="C104" s="88">
        <v>0</v>
      </c>
      <c r="D104" s="19">
        <f ca="1">((100/H94)*C104)/100</f>
        <v>0</v>
      </c>
      <c r="E104" s="167"/>
      <c r="F104" s="254"/>
      <c r="G104" s="167"/>
      <c r="H104" s="168"/>
      <c r="I104" s="13" t="s">
        <v>144</v>
      </c>
      <c r="J104" s="30">
        <f>(IF(B94&gt;4,(H94/(B94+2)+J103),0))</f>
        <v>0</v>
      </c>
    </row>
    <row r="105" spans="1:22" ht="15.75" hidden="1" customHeight="1" x14ac:dyDescent="0.25">
      <c r="A105" s="146" t="s">
        <v>132</v>
      </c>
      <c r="B105" s="147" t="s">
        <v>132</v>
      </c>
      <c r="C105" s="88">
        <v>0</v>
      </c>
      <c r="D105" s="19">
        <f ca="1">((100/(H94))*C105)/100</f>
        <v>0</v>
      </c>
      <c r="E105" s="167"/>
      <c r="F105" s="254"/>
      <c r="G105" s="167"/>
      <c r="H105" s="168"/>
      <c r="I105" s="13" t="s">
        <v>148</v>
      </c>
      <c r="J105" s="30">
        <f ca="1">(IF(B94=1,(H94/(B94+3)+J100),IF(B94=0,(H94/4+J100),IF(B94&gt;1,0))))</f>
        <v>14.25</v>
      </c>
    </row>
    <row r="106" spans="1:22" ht="16.5" hidden="1" thickBot="1" x14ac:dyDescent="0.3">
      <c r="A106" s="194" t="s">
        <v>133</v>
      </c>
      <c r="B106" s="195"/>
      <c r="C106" s="108">
        <v>0</v>
      </c>
      <c r="D106" s="109">
        <f ca="1">((100/(H94))*C106)/100</f>
        <v>0</v>
      </c>
      <c r="E106" s="167"/>
      <c r="F106" s="254"/>
      <c r="G106" s="167"/>
      <c r="H106" s="168"/>
      <c r="I106" s="15" t="s">
        <v>101</v>
      </c>
      <c r="J106" s="32">
        <f ca="1">(IF(B94&gt;1.5,(H94/(B94+2)+J100+MAX(0,J101-J100)+MAX(0,J102-J101)+MAX(0,J103-J102)+MAX(0,J104-J103)+MAX(0,J105-J104)),IF(B94=1,(H94/(B94+3)+J105),IF(B94=0,H94/4+J105))))</f>
        <v>19</v>
      </c>
    </row>
    <row r="107" spans="1:22" x14ac:dyDescent="0.25">
      <c r="A107" s="229" t="s">
        <v>159</v>
      </c>
      <c r="B107" s="229"/>
      <c r="C107" s="229"/>
      <c r="D107" s="229"/>
      <c r="E107" s="229"/>
      <c r="F107" s="255" t="s">
        <v>163</v>
      </c>
      <c r="G107" s="255"/>
      <c r="H107" s="255"/>
      <c r="R107" t="s">
        <v>257</v>
      </c>
      <c r="S107" t="s">
        <v>176</v>
      </c>
      <c r="T107" t="s">
        <v>183</v>
      </c>
      <c r="U107" t="s">
        <v>197</v>
      </c>
      <c r="V107" t="s">
        <v>192</v>
      </c>
    </row>
    <row r="108" spans="1:22" x14ac:dyDescent="0.25">
      <c r="A108" s="154" t="s">
        <v>161</v>
      </c>
      <c r="B108" s="154"/>
      <c r="C108" s="154"/>
      <c r="D108" s="154"/>
      <c r="E108" s="154"/>
      <c r="F108" s="151">
        <v>17000</v>
      </c>
      <c r="G108" s="151"/>
      <c r="H108" s="151"/>
      <c r="K108" s="21" t="s">
        <v>417</v>
      </c>
      <c r="L108" s="21" t="s">
        <v>418</v>
      </c>
      <c r="R108"/>
      <c r="S108">
        <v>800000</v>
      </c>
      <c r="T108">
        <v>150000</v>
      </c>
      <c r="U108">
        <v>100000</v>
      </c>
      <c r="V108">
        <v>100000</v>
      </c>
    </row>
    <row r="109" spans="1:22" hidden="1" x14ac:dyDescent="0.25">
      <c r="A109" s="154" t="s">
        <v>160</v>
      </c>
      <c r="B109" s="154"/>
      <c r="C109" s="154"/>
      <c r="D109" s="154"/>
      <c r="E109" s="154"/>
      <c r="F109" s="151"/>
      <c r="G109" s="151"/>
      <c r="H109" s="151"/>
      <c r="K109" s="21">
        <v>25000</v>
      </c>
      <c r="L109" s="21">
        <f>18000000/H155</f>
        <v>20710.146791449446</v>
      </c>
      <c r="M109" s="21">
        <v>31400</v>
      </c>
      <c r="R109"/>
      <c r="S109">
        <v>900000</v>
      </c>
      <c r="T109">
        <v>200000</v>
      </c>
      <c r="U109">
        <v>150000</v>
      </c>
      <c r="V109">
        <v>150000</v>
      </c>
    </row>
    <row r="110" spans="1:22" hidden="1" x14ac:dyDescent="0.25">
      <c r="A110" s="154" t="s">
        <v>162</v>
      </c>
      <c r="B110" s="154"/>
      <c r="C110" s="154"/>
      <c r="D110" s="154"/>
      <c r="E110" s="154"/>
      <c r="F110" s="151"/>
      <c r="G110" s="151"/>
      <c r="H110" s="151"/>
      <c r="L110" s="21">
        <f>22800000/H153</f>
        <v>24384.639191723651</v>
      </c>
      <c r="R110"/>
      <c r="S110">
        <v>1000000</v>
      </c>
      <c r="T110">
        <v>250000</v>
      </c>
      <c r="U110">
        <v>200000</v>
      </c>
      <c r="V110">
        <v>200000</v>
      </c>
    </row>
    <row r="111" spans="1:22" s="33" customFormat="1" hidden="1" x14ac:dyDescent="0.25">
      <c r="A111" s="154" t="s">
        <v>178</v>
      </c>
      <c r="B111" s="154"/>
      <c r="C111" s="154"/>
      <c r="D111" s="154"/>
      <c r="E111" s="154"/>
      <c r="F111" s="151"/>
      <c r="G111" s="151"/>
      <c r="H111" s="151"/>
      <c r="L111" s="33">
        <f>15200000/H154</f>
        <v>22766.859421083704</v>
      </c>
      <c r="R111"/>
      <c r="S111">
        <v>1100000</v>
      </c>
      <c r="T111">
        <v>300000</v>
      </c>
      <c r="U111">
        <v>250000</v>
      </c>
      <c r="V111" s="23">
        <v>250000</v>
      </c>
    </row>
    <row r="112" spans="1:22" s="33" customFormat="1" hidden="1" x14ac:dyDescent="0.25">
      <c r="A112" s="154" t="s">
        <v>91</v>
      </c>
      <c r="B112" s="154"/>
      <c r="C112" s="154"/>
      <c r="D112" s="154"/>
      <c r="E112" s="154"/>
      <c r="F112" s="151"/>
      <c r="G112" s="151"/>
      <c r="H112" s="151"/>
      <c r="R112"/>
      <c r="S112">
        <v>1200000</v>
      </c>
      <c r="T112">
        <v>350000</v>
      </c>
      <c r="U112">
        <v>300000</v>
      </c>
      <c r="V112">
        <v>300000</v>
      </c>
    </row>
    <row r="113" spans="1:22" s="33" customFormat="1" hidden="1" x14ac:dyDescent="0.25">
      <c r="A113" s="154" t="s">
        <v>92</v>
      </c>
      <c r="B113" s="154"/>
      <c r="C113" s="154"/>
      <c r="D113" s="154"/>
      <c r="E113" s="154"/>
      <c r="F113" s="151"/>
      <c r="G113" s="151"/>
      <c r="H113" s="151"/>
      <c r="R113"/>
      <c r="S113">
        <v>1300000</v>
      </c>
      <c r="T113">
        <v>400000</v>
      </c>
      <c r="U113">
        <v>350000</v>
      </c>
      <c r="V113" s="23">
        <v>400000</v>
      </c>
    </row>
    <row r="114" spans="1:22" s="33" customFormat="1" hidden="1" x14ac:dyDescent="0.25">
      <c r="A114" s="154" t="s">
        <v>93</v>
      </c>
      <c r="B114" s="154"/>
      <c r="C114" s="154"/>
      <c r="D114" s="154"/>
      <c r="E114" s="154"/>
      <c r="F114" s="151"/>
      <c r="G114" s="151"/>
      <c r="H114" s="151"/>
      <c r="R114"/>
      <c r="S114">
        <v>1400000</v>
      </c>
      <c r="T114">
        <v>500000</v>
      </c>
      <c r="U114">
        <v>400000</v>
      </c>
      <c r="V114"/>
    </row>
    <row r="115" spans="1:22" s="33" customFormat="1" hidden="1" x14ac:dyDescent="0.25">
      <c r="A115" s="154" t="s">
        <v>94</v>
      </c>
      <c r="B115" s="154"/>
      <c r="C115" s="154"/>
      <c r="D115" s="154"/>
      <c r="E115" s="154"/>
      <c r="F115" s="151"/>
      <c r="G115" s="151"/>
      <c r="H115" s="151"/>
      <c r="R115"/>
      <c r="S115">
        <v>1500000</v>
      </c>
      <c r="T115">
        <v>600000</v>
      </c>
      <c r="U115">
        <v>500000</v>
      </c>
      <c r="V115" s="23"/>
    </row>
    <row r="116" spans="1:22" s="33" customFormat="1" hidden="1" x14ac:dyDescent="0.25">
      <c r="A116" s="154" t="s">
        <v>95</v>
      </c>
      <c r="B116" s="154"/>
      <c r="C116" s="154"/>
      <c r="D116" s="154"/>
      <c r="E116" s="154"/>
      <c r="F116" s="151"/>
      <c r="G116" s="151"/>
      <c r="H116" s="151"/>
      <c r="R116"/>
      <c r="S116">
        <v>1600000</v>
      </c>
      <c r="T116">
        <v>700000</v>
      </c>
      <c r="U116">
        <v>600000</v>
      </c>
      <c r="V116"/>
    </row>
    <row r="117" spans="1:22" s="33" customFormat="1" hidden="1" x14ac:dyDescent="0.25">
      <c r="A117" s="154" t="s">
        <v>96</v>
      </c>
      <c r="B117" s="154"/>
      <c r="C117" s="154"/>
      <c r="D117" s="154"/>
      <c r="E117" s="154"/>
      <c r="F117" s="151"/>
      <c r="G117" s="151"/>
      <c r="H117" s="151"/>
      <c r="R117"/>
      <c r="S117">
        <v>1700000</v>
      </c>
      <c r="T117">
        <v>800000</v>
      </c>
      <c r="U117"/>
      <c r="V117" s="23"/>
    </row>
    <row r="118" spans="1:22" x14ac:dyDescent="0.25">
      <c r="A118" s="154" t="s">
        <v>49</v>
      </c>
      <c r="B118" s="154"/>
      <c r="C118" s="154"/>
      <c r="D118" s="154"/>
      <c r="E118" s="154"/>
      <c r="F118" s="151">
        <v>800000</v>
      </c>
      <c r="G118" s="151"/>
      <c r="H118" s="151"/>
      <c r="R118"/>
      <c r="S118">
        <v>1800000</v>
      </c>
      <c r="T118">
        <v>900000</v>
      </c>
      <c r="U118"/>
    </row>
    <row r="119" spans="1:22" s="34" customFormat="1" x14ac:dyDescent="0.25">
      <c r="A119" s="229" t="s">
        <v>50</v>
      </c>
      <c r="B119" s="229"/>
      <c r="C119" s="229"/>
      <c r="D119" s="229"/>
      <c r="E119" s="229"/>
      <c r="F119" s="151">
        <f>F108*0.8</f>
        <v>13600</v>
      </c>
      <c r="G119" s="151"/>
      <c r="H119" s="151"/>
      <c r="R119" s="21"/>
      <c r="S119" s="21"/>
      <c r="T119">
        <v>1000000</v>
      </c>
      <c r="U119"/>
      <c r="V119" s="21"/>
    </row>
    <row r="120" spans="1:22" s="35" customFormat="1" ht="15.75" hidden="1" customHeight="1" x14ac:dyDescent="0.25">
      <c r="A120" s="204" t="s">
        <v>71</v>
      </c>
      <c r="B120" s="204"/>
      <c r="C120" s="204"/>
      <c r="D120" s="204"/>
      <c r="E120" s="204"/>
      <c r="F120" s="204"/>
      <c r="G120" s="204"/>
      <c r="H120" s="204"/>
      <c r="R120"/>
      <c r="S120" s="21"/>
      <c r="T120"/>
      <c r="U120"/>
      <c r="V120" s="21"/>
    </row>
    <row r="121" spans="1:22" s="35" customFormat="1" ht="15.75" hidden="1" customHeight="1" x14ac:dyDescent="0.25">
      <c r="A121" s="155" t="s">
        <v>51</v>
      </c>
      <c r="B121" s="155"/>
      <c r="C121" s="152" t="s">
        <v>74</v>
      </c>
      <c r="D121" s="152"/>
      <c r="E121" s="157" t="s">
        <v>52</v>
      </c>
      <c r="F121" s="157"/>
      <c r="G121" s="155" t="s">
        <v>53</v>
      </c>
      <c r="H121" s="155"/>
      <c r="R121"/>
      <c r="S121" s="21"/>
      <c r="T121"/>
      <c r="U121" s="21"/>
      <c r="V121" s="21"/>
    </row>
    <row r="122" spans="1:22" s="35" customFormat="1" hidden="1" x14ac:dyDescent="0.25">
      <c r="A122" s="192"/>
      <c r="B122" s="192"/>
      <c r="C122" s="258"/>
      <c r="D122" s="258"/>
      <c r="E122" s="259"/>
      <c r="F122" s="259"/>
      <c r="G122" s="193"/>
      <c r="H122" s="193"/>
      <c r="R122"/>
      <c r="S122" s="21"/>
      <c r="T122"/>
      <c r="U122" s="21"/>
      <c r="V122" s="21"/>
    </row>
    <row r="123" spans="1:22" s="35" customFormat="1" hidden="1" x14ac:dyDescent="0.25">
      <c r="A123" s="192"/>
      <c r="B123" s="192"/>
      <c r="C123" s="258"/>
      <c r="D123" s="258"/>
      <c r="E123" s="259"/>
      <c r="F123" s="259"/>
      <c r="G123" s="193"/>
      <c r="H123" s="193"/>
      <c r="R123"/>
      <c r="S123" s="21"/>
      <c r="T123"/>
      <c r="U123" s="21"/>
      <c r="V123" s="21"/>
    </row>
    <row r="124" spans="1:22" s="35" customFormat="1" hidden="1" x14ac:dyDescent="0.25">
      <c r="A124" s="204" t="s">
        <v>152</v>
      </c>
      <c r="B124" s="204"/>
      <c r="C124" s="152"/>
      <c r="D124" s="152"/>
      <c r="E124" s="157"/>
      <c r="F124" s="157"/>
      <c r="G124" s="155"/>
      <c r="H124" s="155"/>
      <c r="R124"/>
      <c r="S124" s="21"/>
      <c r="T124"/>
      <c r="U124" s="21"/>
      <c r="V124" s="21"/>
    </row>
    <row r="125" spans="1:22" s="35" customFormat="1" x14ac:dyDescent="0.25">
      <c r="A125" s="204" t="s">
        <v>66</v>
      </c>
      <c r="B125" s="204"/>
      <c r="C125" s="204"/>
      <c r="D125" s="204"/>
      <c r="E125" s="204"/>
      <c r="F125" s="204"/>
      <c r="G125" s="204"/>
      <c r="H125" s="204"/>
      <c r="T125"/>
    </row>
    <row r="126" spans="1:22" s="35" customFormat="1" ht="15.75" customHeight="1" x14ac:dyDescent="0.25">
      <c r="A126" s="155" t="s">
        <v>51</v>
      </c>
      <c r="B126" s="155"/>
      <c r="C126" s="152" t="s">
        <v>74</v>
      </c>
      <c r="D126" s="152"/>
      <c r="E126" s="157" t="s">
        <v>52</v>
      </c>
      <c r="F126" s="157"/>
      <c r="G126" s="155" t="s">
        <v>53</v>
      </c>
      <c r="H126" s="155"/>
      <c r="T126"/>
    </row>
    <row r="127" spans="1:22" s="35" customFormat="1" x14ac:dyDescent="0.25">
      <c r="A127" s="192" t="s">
        <v>408</v>
      </c>
      <c r="B127" s="192"/>
      <c r="C127" s="267">
        <f>COUNT(D152:D155)+COUNT(D157:D160)+COUNT(D162:D166)*2+COUNT(D168:D172)+COUNT(D174:D178)+COUNT(D180:D184)+COUNT(D186:D190)+COUNT(D192:D196)+COUNT(D198:D202)*2+COUNT(D204:D208)+COUNT(D210:D214)*2+COUNT(D216:D220)+COUNT(D222,D224)</f>
        <v>75</v>
      </c>
      <c r="D127" s="258"/>
      <c r="E127" s="267">
        <f t="shared" ref="E127" si="0">SUM(F152:F155)+SUM(F157:F160)+SUM(F162:F166)*2+SUM(F168:F172)+SUM(F174:F178)+SUM(F180:F184)+SUM(F186:F190)+SUM(F192:F196)+SUM(F198:F202)*2+SUM(F204:F208)+SUM(F210:F214)*2+SUM(F216:F220)+SUM(F222,F224)</f>
        <v>44652.785579999996</v>
      </c>
      <c r="F127" s="258"/>
      <c r="G127" s="267">
        <f t="shared" ref="G127" si="1">SUM(H152:H155)+SUM(H157:H160)+SUM(H162:H166)*2+SUM(H168:H172)+SUM(H174:H178)+SUM(H180:H184)+SUM(H186:H190)+SUM(H192:H196)+SUM(H198:H202)*2+SUM(H204:H208)+SUM(H210:H214)*2+SUM(H216:H220)+SUM(H222,H224)</f>
        <v>66979.178370000009</v>
      </c>
      <c r="H127" s="258"/>
      <c r="T127"/>
    </row>
    <row r="128" spans="1:22" s="35" customFormat="1" hidden="1" x14ac:dyDescent="0.25">
      <c r="A128" s="192"/>
      <c r="B128" s="192"/>
      <c r="C128" s="258"/>
      <c r="D128" s="258"/>
      <c r="E128" s="259"/>
      <c r="F128" s="259"/>
      <c r="G128" s="193"/>
      <c r="H128" s="193"/>
      <c r="T128"/>
    </row>
    <row r="129" spans="1:20" s="35" customFormat="1" ht="16.5" hidden="1" thickBot="1" x14ac:dyDescent="0.3">
      <c r="A129" s="271" t="s">
        <v>152</v>
      </c>
      <c r="B129" s="271"/>
      <c r="C129" s="153"/>
      <c r="D129" s="153"/>
      <c r="E129" s="272"/>
      <c r="F129" s="272"/>
      <c r="G129" s="273"/>
      <c r="H129" s="273"/>
      <c r="T129"/>
    </row>
    <row r="130" spans="1:20" s="35" customFormat="1" ht="16.5" hidden="1" thickBot="1" x14ac:dyDescent="0.3">
      <c r="A130" s="210" t="s">
        <v>169</v>
      </c>
      <c r="B130" s="211"/>
      <c r="C130" s="156">
        <f>C124+C129</f>
        <v>0</v>
      </c>
      <c r="D130" s="156"/>
      <c r="E130" s="256">
        <f>E124+E129</f>
        <v>0</v>
      </c>
      <c r="F130" s="256"/>
      <c r="G130" s="260">
        <f>G124+G129</f>
        <v>0</v>
      </c>
      <c r="H130" s="261"/>
      <c r="T130"/>
    </row>
    <row r="131" spans="1:20" s="34" customFormat="1" x14ac:dyDescent="0.25">
      <c r="A131" s="205" t="s">
        <v>361</v>
      </c>
      <c r="B131" s="205"/>
      <c r="C131" s="205"/>
      <c r="D131" s="205"/>
      <c r="E131" s="205"/>
      <c r="F131" s="205"/>
      <c r="G131" s="205"/>
      <c r="H131" s="205"/>
      <c r="T131" s="35"/>
    </row>
    <row r="132" spans="1:20" x14ac:dyDescent="0.25">
      <c r="A132" s="188" t="s">
        <v>405</v>
      </c>
      <c r="B132" s="188"/>
      <c r="C132" s="188"/>
      <c r="D132" s="188"/>
      <c r="E132" s="188"/>
      <c r="F132" s="188"/>
      <c r="G132" s="188"/>
      <c r="H132" s="188"/>
      <c r="T132" s="35"/>
    </row>
    <row r="133" spans="1:20" ht="47.25" hidden="1" customHeight="1" x14ac:dyDescent="0.25">
      <c r="A133" s="208" t="s">
        <v>117</v>
      </c>
      <c r="B133" s="212" t="s">
        <v>179</v>
      </c>
      <c r="C133" s="208" t="s">
        <v>54</v>
      </c>
      <c r="D133" s="212" t="s">
        <v>236</v>
      </c>
      <c r="E133" s="268" t="s">
        <v>158</v>
      </c>
      <c r="F133" s="208" t="s">
        <v>55</v>
      </c>
      <c r="G133" s="251" t="s">
        <v>56</v>
      </c>
      <c r="H133" s="75" t="s">
        <v>150</v>
      </c>
      <c r="T133" s="35"/>
    </row>
    <row r="134" spans="1:20" s="37" customFormat="1" hidden="1" x14ac:dyDescent="0.25">
      <c r="A134" s="209"/>
      <c r="B134" s="213"/>
      <c r="C134" s="209"/>
      <c r="D134" s="213"/>
      <c r="E134" s="269"/>
      <c r="F134" s="209"/>
      <c r="G134" s="252"/>
      <c r="H134" s="60">
        <v>0.45</v>
      </c>
      <c r="T134" s="35"/>
    </row>
    <row r="135" spans="1:20" s="37" customFormat="1" hidden="1" x14ac:dyDescent="0.25">
      <c r="A135" s="127" t="s">
        <v>116</v>
      </c>
      <c r="B135" s="128"/>
      <c r="C135" s="128"/>
      <c r="D135" s="128"/>
      <c r="E135" s="128"/>
      <c r="F135" s="128"/>
      <c r="G135" s="128"/>
      <c r="H135" s="129"/>
      <c r="J135" s="36"/>
      <c r="T135" s="35"/>
    </row>
    <row r="136" spans="1:20" s="37" customFormat="1" ht="15.75" hidden="1" customHeight="1" x14ac:dyDescent="0.25">
      <c r="A136" s="130">
        <v>1</v>
      </c>
      <c r="B136" s="131"/>
      <c r="C136" s="42"/>
      <c r="D136" s="42">
        <v>0</v>
      </c>
      <c r="E136" s="42">
        <v>0</v>
      </c>
      <c r="F136" s="68">
        <f>D136+(IF(E136&lt;201,E136,IF(E136&lt;301,E136/2,E136/3)))</f>
        <v>0</v>
      </c>
      <c r="G136" s="69">
        <v>0</v>
      </c>
      <c r="H136" s="68">
        <f>(F136+(IF(G136&lt;101,G136,IF(G136&lt;201,G136/2,IF(G136&lt;=301,G136/3,G136/4)))))*(($H$134)+1)</f>
        <v>0</v>
      </c>
      <c r="I136" s="36"/>
      <c r="L136" s="134"/>
      <c r="M136" s="134"/>
      <c r="N136" s="36"/>
      <c r="T136" s="35"/>
    </row>
    <row r="137" spans="1:20" s="37" customFormat="1" ht="15.75" hidden="1" customHeight="1" x14ac:dyDescent="0.25">
      <c r="A137" s="130">
        <f>A136+1</f>
        <v>2</v>
      </c>
      <c r="B137" s="131"/>
      <c r="C137" s="42"/>
      <c r="D137" s="42"/>
      <c r="E137" s="42">
        <v>0</v>
      </c>
      <c r="F137" s="68">
        <f>D137+(IF(E137&lt;201,E137,IF(E137&lt;301,E137/2,E137/3)))</f>
        <v>0</v>
      </c>
      <c r="G137" s="58">
        <v>0</v>
      </c>
      <c r="H137" s="68">
        <f>(F137+(IF(G137&lt;101,G137,IF(G137&lt;201,G137/2,IF(G137&lt;=301,G137/3,G137/4)))))*(($H$134)+1)</f>
        <v>0</v>
      </c>
      <c r="I137" s="36"/>
      <c r="L137" s="134"/>
      <c r="M137" s="134"/>
      <c r="N137" s="36"/>
      <c r="T137" s="34"/>
    </row>
    <row r="138" spans="1:20" s="37" customFormat="1" ht="15.75" hidden="1" customHeight="1" x14ac:dyDescent="0.25">
      <c r="A138" s="130">
        <f>A137+1</f>
        <v>3</v>
      </c>
      <c r="B138" s="131"/>
      <c r="C138" s="42"/>
      <c r="D138" s="42"/>
      <c r="E138" s="42">
        <v>0</v>
      </c>
      <c r="F138" s="68">
        <f>D138+(IF(E138&lt;201,E138,IF(E138&lt;301,E138/2,E138/3)))</f>
        <v>0</v>
      </c>
      <c r="G138" s="58">
        <v>0</v>
      </c>
      <c r="H138" s="68">
        <f>(F138+(IF(G138&lt;101,G138,IF(G138&lt;201,G138/2,IF(G138&lt;=301,G138/3,G138/4)))))*(($H$134)+1)</f>
        <v>0</v>
      </c>
      <c r="I138" s="36"/>
      <c r="L138" s="134"/>
      <c r="M138" s="134"/>
      <c r="N138" s="36"/>
      <c r="T138" s="21"/>
    </row>
    <row r="139" spans="1:20" s="37" customFormat="1" ht="15.75" hidden="1" customHeight="1" x14ac:dyDescent="0.25">
      <c r="A139" s="130">
        <f>A138+1</f>
        <v>4</v>
      </c>
      <c r="B139" s="131"/>
      <c r="C139" s="42"/>
      <c r="D139" s="42"/>
      <c r="E139" s="42">
        <v>0</v>
      </c>
      <c r="F139" s="68">
        <f>D139+(IF(E139&lt;201,E139,IF(E139&lt;301,E139/2,E139/3)))</f>
        <v>0</v>
      </c>
      <c r="G139" s="58">
        <v>0</v>
      </c>
      <c r="H139" s="68">
        <f>(F139+(IF(G139&lt;101,G139,IF(G139&lt;201,G139/2,IF(G139&lt;=301,G139/3,G139/4)))))*(($H$134)+1)</f>
        <v>0</v>
      </c>
      <c r="I139" s="36"/>
      <c r="L139" s="134"/>
      <c r="M139" s="134"/>
      <c r="N139" s="36"/>
      <c r="T139" s="21"/>
    </row>
    <row r="140" spans="1:20" s="37" customFormat="1" hidden="1" x14ac:dyDescent="0.25">
      <c r="A140" s="130"/>
      <c r="B140" s="142"/>
      <c r="C140" s="142"/>
      <c r="D140" s="142"/>
      <c r="E140" s="142"/>
      <c r="F140" s="142"/>
      <c r="G140" s="142"/>
      <c r="H140" s="131"/>
      <c r="I140" s="36"/>
      <c r="N140" s="36"/>
    </row>
    <row r="141" spans="1:20" ht="47.25" customHeight="1" x14ac:dyDescent="0.25">
      <c r="A141" s="206" t="s">
        <v>118</v>
      </c>
      <c r="B141" s="132" t="s">
        <v>180</v>
      </c>
      <c r="C141" s="208" t="s">
        <v>54</v>
      </c>
      <c r="D141" s="132" t="s">
        <v>406</v>
      </c>
      <c r="E141" s="132" t="s">
        <v>235</v>
      </c>
      <c r="F141" s="208" t="s">
        <v>55</v>
      </c>
      <c r="G141" s="251" t="s">
        <v>56</v>
      </c>
      <c r="H141" s="74" t="s">
        <v>150</v>
      </c>
      <c r="I141" s="36"/>
      <c r="T141" s="37"/>
    </row>
    <row r="142" spans="1:20" s="37" customFormat="1" x14ac:dyDescent="0.25">
      <c r="A142" s="207"/>
      <c r="B142" s="133"/>
      <c r="C142" s="209"/>
      <c r="D142" s="133"/>
      <c r="E142" s="133"/>
      <c r="F142" s="209"/>
      <c r="G142" s="252"/>
      <c r="H142" s="103">
        <v>0.5</v>
      </c>
      <c r="I142" s="36"/>
      <c r="J142" s="102">
        <f>(10.764)</f>
        <v>10.763999999999999</v>
      </c>
    </row>
    <row r="143" spans="1:20" s="99" customFormat="1" x14ac:dyDescent="0.25">
      <c r="A143" s="127" t="s">
        <v>388</v>
      </c>
      <c r="B143" s="128"/>
      <c r="C143" s="128"/>
      <c r="D143" s="128"/>
      <c r="E143" s="128"/>
      <c r="F143" s="128"/>
      <c r="G143" s="128"/>
      <c r="H143" s="129"/>
      <c r="J143" s="36"/>
    </row>
    <row r="144" spans="1:20" s="99" customFormat="1" x14ac:dyDescent="0.25">
      <c r="A144" s="127" t="s">
        <v>389</v>
      </c>
      <c r="B144" s="128"/>
      <c r="C144" s="128"/>
      <c r="D144" s="128"/>
      <c r="E144" s="128"/>
      <c r="F144" s="128"/>
      <c r="G144" s="128"/>
      <c r="H144" s="129"/>
      <c r="J144" s="36"/>
    </row>
    <row r="145" spans="1:20" s="99" customFormat="1" x14ac:dyDescent="0.25">
      <c r="A145" s="127" t="s">
        <v>390</v>
      </c>
      <c r="B145" s="128"/>
      <c r="C145" s="128"/>
      <c r="D145" s="128"/>
      <c r="E145" s="128"/>
      <c r="F145" s="128"/>
      <c r="G145" s="128"/>
      <c r="H145" s="129"/>
      <c r="J145" s="36"/>
    </row>
    <row r="146" spans="1:20" s="37" customFormat="1" hidden="1" x14ac:dyDescent="0.25">
      <c r="A146" s="127" t="s">
        <v>116</v>
      </c>
      <c r="B146" s="128"/>
      <c r="C146" s="128"/>
      <c r="D146" s="128"/>
      <c r="E146" s="128"/>
      <c r="F146" s="128"/>
      <c r="G146" s="128"/>
      <c r="H146" s="129"/>
      <c r="J146" s="36"/>
    </row>
    <row r="147" spans="1:20" s="37" customFormat="1" ht="15.75" hidden="1" customHeight="1" x14ac:dyDescent="0.25">
      <c r="A147" s="130">
        <v>1</v>
      </c>
      <c r="B147" s="131"/>
      <c r="C147" s="42"/>
      <c r="D147" s="42"/>
      <c r="E147" s="42">
        <v>0</v>
      </c>
      <c r="F147" s="42">
        <f>D147+E147</f>
        <v>0</v>
      </c>
      <c r="G147" s="58">
        <v>0</v>
      </c>
      <c r="H147" s="58">
        <f>F147*(($H$142)+1)+(IF(G147&lt;101,G147,IF(G147&lt;201,G147/2,IF(G147&lt;=301,G147/3,G147/4))))</f>
        <v>0</v>
      </c>
      <c r="I147" s="36"/>
      <c r="L147" s="134"/>
      <c r="M147" s="134"/>
      <c r="N147" s="36"/>
    </row>
    <row r="148" spans="1:20" s="37" customFormat="1" ht="15.75" hidden="1" customHeight="1" x14ac:dyDescent="0.25">
      <c r="A148" s="130">
        <f>A147+1</f>
        <v>2</v>
      </c>
      <c r="B148" s="131"/>
      <c r="C148" s="42"/>
      <c r="D148" s="42"/>
      <c r="E148" s="42">
        <v>0</v>
      </c>
      <c r="F148" s="58">
        <f>D148+E148</f>
        <v>0</v>
      </c>
      <c r="G148" s="58">
        <v>0</v>
      </c>
      <c r="H148" s="58">
        <f>F148*(($H$142)+1)+(IF(G148&lt;101,G148,IF(G148&lt;201,G148/2,IF(G148&lt;=301,G148/3,G148/4))))</f>
        <v>0</v>
      </c>
      <c r="I148" s="36"/>
      <c r="L148" s="134"/>
      <c r="M148" s="134"/>
      <c r="N148" s="36"/>
    </row>
    <row r="149" spans="1:20" s="37" customFormat="1" ht="15.75" hidden="1" customHeight="1" x14ac:dyDescent="0.25">
      <c r="A149" s="130">
        <f>A148+1</f>
        <v>3</v>
      </c>
      <c r="B149" s="131"/>
      <c r="C149" s="42"/>
      <c r="D149" s="42"/>
      <c r="E149" s="42">
        <v>0</v>
      </c>
      <c r="F149" s="58">
        <f>D149+E149</f>
        <v>0</v>
      </c>
      <c r="G149" s="58">
        <v>0</v>
      </c>
      <c r="H149" s="58">
        <f>F149*(($H$142)+1)+(IF(G149&lt;101,G149,IF(G149&lt;201,G149/2,IF(G149&lt;=301,G149/3,G149/4))))</f>
        <v>0</v>
      </c>
      <c r="I149" s="36"/>
      <c r="L149" s="134"/>
      <c r="M149" s="134"/>
      <c r="N149" s="36"/>
    </row>
    <row r="150" spans="1:20" s="37" customFormat="1" ht="15.75" hidden="1" customHeight="1" x14ac:dyDescent="0.25">
      <c r="A150" s="130">
        <f>A149+1</f>
        <v>4</v>
      </c>
      <c r="B150" s="131"/>
      <c r="C150" s="42"/>
      <c r="D150" s="42"/>
      <c r="E150" s="42">
        <v>0</v>
      </c>
      <c r="F150" s="58">
        <f>D150+E150</f>
        <v>0</v>
      </c>
      <c r="G150" s="58">
        <v>0</v>
      </c>
      <c r="H150" s="58">
        <f>F150*(($H$142)+1)+(IF(G150&lt;101,G150,IF(G150&lt;201,G150/2,IF(G150&lt;=301,G150/3,G150/4))))</f>
        <v>0</v>
      </c>
      <c r="I150" s="36"/>
      <c r="L150" s="134"/>
      <c r="M150" s="134"/>
      <c r="N150" s="36"/>
      <c r="T150" s="21"/>
    </row>
    <row r="151" spans="1:20" s="99" customFormat="1" x14ac:dyDescent="0.25">
      <c r="A151" s="126" t="s">
        <v>393</v>
      </c>
      <c r="B151" s="126"/>
      <c r="C151" s="126"/>
      <c r="D151" s="126"/>
      <c r="E151" s="126"/>
      <c r="F151" s="126"/>
      <c r="G151" s="126"/>
      <c r="H151" s="126"/>
      <c r="I151" s="36"/>
      <c r="L151" s="134"/>
      <c r="M151" s="134"/>
    </row>
    <row r="152" spans="1:20" s="99" customFormat="1" x14ac:dyDescent="0.25">
      <c r="A152" s="125">
        <v>1</v>
      </c>
      <c r="B152" s="125"/>
      <c r="C152" s="98" t="s">
        <v>391</v>
      </c>
      <c r="D152" s="102">
        <f>(61.95)*(10.764)</f>
        <v>666.82979999999998</v>
      </c>
      <c r="E152" s="98">
        <v>0</v>
      </c>
      <c r="F152" s="98">
        <f>D152+E152</f>
        <v>666.82979999999998</v>
      </c>
      <c r="G152" s="98">
        <v>0</v>
      </c>
      <c r="H152" s="98">
        <f>F152*(($H$142)+1)+(IF(G152&lt;101,G152,IF(G152&lt;201,G152/2,IF(G152&lt;=301,G152/3,G152/4))))</f>
        <v>1000.2447</v>
      </c>
      <c r="I152" s="36">
        <f>(5.65*3.15+2.75*2.45+3.05*3.95+1.3*2.75+3.05*3.65+1.3*2.1+1*1.55+1.15*0.9+1.3*1.4)</f>
        <v>58.42499999999999</v>
      </c>
      <c r="J152" s="105">
        <f>5.65*3.15+1.15*0.9+1.3*1.4+3.05*3.65+1*1.55+2.75*2.45+1.3*2.1+3.05*3.95+1.3*2.75</f>
        <v>58.424999999999997</v>
      </c>
      <c r="N152" s="36"/>
    </row>
    <row r="153" spans="1:20" s="99" customFormat="1" x14ac:dyDescent="0.25">
      <c r="A153" s="125">
        <f>A152+1</f>
        <v>2</v>
      </c>
      <c r="B153" s="125"/>
      <c r="C153" s="98" t="s">
        <v>391</v>
      </c>
      <c r="D153" s="102">
        <f>(57.91)*(10.764)</f>
        <v>623.34323999999992</v>
      </c>
      <c r="E153" s="98">
        <v>0</v>
      </c>
      <c r="F153" s="98">
        <f>D153+E153</f>
        <v>623.34323999999992</v>
      </c>
      <c r="G153" s="98">
        <v>0</v>
      </c>
      <c r="H153" s="98">
        <f>F153*(($H$142)+1)+(IF(G153&lt;101,G153,IF(G153&lt;201,G153/2,IF(G153&lt;=301,G153/3,G153/4))))</f>
        <v>935.01485999999989</v>
      </c>
      <c r="I153" s="36"/>
      <c r="N153" s="36"/>
    </row>
    <row r="154" spans="1:20" s="99" customFormat="1" x14ac:dyDescent="0.25">
      <c r="A154" s="125">
        <f>A153+1</f>
        <v>3</v>
      </c>
      <c r="B154" s="125"/>
      <c r="C154" s="98" t="s">
        <v>392</v>
      </c>
      <c r="D154" s="102">
        <f>(41.35)*(10.764)</f>
        <v>445.09139999999996</v>
      </c>
      <c r="E154" s="98">
        <v>0</v>
      </c>
      <c r="F154" s="98">
        <f>D154+E154</f>
        <v>445.09139999999996</v>
      </c>
      <c r="G154" s="98">
        <v>0</v>
      </c>
      <c r="H154" s="98">
        <f>F154*(($H$142)+1)+(IF(G154&lt;101,G154,IF(G154&lt;201,G154/2,IF(G154&lt;=301,G154/3,G154/4))))</f>
        <v>667.63709999999992</v>
      </c>
      <c r="I154" s="36">
        <f>(4.8*3.05+2.25*2.45+3.05*3.95+1.3*2.1+1.3*2.2+1.3*1.15)</f>
        <v>39.285000000000004</v>
      </c>
      <c r="N154" s="36"/>
    </row>
    <row r="155" spans="1:20" s="99" customFormat="1" x14ac:dyDescent="0.25">
      <c r="A155" s="125">
        <f>A154+1</f>
        <v>4</v>
      </c>
      <c r="B155" s="125"/>
      <c r="C155" s="98" t="s">
        <v>391</v>
      </c>
      <c r="D155" s="102">
        <f>(53.83)*(10.764)</f>
        <v>579.42611999999997</v>
      </c>
      <c r="E155" s="98">
        <v>0</v>
      </c>
      <c r="F155" s="98">
        <f>D155+E155</f>
        <v>579.42611999999997</v>
      </c>
      <c r="G155" s="98">
        <v>0</v>
      </c>
      <c r="H155" s="98">
        <f>F155*(($H$142)+1)+(IF(G155&lt;101,G155,IF(G155&lt;201,G155/2,IF(G155&lt;=301,G155/3,G155/4))))</f>
        <v>869.1391799999999</v>
      </c>
      <c r="I155" s="36"/>
      <c r="J155" s="99">
        <f>25000/1.5</f>
        <v>16666.666666666668</v>
      </c>
      <c r="N155" s="36"/>
    </row>
    <row r="156" spans="1:20" s="99" customFormat="1" x14ac:dyDescent="0.25">
      <c r="A156" s="126" t="s">
        <v>394</v>
      </c>
      <c r="B156" s="126"/>
      <c r="C156" s="126"/>
      <c r="D156" s="126"/>
      <c r="E156" s="126"/>
      <c r="F156" s="126"/>
      <c r="G156" s="126"/>
      <c r="H156" s="126"/>
      <c r="I156" s="36"/>
      <c r="L156" s="134"/>
      <c r="M156" s="134"/>
    </row>
    <row r="157" spans="1:20" s="99" customFormat="1" x14ac:dyDescent="0.25">
      <c r="A157" s="125">
        <v>1</v>
      </c>
      <c r="B157" s="125"/>
      <c r="C157" s="98" t="s">
        <v>391</v>
      </c>
      <c r="D157" s="102">
        <f>(61.95)*(10.764)</f>
        <v>666.82979999999998</v>
      </c>
      <c r="E157" s="98">
        <v>0</v>
      </c>
      <c r="F157" s="98">
        <f>D157+E157</f>
        <v>666.82979999999998</v>
      </c>
      <c r="G157" s="98">
        <v>0</v>
      </c>
      <c r="H157" s="98">
        <f>F157*(($H$142)+1)+(IF(G157&lt;101,G157,IF(G157&lt;201,G157/2,IF(G157&lt;=301,G157/3,G157/4))))</f>
        <v>1000.2447</v>
      </c>
      <c r="I157" s="36"/>
      <c r="N157" s="36"/>
    </row>
    <row r="158" spans="1:20" s="99" customFormat="1" x14ac:dyDescent="0.25">
      <c r="A158" s="125">
        <f>A157+1</f>
        <v>2</v>
      </c>
      <c r="B158" s="125"/>
      <c r="C158" s="98" t="s">
        <v>391</v>
      </c>
      <c r="D158" s="102">
        <f>(57.91)*(10.764)</f>
        <v>623.34323999999992</v>
      </c>
      <c r="E158" s="98">
        <v>0</v>
      </c>
      <c r="F158" s="98">
        <f>D158+E158</f>
        <v>623.34323999999992</v>
      </c>
      <c r="G158" s="98">
        <v>0</v>
      </c>
      <c r="H158" s="98">
        <f>F158*(($H$142)+1)+(IF(G158&lt;101,G158,IF(G158&lt;201,G158/2,IF(G158&lt;=301,G158/3,G158/4))))</f>
        <v>935.01485999999989</v>
      </c>
      <c r="I158" s="36"/>
      <c r="N158" s="36"/>
    </row>
    <row r="159" spans="1:20" s="99" customFormat="1" x14ac:dyDescent="0.25">
      <c r="A159" s="125">
        <f>A158+1</f>
        <v>3</v>
      </c>
      <c r="B159" s="125"/>
      <c r="C159" s="98" t="s">
        <v>391</v>
      </c>
      <c r="D159" s="102">
        <f>(53.51)*(10.764)</f>
        <v>575.98163999999997</v>
      </c>
      <c r="E159" s="98">
        <v>0</v>
      </c>
      <c r="F159" s="98">
        <f>D159+E159</f>
        <v>575.98163999999997</v>
      </c>
      <c r="G159" s="98">
        <v>0</v>
      </c>
      <c r="H159" s="98">
        <f>F159*(($H$142)+1)+(IF(G159&lt;101,G159,IF(G159&lt;201,G159/2,IF(G159&lt;=301,G159/3,G159/4))))</f>
        <v>863.97245999999996</v>
      </c>
      <c r="I159" s="36"/>
      <c r="N159" s="36"/>
    </row>
    <row r="160" spans="1:20" s="99" customFormat="1" x14ac:dyDescent="0.25">
      <c r="A160" s="125">
        <f>A159+1</f>
        <v>4</v>
      </c>
      <c r="B160" s="125"/>
      <c r="C160" s="98" t="s">
        <v>391</v>
      </c>
      <c r="D160" s="102">
        <f>(53.83)*(10.764)</f>
        <v>579.42611999999997</v>
      </c>
      <c r="E160" s="98">
        <v>0</v>
      </c>
      <c r="F160" s="98">
        <f>D160+E160</f>
        <v>579.42611999999997</v>
      </c>
      <c r="G160" s="98">
        <v>0</v>
      </c>
      <c r="H160" s="98">
        <f>F160*(($H$142)+1)+(IF(G160&lt;101,G160,IF(G160&lt;201,G160/2,IF(G160&lt;=301,G160/3,G160/4))))</f>
        <v>869.1391799999999</v>
      </c>
      <c r="I160" s="36"/>
      <c r="N160" s="36"/>
    </row>
    <row r="161" spans="1:14" s="99" customFormat="1" x14ac:dyDescent="0.25">
      <c r="A161" s="126" t="s">
        <v>400</v>
      </c>
      <c r="B161" s="126"/>
      <c r="C161" s="126"/>
      <c r="D161" s="126"/>
      <c r="E161" s="126"/>
      <c r="F161" s="126"/>
      <c r="G161" s="126"/>
      <c r="H161" s="126"/>
      <c r="I161" s="36"/>
      <c r="L161" s="134"/>
      <c r="M161" s="134"/>
    </row>
    <row r="162" spans="1:14" s="99" customFormat="1" x14ac:dyDescent="0.25">
      <c r="A162" s="125">
        <v>1</v>
      </c>
      <c r="B162" s="125"/>
      <c r="C162" s="98" t="s">
        <v>391</v>
      </c>
      <c r="D162" s="102">
        <f>(61.95)*(10.764)</f>
        <v>666.82979999999998</v>
      </c>
      <c r="E162" s="98">
        <v>0</v>
      </c>
      <c r="F162" s="98">
        <f>D162+E162</f>
        <v>666.82979999999998</v>
      </c>
      <c r="G162" s="98">
        <v>0</v>
      </c>
      <c r="H162" s="98">
        <f>F162*(($H$142)+1)+(IF(G162&lt;101,G162,IF(G162&lt;201,G162/2,IF(G162&lt;=301,G162/3,G162/4))))</f>
        <v>1000.2447</v>
      </c>
      <c r="I162" s="36"/>
      <c r="N162" s="36"/>
    </row>
    <row r="163" spans="1:14" s="99" customFormat="1" x14ac:dyDescent="0.25">
      <c r="A163" s="125">
        <f>A162+1</f>
        <v>2</v>
      </c>
      <c r="B163" s="125"/>
      <c r="C163" s="98" t="s">
        <v>391</v>
      </c>
      <c r="D163" s="102">
        <f>(57.91)*(10.764)</f>
        <v>623.34323999999992</v>
      </c>
      <c r="E163" s="98">
        <v>0</v>
      </c>
      <c r="F163" s="98">
        <f>D163+E163</f>
        <v>623.34323999999992</v>
      </c>
      <c r="G163" s="98">
        <v>0</v>
      </c>
      <c r="H163" s="98">
        <f>F163*(($H$142)+1)+(IF(G163&lt;101,G163,IF(G163&lt;201,G163/2,IF(G163&lt;=301,G163/3,G163/4))))</f>
        <v>935.01485999999989</v>
      </c>
      <c r="I163" s="36"/>
      <c r="N163" s="36"/>
    </row>
    <row r="164" spans="1:14" s="99" customFormat="1" x14ac:dyDescent="0.25">
      <c r="A164" s="125">
        <f>A163+1</f>
        <v>3</v>
      </c>
      <c r="B164" s="125"/>
      <c r="C164" s="98" t="s">
        <v>392</v>
      </c>
      <c r="D164" s="102">
        <f>(39.76)*(10.764)</f>
        <v>427.97663999999997</v>
      </c>
      <c r="E164" s="98">
        <v>0</v>
      </c>
      <c r="F164" s="98">
        <f>D164+E164</f>
        <v>427.97663999999997</v>
      </c>
      <c r="G164" s="98">
        <v>0</v>
      </c>
      <c r="H164" s="98">
        <f>F164*(($H$142)+1)+(IF(G164&lt;101,G164,IF(G164&lt;201,G164/2,IF(G164&lt;=301,G164/3,G164/4))))</f>
        <v>641.96496000000002</v>
      </c>
      <c r="I164" s="36">
        <f>(3.05*4.65+2.35*2.4+2.9*3.5+1.3*2.15+2.5*0.95+2.1*1.3)</f>
        <v>37.872500000000002</v>
      </c>
      <c r="N164" s="36"/>
    </row>
    <row r="165" spans="1:14" s="99" customFormat="1" x14ac:dyDescent="0.25">
      <c r="A165" s="125">
        <f>A164+1</f>
        <v>4</v>
      </c>
      <c r="B165" s="125"/>
      <c r="C165" s="98" t="s">
        <v>392</v>
      </c>
      <c r="D165" s="102">
        <f>(41.35)*(10.764)</f>
        <v>445.09139999999996</v>
      </c>
      <c r="E165" s="98">
        <v>0</v>
      </c>
      <c r="F165" s="98">
        <f>D165+E165</f>
        <v>445.09139999999996</v>
      </c>
      <c r="G165" s="98">
        <v>0</v>
      </c>
      <c r="H165" s="98">
        <f>F165*(($H$142)+1)+(IF(G165&lt;101,G165,IF(G165&lt;201,G165/2,IF(G165&lt;=301,G165/3,G165/4))))</f>
        <v>667.63709999999992</v>
      </c>
      <c r="I165" s="36"/>
      <c r="N165" s="36"/>
    </row>
    <row r="166" spans="1:14" s="99" customFormat="1" x14ac:dyDescent="0.25">
      <c r="A166" s="125">
        <f>A165+1</f>
        <v>5</v>
      </c>
      <c r="B166" s="125"/>
      <c r="C166" s="98" t="s">
        <v>391</v>
      </c>
      <c r="D166" s="102">
        <f>(53.83)*(10.764)</f>
        <v>579.42611999999997</v>
      </c>
      <c r="E166" s="98">
        <v>0</v>
      </c>
      <c r="F166" s="98">
        <f>D166+E166</f>
        <v>579.42611999999997</v>
      </c>
      <c r="G166" s="98">
        <v>0</v>
      </c>
      <c r="H166" s="98">
        <f>F166*(($H$142)+1)+(IF(G166&lt;101,G166,IF(G166&lt;201,G166/2,IF(G166&lt;=301,G166/3,G166/4))))</f>
        <v>869.1391799999999</v>
      </c>
      <c r="I166" s="36"/>
      <c r="N166" s="36"/>
    </row>
    <row r="167" spans="1:14" s="37" customFormat="1" x14ac:dyDescent="0.25">
      <c r="A167" s="126" t="s">
        <v>395</v>
      </c>
      <c r="B167" s="126"/>
      <c r="C167" s="126"/>
      <c r="D167" s="126"/>
      <c r="E167" s="126"/>
      <c r="F167" s="126"/>
      <c r="G167" s="126"/>
      <c r="H167" s="126"/>
      <c r="I167" s="36"/>
      <c r="L167" s="134"/>
      <c r="M167" s="134"/>
    </row>
    <row r="168" spans="1:14" s="37" customFormat="1" x14ac:dyDescent="0.25">
      <c r="A168" s="125">
        <v>1</v>
      </c>
      <c r="B168" s="125"/>
      <c r="C168" s="98" t="s">
        <v>391</v>
      </c>
      <c r="D168" s="102">
        <f>(61.95)*(10.764)</f>
        <v>666.82979999999998</v>
      </c>
      <c r="E168" s="58">
        <v>0</v>
      </c>
      <c r="F168" s="58">
        <f>D168+E168</f>
        <v>666.82979999999998</v>
      </c>
      <c r="G168" s="58">
        <v>0</v>
      </c>
      <c r="H168" s="58">
        <f>F168*(($H$142)+1)+(IF(G168&lt;101,G168,IF(G168&lt;201,G168/2,IF(G168&lt;=301,G168/3,G168/4))))</f>
        <v>1000.2447</v>
      </c>
      <c r="I168" s="36"/>
      <c r="N168" s="36"/>
    </row>
    <row r="169" spans="1:14" s="37" customFormat="1" x14ac:dyDescent="0.25">
      <c r="A169" s="125">
        <f>A168+1</f>
        <v>2</v>
      </c>
      <c r="B169" s="125"/>
      <c r="C169" s="98" t="s">
        <v>391</v>
      </c>
      <c r="D169" s="102">
        <f>(57.91)*(10.764)</f>
        <v>623.34323999999992</v>
      </c>
      <c r="E169" s="58">
        <v>0</v>
      </c>
      <c r="F169" s="58">
        <f>D169+E169</f>
        <v>623.34323999999992</v>
      </c>
      <c r="G169" s="58">
        <v>0</v>
      </c>
      <c r="H169" s="58">
        <f>F169*(($H$142)+1)+(IF(G169&lt;101,G169,IF(G169&lt;201,G169/2,IF(G169&lt;=301,G169/3,G169/4))))</f>
        <v>935.01485999999989</v>
      </c>
      <c r="I169" s="36"/>
      <c r="N169" s="36"/>
    </row>
    <row r="170" spans="1:14" s="37" customFormat="1" x14ac:dyDescent="0.25">
      <c r="A170" s="125">
        <f>A169+1</f>
        <v>3</v>
      </c>
      <c r="B170" s="125"/>
      <c r="C170" s="98" t="s">
        <v>392</v>
      </c>
      <c r="D170" s="102">
        <f>(39.76)*(10.764)</f>
        <v>427.97663999999997</v>
      </c>
      <c r="E170" s="58">
        <v>0</v>
      </c>
      <c r="F170" s="58">
        <f>D170+E170</f>
        <v>427.97663999999997</v>
      </c>
      <c r="G170" s="58">
        <v>0</v>
      </c>
      <c r="H170" s="58">
        <f>F170*(($H$142)+1)+(IF(G170&lt;101,G170,IF(G170&lt;201,G170/2,IF(G170&lt;=301,G170/3,G170/4))))</f>
        <v>641.96496000000002</v>
      </c>
      <c r="I170" s="36"/>
      <c r="N170" s="36"/>
    </row>
    <row r="171" spans="1:14" s="37" customFormat="1" x14ac:dyDescent="0.25">
      <c r="A171" s="125">
        <f>A170+1</f>
        <v>4</v>
      </c>
      <c r="B171" s="125"/>
      <c r="C171" s="98" t="s">
        <v>392</v>
      </c>
      <c r="D171" s="102">
        <f>(41.35)*(10.764)</f>
        <v>445.09139999999996</v>
      </c>
      <c r="E171" s="58">
        <v>0</v>
      </c>
      <c r="F171" s="58">
        <f>D171+E171</f>
        <v>445.09139999999996</v>
      </c>
      <c r="G171" s="58">
        <v>0</v>
      </c>
      <c r="H171" s="58">
        <f>F171*(($H$142)+1)+(IF(G171&lt;101,G171,IF(G171&lt;201,G171/2,IF(G171&lt;=301,G171/3,G171/4))))</f>
        <v>667.63709999999992</v>
      </c>
      <c r="I171" s="36"/>
      <c r="N171" s="36"/>
    </row>
    <row r="172" spans="1:14" s="37" customFormat="1" x14ac:dyDescent="0.25">
      <c r="A172" s="125">
        <f>A171+1</f>
        <v>5</v>
      </c>
      <c r="B172" s="125"/>
      <c r="C172" s="98" t="s">
        <v>391</v>
      </c>
      <c r="D172" s="102">
        <f>(53.83)*(10.764)</f>
        <v>579.42611999999997</v>
      </c>
      <c r="E172" s="58">
        <v>0</v>
      </c>
      <c r="F172" s="58">
        <f>D172+E172</f>
        <v>579.42611999999997</v>
      </c>
      <c r="G172" s="58">
        <v>0</v>
      </c>
      <c r="H172" s="58">
        <f>F172*(($H$142)+1)+(IF(G172&lt;101,G172,IF(G172&lt;201,G172/2,IF(G172&lt;=301,G172/3,G172/4))))</f>
        <v>869.1391799999999</v>
      </c>
      <c r="I172" s="36"/>
      <c r="N172" s="36"/>
    </row>
    <row r="173" spans="1:14" s="99" customFormat="1" x14ac:dyDescent="0.25">
      <c r="A173" s="126" t="s">
        <v>396</v>
      </c>
      <c r="B173" s="126"/>
      <c r="C173" s="126"/>
      <c r="D173" s="126"/>
      <c r="E173" s="126"/>
      <c r="F173" s="126"/>
      <c r="G173" s="126"/>
      <c r="H173" s="126"/>
      <c r="I173" s="36"/>
      <c r="L173" s="134"/>
      <c r="M173" s="134"/>
    </row>
    <row r="174" spans="1:14" s="99" customFormat="1" x14ac:dyDescent="0.25">
      <c r="A174" s="125">
        <v>1</v>
      </c>
      <c r="B174" s="125"/>
      <c r="C174" s="98" t="s">
        <v>391</v>
      </c>
      <c r="D174" s="102">
        <f>(61.95)*(10.764)</f>
        <v>666.82979999999998</v>
      </c>
      <c r="E174" s="98">
        <v>0</v>
      </c>
      <c r="F174" s="98">
        <f>D174+E174</f>
        <v>666.82979999999998</v>
      </c>
      <c r="G174" s="98">
        <v>0</v>
      </c>
      <c r="H174" s="98">
        <f>F174*(($H$142)+1)+(IF(G174&lt;101,G174,IF(G174&lt;201,G174/2,IF(G174&lt;=301,G174/3,G174/4))))</f>
        <v>1000.2447</v>
      </c>
      <c r="I174" s="36"/>
      <c r="N174" s="36"/>
    </row>
    <row r="175" spans="1:14" s="99" customFormat="1" x14ac:dyDescent="0.25">
      <c r="A175" s="125">
        <f>A174+1</f>
        <v>2</v>
      </c>
      <c r="B175" s="125"/>
      <c r="C175" s="98" t="s">
        <v>391</v>
      </c>
      <c r="D175" s="102">
        <f>(57.91)*(10.764)</f>
        <v>623.34323999999992</v>
      </c>
      <c r="E175" s="98">
        <v>0</v>
      </c>
      <c r="F175" s="98">
        <f>D175+E175</f>
        <v>623.34323999999992</v>
      </c>
      <c r="G175" s="98">
        <v>0</v>
      </c>
      <c r="H175" s="98">
        <f>F175*(($H$142)+1)+(IF(G175&lt;101,G175,IF(G175&lt;201,G175/2,IF(G175&lt;=301,G175/3,G175/4))))</f>
        <v>935.01485999999989</v>
      </c>
      <c r="I175" s="36"/>
      <c r="N175" s="36"/>
    </row>
    <row r="176" spans="1:14" s="99" customFormat="1" x14ac:dyDescent="0.25">
      <c r="A176" s="125">
        <f>A175+1</f>
        <v>3</v>
      </c>
      <c r="B176" s="125"/>
      <c r="C176" s="98" t="s">
        <v>392</v>
      </c>
      <c r="D176" s="102">
        <f>(39.76)*(10.764)</f>
        <v>427.97663999999997</v>
      </c>
      <c r="E176" s="98">
        <v>0</v>
      </c>
      <c r="F176" s="98">
        <f>D176+E176</f>
        <v>427.97663999999997</v>
      </c>
      <c r="G176" s="98">
        <v>0</v>
      </c>
      <c r="H176" s="98">
        <f>F176*(($H$142)+1)+(IF(G176&lt;101,G176,IF(G176&lt;201,G176/2,IF(G176&lt;=301,G176/3,G176/4))))</f>
        <v>641.96496000000002</v>
      </c>
      <c r="I176" s="36"/>
      <c r="N176" s="36"/>
    </row>
    <row r="177" spans="1:14" s="99" customFormat="1" x14ac:dyDescent="0.25">
      <c r="A177" s="125">
        <f>A176+1</f>
        <v>4</v>
      </c>
      <c r="B177" s="125"/>
      <c r="C177" s="98" t="s">
        <v>392</v>
      </c>
      <c r="D177" s="102">
        <f>(45.08)*(10.764)</f>
        <v>485.24111999999997</v>
      </c>
      <c r="E177" s="98">
        <v>0</v>
      </c>
      <c r="F177" s="98">
        <f>D177+E177</f>
        <v>485.24111999999997</v>
      </c>
      <c r="G177" s="98">
        <v>0</v>
      </c>
      <c r="H177" s="98">
        <f>F177*(($H$142)+1)+(IF(G177&lt;101,G177,IF(G177&lt;201,G177/2,IF(G177&lt;=301,G177/3,G177/4))))</f>
        <v>727.86167999999998</v>
      </c>
      <c r="I177" s="36"/>
      <c r="N177" s="36"/>
    </row>
    <row r="178" spans="1:14" s="99" customFormat="1" x14ac:dyDescent="0.25">
      <c r="A178" s="125">
        <f>A177+1</f>
        <v>5</v>
      </c>
      <c r="B178" s="125"/>
      <c r="C178" s="98" t="s">
        <v>391</v>
      </c>
      <c r="D178" s="102">
        <f>(53.83)*(10.764)</f>
        <v>579.42611999999997</v>
      </c>
      <c r="E178" s="98">
        <v>0</v>
      </c>
      <c r="F178" s="98">
        <f>D178+E178</f>
        <v>579.42611999999997</v>
      </c>
      <c r="G178" s="98">
        <v>0</v>
      </c>
      <c r="H178" s="98">
        <f>F178*(($H$142)+1)+(IF(G178&lt;101,G178,IF(G178&lt;201,G178/2,IF(G178&lt;=301,G178/3,G178/4))))</f>
        <v>869.1391799999999</v>
      </c>
      <c r="I178" s="36"/>
      <c r="N178" s="36"/>
    </row>
    <row r="179" spans="1:14" s="99" customFormat="1" x14ac:dyDescent="0.25">
      <c r="A179" s="126" t="s">
        <v>401</v>
      </c>
      <c r="B179" s="126"/>
      <c r="C179" s="126"/>
      <c r="D179" s="126"/>
      <c r="E179" s="126"/>
      <c r="F179" s="126"/>
      <c r="G179" s="126"/>
      <c r="H179" s="126"/>
      <c r="I179" s="36"/>
      <c r="L179" s="134"/>
      <c r="M179" s="134"/>
    </row>
    <row r="180" spans="1:14" s="99" customFormat="1" x14ac:dyDescent="0.25">
      <c r="A180" s="125">
        <v>1</v>
      </c>
      <c r="B180" s="125"/>
      <c r="C180" s="98" t="s">
        <v>391</v>
      </c>
      <c r="D180" s="102">
        <f>(61.95)*(10.764)</f>
        <v>666.82979999999998</v>
      </c>
      <c r="E180" s="98">
        <v>0</v>
      </c>
      <c r="F180" s="98">
        <f>D180+E180</f>
        <v>666.82979999999998</v>
      </c>
      <c r="G180" s="98">
        <v>0</v>
      </c>
      <c r="H180" s="98">
        <f>F180*(($H$142)+1)+(IF(G180&lt;101,G180,IF(G180&lt;201,G180/2,IF(G180&lt;=301,G180/3,G180/4))))</f>
        <v>1000.2447</v>
      </c>
      <c r="I180" s="36"/>
      <c r="N180" s="36"/>
    </row>
    <row r="181" spans="1:14" s="99" customFormat="1" x14ac:dyDescent="0.25">
      <c r="A181" s="125">
        <f>A180+1</f>
        <v>2</v>
      </c>
      <c r="B181" s="125"/>
      <c r="C181" s="98" t="s">
        <v>391</v>
      </c>
      <c r="D181" s="102">
        <f>(57.91)*(10.764)</f>
        <v>623.34323999999992</v>
      </c>
      <c r="E181" s="98">
        <v>0</v>
      </c>
      <c r="F181" s="98">
        <f>D181+E181</f>
        <v>623.34323999999992</v>
      </c>
      <c r="G181" s="98">
        <v>0</v>
      </c>
      <c r="H181" s="98">
        <f>F181*(($H$142)+1)+(IF(G181&lt;101,G181,IF(G181&lt;201,G181/2,IF(G181&lt;=301,G181/3,G181/4))))</f>
        <v>935.01485999999989</v>
      </c>
      <c r="I181" s="36"/>
      <c r="N181" s="36"/>
    </row>
    <row r="182" spans="1:14" s="99" customFormat="1" x14ac:dyDescent="0.25">
      <c r="A182" s="125">
        <f>A181+1</f>
        <v>3</v>
      </c>
      <c r="B182" s="125"/>
      <c r="C182" s="98" t="s">
        <v>392</v>
      </c>
      <c r="D182" s="102">
        <f>(39.76)*(10.764)</f>
        <v>427.97663999999997</v>
      </c>
      <c r="E182" s="98">
        <v>0</v>
      </c>
      <c r="F182" s="98">
        <f>D182+E182</f>
        <v>427.97663999999997</v>
      </c>
      <c r="G182" s="98">
        <v>0</v>
      </c>
      <c r="H182" s="98">
        <f>F182*(($H$142)+1)+(IF(G182&lt;101,G182,IF(G182&lt;201,G182/2,IF(G182&lt;=301,G182/3,G182/4))))</f>
        <v>641.96496000000002</v>
      </c>
      <c r="I182" s="36"/>
      <c r="N182" s="36"/>
    </row>
    <row r="183" spans="1:14" s="99" customFormat="1" x14ac:dyDescent="0.25">
      <c r="A183" s="125">
        <f>A182+1</f>
        <v>4</v>
      </c>
      <c r="B183" s="125"/>
      <c r="C183" s="98" t="s">
        <v>392</v>
      </c>
      <c r="D183" s="102">
        <f>(45.08)*(10.764)</f>
        <v>485.24111999999997</v>
      </c>
      <c r="E183" s="98">
        <v>0</v>
      </c>
      <c r="F183" s="98">
        <f>D183+E183</f>
        <v>485.24111999999997</v>
      </c>
      <c r="G183" s="98">
        <v>0</v>
      </c>
      <c r="H183" s="98">
        <f>F183*(($H$142)+1)+(IF(G183&lt;101,G183,IF(G183&lt;201,G183/2,IF(G183&lt;=301,G183/3,G183/4))))</f>
        <v>727.86167999999998</v>
      </c>
      <c r="I183" s="36">
        <f>(4.8*3.05+2.25*3.35+3.05*4.3+1.3*2.45+1.3*2.2+1.3*1.15)</f>
        <v>42.832499999999996</v>
      </c>
      <c r="N183" s="36"/>
    </row>
    <row r="184" spans="1:14" s="99" customFormat="1" x14ac:dyDescent="0.25">
      <c r="A184" s="125">
        <f>A183+1</f>
        <v>5</v>
      </c>
      <c r="B184" s="125"/>
      <c r="C184" s="98" t="s">
        <v>391</v>
      </c>
      <c r="D184" s="102">
        <f>(53.83)*(10.764)</f>
        <v>579.42611999999997</v>
      </c>
      <c r="E184" s="98">
        <v>0</v>
      </c>
      <c r="F184" s="98">
        <f>D184+E184</f>
        <v>579.42611999999997</v>
      </c>
      <c r="G184" s="98">
        <v>0</v>
      </c>
      <c r="H184" s="98">
        <f>F184*(($H$142)+1)+(IF(G184&lt;101,G184,IF(G184&lt;201,G184/2,IF(G184&lt;=301,G184/3,G184/4))))</f>
        <v>869.1391799999999</v>
      </c>
      <c r="I184" s="36"/>
      <c r="N184" s="36"/>
    </row>
    <row r="185" spans="1:14" s="99" customFormat="1" x14ac:dyDescent="0.25">
      <c r="A185" s="126" t="s">
        <v>397</v>
      </c>
      <c r="B185" s="126"/>
      <c r="C185" s="126"/>
      <c r="D185" s="126"/>
      <c r="E185" s="126"/>
      <c r="F185" s="126"/>
      <c r="G185" s="126"/>
      <c r="H185" s="126"/>
      <c r="I185" s="36"/>
      <c r="L185" s="134"/>
      <c r="M185" s="134"/>
    </row>
    <row r="186" spans="1:14" s="99" customFormat="1" x14ac:dyDescent="0.25">
      <c r="A186" s="125">
        <v>1</v>
      </c>
      <c r="B186" s="125"/>
      <c r="C186" s="98" t="s">
        <v>391</v>
      </c>
      <c r="D186" s="102">
        <f>(61.95)*(10.764)</f>
        <v>666.82979999999998</v>
      </c>
      <c r="E186" s="98">
        <v>0</v>
      </c>
      <c r="F186" s="98">
        <f>D186+E186</f>
        <v>666.82979999999998</v>
      </c>
      <c r="G186" s="98">
        <v>0</v>
      </c>
      <c r="H186" s="98">
        <f>F186*(($H$142)+1)+(IF(G186&lt;101,G186,IF(G186&lt;201,G186/2,IF(G186&lt;=301,G186/3,G186/4))))</f>
        <v>1000.2447</v>
      </c>
      <c r="I186" s="36"/>
      <c r="N186" s="36"/>
    </row>
    <row r="187" spans="1:14" s="99" customFormat="1" x14ac:dyDescent="0.25">
      <c r="A187" s="125">
        <f>A186+1</f>
        <v>2</v>
      </c>
      <c r="B187" s="125"/>
      <c r="C187" s="98" t="s">
        <v>391</v>
      </c>
      <c r="D187" s="102">
        <f>(57.91)*(10.764)</f>
        <v>623.34323999999992</v>
      </c>
      <c r="E187" s="98">
        <v>0</v>
      </c>
      <c r="F187" s="98">
        <f>D187+E187</f>
        <v>623.34323999999992</v>
      </c>
      <c r="G187" s="98">
        <v>0</v>
      </c>
      <c r="H187" s="98">
        <f>F187*(($H$142)+1)+(IF(G187&lt;101,G187,IF(G187&lt;201,G187/2,IF(G187&lt;=301,G187/3,G187/4))))</f>
        <v>935.01485999999989</v>
      </c>
      <c r="I187" s="36"/>
      <c r="N187" s="36"/>
    </row>
    <row r="188" spans="1:14" s="99" customFormat="1" x14ac:dyDescent="0.25">
      <c r="A188" s="125">
        <f>A187+1</f>
        <v>3</v>
      </c>
      <c r="B188" s="125"/>
      <c r="C188" s="98" t="s">
        <v>392</v>
      </c>
      <c r="D188" s="102">
        <f>(42.65)*(10.764)</f>
        <v>459.08459999999997</v>
      </c>
      <c r="E188" s="98">
        <v>0</v>
      </c>
      <c r="F188" s="98">
        <f>D188+E188</f>
        <v>459.08459999999997</v>
      </c>
      <c r="G188" s="98">
        <v>0</v>
      </c>
      <c r="H188" s="98">
        <f>F188*(($H$142)+1)+(IF(G188&lt;101,G188,IF(G188&lt;201,G188/2,IF(G188&lt;=301,G188/3,G188/4))))</f>
        <v>688.62689999999998</v>
      </c>
      <c r="I188" s="36"/>
      <c r="N188" s="36"/>
    </row>
    <row r="189" spans="1:14" s="99" customFormat="1" x14ac:dyDescent="0.25">
      <c r="A189" s="125">
        <f>A188+1</f>
        <v>4</v>
      </c>
      <c r="B189" s="125"/>
      <c r="C189" s="98" t="s">
        <v>392</v>
      </c>
      <c r="D189" s="102">
        <f>(45.08)*(10.764)</f>
        <v>485.24111999999997</v>
      </c>
      <c r="E189" s="98">
        <v>0</v>
      </c>
      <c r="F189" s="98">
        <f>D189+E189</f>
        <v>485.24111999999997</v>
      </c>
      <c r="G189" s="98">
        <v>0</v>
      </c>
      <c r="H189" s="98">
        <f>F189*(($H$142)+1)+(IF(G189&lt;101,G189,IF(G189&lt;201,G189/2,IF(G189&lt;=301,G189/3,G189/4))))</f>
        <v>727.86167999999998</v>
      </c>
      <c r="I189" s="36"/>
      <c r="N189" s="36"/>
    </row>
    <row r="190" spans="1:14" s="99" customFormat="1" x14ac:dyDescent="0.25">
      <c r="A190" s="125">
        <f>A189+1</f>
        <v>5</v>
      </c>
      <c r="B190" s="125"/>
      <c r="C190" s="98" t="s">
        <v>391</v>
      </c>
      <c r="D190" s="102">
        <f>(53.83)*(10.764)</f>
        <v>579.42611999999997</v>
      </c>
      <c r="E190" s="98">
        <v>0</v>
      </c>
      <c r="F190" s="98">
        <f>D190+E190</f>
        <v>579.42611999999997</v>
      </c>
      <c r="G190" s="98">
        <v>0</v>
      </c>
      <c r="H190" s="98">
        <f>F190*(($H$142)+1)+(IF(G190&lt;101,G190,IF(G190&lt;201,G190/2,IF(G190&lt;=301,G190/3,G190/4))))</f>
        <v>869.1391799999999</v>
      </c>
      <c r="I190" s="36"/>
      <c r="N190" s="36"/>
    </row>
    <row r="191" spans="1:14" s="99" customFormat="1" x14ac:dyDescent="0.25">
      <c r="A191" s="126" t="s">
        <v>402</v>
      </c>
      <c r="B191" s="126"/>
      <c r="C191" s="126"/>
      <c r="D191" s="126"/>
      <c r="E191" s="126"/>
      <c r="F191" s="126"/>
      <c r="G191" s="126"/>
      <c r="H191" s="126"/>
      <c r="I191" s="36"/>
      <c r="L191" s="134"/>
      <c r="M191" s="134"/>
    </row>
    <row r="192" spans="1:14" s="99" customFormat="1" x14ac:dyDescent="0.25">
      <c r="A192" s="125">
        <v>1</v>
      </c>
      <c r="B192" s="125"/>
      <c r="C192" s="98" t="s">
        <v>391</v>
      </c>
      <c r="D192" s="102">
        <f>(61.95)*(10.764)</f>
        <v>666.82979999999998</v>
      </c>
      <c r="E192" s="98">
        <v>0</v>
      </c>
      <c r="F192" s="98">
        <f>D192+E192</f>
        <v>666.82979999999998</v>
      </c>
      <c r="G192" s="98">
        <v>0</v>
      </c>
      <c r="H192" s="98">
        <f>F192*(($H$142)+1)+(IF(G192&lt;101,G192,IF(G192&lt;201,G192/2,IF(G192&lt;=301,G192/3,G192/4))))</f>
        <v>1000.2447</v>
      </c>
      <c r="I192" s="36"/>
      <c r="N192" s="36"/>
    </row>
    <row r="193" spans="1:14" s="99" customFormat="1" x14ac:dyDescent="0.25">
      <c r="A193" s="125">
        <f>A192+1</f>
        <v>2</v>
      </c>
      <c r="B193" s="125"/>
      <c r="C193" s="98" t="s">
        <v>391</v>
      </c>
      <c r="D193" s="102">
        <f>(60.62)*(10.764)</f>
        <v>652.51367999999991</v>
      </c>
      <c r="E193" s="98">
        <v>0</v>
      </c>
      <c r="F193" s="98">
        <f>D193+E193</f>
        <v>652.51367999999991</v>
      </c>
      <c r="G193" s="98">
        <v>0</v>
      </c>
      <c r="H193" s="98">
        <f>F193*(($H$142)+1)+(IF(G193&lt;101,G193,IF(G193&lt;201,G193/2,IF(G193&lt;=301,G193/3,G193/4))))</f>
        <v>978.77051999999981</v>
      </c>
      <c r="I193" s="36"/>
      <c r="N193" s="36"/>
    </row>
    <row r="194" spans="1:14" s="99" customFormat="1" x14ac:dyDescent="0.25">
      <c r="A194" s="125">
        <f>A193+1</f>
        <v>3</v>
      </c>
      <c r="B194" s="125"/>
      <c r="C194" s="98" t="s">
        <v>392</v>
      </c>
      <c r="D194" s="102">
        <f>(42.65)*(10.764)</f>
        <v>459.08459999999997</v>
      </c>
      <c r="E194" s="98">
        <v>0</v>
      </c>
      <c r="F194" s="98">
        <f>D194+E194</f>
        <v>459.08459999999997</v>
      </c>
      <c r="G194" s="98">
        <v>0</v>
      </c>
      <c r="H194" s="98">
        <f>F194*(($H$142)+1)+(IF(G194&lt;101,G194,IF(G194&lt;201,G194/2,IF(G194&lt;=301,G194/3,G194/4))))</f>
        <v>688.62689999999998</v>
      </c>
      <c r="I194" s="36"/>
      <c r="N194" s="36"/>
    </row>
    <row r="195" spans="1:14" s="99" customFormat="1" x14ac:dyDescent="0.25">
      <c r="A195" s="125">
        <f>A194+1</f>
        <v>4</v>
      </c>
      <c r="B195" s="125"/>
      <c r="C195" s="98" t="s">
        <v>392</v>
      </c>
      <c r="D195" s="102">
        <f>(45.08)*(10.764)</f>
        <v>485.24111999999997</v>
      </c>
      <c r="E195" s="98">
        <v>0</v>
      </c>
      <c r="F195" s="98">
        <f>D195+E195</f>
        <v>485.24111999999997</v>
      </c>
      <c r="G195" s="98">
        <v>0</v>
      </c>
      <c r="H195" s="98">
        <f>F195*(($H$142)+1)+(IF(G195&lt;101,G195,IF(G195&lt;201,G195/2,IF(G195&lt;=301,G195/3,G195/4))))</f>
        <v>727.86167999999998</v>
      </c>
      <c r="I195" s="36"/>
      <c r="N195" s="36"/>
    </row>
    <row r="196" spans="1:14" s="99" customFormat="1" x14ac:dyDescent="0.25">
      <c r="A196" s="125">
        <f>A195+1</f>
        <v>5</v>
      </c>
      <c r="B196" s="125"/>
      <c r="C196" s="98" t="s">
        <v>391</v>
      </c>
      <c r="D196" s="102">
        <f>(53.83)*(10.764)</f>
        <v>579.42611999999997</v>
      </c>
      <c r="E196" s="98">
        <v>0</v>
      </c>
      <c r="F196" s="98">
        <f>D196+E196</f>
        <v>579.42611999999997</v>
      </c>
      <c r="G196" s="98">
        <v>0</v>
      </c>
      <c r="H196" s="98">
        <f>F196*(($H$142)+1)+(IF(G196&lt;101,G196,IF(G196&lt;201,G196/2,IF(G196&lt;=301,G196/3,G196/4))))</f>
        <v>869.1391799999999</v>
      </c>
      <c r="I196" s="36"/>
      <c r="N196" s="36"/>
    </row>
    <row r="197" spans="1:14" s="99" customFormat="1" x14ac:dyDescent="0.25">
      <c r="A197" s="127" t="s">
        <v>398</v>
      </c>
      <c r="B197" s="128"/>
      <c r="C197" s="128"/>
      <c r="D197" s="128"/>
      <c r="E197" s="128"/>
      <c r="F197" s="128"/>
      <c r="G197" s="128"/>
      <c r="H197" s="129"/>
      <c r="I197" s="36"/>
    </row>
    <row r="198" spans="1:14" s="99" customFormat="1" ht="15.75" customHeight="1" x14ac:dyDescent="0.25">
      <c r="A198" s="130">
        <v>1</v>
      </c>
      <c r="B198" s="131"/>
      <c r="C198" s="98" t="s">
        <v>391</v>
      </c>
      <c r="D198" s="102">
        <f>(67.71)*(10.764)</f>
        <v>728.83043999999984</v>
      </c>
      <c r="E198" s="98">
        <v>0</v>
      </c>
      <c r="F198" s="98">
        <f>D198+E198</f>
        <v>728.83043999999984</v>
      </c>
      <c r="G198" s="98">
        <v>0</v>
      </c>
      <c r="H198" s="98">
        <f>F198*(($H$142)+1)+(IF(G198&lt;101,G198,IF(G198&lt;201,G198/2,IF(G198&lt;=301,G198/3,G198/4))))</f>
        <v>1093.2456599999998</v>
      </c>
      <c r="I198" s="36">
        <f>(6.5*3.15+3.35*2.45+3.05*3.95+1.3*2.75+3.05*3.95+1.3*1.4+1.15*0.9+1*1.55+1.3*2.4)</f>
        <v>63.877499999999991</v>
      </c>
    </row>
    <row r="199" spans="1:14" s="99" customFormat="1" ht="15.75" customHeight="1" x14ac:dyDescent="0.25">
      <c r="A199" s="125">
        <f>A198+1</f>
        <v>2</v>
      </c>
      <c r="B199" s="125"/>
      <c r="C199" s="98" t="s">
        <v>391</v>
      </c>
      <c r="D199" s="102">
        <f>(63.42)*(10.764)</f>
        <v>682.65287999999998</v>
      </c>
      <c r="E199" s="98">
        <v>0</v>
      </c>
      <c r="F199" s="98">
        <f>D199+E199</f>
        <v>682.65287999999998</v>
      </c>
      <c r="G199" s="98">
        <v>0</v>
      </c>
      <c r="H199" s="98">
        <f>F199*(($H$142)+1)+(IF(G199&lt;101,G199,IF(G199&lt;201,G199/2,IF(G199&lt;=301,G199/3,G199/4))))</f>
        <v>1023.9793199999999</v>
      </c>
      <c r="I199" s="36"/>
    </row>
    <row r="200" spans="1:14" s="99" customFormat="1" ht="15.75" customHeight="1" x14ac:dyDescent="0.25">
      <c r="A200" s="125">
        <f>A199+1</f>
        <v>3</v>
      </c>
      <c r="B200" s="125"/>
      <c r="C200" s="98" t="s">
        <v>392</v>
      </c>
      <c r="D200" s="102">
        <f>(42.65)*(10.764)</f>
        <v>459.08459999999997</v>
      </c>
      <c r="E200" s="98">
        <v>0</v>
      </c>
      <c r="F200" s="98">
        <f>D200+E200</f>
        <v>459.08459999999997</v>
      </c>
      <c r="G200" s="98">
        <v>0</v>
      </c>
      <c r="H200" s="98">
        <f>F200*(($H$142)+1)+(IF(G200&lt;101,G200,IF(G200&lt;201,G200/2,IF(G200&lt;=301,G200/3,G200/4))))</f>
        <v>688.62689999999998</v>
      </c>
      <c r="I200" s="36"/>
    </row>
    <row r="201" spans="1:14" s="99" customFormat="1" ht="15.75" customHeight="1" x14ac:dyDescent="0.25">
      <c r="A201" s="125">
        <f>A200+1</f>
        <v>4</v>
      </c>
      <c r="B201" s="125"/>
      <c r="C201" s="98" t="s">
        <v>392</v>
      </c>
      <c r="D201" s="102">
        <f>(45.08)*(10.764)</f>
        <v>485.24111999999997</v>
      </c>
      <c r="E201" s="98">
        <v>0</v>
      </c>
      <c r="F201" s="98">
        <f>D201+E201</f>
        <v>485.24111999999997</v>
      </c>
      <c r="G201" s="98">
        <v>0</v>
      </c>
      <c r="H201" s="98">
        <f>F201*(($H$142)+1)+(IF(G201&lt;101,G201,IF(G201&lt;201,G201/2,IF(G201&lt;=301,G201/3,G201/4))))</f>
        <v>727.86167999999998</v>
      </c>
      <c r="I201" s="36"/>
    </row>
    <row r="202" spans="1:14" s="99" customFormat="1" ht="15.75" customHeight="1" x14ac:dyDescent="0.25">
      <c r="A202" s="125">
        <f>A201+1</f>
        <v>5</v>
      </c>
      <c r="B202" s="125"/>
      <c r="C202" s="98" t="s">
        <v>391</v>
      </c>
      <c r="D202" s="102">
        <f>(53.83)*(10.764)</f>
        <v>579.42611999999997</v>
      </c>
      <c r="E202" s="98">
        <v>0</v>
      </c>
      <c r="F202" s="98">
        <f>D202+E202</f>
        <v>579.42611999999997</v>
      </c>
      <c r="G202" s="98">
        <v>0</v>
      </c>
      <c r="H202" s="98">
        <f>F202*(($H$142)+1)+(IF(G202&lt;101,G202,IF(G202&lt;201,G202/2,IF(G202&lt;=301,G202/3,G202/4))))</f>
        <v>869.1391799999999</v>
      </c>
      <c r="I202" s="36"/>
    </row>
    <row r="203" spans="1:14" s="99" customFormat="1" x14ac:dyDescent="0.25">
      <c r="A203" s="126" t="s">
        <v>399</v>
      </c>
      <c r="B203" s="126"/>
      <c r="C203" s="126"/>
      <c r="D203" s="126"/>
      <c r="E203" s="126"/>
      <c r="F203" s="126"/>
      <c r="G203" s="126"/>
      <c r="H203" s="126"/>
      <c r="I203" s="36"/>
      <c r="L203" s="134"/>
      <c r="M203" s="134"/>
    </row>
    <row r="204" spans="1:14" s="99" customFormat="1" x14ac:dyDescent="0.25">
      <c r="A204" s="125">
        <v>1</v>
      </c>
      <c r="B204" s="125"/>
      <c r="C204" s="98" t="s">
        <v>391</v>
      </c>
      <c r="D204" s="102">
        <f>(67.71)*(10.764)</f>
        <v>728.83043999999984</v>
      </c>
      <c r="E204" s="98">
        <v>0</v>
      </c>
      <c r="F204" s="98">
        <f>D204+E204</f>
        <v>728.83043999999984</v>
      </c>
      <c r="G204" s="98">
        <v>0</v>
      </c>
      <c r="H204" s="98">
        <f>F204*(($H$142)+1)+(IF(G204&lt;101,G204,IF(G204&lt;201,G204/2,IF(G204&lt;=301,G204/3,G204/4))))</f>
        <v>1093.2456599999998</v>
      </c>
      <c r="I204" s="36"/>
      <c r="N204" s="36"/>
    </row>
    <row r="205" spans="1:14" s="99" customFormat="1" x14ac:dyDescent="0.25">
      <c r="A205" s="125">
        <f>A204+1</f>
        <v>2</v>
      </c>
      <c r="B205" s="125"/>
      <c r="C205" s="98" t="s">
        <v>391</v>
      </c>
      <c r="D205" s="102">
        <f>(63.42)*(10.764)</f>
        <v>682.65287999999998</v>
      </c>
      <c r="E205" s="98">
        <v>0</v>
      </c>
      <c r="F205" s="98">
        <f>D205+E205</f>
        <v>682.65287999999998</v>
      </c>
      <c r="G205" s="98">
        <v>0</v>
      </c>
      <c r="H205" s="98">
        <f>F205*(($H$142)+1)+(IF(G205&lt;101,G205,IF(G205&lt;201,G205/2,IF(G205&lt;=301,G205/3,G205/4))))</f>
        <v>1023.9793199999999</v>
      </c>
      <c r="I205" s="36">
        <f>(6.5*3.15+2.75*2.45+3.05*3.95+1.3*2.52+3.05*3.65+2.45*1.3+1*1.15+1.6*1.3)</f>
        <v>60.083500000000001</v>
      </c>
      <c r="N205" s="36"/>
    </row>
    <row r="206" spans="1:14" s="99" customFormat="1" x14ac:dyDescent="0.25">
      <c r="A206" s="125">
        <f>A205+1</f>
        <v>3</v>
      </c>
      <c r="B206" s="125"/>
      <c r="C206" s="98" t="s">
        <v>392</v>
      </c>
      <c r="D206" s="102">
        <f>(42.65)*(10.764)</f>
        <v>459.08459999999997</v>
      </c>
      <c r="E206" s="98">
        <v>0</v>
      </c>
      <c r="F206" s="98">
        <f>D206+E206</f>
        <v>459.08459999999997</v>
      </c>
      <c r="G206" s="98">
        <v>0</v>
      </c>
      <c r="H206" s="98">
        <f>F206*(($H$142)+1)+(IF(G206&lt;101,G206,IF(G206&lt;201,G206/2,IF(G206&lt;=301,G206/3,G206/4))))</f>
        <v>688.62689999999998</v>
      </c>
      <c r="I206" s="36"/>
      <c r="N206" s="36"/>
    </row>
    <row r="207" spans="1:14" s="99" customFormat="1" x14ac:dyDescent="0.25">
      <c r="A207" s="125">
        <f>A206+1</f>
        <v>4</v>
      </c>
      <c r="B207" s="125"/>
      <c r="C207" s="98" t="s">
        <v>392</v>
      </c>
      <c r="D207" s="102">
        <f>(45.08)*(10.764)</f>
        <v>485.24111999999997</v>
      </c>
      <c r="E207" s="98">
        <v>0</v>
      </c>
      <c r="F207" s="98">
        <f>D207+E207</f>
        <v>485.24111999999997</v>
      </c>
      <c r="G207" s="98">
        <v>0</v>
      </c>
      <c r="H207" s="98">
        <f>F207*(($H$142)+1)+(IF(G207&lt;101,G207,IF(G207&lt;201,G207/2,IF(G207&lt;=301,G207/3,G207/4))))</f>
        <v>727.86167999999998</v>
      </c>
      <c r="I207" s="36"/>
      <c r="N207" s="36"/>
    </row>
    <row r="208" spans="1:14" s="99" customFormat="1" x14ac:dyDescent="0.25">
      <c r="A208" s="125">
        <f>A207+1</f>
        <v>5</v>
      </c>
      <c r="B208" s="125"/>
      <c r="C208" s="98" t="s">
        <v>391</v>
      </c>
      <c r="D208" s="102">
        <f>(53.83)*(10.764)</f>
        <v>579.42611999999997</v>
      </c>
      <c r="E208" s="98">
        <v>0</v>
      </c>
      <c r="F208" s="98">
        <f>D208+E208</f>
        <v>579.42611999999997</v>
      </c>
      <c r="G208" s="98">
        <v>0</v>
      </c>
      <c r="H208" s="98">
        <f>F208*(($H$142)+1)+(IF(G208&lt;101,G208,IF(G208&lt;201,G208/2,IF(G208&lt;=301,G208/3,G208/4))))</f>
        <v>869.1391799999999</v>
      </c>
      <c r="I208" s="36"/>
      <c r="N208" s="36"/>
    </row>
    <row r="209" spans="1:14" s="99" customFormat="1" ht="35.25" customHeight="1" x14ac:dyDescent="0.25">
      <c r="A209" s="127" t="s">
        <v>431</v>
      </c>
      <c r="B209" s="128"/>
      <c r="C209" s="128"/>
      <c r="D209" s="128"/>
      <c r="E209" s="128"/>
      <c r="F209" s="128"/>
      <c r="G209" s="128"/>
      <c r="H209" s="129"/>
      <c r="I209" s="36"/>
    </row>
    <row r="210" spans="1:14" s="99" customFormat="1" ht="15.75" customHeight="1" x14ac:dyDescent="0.25">
      <c r="A210" s="130">
        <v>1</v>
      </c>
      <c r="B210" s="131"/>
      <c r="C210" s="98" t="s">
        <v>391</v>
      </c>
      <c r="D210" s="102">
        <f>(67.57)*(10.764)</f>
        <v>727.3234799999999</v>
      </c>
      <c r="E210" s="102">
        <f>(1.5*3.15)*(10.764)</f>
        <v>50.859899999999996</v>
      </c>
      <c r="F210" s="98">
        <f>D210+E210</f>
        <v>778.18337999999994</v>
      </c>
      <c r="G210" s="98">
        <v>0</v>
      </c>
      <c r="H210" s="98">
        <f>F210*(($H$142)+1)+(IF(G210&lt;101,G210,IF(G210&lt;201,G210/2,IF(G210&lt;=301,G210/3,G210/4))))</f>
        <v>1167.2750699999999</v>
      </c>
      <c r="I210" s="101">
        <f>6.24*3.15+1.15*0.9+1*1.55+3.35*2.45+1.3*1.4+3.05*3.95+1.3*2.4+3.05*3.95+1.3*2.75+1.5*3.15</f>
        <v>67.783500000000004</v>
      </c>
      <c r="J210" s="101">
        <f>1.5*3.15</f>
        <v>4.7249999999999996</v>
      </c>
    </row>
    <row r="211" spans="1:14" s="99" customFormat="1" ht="15.75" customHeight="1" x14ac:dyDescent="0.25">
      <c r="A211" s="125">
        <f>A210+1</f>
        <v>2</v>
      </c>
      <c r="B211" s="125"/>
      <c r="C211" s="98" t="s">
        <v>391</v>
      </c>
      <c r="D211" s="102">
        <f>(65.72)*(10.764)</f>
        <v>707.41007999999999</v>
      </c>
      <c r="E211" s="102">
        <f>(1.5*3.15)*(10.764)</f>
        <v>50.859899999999996</v>
      </c>
      <c r="F211" s="98">
        <f>D211+E211</f>
        <v>758.26998000000003</v>
      </c>
      <c r="G211" s="98">
        <v>0</v>
      </c>
      <c r="H211" s="98">
        <f>F211*(($H$142)+1)+(IF(G211&lt;101,G211,IF(G211&lt;201,G211/2,IF(G211&lt;=301,G211/3,G211/4))))</f>
        <v>1137.40497</v>
      </c>
      <c r="I211" s="101">
        <f>6.24*3.15+1.6*1.3+1*1.15+3.35*2.45+3.05*3.95+1.3*2.52+3.05*3.95+2.45*1.3+1.5*3.15</f>
        <v>66.374499999999998</v>
      </c>
      <c r="J211" s="101">
        <f>1.5*3.15</f>
        <v>4.7249999999999996</v>
      </c>
    </row>
    <row r="212" spans="1:14" s="99" customFormat="1" ht="15.75" customHeight="1" x14ac:dyDescent="0.25">
      <c r="A212" s="125">
        <f>A211+1</f>
        <v>3</v>
      </c>
      <c r="B212" s="125"/>
      <c r="C212" s="98" t="s">
        <v>392</v>
      </c>
      <c r="D212" s="102">
        <f>(42.65)*(10.764)</f>
        <v>459.08459999999997</v>
      </c>
      <c r="E212" s="98">
        <v>0</v>
      </c>
      <c r="F212" s="98">
        <f>D212+E212</f>
        <v>459.08459999999997</v>
      </c>
      <c r="G212" s="98">
        <v>0</v>
      </c>
      <c r="H212" s="98">
        <f>F212*(($H$142)+1)+(IF(G212&lt;101,G212,IF(G212&lt;201,G212/2,IF(G212&lt;=301,G212/3,G212/4))))</f>
        <v>688.62689999999998</v>
      </c>
      <c r="I212" s="36"/>
    </row>
    <row r="213" spans="1:14" s="99" customFormat="1" ht="15.75" customHeight="1" x14ac:dyDescent="0.25">
      <c r="A213" s="125">
        <f>A212+1</f>
        <v>4</v>
      </c>
      <c r="B213" s="125"/>
      <c r="C213" s="98" t="s">
        <v>392</v>
      </c>
      <c r="D213" s="102">
        <f>(45.08)*(10.764)</f>
        <v>485.24111999999997</v>
      </c>
      <c r="E213" s="98">
        <v>0</v>
      </c>
      <c r="F213" s="98">
        <f>D213+E213</f>
        <v>485.24111999999997</v>
      </c>
      <c r="G213" s="98">
        <v>0</v>
      </c>
      <c r="H213" s="98">
        <f>F213*(($H$142)+1)+(IF(G213&lt;101,G213,IF(G213&lt;201,G213/2,IF(G213&lt;=301,G213/3,G213/4))))</f>
        <v>727.86167999999998</v>
      </c>
      <c r="I213" s="36"/>
    </row>
    <row r="214" spans="1:14" s="99" customFormat="1" ht="15.75" customHeight="1" x14ac:dyDescent="0.25">
      <c r="A214" s="125">
        <f>A213+1</f>
        <v>5</v>
      </c>
      <c r="B214" s="125"/>
      <c r="C214" s="98" t="s">
        <v>391</v>
      </c>
      <c r="D214" s="102">
        <f>(53.83)*(10.764)</f>
        <v>579.42611999999997</v>
      </c>
      <c r="E214" s="98">
        <v>0</v>
      </c>
      <c r="F214" s="98">
        <f>D214+E214</f>
        <v>579.42611999999997</v>
      </c>
      <c r="G214" s="98">
        <v>0</v>
      </c>
      <c r="H214" s="98">
        <f>F214*(($H$142)+1)+(IF(G214&lt;101,G214,IF(G214&lt;201,G214/2,IF(G214&lt;=301,G214/3,G214/4))))</f>
        <v>869.1391799999999</v>
      </c>
      <c r="I214" s="36"/>
    </row>
    <row r="215" spans="1:14" s="99" customFormat="1" ht="31.5" customHeight="1" x14ac:dyDescent="0.25">
      <c r="A215" s="126" t="s">
        <v>430</v>
      </c>
      <c r="B215" s="126"/>
      <c r="C215" s="126"/>
      <c r="D215" s="126"/>
      <c r="E215" s="126"/>
      <c r="F215" s="126"/>
      <c r="G215" s="126"/>
      <c r="H215" s="126"/>
      <c r="I215" s="36"/>
      <c r="L215" s="134"/>
      <c r="M215" s="134"/>
    </row>
    <row r="216" spans="1:14" s="99" customFormat="1" x14ac:dyDescent="0.25">
      <c r="A216" s="125">
        <v>1</v>
      </c>
      <c r="B216" s="125"/>
      <c r="C216" s="98" t="s">
        <v>391</v>
      </c>
      <c r="D216" s="102">
        <f>(67.57)*(10.764)</f>
        <v>727.3234799999999</v>
      </c>
      <c r="E216" s="102">
        <f>(1.5*3.15)*(10.764)</f>
        <v>50.859899999999996</v>
      </c>
      <c r="F216" s="98">
        <f>D216+E216</f>
        <v>778.18337999999994</v>
      </c>
      <c r="G216" s="98">
        <v>0</v>
      </c>
      <c r="H216" s="98">
        <f>F216*(($H$142)+1)+(IF(G216&lt;101,G216,IF(G216&lt;201,G216/2,IF(G216&lt;=301,G216/3,G216/4))))</f>
        <v>1167.2750699999999</v>
      </c>
      <c r="I216" s="36"/>
      <c r="N216" s="36"/>
    </row>
    <row r="217" spans="1:14" s="99" customFormat="1" x14ac:dyDescent="0.25">
      <c r="A217" s="125">
        <f>A216+1</f>
        <v>2</v>
      </c>
      <c r="B217" s="125"/>
      <c r="C217" s="98" t="s">
        <v>391</v>
      </c>
      <c r="D217" s="102">
        <f>(65.72)*(10.764)</f>
        <v>707.41007999999999</v>
      </c>
      <c r="E217" s="102">
        <f>(1.5*3.15)*(10.764)</f>
        <v>50.859899999999996</v>
      </c>
      <c r="F217" s="98">
        <f>D217+E217</f>
        <v>758.26998000000003</v>
      </c>
      <c r="G217" s="98">
        <v>0</v>
      </c>
      <c r="H217" s="98">
        <f>F217*(($H$142)+1)+(IF(G217&lt;101,G217,IF(G217&lt;201,G217/2,IF(G217&lt;=301,G217/3,G217/4))))</f>
        <v>1137.40497</v>
      </c>
      <c r="I217" s="36">
        <f>(6.25*3.15+3.35*2.45+3.05*3.95+3.05*3.95+1.3*2.52+2.45*1.3+1*1.15+1.6*1.3)</f>
        <v>61.681000000000004</v>
      </c>
      <c r="K217" s="101"/>
      <c r="N217" s="36"/>
    </row>
    <row r="218" spans="1:14" s="99" customFormat="1" x14ac:dyDescent="0.25">
      <c r="A218" s="125">
        <f>A217+1</f>
        <v>3</v>
      </c>
      <c r="B218" s="125"/>
      <c r="C218" s="98" t="s">
        <v>392</v>
      </c>
      <c r="D218" s="102">
        <f>(42.65)*(10.764)</f>
        <v>459.08459999999997</v>
      </c>
      <c r="E218" s="98">
        <v>0</v>
      </c>
      <c r="F218" s="98">
        <f>D218+E218</f>
        <v>459.08459999999997</v>
      </c>
      <c r="G218" s="98">
        <v>0</v>
      </c>
      <c r="H218" s="98">
        <f>F218*(($H$142)+1)+(IF(G218&lt;101,G218,IF(G218&lt;201,G218/2,IF(G218&lt;=301,G218/3,G218/4))))</f>
        <v>688.62689999999998</v>
      </c>
      <c r="I218" s="36"/>
      <c r="N218" s="36"/>
    </row>
    <row r="219" spans="1:14" s="99" customFormat="1" x14ac:dyDescent="0.25">
      <c r="A219" s="125">
        <f>A218+1</f>
        <v>4</v>
      </c>
      <c r="B219" s="125"/>
      <c r="C219" s="98" t="s">
        <v>392</v>
      </c>
      <c r="D219" s="102">
        <f>(45.08)*(10.764)</f>
        <v>485.24111999999997</v>
      </c>
      <c r="E219" s="98">
        <v>0</v>
      </c>
      <c r="F219" s="98">
        <f>D219+E219</f>
        <v>485.24111999999997</v>
      </c>
      <c r="G219" s="98">
        <v>0</v>
      </c>
      <c r="H219" s="98">
        <f>F219*(($H$142)+1)+(IF(G219&lt;101,G219,IF(G219&lt;201,G219/2,IF(G219&lt;=301,G219/3,G219/4))))</f>
        <v>727.86167999999998</v>
      </c>
      <c r="I219" s="36"/>
      <c r="N219" s="36"/>
    </row>
    <row r="220" spans="1:14" s="99" customFormat="1" x14ac:dyDescent="0.25">
      <c r="A220" s="125">
        <f>A219+1</f>
        <v>5</v>
      </c>
      <c r="B220" s="125"/>
      <c r="C220" s="98" t="s">
        <v>391</v>
      </c>
      <c r="D220" s="102">
        <f>(53.83)*(10.764)</f>
        <v>579.42611999999997</v>
      </c>
      <c r="E220" s="98">
        <v>0</v>
      </c>
      <c r="F220" s="98">
        <f>D220+E220</f>
        <v>579.42611999999997</v>
      </c>
      <c r="G220" s="98">
        <v>0</v>
      </c>
      <c r="H220" s="98">
        <f>F220*(($H$142)+1)+(IF(G220&lt;101,G220,IF(G220&lt;201,G220/2,IF(G220&lt;=301,G220/3,G220/4))))</f>
        <v>869.1391799999999</v>
      </c>
      <c r="I220" s="36"/>
      <c r="N220" s="36"/>
    </row>
    <row r="221" spans="1:14" s="99" customFormat="1" ht="32.25" customHeight="1" x14ac:dyDescent="0.25">
      <c r="A221" s="141" t="s">
        <v>429</v>
      </c>
      <c r="B221" s="141"/>
      <c r="C221" s="141"/>
      <c r="D221" s="141"/>
      <c r="E221" s="141"/>
      <c r="F221" s="141"/>
      <c r="G221" s="141"/>
      <c r="H221" s="141"/>
      <c r="I221" s="36"/>
      <c r="L221" s="134"/>
      <c r="M221" s="134"/>
    </row>
    <row r="222" spans="1:14" s="99" customFormat="1" x14ac:dyDescent="0.25">
      <c r="A222" s="125">
        <v>1</v>
      </c>
      <c r="B222" s="125"/>
      <c r="C222" s="98" t="s">
        <v>391</v>
      </c>
      <c r="D222" s="102">
        <f>(67.57)*(10.764)</f>
        <v>727.3234799999999</v>
      </c>
      <c r="E222" s="102">
        <f>(1.5*3.15)*(10.764)</f>
        <v>50.859899999999996</v>
      </c>
      <c r="F222" s="98">
        <f>D222+E222</f>
        <v>778.18337999999994</v>
      </c>
      <c r="G222" s="98">
        <v>0</v>
      </c>
      <c r="H222" s="98">
        <f>F222*(($H$142)+1)+(IF(G222&lt;101,G222,IF(G222&lt;201,G222/2,IF(G222&lt;=301,G222/3,G222/4))))</f>
        <v>1167.2750699999999</v>
      </c>
      <c r="I222" s="36"/>
      <c r="N222" s="36"/>
    </row>
    <row r="223" spans="1:14" s="99" customFormat="1" x14ac:dyDescent="0.25">
      <c r="A223" s="125">
        <v>2</v>
      </c>
      <c r="B223" s="125"/>
      <c r="C223" s="130" t="s">
        <v>404</v>
      </c>
      <c r="D223" s="142"/>
      <c r="E223" s="142"/>
      <c r="F223" s="142"/>
      <c r="G223" s="142"/>
      <c r="H223" s="131"/>
      <c r="I223" s="36"/>
      <c r="N223" s="36"/>
    </row>
    <row r="224" spans="1:14" s="99" customFormat="1" x14ac:dyDescent="0.25">
      <c r="A224" s="125">
        <f>A223+1</f>
        <v>3</v>
      </c>
      <c r="B224" s="125"/>
      <c r="C224" s="98" t="s">
        <v>403</v>
      </c>
      <c r="D224" s="102">
        <f>(147.83)*(10.764)</f>
        <v>1591.2421200000001</v>
      </c>
      <c r="E224" s="102">
        <f>(1.25*6.4)*(10.764)</f>
        <v>86.111999999999995</v>
      </c>
      <c r="F224" s="98">
        <f>D224+E224</f>
        <v>1677.3541200000002</v>
      </c>
      <c r="G224" s="98">
        <v>0</v>
      </c>
      <c r="H224" s="98">
        <f>F224*(($H$142)+1)+(IF(G224&lt;101,G224,IF(G224&lt;201,G224/2,IF(G224&lt;=301,G224/3,G224/4))))</f>
        <v>2516.0311800000004</v>
      </c>
      <c r="I224" s="36">
        <f>(4.8*6.4+2.25*3.81+1.45*2+1.3*1.81+3.05*5.3+5.4*3.65+1.3*2.6+2.1*1.45+3.05*4.3+1.3*2.45+3.25*3.35+2.1*1.3+1*1.45+5.4*3.38+1.3*3.03)</f>
        <v>140.404</v>
      </c>
      <c r="N224" s="36"/>
    </row>
    <row r="225" spans="1:9" s="37" customFormat="1" hidden="1" x14ac:dyDescent="0.25">
      <c r="A225" s="127" t="s">
        <v>151</v>
      </c>
      <c r="B225" s="128"/>
      <c r="C225" s="128"/>
      <c r="D225" s="128"/>
      <c r="E225" s="128"/>
      <c r="F225" s="128"/>
      <c r="G225" s="128"/>
      <c r="H225" s="129"/>
      <c r="I225" s="36"/>
    </row>
    <row r="226" spans="1:9" s="37" customFormat="1" ht="15.75" hidden="1" customHeight="1" x14ac:dyDescent="0.25">
      <c r="A226" s="130"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10^ROW(INDIRECT("1:"&amp;LEN((LEFT(A225,SUM(LEN(A225)-LEN(SUBSTITUTE(A225,{"0","1","2"},""))))))))/10))*100+1&amp;""&amp;" ,..,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",LEN(A225))),LEN(A225)))))))/10))*100+1</f>
        <v>301 ,.., 1501</v>
      </c>
      <c r="B226" s="131"/>
      <c r="C226" s="42"/>
      <c r="D226" s="42"/>
      <c r="E226" s="58">
        <v>0</v>
      </c>
      <c r="F226" s="58">
        <f>D226+E226</f>
        <v>0</v>
      </c>
      <c r="G226" s="58">
        <v>0</v>
      </c>
      <c r="H226" s="58">
        <f>F226*(($H$142)+1)+(IF(G226&lt;101,G226,IF(G226&lt;201,G226/2,IF(G226&lt;=301,G226/3,G226/4))))</f>
        <v>0</v>
      </c>
      <c r="I226" s="36"/>
    </row>
    <row r="227" spans="1:9" s="37" customFormat="1" ht="15.75" hidden="1" customHeight="1" x14ac:dyDescent="0.25">
      <c r="A227" s="130"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302 ,.., 1502</v>
      </c>
      <c r="B227" s="131"/>
      <c r="C227" s="42"/>
      <c r="D227" s="42"/>
      <c r="E227" s="58">
        <v>0</v>
      </c>
      <c r="F227" s="58">
        <f>D227+E227</f>
        <v>0</v>
      </c>
      <c r="G227" s="58">
        <v>0</v>
      </c>
      <c r="H227" s="58">
        <f>F227*(($H$142)+1)+(IF(G227&lt;101,G227,IF(G227&lt;201,G227/2,IF(G227&lt;=301,G227/3,G227/4))))</f>
        <v>0</v>
      </c>
      <c r="I227" s="36"/>
    </row>
    <row r="228" spans="1:9" s="37" customFormat="1" ht="15.75" hidden="1" customHeight="1" x14ac:dyDescent="0.25">
      <c r="A228" s="130"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303 ,.., 1503</v>
      </c>
      <c r="B228" s="131"/>
      <c r="C228" s="42"/>
      <c r="D228" s="42"/>
      <c r="E228" s="58">
        <v>0</v>
      </c>
      <c r="F228" s="58">
        <f>D228+E228</f>
        <v>0</v>
      </c>
      <c r="G228" s="58">
        <v>0</v>
      </c>
      <c r="H228" s="58">
        <f>F228*(($H$142)+1)+(IF(G228&lt;101,G228,IF(G228&lt;201,G228/2,IF(G228&lt;=301,G228/3,G228/4))))</f>
        <v>0</v>
      </c>
      <c r="I228" s="36"/>
    </row>
    <row r="229" spans="1:9" s="37" customFormat="1" ht="15.75" hidden="1" customHeight="1" x14ac:dyDescent="0.25">
      <c r="A229" s="130"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304 ,.., 1504</v>
      </c>
      <c r="B229" s="131"/>
      <c r="C229" s="42"/>
      <c r="D229" s="42"/>
      <c r="E229" s="58">
        <v>0</v>
      </c>
      <c r="F229" s="58">
        <f>D229+E229</f>
        <v>0</v>
      </c>
      <c r="G229" s="58">
        <v>0</v>
      </c>
      <c r="H229" s="58">
        <f>F229*(($H$142)+1)+(IF(G229&lt;101,G229,IF(G229&lt;201,G229/2,IF(G229&lt;=301,G229/3,G229/4))))</f>
        <v>0</v>
      </c>
      <c r="I229" s="36"/>
    </row>
    <row r="230" spans="1:9" s="37" customFormat="1" ht="15.75" hidden="1" customHeight="1" x14ac:dyDescent="0.25">
      <c r="A230" s="130"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305 ,.., 1505</v>
      </c>
      <c r="B230" s="131"/>
      <c r="C230" s="42"/>
      <c r="D230" s="42"/>
      <c r="E230" s="58">
        <v>0</v>
      </c>
      <c r="F230" s="58">
        <f>D230+E230</f>
        <v>0</v>
      </c>
      <c r="G230" s="58">
        <v>0</v>
      </c>
      <c r="H230" s="58">
        <f>F230*(($H$142)+1)+(IF(G230&lt;101,G230,IF(G230&lt;201,G230/2,IF(G230&lt;=301,G230/3,G230/4))))</f>
        <v>0</v>
      </c>
      <c r="I230" s="36"/>
    </row>
    <row r="231" spans="1:9" s="37" customFormat="1" hidden="1" x14ac:dyDescent="0.25">
      <c r="A231" s="127" t="s">
        <v>145</v>
      </c>
      <c r="B231" s="128"/>
      <c r="C231" s="128"/>
      <c r="D231" s="128"/>
      <c r="E231" s="128"/>
      <c r="F231" s="128"/>
      <c r="G231" s="128"/>
      <c r="H231" s="129"/>
      <c r="I231" s="36"/>
    </row>
    <row r="232" spans="1:9" s="37" customFormat="1" ht="15.75" hidden="1" customHeight="1" x14ac:dyDescent="0.25">
      <c r="A232" s="130"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10^ROW(INDIRECT("1:"&amp;LEN((LEFT(A231,SUM(LEN(A231)-LEN(SUBSTITUTE(A231,{"0","1","2"},""))))))))/10))*100+1&amp;""&amp;" to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",LEN(A231))),LEN(A231)))))))/10))*100+1</f>
        <v>201 to 501</v>
      </c>
      <c r="B232" s="131"/>
      <c r="C232" s="42"/>
      <c r="D232" s="42"/>
      <c r="E232" s="58">
        <v>0</v>
      </c>
      <c r="F232" s="58">
        <f>D232+E232</f>
        <v>0</v>
      </c>
      <c r="G232" s="58">
        <v>0</v>
      </c>
      <c r="H232" s="58">
        <f>F232*(($H$142)+1)+(IF(G232&lt;101,G232,IF(G232&lt;201,G232/2,IF(G232&lt;=301,G232/3,G232/4))))</f>
        <v>0</v>
      </c>
      <c r="I232" s="36"/>
    </row>
    <row r="233" spans="1:9" s="37" customFormat="1" ht="15.75" hidden="1" customHeight="1" x14ac:dyDescent="0.25">
      <c r="A233" s="130"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202 to 502</v>
      </c>
      <c r="B233" s="131"/>
      <c r="C233" s="42"/>
      <c r="D233" s="42"/>
      <c r="E233" s="58">
        <v>0</v>
      </c>
      <c r="F233" s="58">
        <f>D233+E233</f>
        <v>0</v>
      </c>
      <c r="G233" s="58">
        <v>0</v>
      </c>
      <c r="H233" s="58">
        <f>F233*(($H$142)+1)+(IF(G233&lt;101,G233,IF(G233&lt;201,G233/2,IF(G233&lt;=301,G233/3,G233/4))))</f>
        <v>0</v>
      </c>
      <c r="I233" s="36"/>
    </row>
    <row r="234" spans="1:9" s="37" customFormat="1" ht="15.75" hidden="1" customHeight="1" x14ac:dyDescent="0.25">
      <c r="A234" s="130"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203 to 503</v>
      </c>
      <c r="B234" s="131"/>
      <c r="C234" s="42"/>
      <c r="D234" s="42"/>
      <c r="E234" s="58">
        <v>0</v>
      </c>
      <c r="F234" s="58">
        <f>D234+E234</f>
        <v>0</v>
      </c>
      <c r="G234" s="58">
        <v>0</v>
      </c>
      <c r="H234" s="58">
        <f>F234*(($H$142)+1)+(IF(G234&lt;101,G234,IF(G234&lt;201,G234/2,IF(G234&lt;=301,G234/3,G234/4))))</f>
        <v>0</v>
      </c>
      <c r="I234" s="36"/>
    </row>
    <row r="235" spans="1:9" s="37" customFormat="1" ht="15.75" hidden="1" customHeight="1" x14ac:dyDescent="0.25">
      <c r="A235" s="130"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204 to 504</v>
      </c>
      <c r="B235" s="131"/>
      <c r="C235" s="42"/>
      <c r="D235" s="42"/>
      <c r="E235" s="58">
        <v>0</v>
      </c>
      <c r="F235" s="58">
        <f>D235+E235</f>
        <v>0</v>
      </c>
      <c r="G235" s="58">
        <v>0</v>
      </c>
      <c r="H235" s="58">
        <f>F235*(($H$142)+1)+(IF(G235&lt;101,G235,IF(G235&lt;201,G235/2,IF(G235&lt;=301,G235/3,G235/4))))</f>
        <v>0</v>
      </c>
      <c r="I235" s="36"/>
    </row>
    <row r="236" spans="1:9" s="37" customFormat="1" ht="15.75" hidden="1" customHeight="1" x14ac:dyDescent="0.25">
      <c r="A236" s="130"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205 to 505</v>
      </c>
      <c r="B236" s="131"/>
      <c r="C236" s="42"/>
      <c r="D236" s="42"/>
      <c r="E236" s="58">
        <v>0</v>
      </c>
      <c r="F236" s="58">
        <f>D236+E236</f>
        <v>0</v>
      </c>
      <c r="G236" s="58">
        <v>0</v>
      </c>
      <c r="H236" s="58">
        <f>F236*(($H$142)+1)+(IF(G236&lt;101,G236,IF(G236&lt;201,G236/2,IF(G236&lt;=301,G236/3,G236/4))))</f>
        <v>0</v>
      </c>
      <c r="I236" s="36"/>
    </row>
    <row r="237" spans="1:9" s="37" customFormat="1" hidden="1" x14ac:dyDescent="0.25">
      <c r="A237" s="127" t="s">
        <v>146</v>
      </c>
      <c r="B237" s="128"/>
      <c r="C237" s="128"/>
      <c r="D237" s="128"/>
      <c r="E237" s="128"/>
      <c r="F237" s="128"/>
      <c r="G237" s="128"/>
      <c r="H237" s="129"/>
      <c r="I237" s="36"/>
    </row>
    <row r="238" spans="1:9" s="37" customFormat="1" ht="15.75" hidden="1" customHeight="1" x14ac:dyDescent="0.25">
      <c r="A238" s="130"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10^ROW(INDIRECT("1:"&amp;LEN((LEFT(A237,SUM(LEN(A237)-LEN(SUBSTITUTE(A237,{"0","1","2"},""))))))))/10))*100+1&amp;""&amp;" &amp;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",LEN(A237))),LEN(A237)))))))/10))*100+1</f>
        <v>201 &amp; 501</v>
      </c>
      <c r="B238" s="131"/>
      <c r="C238" s="42"/>
      <c r="D238" s="42"/>
      <c r="E238" s="58">
        <v>0</v>
      </c>
      <c r="F238" s="58">
        <f>D238+E238</f>
        <v>0</v>
      </c>
      <c r="G238" s="58">
        <v>0</v>
      </c>
      <c r="H238" s="58">
        <f>F238*(($H$142)+1)+(IF(G238&lt;101,G238,IF(G238&lt;201,G238/2,IF(G238&lt;=301,G238/3,G238/4))))</f>
        <v>0</v>
      </c>
      <c r="I238" s="36"/>
    </row>
    <row r="239" spans="1:9" s="37" customFormat="1" ht="15.75" hidden="1" customHeight="1" x14ac:dyDescent="0.25">
      <c r="A239" s="130"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&amp;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202 &amp; 502</v>
      </c>
      <c r="B239" s="131"/>
      <c r="C239" s="42"/>
      <c r="D239" s="42"/>
      <c r="E239" s="58">
        <v>0</v>
      </c>
      <c r="F239" s="58">
        <f>D239+E239</f>
        <v>0</v>
      </c>
      <c r="G239" s="58">
        <v>0</v>
      </c>
      <c r="H239" s="58">
        <f>F239*(($H$142)+1)+(IF(G239&lt;101,G239,IF(G239&lt;201,G239/2,IF(G239&lt;=301,G239/3,G239/4))))</f>
        <v>0</v>
      </c>
      <c r="I239" s="36"/>
    </row>
    <row r="240" spans="1:9" s="37" customFormat="1" ht="15.75" hidden="1" customHeight="1" x14ac:dyDescent="0.25">
      <c r="A240" s="130"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203 &amp; 503</v>
      </c>
      <c r="B240" s="131"/>
      <c r="C240" s="42"/>
      <c r="D240" s="42"/>
      <c r="E240" s="58">
        <v>0</v>
      </c>
      <c r="F240" s="58">
        <f>D240+E240</f>
        <v>0</v>
      </c>
      <c r="G240" s="58">
        <v>0</v>
      </c>
      <c r="H240" s="58">
        <f>F240*(($H$142)+1)+(IF(G240&lt;101,G240,IF(G240&lt;201,G240/2,IF(G240&lt;=301,G240/3,G240/4))))</f>
        <v>0</v>
      </c>
      <c r="I240" s="36"/>
    </row>
    <row r="241" spans="1:20" s="37" customFormat="1" ht="15.75" hidden="1" customHeight="1" x14ac:dyDescent="0.25">
      <c r="A241" s="130"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204 &amp; 504</v>
      </c>
      <c r="B241" s="131"/>
      <c r="C241" s="42"/>
      <c r="D241" s="42"/>
      <c r="E241" s="58">
        <v>0</v>
      </c>
      <c r="F241" s="58">
        <f>D241+E241</f>
        <v>0</v>
      </c>
      <c r="G241" s="58">
        <v>0</v>
      </c>
      <c r="H241" s="58">
        <f>F241*(($H$142)+1)+(IF(G241&lt;101,G241,IF(G241&lt;201,G241/2,IF(G241&lt;=301,G241/3,G241/4))))</f>
        <v>0</v>
      </c>
      <c r="I241" s="36"/>
    </row>
    <row r="242" spans="1:20" s="37" customFormat="1" ht="15.75" hidden="1" customHeight="1" x14ac:dyDescent="0.25">
      <c r="A242" s="130"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205 &amp; 505</v>
      </c>
      <c r="B242" s="131"/>
      <c r="C242" s="42"/>
      <c r="D242" s="42"/>
      <c r="E242" s="58">
        <v>0</v>
      </c>
      <c r="F242" s="58">
        <f>D242+E242</f>
        <v>0</v>
      </c>
      <c r="G242" s="58">
        <v>0</v>
      </c>
      <c r="H242" s="58">
        <f>F242*(($H$142)+1)+(IF(G242&lt;101,G242,IF(G242&lt;201,G242/2,IF(G242&lt;=301,G242/3,G242/4))))</f>
        <v>0</v>
      </c>
      <c r="I242" s="36"/>
    </row>
    <row r="243" spans="1:20" s="35" customFormat="1" x14ac:dyDescent="0.25">
      <c r="A243" s="143" t="s">
        <v>64</v>
      </c>
      <c r="B243" s="143"/>
      <c r="C243" s="143"/>
      <c r="D243" s="143"/>
      <c r="E243" s="143"/>
      <c r="F243" s="143"/>
      <c r="G243" s="143"/>
      <c r="H243" s="143"/>
      <c r="T243" s="37"/>
    </row>
    <row r="244" spans="1:20" s="35" customFormat="1" ht="34.5" customHeight="1" x14ac:dyDescent="0.25">
      <c r="A244" s="46" t="s">
        <v>155</v>
      </c>
      <c r="B244" s="135" t="s">
        <v>434</v>
      </c>
      <c r="C244" s="136"/>
      <c r="D244" s="136"/>
      <c r="E244" s="136"/>
      <c r="F244" s="136"/>
      <c r="G244" s="136"/>
      <c r="H244" s="137"/>
      <c r="T244" s="37"/>
    </row>
    <row r="245" spans="1:20" s="35" customFormat="1" x14ac:dyDescent="0.25">
      <c r="A245" s="46" t="s">
        <v>155</v>
      </c>
      <c r="B245" s="135" t="str">
        <f>(IF(H141="Saleable area Loading :","We have considered Saleable area of Flats as per our Calculation.","We considered Saleable area of Flat as per Builder area Sheet."))</f>
        <v>We have considered Saleable area of Flats as per our Calculation.</v>
      </c>
      <c r="C245" s="136"/>
      <c r="D245" s="136"/>
      <c r="E245" s="136"/>
      <c r="F245" s="136"/>
      <c r="G245" s="136"/>
      <c r="H245" s="137"/>
      <c r="T245" s="37"/>
    </row>
    <row r="246" spans="1:20" s="35" customFormat="1" hidden="1" x14ac:dyDescent="0.25">
      <c r="A246" s="46" t="s">
        <v>155</v>
      </c>
      <c r="B246" s="138" t="str">
        <f>(IF(H133="Saleable area Loading :","We have considered Saleable area of Commercial as per our Calculation.","We considered Saleable area of Commercial as per Builder area Sheet."))</f>
        <v>We have considered Saleable area of Commercial as per our Calculation.</v>
      </c>
      <c r="C246" s="139"/>
      <c r="D246" s="139"/>
      <c r="E246" s="139"/>
      <c r="F246" s="139"/>
      <c r="G246" s="139"/>
      <c r="H246" s="140"/>
      <c r="T246" s="37"/>
    </row>
    <row r="247" spans="1:20" s="35" customFormat="1" x14ac:dyDescent="0.25">
      <c r="A247" s="46" t="s">
        <v>155</v>
      </c>
      <c r="B247" s="110" t="s">
        <v>122</v>
      </c>
      <c r="C247" s="111"/>
      <c r="D247" s="111"/>
      <c r="E247" s="111"/>
      <c r="F247" s="111"/>
      <c r="G247" s="111"/>
      <c r="H247" s="112"/>
      <c r="T247" s="37"/>
    </row>
    <row r="248" spans="1:20" s="35" customFormat="1" x14ac:dyDescent="0.25">
      <c r="A248" s="46" t="s">
        <v>155</v>
      </c>
      <c r="B248" s="135" t="s">
        <v>407</v>
      </c>
      <c r="C248" s="136"/>
      <c r="D248" s="136"/>
      <c r="E248" s="136"/>
      <c r="F248" s="136"/>
      <c r="G248" s="136"/>
      <c r="H248" s="137"/>
      <c r="T248" s="37"/>
    </row>
    <row r="249" spans="1:20" s="35" customFormat="1" x14ac:dyDescent="0.25">
      <c r="A249" s="46" t="s">
        <v>155</v>
      </c>
      <c r="B249" s="110" t="s">
        <v>154</v>
      </c>
      <c r="C249" s="111"/>
      <c r="D249" s="111"/>
      <c r="E249" s="111"/>
      <c r="F249" s="111"/>
      <c r="G249" s="111"/>
      <c r="H249" s="112"/>
    </row>
    <row r="250" spans="1:20" s="35" customFormat="1" x14ac:dyDescent="0.25">
      <c r="A250" s="46" t="s">
        <v>155</v>
      </c>
      <c r="B250" s="110" t="s">
        <v>123</v>
      </c>
      <c r="C250" s="111"/>
      <c r="D250" s="111"/>
      <c r="E250" s="111"/>
      <c r="F250" s="111"/>
      <c r="G250" s="111"/>
      <c r="H250" s="112"/>
    </row>
    <row r="251" spans="1:20" s="35" customFormat="1" ht="34.5" hidden="1" customHeight="1" x14ac:dyDescent="0.25">
      <c r="A251" s="46" t="s">
        <v>155</v>
      </c>
      <c r="B251" s="138" t="s">
        <v>156</v>
      </c>
      <c r="C251" s="139"/>
      <c r="D251" s="139"/>
      <c r="E251" s="139"/>
      <c r="F251" s="139"/>
      <c r="G251" s="139"/>
      <c r="H251" s="140"/>
    </row>
    <row r="252" spans="1:20" s="35" customFormat="1" x14ac:dyDescent="0.25">
      <c r="A252" s="46" t="s">
        <v>155</v>
      </c>
      <c r="B252" s="110" t="s">
        <v>124</v>
      </c>
      <c r="C252" s="111"/>
      <c r="D252" s="111"/>
      <c r="E252" s="111"/>
      <c r="F252" s="111"/>
      <c r="G252" s="111"/>
      <c r="H252" s="112"/>
    </row>
    <row r="253" spans="1:20" s="35" customFormat="1" ht="32.25" customHeight="1" x14ac:dyDescent="0.25">
      <c r="A253" s="55" t="s">
        <v>155</v>
      </c>
      <c r="B253" s="135" t="s">
        <v>181</v>
      </c>
      <c r="C253" s="136"/>
      <c r="D253" s="136"/>
      <c r="E253" s="136"/>
      <c r="F253" s="136"/>
      <c r="G253" s="136"/>
      <c r="H253" s="137"/>
    </row>
    <row r="254" spans="1:20" s="35" customFormat="1" ht="33" hidden="1" customHeight="1" x14ac:dyDescent="0.25">
      <c r="A254" s="59" t="s">
        <v>155</v>
      </c>
      <c r="B254" s="138" t="s">
        <v>353</v>
      </c>
      <c r="C254" s="139"/>
      <c r="D254" s="139"/>
      <c r="E254" s="139"/>
      <c r="F254" s="139"/>
      <c r="G254" s="139"/>
      <c r="H254" s="140"/>
    </row>
    <row r="255" spans="1:20" s="35" customFormat="1" hidden="1" x14ac:dyDescent="0.25">
      <c r="A255" s="92" t="s">
        <v>155</v>
      </c>
      <c r="B255" s="138" t="s">
        <v>355</v>
      </c>
      <c r="C255" s="139"/>
      <c r="D255" s="139"/>
      <c r="E255" s="139"/>
      <c r="F255" s="139"/>
      <c r="G255" s="139"/>
      <c r="H255" s="140"/>
    </row>
    <row r="256" spans="1:20" s="35" customFormat="1" hidden="1" x14ac:dyDescent="0.25">
      <c r="A256" s="92" t="s">
        <v>155</v>
      </c>
      <c r="B256" s="138" t="str">
        <f ca="1">IF(G56&gt;EDATE(E3,-48),"NO REMARK FOR CC","REMARK FOR CC")</f>
        <v>NO REMARK FOR CC</v>
      </c>
      <c r="C256" s="139"/>
      <c r="D256" s="139"/>
      <c r="E256" s="139"/>
      <c r="F256" s="139"/>
      <c r="G256" s="139"/>
      <c r="H256" s="140"/>
    </row>
    <row r="257" spans="1:20" s="35" customFormat="1" ht="81.75" hidden="1" customHeight="1" x14ac:dyDescent="0.25">
      <c r="A257" s="93" t="s">
        <v>155</v>
      </c>
      <c r="B257" s="138" t="s">
        <v>356</v>
      </c>
      <c r="C257" s="139"/>
      <c r="D257" s="139"/>
      <c r="E257" s="139"/>
      <c r="F257" s="139"/>
      <c r="G257" s="139"/>
      <c r="H257" s="140"/>
    </row>
    <row r="258" spans="1:20" s="35" customFormat="1" x14ac:dyDescent="0.25">
      <c r="A258" s="106" t="s">
        <v>155</v>
      </c>
      <c r="B258" s="110" t="s">
        <v>420</v>
      </c>
      <c r="C258" s="111"/>
      <c r="D258" s="111"/>
      <c r="E258" s="111"/>
      <c r="F258" s="111"/>
      <c r="G258" s="111"/>
      <c r="H258" s="112"/>
    </row>
    <row r="259" spans="1:20" s="35" customFormat="1" ht="30.95" customHeight="1" x14ac:dyDescent="0.25">
      <c r="A259" s="100" t="s">
        <v>155</v>
      </c>
      <c r="B259" s="110" t="s">
        <v>428</v>
      </c>
      <c r="C259" s="111"/>
      <c r="D259" s="111"/>
      <c r="E259" s="111"/>
      <c r="F259" s="111"/>
      <c r="G259" s="111"/>
      <c r="H259" s="112"/>
    </row>
    <row r="260" spans="1:20" s="35" customFormat="1" hidden="1" x14ac:dyDescent="0.25">
      <c r="A260" s="97" t="s">
        <v>155</v>
      </c>
      <c r="B260" s="122" t="s">
        <v>421</v>
      </c>
      <c r="C260" s="123"/>
      <c r="D260" s="123"/>
      <c r="E260" s="123"/>
      <c r="F260" s="123"/>
      <c r="G260" s="123"/>
      <c r="H260" s="124"/>
    </row>
    <row r="261" spans="1:20" s="35" customFormat="1" x14ac:dyDescent="0.25">
      <c r="A261" s="107" t="s">
        <v>155</v>
      </c>
      <c r="B261" s="110" t="s">
        <v>432</v>
      </c>
      <c r="C261" s="111"/>
      <c r="D261" s="111"/>
      <c r="E261" s="111"/>
      <c r="F261" s="111"/>
      <c r="G261" s="111"/>
      <c r="H261" s="112"/>
    </row>
    <row r="262" spans="1:20" x14ac:dyDescent="0.25">
      <c r="A262" s="202" t="s">
        <v>57</v>
      </c>
      <c r="B262" s="202"/>
      <c r="C262" s="202"/>
      <c r="D262" s="202"/>
      <c r="E262" s="202"/>
      <c r="F262" s="202"/>
      <c r="G262" s="202"/>
      <c r="H262" s="202"/>
      <c r="T262" s="35"/>
    </row>
    <row r="263" spans="1:20" x14ac:dyDescent="0.25">
      <c r="A263" s="154" t="s">
        <v>58</v>
      </c>
      <c r="B263" s="154"/>
      <c r="C263" s="154"/>
      <c r="D263" s="154"/>
      <c r="E263" s="154"/>
      <c r="F263" s="154"/>
      <c r="G263" s="154"/>
      <c r="H263" s="154"/>
      <c r="T263" s="35"/>
    </row>
    <row r="264" spans="1:20" ht="15.75" customHeight="1" x14ac:dyDescent="0.25">
      <c r="A264" s="203" t="s">
        <v>59</v>
      </c>
      <c r="B264" s="203"/>
      <c r="C264" s="203"/>
      <c r="D264" s="203"/>
      <c r="E264" s="203"/>
      <c r="F264" s="203"/>
      <c r="G264" s="203"/>
      <c r="H264" s="203"/>
      <c r="T264" s="35"/>
    </row>
    <row r="265" spans="1:20" x14ac:dyDescent="0.25">
      <c r="A265" s="154" t="s">
        <v>60</v>
      </c>
      <c r="B265" s="154"/>
      <c r="C265" s="154"/>
      <c r="D265" s="154"/>
      <c r="E265" s="154"/>
      <c r="F265" s="154"/>
      <c r="G265" s="154"/>
      <c r="H265" s="154"/>
      <c r="T265" s="35"/>
    </row>
    <row r="266" spans="1:20" x14ac:dyDescent="0.25">
      <c r="A266" s="154" t="s">
        <v>61</v>
      </c>
      <c r="B266" s="154"/>
      <c r="C266" s="154"/>
      <c r="D266" s="154"/>
      <c r="E266" s="154"/>
      <c r="F266" s="154"/>
      <c r="G266" s="154"/>
      <c r="H266" s="154"/>
      <c r="T266" s="35"/>
    </row>
    <row r="267" spans="1:20" x14ac:dyDescent="0.25">
      <c r="A267" s="154" t="s">
        <v>125</v>
      </c>
      <c r="B267" s="154"/>
      <c r="C267" s="154"/>
      <c r="D267" s="154"/>
      <c r="E267" s="154"/>
      <c r="F267" s="154"/>
      <c r="G267" s="154"/>
      <c r="H267" s="154"/>
      <c r="T267" s="35"/>
    </row>
    <row r="268" spans="1:20" ht="33.950000000000003" customHeight="1" x14ac:dyDescent="0.25">
      <c r="A268" s="144" t="s">
        <v>126</v>
      </c>
      <c r="B268" s="144"/>
      <c r="C268" s="144"/>
      <c r="D268" s="144"/>
      <c r="E268" s="144"/>
      <c r="F268" s="144"/>
      <c r="G268" s="144"/>
      <c r="H268" s="144"/>
    </row>
    <row r="269" spans="1:20" x14ac:dyDescent="0.25">
      <c r="A269" s="201" t="s">
        <v>73</v>
      </c>
      <c r="B269" s="201"/>
      <c r="C269" s="201" t="s">
        <v>419</v>
      </c>
      <c r="D269" s="201"/>
      <c r="E269" s="201" t="s">
        <v>103</v>
      </c>
      <c r="F269" s="201"/>
      <c r="G269" s="201" t="s">
        <v>433</v>
      </c>
      <c r="H269" s="201"/>
    </row>
    <row r="270" spans="1:20" x14ac:dyDescent="0.25">
      <c r="A270" s="200" t="s">
        <v>75</v>
      </c>
      <c r="B270" s="200"/>
      <c r="C270" s="200"/>
      <c r="D270" s="200"/>
      <c r="E270" s="200"/>
      <c r="F270" s="200"/>
      <c r="G270" s="200"/>
      <c r="H270" s="200"/>
    </row>
    <row r="271" spans="1:20" x14ac:dyDescent="0.25">
      <c r="A271" s="200"/>
      <c r="B271" s="200"/>
      <c r="C271" s="200"/>
      <c r="D271" s="200"/>
      <c r="E271" s="200"/>
      <c r="F271" s="200"/>
      <c r="G271" s="200"/>
      <c r="H271" s="200"/>
    </row>
    <row r="272" spans="1:20" x14ac:dyDescent="0.25">
      <c r="A272" s="200"/>
      <c r="B272" s="200"/>
      <c r="C272" s="200"/>
      <c r="D272" s="200"/>
      <c r="E272" s="200"/>
      <c r="F272" s="200"/>
      <c r="G272" s="200"/>
      <c r="H272" s="200"/>
    </row>
    <row r="273" spans="1:11" x14ac:dyDescent="0.25">
      <c r="A273" s="200"/>
      <c r="B273" s="200"/>
      <c r="C273" s="200"/>
      <c r="D273" s="200"/>
      <c r="E273" s="200"/>
      <c r="F273" s="200"/>
      <c r="G273" s="200"/>
      <c r="H273" s="200"/>
      <c r="K273" s="23"/>
    </row>
    <row r="274" spans="1:11" x14ac:dyDescent="0.25">
      <c r="A274" s="38" t="s">
        <v>62</v>
      </c>
      <c r="B274" s="39"/>
      <c r="C274" s="39"/>
      <c r="D274" s="38" t="str">
        <f>E9</f>
        <v>KDO CHSL</v>
      </c>
      <c r="F274" s="39"/>
      <c r="G274" s="39"/>
      <c r="H274" s="39"/>
    </row>
    <row r="275" spans="1:11" x14ac:dyDescent="0.25">
      <c r="A275" s="39"/>
      <c r="B275" s="39"/>
      <c r="C275" s="39"/>
      <c r="D275" s="39"/>
      <c r="E275" s="39"/>
      <c r="F275" s="39"/>
      <c r="G275" s="39"/>
      <c r="H275" s="39"/>
    </row>
    <row r="276" spans="1:11" x14ac:dyDescent="0.25">
      <c r="A276" s="39"/>
      <c r="B276" s="39"/>
      <c r="C276" s="39"/>
      <c r="D276" s="39"/>
      <c r="E276" s="39"/>
      <c r="F276" s="39"/>
      <c r="G276" s="39"/>
      <c r="H276" s="39"/>
    </row>
    <row r="277" spans="1:11" ht="15" customHeight="1" x14ac:dyDescent="0.25"/>
    <row r="317" spans="1:1" x14ac:dyDescent="0.25">
      <c r="A317" s="41" t="s">
        <v>427</v>
      </c>
    </row>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87" spans="1:1" x14ac:dyDescent="0.25">
      <c r="A387" s="41" t="s">
        <v>166</v>
      </c>
    </row>
    <row r="412" hidden="1" x14ac:dyDescent="0.25"/>
    <row r="413" hidden="1" x14ac:dyDescent="0.25"/>
    <row r="414" hidden="1" x14ac:dyDescent="0.25"/>
    <row r="415" hidden="1" x14ac:dyDescent="0.25"/>
    <row r="416" hidden="1" x14ac:dyDescent="0.25"/>
    <row r="417" spans="1:1" hidden="1" x14ac:dyDescent="0.25"/>
    <row r="418" spans="1:1" hidden="1" x14ac:dyDescent="0.25"/>
    <row r="419" spans="1:1" hidden="1" x14ac:dyDescent="0.25"/>
    <row r="420" spans="1:1" hidden="1" x14ac:dyDescent="0.25"/>
    <row r="421" spans="1:1" hidden="1" x14ac:dyDescent="0.25"/>
    <row r="422" spans="1:1" hidden="1" x14ac:dyDescent="0.25"/>
    <row r="423" spans="1:1" hidden="1" x14ac:dyDescent="0.25"/>
    <row r="424" spans="1:1" hidden="1" x14ac:dyDescent="0.25"/>
    <row r="425" spans="1:1" hidden="1" x14ac:dyDescent="0.25"/>
    <row r="431" spans="1:1" x14ac:dyDescent="0.25">
      <c r="A431" s="41" t="s">
        <v>63</v>
      </c>
    </row>
  </sheetData>
  <mergeCells count="442">
    <mergeCell ref="B261:H261"/>
    <mergeCell ref="C54:E54"/>
    <mergeCell ref="G54:H54"/>
    <mergeCell ref="C55:E55"/>
    <mergeCell ref="G55:H55"/>
    <mergeCell ref="B259:H259"/>
    <mergeCell ref="G83:H92"/>
    <mergeCell ref="B254:H254"/>
    <mergeCell ref="A112:E112"/>
    <mergeCell ref="A129:B129"/>
    <mergeCell ref="E129:F129"/>
    <mergeCell ref="A117:E117"/>
    <mergeCell ref="G129:H129"/>
    <mergeCell ref="C123:D123"/>
    <mergeCell ref="E123:F123"/>
    <mergeCell ref="G123:H123"/>
    <mergeCell ref="A124:B124"/>
    <mergeCell ref="C124:D124"/>
    <mergeCell ref="E124:F124"/>
    <mergeCell ref="G124:H124"/>
    <mergeCell ref="A128:B128"/>
    <mergeCell ref="C128:D128"/>
    <mergeCell ref="E128:F128"/>
    <mergeCell ref="A102:B102"/>
    <mergeCell ref="L139:M139"/>
    <mergeCell ref="L138:M138"/>
    <mergeCell ref="L137:M137"/>
    <mergeCell ref="L136:M136"/>
    <mergeCell ref="A230:B230"/>
    <mergeCell ref="A150:B150"/>
    <mergeCell ref="B251:H251"/>
    <mergeCell ref="A233:B233"/>
    <mergeCell ref="A241:B241"/>
    <mergeCell ref="L167:M167"/>
    <mergeCell ref="A172:B172"/>
    <mergeCell ref="A169:B169"/>
    <mergeCell ref="A170:B170"/>
    <mergeCell ref="A232:B232"/>
    <mergeCell ref="L150:M150"/>
    <mergeCell ref="L147:M147"/>
    <mergeCell ref="A148:B148"/>
    <mergeCell ref="L148:M148"/>
    <mergeCell ref="A149:B149"/>
    <mergeCell ref="L149:M149"/>
    <mergeCell ref="A147:B147"/>
    <mergeCell ref="A139:B139"/>
    <mergeCell ref="A138:B138"/>
    <mergeCell ref="C122:D122"/>
    <mergeCell ref="E122:F122"/>
    <mergeCell ref="B133:B134"/>
    <mergeCell ref="A133:A134"/>
    <mergeCell ref="C141:C142"/>
    <mergeCell ref="G141:G142"/>
    <mergeCell ref="G130:H130"/>
    <mergeCell ref="C59:H59"/>
    <mergeCell ref="A85:B85"/>
    <mergeCell ref="E83:F92"/>
    <mergeCell ref="A90:B90"/>
    <mergeCell ref="C127:D127"/>
    <mergeCell ref="E127:F127"/>
    <mergeCell ref="G127:H127"/>
    <mergeCell ref="A108:E108"/>
    <mergeCell ref="A93:B93"/>
    <mergeCell ref="C93:H93"/>
    <mergeCell ref="A135:H135"/>
    <mergeCell ref="E133:E134"/>
    <mergeCell ref="A97:B97"/>
    <mergeCell ref="F109:H109"/>
    <mergeCell ref="C95:H95"/>
    <mergeCell ref="A104:B104"/>
    <mergeCell ref="A105:B105"/>
    <mergeCell ref="A110:E110"/>
    <mergeCell ref="A107:E107"/>
    <mergeCell ref="F111:H111"/>
    <mergeCell ref="A111:E111"/>
    <mergeCell ref="G133:G134"/>
    <mergeCell ref="C133:C134"/>
    <mergeCell ref="A96:B96"/>
    <mergeCell ref="E96:F96"/>
    <mergeCell ref="E97:F106"/>
    <mergeCell ref="F107:H107"/>
    <mergeCell ref="F112:H112"/>
    <mergeCell ref="G96:H96"/>
    <mergeCell ref="E130:F130"/>
    <mergeCell ref="A98:B98"/>
    <mergeCell ref="A99:B99"/>
    <mergeCell ref="A120:H120"/>
    <mergeCell ref="A118:E118"/>
    <mergeCell ref="F118:H118"/>
    <mergeCell ref="A119:E119"/>
    <mergeCell ref="F119:H119"/>
    <mergeCell ref="A100:B100"/>
    <mergeCell ref="A101:B101"/>
    <mergeCell ref="A38:H38"/>
    <mergeCell ref="A37:B37"/>
    <mergeCell ref="C37:E37"/>
    <mergeCell ref="A42:D42"/>
    <mergeCell ref="E42:H42"/>
    <mergeCell ref="A41:H41"/>
    <mergeCell ref="A72:C72"/>
    <mergeCell ref="A73:C73"/>
    <mergeCell ref="D72:H72"/>
    <mergeCell ref="F37:H37"/>
    <mergeCell ref="C51:E51"/>
    <mergeCell ref="C50:E50"/>
    <mergeCell ref="G50:H50"/>
    <mergeCell ref="A51:B51"/>
    <mergeCell ref="G60:H60"/>
    <mergeCell ref="A62:B63"/>
    <mergeCell ref="C62:E62"/>
    <mergeCell ref="G62:H62"/>
    <mergeCell ref="G51:H51"/>
    <mergeCell ref="A56:B57"/>
    <mergeCell ref="A39:B39"/>
    <mergeCell ref="C39:H39"/>
    <mergeCell ref="A67:C67"/>
    <mergeCell ref="C58:E58"/>
    <mergeCell ref="A46:D46"/>
    <mergeCell ref="A47:D47"/>
    <mergeCell ref="D73:H73"/>
    <mergeCell ref="A44:D44"/>
    <mergeCell ref="E44:H44"/>
    <mergeCell ref="E45:H45"/>
    <mergeCell ref="E46:H46"/>
    <mergeCell ref="E47:H47"/>
    <mergeCell ref="C61:H61"/>
    <mergeCell ref="A48:H48"/>
    <mergeCell ref="D68:H68"/>
    <mergeCell ref="A68:C68"/>
    <mergeCell ref="A45:D45"/>
    <mergeCell ref="A49:B49"/>
    <mergeCell ref="C49:H49"/>
    <mergeCell ref="A69:C71"/>
    <mergeCell ref="D69:H69"/>
    <mergeCell ref="D70:H70"/>
    <mergeCell ref="C57:E57"/>
    <mergeCell ref="G57:H57"/>
    <mergeCell ref="G56:H56"/>
    <mergeCell ref="A65:H65"/>
    <mergeCell ref="A66:C66"/>
    <mergeCell ref="A54:B55"/>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40:B40"/>
    <mergeCell ref="C40:H40"/>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6:B126"/>
    <mergeCell ref="D141:D142"/>
    <mergeCell ref="E141:E14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31:H131"/>
    <mergeCell ref="A141:A142"/>
    <mergeCell ref="F141:F142"/>
    <mergeCell ref="A136:B136"/>
    <mergeCell ref="A130:B130"/>
    <mergeCell ref="A185:H185"/>
    <mergeCell ref="A193:B193"/>
    <mergeCell ref="D133:D134"/>
    <mergeCell ref="G128:H128"/>
    <mergeCell ref="A168:B168"/>
    <mergeCell ref="F133:F134"/>
    <mergeCell ref="A75:C75"/>
    <mergeCell ref="D75:H75"/>
    <mergeCell ref="A78:C78"/>
    <mergeCell ref="D78:H78"/>
    <mergeCell ref="A77:C77"/>
    <mergeCell ref="A82:B82"/>
    <mergeCell ref="A109:E109"/>
    <mergeCell ref="A95:B95"/>
    <mergeCell ref="A270:H273"/>
    <mergeCell ref="A269:B269"/>
    <mergeCell ref="E269:F269"/>
    <mergeCell ref="C269:D269"/>
    <mergeCell ref="G269:H269"/>
    <mergeCell ref="A265:H265"/>
    <mergeCell ref="A268:H268"/>
    <mergeCell ref="A266:H266"/>
    <mergeCell ref="A262:H262"/>
    <mergeCell ref="A267:H267"/>
    <mergeCell ref="A264:H264"/>
    <mergeCell ref="A167:H167"/>
    <mergeCell ref="A127:B127"/>
    <mergeCell ref="A228:B228"/>
    <mergeCell ref="A122:B122"/>
    <mergeCell ref="A125:H125"/>
    <mergeCell ref="A263:H263"/>
    <mergeCell ref="B256:H256"/>
    <mergeCell ref="B249:H249"/>
    <mergeCell ref="A194:B194"/>
    <mergeCell ref="I15:P15"/>
    <mergeCell ref="F117:H117"/>
    <mergeCell ref="F115:H115"/>
    <mergeCell ref="A227:B227"/>
    <mergeCell ref="A132:H132"/>
    <mergeCell ref="G121:H121"/>
    <mergeCell ref="A116:E116"/>
    <mergeCell ref="A137:B137"/>
    <mergeCell ref="A64:B64"/>
    <mergeCell ref="C64:E64"/>
    <mergeCell ref="D66:H66"/>
    <mergeCell ref="F116:H116"/>
    <mergeCell ref="E121:F121"/>
    <mergeCell ref="A121:B121"/>
    <mergeCell ref="A123:B123"/>
    <mergeCell ref="C126:D126"/>
    <mergeCell ref="A103:B103"/>
    <mergeCell ref="F108:H108"/>
    <mergeCell ref="G122:H122"/>
    <mergeCell ref="A106:B106"/>
    <mergeCell ref="D67:H67"/>
    <mergeCell ref="G64:H64"/>
    <mergeCell ref="A58:B59"/>
    <mergeCell ref="C63:E63"/>
    <mergeCell ref="G58:H58"/>
    <mergeCell ref="G97:H106"/>
    <mergeCell ref="G63:H63"/>
    <mergeCell ref="E43:H43"/>
    <mergeCell ref="A43:D43"/>
    <mergeCell ref="A88:B88"/>
    <mergeCell ref="A50:B50"/>
    <mergeCell ref="D71:H71"/>
    <mergeCell ref="C56:E56"/>
    <mergeCell ref="A60:B61"/>
    <mergeCell ref="C60:E60"/>
    <mergeCell ref="A84:B84"/>
    <mergeCell ref="E82:F82"/>
    <mergeCell ref="A89:B89"/>
    <mergeCell ref="A81:B81"/>
    <mergeCell ref="A79:B79"/>
    <mergeCell ref="C79:H79"/>
    <mergeCell ref="A74:C74"/>
    <mergeCell ref="D74:H74"/>
    <mergeCell ref="C81:H81"/>
    <mergeCell ref="A76:C76"/>
    <mergeCell ref="D77:H77"/>
    <mergeCell ref="A83:B83"/>
    <mergeCell ref="G82:H82"/>
    <mergeCell ref="A91:B91"/>
    <mergeCell ref="A92:B92"/>
    <mergeCell ref="A87:B87"/>
    <mergeCell ref="A86:B86"/>
    <mergeCell ref="A183:B183"/>
    <mergeCell ref="D76:H76"/>
    <mergeCell ref="F114:H114"/>
    <mergeCell ref="C121:D121"/>
    <mergeCell ref="C129:D129"/>
    <mergeCell ref="A146:H146"/>
    <mergeCell ref="A113:E113"/>
    <mergeCell ref="F113:H113"/>
    <mergeCell ref="A115:E115"/>
    <mergeCell ref="F110:H110"/>
    <mergeCell ref="A114:E114"/>
    <mergeCell ref="G126:H126"/>
    <mergeCell ref="A171:B171"/>
    <mergeCell ref="C130:D130"/>
    <mergeCell ref="A140:H140"/>
    <mergeCell ref="E126:F126"/>
    <mergeCell ref="L161:M161"/>
    <mergeCell ref="A162:B162"/>
    <mergeCell ref="A163:B163"/>
    <mergeCell ref="A164:B164"/>
    <mergeCell ref="A165:B165"/>
    <mergeCell ref="A166:B166"/>
    <mergeCell ref="A151:H151"/>
    <mergeCell ref="L151:M151"/>
    <mergeCell ref="A152:B152"/>
    <mergeCell ref="A153:B153"/>
    <mergeCell ref="A154:B154"/>
    <mergeCell ref="A155:B155"/>
    <mergeCell ref="A156:H156"/>
    <mergeCell ref="L156:M156"/>
    <mergeCell ref="A157:B157"/>
    <mergeCell ref="A158:B158"/>
    <mergeCell ref="A159:B159"/>
    <mergeCell ref="A160:B160"/>
    <mergeCell ref="A161:H161"/>
    <mergeCell ref="L191:M191"/>
    <mergeCell ref="A192:B192"/>
    <mergeCell ref="L173:M173"/>
    <mergeCell ref="A174:B174"/>
    <mergeCell ref="A175:B175"/>
    <mergeCell ref="A176:B176"/>
    <mergeCell ref="A177:B177"/>
    <mergeCell ref="A178:B178"/>
    <mergeCell ref="A179:H179"/>
    <mergeCell ref="L179:M179"/>
    <mergeCell ref="A180:B180"/>
    <mergeCell ref="A173:H173"/>
    <mergeCell ref="A182:B182"/>
    <mergeCell ref="L185:M185"/>
    <mergeCell ref="A186:B186"/>
    <mergeCell ref="A187:B187"/>
    <mergeCell ref="A188:B188"/>
    <mergeCell ref="A189:B189"/>
    <mergeCell ref="A184:B184"/>
    <mergeCell ref="A190:B190"/>
    <mergeCell ref="A191:H191"/>
    <mergeCell ref="B257:H257"/>
    <mergeCell ref="B244:H244"/>
    <mergeCell ref="B245:H245"/>
    <mergeCell ref="B247:H247"/>
    <mergeCell ref="B252:H252"/>
    <mergeCell ref="B250:H250"/>
    <mergeCell ref="A221:H221"/>
    <mergeCell ref="L221:M221"/>
    <mergeCell ref="A222:B222"/>
    <mergeCell ref="A223:B223"/>
    <mergeCell ref="A224:B224"/>
    <mergeCell ref="C223:H223"/>
    <mergeCell ref="B255:H255"/>
    <mergeCell ref="A234:B234"/>
    <mergeCell ref="A243:H243"/>
    <mergeCell ref="A235:B235"/>
    <mergeCell ref="A236:B236"/>
    <mergeCell ref="A231:H231"/>
    <mergeCell ref="A225:H225"/>
    <mergeCell ref="A240:B240"/>
    <mergeCell ref="A237:H237"/>
    <mergeCell ref="B248:H248"/>
    <mergeCell ref="A238:B238"/>
    <mergeCell ref="A239:B239"/>
    <mergeCell ref="L215:M215"/>
    <mergeCell ref="A216:B216"/>
    <mergeCell ref="A217:B217"/>
    <mergeCell ref="A218:B218"/>
    <mergeCell ref="A219:B219"/>
    <mergeCell ref="A220:B220"/>
    <mergeCell ref="A226:B226"/>
    <mergeCell ref="B253:H253"/>
    <mergeCell ref="L203:M203"/>
    <mergeCell ref="A204:B204"/>
    <mergeCell ref="A205:B205"/>
    <mergeCell ref="A206:B206"/>
    <mergeCell ref="A207:B207"/>
    <mergeCell ref="A208:B208"/>
    <mergeCell ref="A209:H209"/>
    <mergeCell ref="A210:B210"/>
    <mergeCell ref="A211:B211"/>
    <mergeCell ref="A203:H203"/>
    <mergeCell ref="A242:B242"/>
    <mergeCell ref="A229:B229"/>
    <mergeCell ref="B246:H246"/>
    <mergeCell ref="B258:H258"/>
    <mergeCell ref="A52:B53"/>
    <mergeCell ref="C52:E52"/>
    <mergeCell ref="G52:H52"/>
    <mergeCell ref="C53:E53"/>
    <mergeCell ref="G53:H53"/>
    <mergeCell ref="B260:H260"/>
    <mergeCell ref="A213:B213"/>
    <mergeCell ref="A214:B214"/>
    <mergeCell ref="A215:H215"/>
    <mergeCell ref="A212:B212"/>
    <mergeCell ref="A195:B195"/>
    <mergeCell ref="A196:B196"/>
    <mergeCell ref="A197:H197"/>
    <mergeCell ref="A198:B198"/>
    <mergeCell ref="A199:B199"/>
    <mergeCell ref="A200:B200"/>
    <mergeCell ref="A201:B201"/>
    <mergeCell ref="A202:B202"/>
    <mergeCell ref="A143:H143"/>
    <mergeCell ref="A145:H145"/>
    <mergeCell ref="A144:H144"/>
    <mergeCell ref="B141:B142"/>
    <mergeCell ref="A181:B181"/>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3:E134">
      <formula1>"Attached Loft area,Attached Otla area,Attached Mezzanine area"</formula1>
    </dataValidation>
    <dataValidation type="list" allowBlank="1" showInputMessage="1" showErrorMessage="1" sqref="G269:H269">
      <formula1>"Kunal Kadam,Pranita Mhatre,Shruti Fule,Pooja Kawale,Gaurav Panchal,Shruti Tathare, Hitakshi Mhatre, Sachin Sawant"</formula1>
    </dataValidation>
    <dataValidation type="list" allowBlank="1" showInputMessage="1" showErrorMessage="1" sqref="F107:H107">
      <formula1>"On Saleable Area,On Builtup Area,On Carpet Area,On Plot Area"</formula1>
    </dataValidation>
    <dataValidation type="list" allowBlank="1" showInputMessage="1" showErrorMessage="1" sqref="F118:H118">
      <formula1>OFFSET($S$107,1,MATCH($G20,$S$107:$W$107,0)-1,15,1)</formula1>
    </dataValidation>
    <dataValidation type="list" allowBlank="1" showInputMessage="1" showErrorMessage="1" sqref="B133:B134">
      <formula1>"Shop No. (Sale Plan),Sale / Rehab,Sale / Mhada"</formula1>
    </dataValidation>
    <dataValidation type="list" allowBlank="1" showInputMessage="1" showErrorMessage="1" sqref="B141:B14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1:E142">
      <formula1>"Fungible area,Balcony Area,Chajja Area,Cornice Area,AP Area,WS Area"</formula1>
    </dataValidation>
    <dataValidation type="list" allowBlank="1" showInputMessage="1" showErrorMessage="1" sqref="H134 H14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33 H141">
      <formula1>"Saleable area Loading :,Builder Saleable Area"</formula1>
    </dataValidation>
    <dataValidation type="list" allowBlank="1" showInputMessage="1" showErrorMessage="1" sqref="D133:D134 D141:D14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55" max="16383" man="1"/>
    <brk id="273" max="16383" man="1"/>
    <brk id="316" max="7" man="1"/>
    <brk id="359" max="7" man="1"/>
    <brk id="386" max="16383" man="1"/>
    <brk id="43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11</v>
      </c>
      <c r="D4" s="57" t="s">
        <v>182</v>
      </c>
      <c r="E4" s="57" t="s">
        <v>192</v>
      </c>
      <c r="F4" s="57" t="s">
        <v>176</v>
      </c>
      <c r="G4" s="57" t="s">
        <v>197</v>
      </c>
      <c r="H4" s="57" t="s">
        <v>215</v>
      </c>
      <c r="J4" t="s">
        <v>197</v>
      </c>
      <c r="K4" t="s">
        <v>213</v>
      </c>
    </row>
    <row r="5" spans="2:11" x14ac:dyDescent="0.25">
      <c r="B5" s="56"/>
      <c r="C5" s="56"/>
      <c r="D5" s="57" t="s">
        <v>183</v>
      </c>
      <c r="E5" s="57" t="s">
        <v>190</v>
      </c>
      <c r="F5" s="57" t="s">
        <v>212</v>
      </c>
      <c r="G5" s="57" t="s">
        <v>198</v>
      </c>
      <c r="H5" s="57" t="s">
        <v>216</v>
      </c>
    </row>
    <row r="6" spans="2:11" x14ac:dyDescent="0.25">
      <c r="B6" s="56"/>
      <c r="C6" s="56"/>
      <c r="D6" s="57" t="s">
        <v>184</v>
      </c>
      <c r="E6" s="57" t="s">
        <v>191</v>
      </c>
      <c r="F6" s="57" t="s">
        <v>213</v>
      </c>
      <c r="G6" s="57" t="s">
        <v>199</v>
      </c>
      <c r="H6" s="57" t="s">
        <v>229</v>
      </c>
    </row>
    <row r="7" spans="2:11" x14ac:dyDescent="0.25">
      <c r="B7" s="56"/>
      <c r="C7" s="56"/>
      <c r="D7" s="57" t="s">
        <v>185</v>
      </c>
      <c r="E7" s="57" t="s">
        <v>193</v>
      </c>
      <c r="F7" s="57" t="s">
        <v>214</v>
      </c>
      <c r="G7" s="57" t="s">
        <v>200</v>
      </c>
      <c r="H7" s="57" t="s">
        <v>217</v>
      </c>
    </row>
    <row r="8" spans="2:11" x14ac:dyDescent="0.25">
      <c r="B8" s="56"/>
      <c r="C8" s="56"/>
      <c r="D8" s="57" t="s">
        <v>186</v>
      </c>
      <c r="E8" s="57" t="s">
        <v>194</v>
      </c>
      <c r="F8" s="57"/>
      <c r="G8" s="57" t="s">
        <v>201</v>
      </c>
      <c r="H8" s="57" t="s">
        <v>218</v>
      </c>
    </row>
    <row r="9" spans="2:11" x14ac:dyDescent="0.25">
      <c r="B9" s="56"/>
      <c r="C9" s="56"/>
      <c r="D9" s="57" t="s">
        <v>187</v>
      </c>
      <c r="E9" s="57" t="s">
        <v>192</v>
      </c>
      <c r="F9" s="57"/>
      <c r="G9" s="57" t="s">
        <v>202</v>
      </c>
      <c r="H9" s="57" t="s">
        <v>219</v>
      </c>
    </row>
    <row r="10" spans="2:11" x14ac:dyDescent="0.25">
      <c r="B10" s="56"/>
      <c r="C10" s="56"/>
      <c r="D10" s="57" t="s">
        <v>188</v>
      </c>
      <c r="E10" s="57" t="s">
        <v>195</v>
      </c>
      <c r="F10" s="57"/>
      <c r="G10" s="57" t="s">
        <v>203</v>
      </c>
      <c r="H10" s="57" t="s">
        <v>220</v>
      </c>
    </row>
    <row r="11" spans="2:11" x14ac:dyDescent="0.25">
      <c r="B11" s="56"/>
      <c r="C11" s="56"/>
      <c r="D11" s="57" t="s">
        <v>189</v>
      </c>
      <c r="E11" s="57" t="s">
        <v>196</v>
      </c>
      <c r="F11" s="57"/>
      <c r="G11" s="57" t="s">
        <v>204</v>
      </c>
      <c r="H11" s="57" t="s">
        <v>221</v>
      </c>
    </row>
    <row r="12" spans="2:11" x14ac:dyDescent="0.25">
      <c r="B12" s="56"/>
      <c r="C12" s="56"/>
      <c r="D12" s="57"/>
      <c r="E12" s="57"/>
      <c r="F12" s="57"/>
      <c r="G12" s="57" t="s">
        <v>205</v>
      </c>
      <c r="H12" s="57" t="s">
        <v>222</v>
      </c>
    </row>
    <row r="13" spans="2:11" x14ac:dyDescent="0.25">
      <c r="B13" s="56"/>
      <c r="C13" s="56"/>
      <c r="D13" s="57"/>
      <c r="E13" s="57"/>
      <c r="F13" s="57"/>
      <c r="G13" s="57" t="s">
        <v>206</v>
      </c>
      <c r="H13" s="57" t="s">
        <v>223</v>
      </c>
    </row>
    <row r="14" spans="2:11" x14ac:dyDescent="0.25">
      <c r="B14" s="56"/>
      <c r="C14" s="56"/>
      <c r="D14" s="57"/>
      <c r="E14" s="57"/>
      <c r="F14" s="57"/>
      <c r="G14" s="57" t="s">
        <v>207</v>
      </c>
      <c r="H14" s="57" t="s">
        <v>224</v>
      </c>
    </row>
    <row r="15" spans="2:11" x14ac:dyDescent="0.25">
      <c r="B15" s="56"/>
      <c r="C15" s="56"/>
      <c r="D15" s="57"/>
      <c r="E15" s="57"/>
      <c r="F15" s="57"/>
      <c r="G15" s="57" t="s">
        <v>208</v>
      </c>
      <c r="H15" s="57" t="s">
        <v>225</v>
      </c>
    </row>
    <row r="16" spans="2:11" x14ac:dyDescent="0.25">
      <c r="B16" s="56"/>
      <c r="C16" s="56"/>
      <c r="D16" s="57"/>
      <c r="E16" s="57"/>
      <c r="F16" s="57"/>
      <c r="G16" s="57" t="s">
        <v>209</v>
      </c>
      <c r="H16" s="57" t="s">
        <v>226</v>
      </c>
    </row>
    <row r="17" spans="2:8" x14ac:dyDescent="0.25">
      <c r="B17" s="56"/>
      <c r="C17" s="56"/>
      <c r="D17" s="57"/>
      <c r="E17" s="57"/>
      <c r="F17" s="57"/>
      <c r="G17" s="57" t="s">
        <v>210</v>
      </c>
      <c r="H17" s="57" t="s">
        <v>227</v>
      </c>
    </row>
    <row r="18" spans="2:8" x14ac:dyDescent="0.25">
      <c r="B18" s="56"/>
      <c r="C18" s="56"/>
      <c r="D18" s="57"/>
      <c r="E18" s="57"/>
      <c r="F18" s="57"/>
      <c r="G18" s="57" t="s">
        <v>211</v>
      </c>
      <c r="H18" s="57" t="s">
        <v>228</v>
      </c>
    </row>
    <row r="24" spans="2:8" x14ac:dyDescent="0.25">
      <c r="C24" t="s">
        <v>173</v>
      </c>
    </row>
    <row r="25" spans="2:8" x14ac:dyDescent="0.25">
      <c r="C25" t="s">
        <v>230</v>
      </c>
    </row>
    <row r="26" spans="2:8" x14ac:dyDescent="0.25">
      <c r="C26" t="s">
        <v>231</v>
      </c>
    </row>
    <row r="27" spans="2:8" x14ac:dyDescent="0.25">
      <c r="C27" t="s">
        <v>232</v>
      </c>
    </row>
    <row r="28" spans="2:8" x14ac:dyDescent="0.25">
      <c r="C28" t="s">
        <v>233</v>
      </c>
    </row>
    <row r="29" spans="2:8" x14ac:dyDescent="0.25">
      <c r="C29" t="s">
        <v>234</v>
      </c>
    </row>
    <row r="30" spans="2:8" x14ac:dyDescent="0.25">
      <c r="C30" t="s">
        <v>173</v>
      </c>
    </row>
    <row r="33" spans="3:11" x14ac:dyDescent="0.25">
      <c r="J33">
        <v>1</v>
      </c>
      <c r="K33">
        <v>2</v>
      </c>
    </row>
    <row r="34" spans="3:11" x14ac:dyDescent="0.25">
      <c r="C34" s="61" t="s">
        <v>240</v>
      </c>
      <c r="D34" s="57" t="s">
        <v>238</v>
      </c>
      <c r="E34" s="57" t="s">
        <v>243</v>
      </c>
      <c r="F34" s="57" t="s">
        <v>241</v>
      </c>
      <c r="G34" s="57" t="s">
        <v>242</v>
      </c>
      <c r="H34" s="57" t="s">
        <v>244</v>
      </c>
      <c r="J34" t="s">
        <v>197</v>
      </c>
      <c r="K34" t="s">
        <v>213</v>
      </c>
    </row>
    <row r="35" spans="3:11" x14ac:dyDescent="0.25">
      <c r="C35" s="56" t="s">
        <v>239</v>
      </c>
      <c r="D35" s="57" t="s">
        <v>174</v>
      </c>
      <c r="E35" s="57" t="s">
        <v>248</v>
      </c>
      <c r="F35" s="57" t="s">
        <v>250</v>
      </c>
      <c r="G35" s="57" t="s">
        <v>252</v>
      </c>
      <c r="H35" s="57"/>
    </row>
    <row r="36" spans="3:11" x14ac:dyDescent="0.25">
      <c r="C36" s="56"/>
      <c r="D36" s="57" t="s">
        <v>245</v>
      </c>
      <c r="E36" s="57" t="s">
        <v>249</v>
      </c>
      <c r="F36" s="57" t="s">
        <v>251</v>
      </c>
      <c r="G36" s="57" t="s">
        <v>253</v>
      </c>
      <c r="H36" s="57"/>
    </row>
    <row r="37" spans="3:11" x14ac:dyDescent="0.25">
      <c r="C37" s="56"/>
      <c r="D37" s="57" t="s">
        <v>246</v>
      </c>
      <c r="E37" s="57"/>
      <c r="F37" s="57"/>
      <c r="G37" s="57" t="s">
        <v>254</v>
      </c>
      <c r="H37" s="57"/>
    </row>
    <row r="38" spans="3:11" x14ac:dyDescent="0.25">
      <c r="C38" s="56"/>
      <c r="D38" s="57" t="s">
        <v>247</v>
      </c>
      <c r="E38" s="57"/>
      <c r="F38" s="57"/>
      <c r="G38" s="57" t="s">
        <v>254</v>
      </c>
      <c r="H38" s="57"/>
    </row>
    <row r="39" spans="3:11" x14ac:dyDescent="0.25">
      <c r="C39" s="56"/>
      <c r="D39" s="57"/>
      <c r="E39" s="57"/>
      <c r="F39" s="57"/>
      <c r="G39" s="57" t="s">
        <v>255</v>
      </c>
      <c r="H39" s="57"/>
    </row>
    <row r="40" spans="3:11" x14ac:dyDescent="0.25">
      <c r="C40" s="56"/>
      <c r="D40" s="57"/>
      <c r="E40" s="57"/>
      <c r="F40" s="57"/>
      <c r="G40" s="57" t="s">
        <v>256</v>
      </c>
      <c r="H40" s="57"/>
    </row>
    <row r="41" spans="3:11" x14ac:dyDescent="0.25">
      <c r="C41" s="56"/>
      <c r="D41" s="57"/>
      <c r="E41" s="57"/>
      <c r="F41" s="57"/>
      <c r="G41" s="57"/>
      <c r="H41" s="57"/>
    </row>
    <row r="43" spans="3:11" x14ac:dyDescent="0.25">
      <c r="C43" t="s">
        <v>257</v>
      </c>
    </row>
    <row r="44" spans="3:11" x14ac:dyDescent="0.25">
      <c r="C44" t="s">
        <v>176</v>
      </c>
      <c r="D44" t="s">
        <v>258</v>
      </c>
    </row>
    <row r="45" spans="3:11" x14ac:dyDescent="0.25">
      <c r="D45" t="s">
        <v>259</v>
      </c>
    </row>
    <row r="46" spans="3:11" x14ac:dyDescent="0.25">
      <c r="D46" t="s">
        <v>260</v>
      </c>
    </row>
    <row r="47" spans="3:11" x14ac:dyDescent="0.25">
      <c r="D47" t="s">
        <v>261</v>
      </c>
    </row>
    <row r="48" spans="3:11" x14ac:dyDescent="0.25">
      <c r="D48" t="s">
        <v>262</v>
      </c>
    </row>
    <row r="49" spans="3:4" x14ac:dyDescent="0.25">
      <c r="C49" t="s">
        <v>182</v>
      </c>
      <c r="D49" t="s">
        <v>263</v>
      </c>
    </row>
    <row r="50" spans="3:4" x14ac:dyDescent="0.25">
      <c r="D50" t="s">
        <v>264</v>
      </c>
    </row>
    <row r="51" spans="3:4" x14ac:dyDescent="0.25">
      <c r="D51" t="s">
        <v>265</v>
      </c>
    </row>
    <row r="52" spans="3:4" x14ac:dyDescent="0.25">
      <c r="D52" t="s">
        <v>268</v>
      </c>
    </row>
    <row r="53" spans="3:4" x14ac:dyDescent="0.25">
      <c r="D53" t="s">
        <v>266</v>
      </c>
    </row>
    <row r="54" spans="3:4" x14ac:dyDescent="0.25">
      <c r="D54" t="s">
        <v>267</v>
      </c>
    </row>
    <row r="55" spans="3:4" x14ac:dyDescent="0.25">
      <c r="D55" t="s">
        <v>269</v>
      </c>
    </row>
    <row r="56" spans="3:4" x14ac:dyDescent="0.25">
      <c r="D56" t="s">
        <v>270</v>
      </c>
    </row>
    <row r="57" spans="3:4" x14ac:dyDescent="0.25">
      <c r="D57" t="s">
        <v>271</v>
      </c>
    </row>
    <row r="58" spans="3:4" x14ac:dyDescent="0.25">
      <c r="D58" t="s">
        <v>273</v>
      </c>
    </row>
    <row r="59" spans="3:4" x14ac:dyDescent="0.25">
      <c r="D59" t="s">
        <v>282</v>
      </c>
    </row>
    <row r="60" spans="3:4" x14ac:dyDescent="0.25">
      <c r="C60" t="s">
        <v>197</v>
      </c>
      <c r="D60" t="s">
        <v>274</v>
      </c>
    </row>
    <row r="61" spans="3:4" x14ac:dyDescent="0.25">
      <c r="D61" t="s">
        <v>272</v>
      </c>
    </row>
    <row r="62" spans="3:4" x14ac:dyDescent="0.25">
      <c r="D62" t="s">
        <v>262</v>
      </c>
    </row>
    <row r="63" spans="3:4" x14ac:dyDescent="0.25">
      <c r="D63" t="s">
        <v>275</v>
      </c>
    </row>
    <row r="64" spans="3:4" x14ac:dyDescent="0.25">
      <c r="D64" t="s">
        <v>276</v>
      </c>
    </row>
    <row r="65" spans="3:4" x14ac:dyDescent="0.25">
      <c r="D65" t="s">
        <v>277</v>
      </c>
    </row>
    <row r="66" spans="3:4" x14ac:dyDescent="0.25">
      <c r="D66" t="s">
        <v>278</v>
      </c>
    </row>
    <row r="67" spans="3:4" x14ac:dyDescent="0.25">
      <c r="C67" t="s">
        <v>192</v>
      </c>
      <c r="D67" t="s">
        <v>279</v>
      </c>
    </row>
    <row r="68" spans="3:4" x14ac:dyDescent="0.25">
      <c r="D68" t="s">
        <v>280</v>
      </c>
    </row>
    <row r="69" spans="3:4" x14ac:dyDescent="0.25">
      <c r="D69" t="s">
        <v>281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C33" sqref="C3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4" t="s">
        <v>104</v>
      </c>
      <c r="C3" s="274"/>
      <c r="D3" s="274"/>
      <c r="E3" s="274"/>
      <c r="F3" s="274"/>
      <c r="G3" s="274"/>
      <c r="H3" s="274"/>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6"/>
    <col min="2" max="2" width="12.28515625" style="56" customWidth="1"/>
    <col min="3" max="16384" width="9.140625" style="56"/>
  </cols>
  <sheetData>
    <row r="2" spans="1:12" x14ac:dyDescent="0.25">
      <c r="B2" s="76" t="s">
        <v>306</v>
      </c>
      <c r="C2" s="275"/>
      <c r="D2" s="275"/>
    </row>
    <row r="3" spans="1:12" x14ac:dyDescent="0.25">
      <c r="D3" s="77"/>
      <c r="E3" s="77"/>
      <c r="F3" s="77"/>
      <c r="G3" s="77"/>
      <c r="H3" s="77"/>
      <c r="I3" s="77"/>
    </row>
    <row r="4" spans="1:12" x14ac:dyDescent="0.25">
      <c r="A4" s="76" t="s">
        <v>65</v>
      </c>
      <c r="B4" s="78" t="s">
        <v>307</v>
      </c>
      <c r="C4" s="276" t="s">
        <v>308</v>
      </c>
      <c r="D4" s="276"/>
      <c r="E4" s="276"/>
      <c r="F4" s="78"/>
      <c r="G4" s="277" t="s">
        <v>309</v>
      </c>
      <c r="H4" s="277"/>
      <c r="I4" s="277"/>
      <c r="J4" s="278" t="s">
        <v>310</v>
      </c>
      <c r="K4" s="278"/>
      <c r="L4" s="278"/>
    </row>
    <row r="5" spans="1:12" x14ac:dyDescent="0.25">
      <c r="A5" s="76"/>
      <c r="B5" s="78"/>
      <c r="C5" s="78" t="s">
        <v>311</v>
      </c>
      <c r="D5" s="78" t="s">
        <v>312</v>
      </c>
      <c r="E5" s="78" t="s">
        <v>313</v>
      </c>
      <c r="F5" s="78"/>
      <c r="G5" s="78" t="s">
        <v>311</v>
      </c>
      <c r="H5" s="78" t="s">
        <v>312</v>
      </c>
      <c r="I5" s="78" t="s">
        <v>313</v>
      </c>
      <c r="J5" s="78" t="s">
        <v>311</v>
      </c>
      <c r="K5" s="78" t="s">
        <v>312</v>
      </c>
      <c r="L5" s="78" t="s">
        <v>313</v>
      </c>
    </row>
    <row r="6" spans="1:12" x14ac:dyDescent="0.25">
      <c r="B6" s="57" t="s">
        <v>314</v>
      </c>
      <c r="C6" s="57"/>
      <c r="D6" s="57"/>
      <c r="E6" s="57">
        <f>C6*D6</f>
        <v>0</v>
      </c>
      <c r="F6" s="57" t="s">
        <v>331</v>
      </c>
      <c r="G6" s="57"/>
      <c r="H6" s="57"/>
      <c r="I6" s="57">
        <f>G6*H6</f>
        <v>0</v>
      </c>
      <c r="J6" s="57"/>
      <c r="K6" s="57"/>
      <c r="L6" s="57">
        <f>J6*K6</f>
        <v>0</v>
      </c>
    </row>
    <row r="7" spans="1:12" x14ac:dyDescent="0.25">
      <c r="B7" s="57"/>
      <c r="C7" s="57"/>
      <c r="D7" s="57"/>
      <c r="E7" s="57">
        <f t="shared" ref="E7:E41" si="0">C7*D7</f>
        <v>0</v>
      </c>
      <c r="F7" s="57" t="s">
        <v>331</v>
      </c>
      <c r="G7" s="57"/>
      <c r="H7" s="57"/>
      <c r="I7" s="57">
        <f t="shared" ref="I7:I35" si="1">G7*H7</f>
        <v>0</v>
      </c>
      <c r="J7" s="57"/>
      <c r="K7" s="57"/>
      <c r="L7" s="57">
        <f t="shared" ref="L7:L35" si="2">J7*K7</f>
        <v>0</v>
      </c>
    </row>
    <row r="8" spans="1:12" x14ac:dyDescent="0.25">
      <c r="B8" s="57"/>
      <c r="C8" s="57"/>
      <c r="D8" s="57"/>
      <c r="E8" s="57">
        <f t="shared" si="0"/>
        <v>0</v>
      </c>
      <c r="F8" s="57"/>
      <c r="G8" s="57"/>
      <c r="H8" s="57"/>
      <c r="I8" s="57">
        <f t="shared" si="1"/>
        <v>0</v>
      </c>
      <c r="J8" s="57"/>
      <c r="K8" s="57"/>
      <c r="L8" s="57">
        <f t="shared" si="2"/>
        <v>0</v>
      </c>
    </row>
    <row r="9" spans="1:12" x14ac:dyDescent="0.25">
      <c r="B9" s="57"/>
      <c r="C9" s="57"/>
      <c r="D9" s="57"/>
      <c r="E9" s="57">
        <f t="shared" si="0"/>
        <v>0</v>
      </c>
      <c r="F9" s="57" t="s">
        <v>315</v>
      </c>
      <c r="G9" s="57"/>
      <c r="H9" s="57"/>
      <c r="I9" s="57">
        <f t="shared" si="1"/>
        <v>0</v>
      </c>
      <c r="J9" s="57"/>
      <c r="K9" s="57"/>
      <c r="L9" s="57">
        <f t="shared" si="2"/>
        <v>0</v>
      </c>
    </row>
    <row r="10" spans="1:12" x14ac:dyDescent="0.25">
      <c r="B10" s="57" t="s">
        <v>316</v>
      </c>
      <c r="C10" s="57"/>
      <c r="D10" s="57"/>
      <c r="E10" s="57">
        <f t="shared" si="0"/>
        <v>0</v>
      </c>
      <c r="F10" s="57" t="s">
        <v>315</v>
      </c>
      <c r="G10" s="57"/>
      <c r="H10" s="57"/>
      <c r="I10" s="57">
        <f t="shared" si="1"/>
        <v>0</v>
      </c>
      <c r="J10" s="57"/>
      <c r="K10" s="57"/>
      <c r="L10" s="57">
        <f t="shared" si="2"/>
        <v>0</v>
      </c>
    </row>
    <row r="11" spans="1:12" x14ac:dyDescent="0.25">
      <c r="B11" s="57"/>
      <c r="C11" s="57"/>
      <c r="D11" s="57"/>
      <c r="E11" s="57">
        <f t="shared" si="0"/>
        <v>0</v>
      </c>
      <c r="F11" s="57" t="s">
        <v>317</v>
      </c>
      <c r="G11" s="57"/>
      <c r="H11" s="57"/>
      <c r="I11" s="57">
        <f t="shared" si="1"/>
        <v>0</v>
      </c>
      <c r="J11" s="57"/>
      <c r="K11" s="57"/>
      <c r="L11" s="57">
        <f t="shared" si="2"/>
        <v>0</v>
      </c>
    </row>
    <row r="12" spans="1:12" x14ac:dyDescent="0.25">
      <c r="B12" s="57"/>
      <c r="C12" s="57"/>
      <c r="D12" s="57"/>
      <c r="E12" s="57">
        <f t="shared" si="0"/>
        <v>0</v>
      </c>
      <c r="F12" s="57"/>
      <c r="G12" s="57"/>
      <c r="H12" s="57"/>
      <c r="I12" s="57">
        <f t="shared" si="1"/>
        <v>0</v>
      </c>
      <c r="J12" s="57"/>
      <c r="K12" s="57"/>
      <c r="L12" s="57">
        <f t="shared" si="2"/>
        <v>0</v>
      </c>
    </row>
    <row r="13" spans="1:12" x14ac:dyDescent="0.25">
      <c r="B13" s="57"/>
      <c r="C13" s="57"/>
      <c r="D13" s="57"/>
      <c r="E13" s="57">
        <f t="shared" si="0"/>
        <v>0</v>
      </c>
      <c r="F13" s="57"/>
      <c r="G13" s="57"/>
      <c r="H13" s="57"/>
      <c r="I13" s="57">
        <f t="shared" si="1"/>
        <v>0</v>
      </c>
      <c r="J13" s="57"/>
      <c r="K13" s="57"/>
      <c r="L13" s="57">
        <f t="shared" si="2"/>
        <v>0</v>
      </c>
    </row>
    <row r="14" spans="1:12" x14ac:dyDescent="0.25">
      <c r="B14" s="57" t="s">
        <v>318</v>
      </c>
      <c r="C14" s="57"/>
      <c r="D14" s="57"/>
      <c r="E14" s="57">
        <f t="shared" si="0"/>
        <v>0</v>
      </c>
      <c r="F14" s="57" t="s">
        <v>315</v>
      </c>
      <c r="G14" s="57"/>
      <c r="H14" s="57"/>
      <c r="I14" s="57">
        <f t="shared" si="1"/>
        <v>0</v>
      </c>
      <c r="J14" s="57"/>
      <c r="K14" s="57"/>
      <c r="L14" s="57">
        <f t="shared" si="2"/>
        <v>0</v>
      </c>
    </row>
    <row r="15" spans="1:12" x14ac:dyDescent="0.25">
      <c r="B15" s="57"/>
      <c r="C15" s="57"/>
      <c r="D15" s="57"/>
      <c r="E15" s="57">
        <f t="shared" si="0"/>
        <v>0</v>
      </c>
      <c r="F15" s="57" t="s">
        <v>317</v>
      </c>
      <c r="G15" s="57"/>
      <c r="H15" s="57"/>
      <c r="I15" s="57">
        <f t="shared" si="1"/>
        <v>0</v>
      </c>
      <c r="J15" s="57"/>
      <c r="K15" s="57"/>
      <c r="L15" s="57">
        <f t="shared" si="2"/>
        <v>0</v>
      </c>
    </row>
    <row r="16" spans="1:12" x14ac:dyDescent="0.25">
      <c r="B16" s="57"/>
      <c r="C16" s="57"/>
      <c r="D16" s="57"/>
      <c r="E16" s="57">
        <f t="shared" si="0"/>
        <v>0</v>
      </c>
      <c r="F16" s="57"/>
      <c r="G16" s="57"/>
      <c r="H16" s="57"/>
      <c r="I16" s="57">
        <f t="shared" si="1"/>
        <v>0</v>
      </c>
      <c r="J16" s="57"/>
      <c r="K16" s="57"/>
      <c r="L16" s="57">
        <f t="shared" si="2"/>
        <v>0</v>
      </c>
    </row>
    <row r="17" spans="2:12" x14ac:dyDescent="0.25">
      <c r="B17" s="57"/>
      <c r="C17" s="57"/>
      <c r="D17" s="57"/>
      <c r="E17" s="57">
        <f t="shared" si="0"/>
        <v>0</v>
      </c>
      <c r="F17" s="57"/>
      <c r="G17" s="57"/>
      <c r="H17" s="57"/>
      <c r="I17" s="57">
        <f t="shared" si="1"/>
        <v>0</v>
      </c>
      <c r="J17" s="57"/>
      <c r="K17" s="57"/>
      <c r="L17" s="57">
        <f t="shared" si="2"/>
        <v>0</v>
      </c>
    </row>
    <row r="18" spans="2:12" x14ac:dyDescent="0.25">
      <c r="B18" s="57" t="s">
        <v>319</v>
      </c>
      <c r="C18" s="57"/>
      <c r="D18" s="57"/>
      <c r="E18" s="57">
        <f t="shared" si="0"/>
        <v>0</v>
      </c>
      <c r="F18" s="57" t="s">
        <v>315</v>
      </c>
      <c r="G18" s="57"/>
      <c r="H18" s="57"/>
      <c r="I18" s="57">
        <f t="shared" si="1"/>
        <v>0</v>
      </c>
      <c r="J18" s="57"/>
      <c r="K18" s="57"/>
      <c r="L18" s="57">
        <f t="shared" si="2"/>
        <v>0</v>
      </c>
    </row>
    <row r="19" spans="2:12" x14ac:dyDescent="0.25">
      <c r="B19" s="57"/>
      <c r="C19" s="57"/>
      <c r="D19" s="57"/>
      <c r="E19" s="57">
        <f t="shared" si="0"/>
        <v>0</v>
      </c>
      <c r="F19" s="57" t="s">
        <v>317</v>
      </c>
      <c r="G19" s="57"/>
      <c r="H19" s="57"/>
      <c r="I19" s="57">
        <f t="shared" si="1"/>
        <v>0</v>
      </c>
      <c r="J19" s="57"/>
      <c r="K19" s="57"/>
      <c r="L19" s="57">
        <f t="shared" si="2"/>
        <v>0</v>
      </c>
    </row>
    <row r="20" spans="2:12" x14ac:dyDescent="0.25">
      <c r="B20" s="57"/>
      <c r="C20" s="57"/>
      <c r="D20" s="57"/>
      <c r="E20" s="57">
        <f t="shared" si="0"/>
        <v>0</v>
      </c>
      <c r="F20" s="57"/>
      <c r="G20" s="57"/>
      <c r="H20" s="57"/>
      <c r="I20" s="57">
        <f t="shared" si="1"/>
        <v>0</v>
      </c>
      <c r="J20" s="57"/>
      <c r="K20" s="57"/>
      <c r="L20" s="57">
        <f t="shared" si="2"/>
        <v>0</v>
      </c>
    </row>
    <row r="21" spans="2:12" x14ac:dyDescent="0.25">
      <c r="B21" s="57" t="s">
        <v>320</v>
      </c>
      <c r="C21" s="57"/>
      <c r="D21" s="57"/>
      <c r="E21" s="57">
        <f t="shared" si="0"/>
        <v>0</v>
      </c>
      <c r="F21" s="57" t="s">
        <v>315</v>
      </c>
      <c r="G21" s="57"/>
      <c r="H21" s="57"/>
      <c r="I21" s="57">
        <f t="shared" si="1"/>
        <v>0</v>
      </c>
      <c r="J21" s="57"/>
      <c r="K21" s="57"/>
      <c r="L21" s="57">
        <f t="shared" si="2"/>
        <v>0</v>
      </c>
    </row>
    <row r="22" spans="2:12" x14ac:dyDescent="0.25">
      <c r="B22" s="57"/>
      <c r="C22" s="57"/>
      <c r="D22" s="57"/>
      <c r="E22" s="57">
        <f t="shared" si="0"/>
        <v>0</v>
      </c>
      <c r="F22" s="57" t="s">
        <v>317</v>
      </c>
      <c r="G22" s="57"/>
      <c r="H22" s="57"/>
      <c r="I22" s="57">
        <f t="shared" si="1"/>
        <v>0</v>
      </c>
      <c r="J22" s="57"/>
      <c r="K22" s="57"/>
      <c r="L22" s="57">
        <f t="shared" si="2"/>
        <v>0</v>
      </c>
    </row>
    <row r="23" spans="2:12" x14ac:dyDescent="0.25">
      <c r="B23" s="57"/>
      <c r="C23" s="57"/>
      <c r="D23" s="57"/>
      <c r="E23" s="57">
        <f t="shared" si="0"/>
        <v>0</v>
      </c>
      <c r="F23" s="57"/>
      <c r="G23" s="57"/>
      <c r="H23" s="57"/>
      <c r="I23" s="57">
        <f t="shared" si="1"/>
        <v>0</v>
      </c>
      <c r="J23" s="57"/>
      <c r="K23" s="57"/>
      <c r="L23" s="57">
        <f t="shared" si="2"/>
        <v>0</v>
      </c>
    </row>
    <row r="24" spans="2:12" x14ac:dyDescent="0.25">
      <c r="B24" s="57" t="s">
        <v>321</v>
      </c>
      <c r="C24" s="57"/>
      <c r="D24" s="57"/>
      <c r="E24" s="57">
        <f t="shared" si="0"/>
        <v>0</v>
      </c>
      <c r="F24" s="57" t="s">
        <v>322</v>
      </c>
      <c r="G24" s="57"/>
      <c r="H24" s="57"/>
      <c r="I24" s="57">
        <f t="shared" si="1"/>
        <v>0</v>
      </c>
      <c r="J24" s="57"/>
      <c r="K24" s="57"/>
      <c r="L24" s="57">
        <f t="shared" si="2"/>
        <v>0</v>
      </c>
    </row>
    <row r="25" spans="2:12" x14ac:dyDescent="0.25">
      <c r="B25" s="57"/>
      <c r="C25" s="57"/>
      <c r="D25" s="57"/>
      <c r="E25" s="57">
        <f>C25*D25</f>
        <v>0</v>
      </c>
      <c r="F25" s="57" t="s">
        <v>322</v>
      </c>
      <c r="G25" s="57"/>
      <c r="H25" s="57"/>
      <c r="I25" s="57">
        <f>G25*H25</f>
        <v>0</v>
      </c>
      <c r="J25" s="57"/>
      <c r="K25" s="57"/>
      <c r="L25" s="57">
        <f>J25*K25</f>
        <v>0</v>
      </c>
    </row>
    <row r="26" spans="2:12" x14ac:dyDescent="0.25">
      <c r="B26" s="57"/>
      <c r="C26" s="57"/>
      <c r="D26" s="57"/>
      <c r="E26" s="57">
        <f>C26*D26</f>
        <v>0</v>
      </c>
      <c r="F26" s="57" t="s">
        <v>322</v>
      </c>
      <c r="G26" s="57"/>
      <c r="H26" s="57"/>
      <c r="I26" s="57">
        <f>G26*H26</f>
        <v>0</v>
      </c>
      <c r="J26" s="57"/>
      <c r="K26" s="57"/>
      <c r="L26" s="57">
        <f>J26*K26</f>
        <v>0</v>
      </c>
    </row>
    <row r="27" spans="2:12" x14ac:dyDescent="0.25">
      <c r="B27" s="57"/>
      <c r="C27" s="57"/>
      <c r="D27" s="57"/>
      <c r="E27" s="57">
        <f>C27*D27</f>
        <v>0</v>
      </c>
      <c r="F27" s="57" t="s">
        <v>322</v>
      </c>
      <c r="G27" s="57"/>
      <c r="H27" s="57"/>
      <c r="I27" s="57">
        <f>G27*H27</f>
        <v>0</v>
      </c>
      <c r="J27" s="57"/>
      <c r="K27" s="57"/>
      <c r="L27" s="57">
        <f>J27*K27</f>
        <v>0</v>
      </c>
    </row>
    <row r="28" spans="2:12" x14ac:dyDescent="0.25">
      <c r="B28" s="57" t="s">
        <v>323</v>
      </c>
      <c r="C28" s="57"/>
      <c r="D28" s="57"/>
      <c r="E28" s="57">
        <f t="shared" si="0"/>
        <v>0</v>
      </c>
      <c r="F28" s="57" t="s">
        <v>322</v>
      </c>
      <c r="G28" s="57"/>
      <c r="H28" s="57"/>
      <c r="I28" s="57">
        <f t="shared" si="1"/>
        <v>0</v>
      </c>
      <c r="J28" s="57"/>
      <c r="K28" s="57"/>
      <c r="L28" s="57">
        <f t="shared" si="2"/>
        <v>0</v>
      </c>
    </row>
    <row r="29" spans="2:12" x14ac:dyDescent="0.25">
      <c r="B29" s="57" t="s">
        <v>324</v>
      </c>
      <c r="C29" s="57"/>
      <c r="D29" s="57"/>
      <c r="E29" s="57">
        <f t="shared" si="0"/>
        <v>0</v>
      </c>
      <c r="F29" s="57" t="s">
        <v>322</v>
      </c>
      <c r="G29" s="57"/>
      <c r="H29" s="57"/>
      <c r="I29" s="57">
        <f t="shared" si="1"/>
        <v>0</v>
      </c>
      <c r="J29" s="57"/>
      <c r="K29" s="57"/>
      <c r="L29" s="57">
        <f t="shared" si="2"/>
        <v>0</v>
      </c>
    </row>
    <row r="30" spans="2:12" x14ac:dyDescent="0.25">
      <c r="B30" s="57" t="s">
        <v>328</v>
      </c>
      <c r="C30" s="57"/>
      <c r="D30" s="57"/>
      <c r="E30" s="57">
        <f t="shared" si="0"/>
        <v>0</v>
      </c>
      <c r="F30" s="57"/>
      <c r="G30" s="57"/>
      <c r="H30" s="57"/>
      <c r="I30" s="57">
        <f t="shared" si="1"/>
        <v>0</v>
      </c>
      <c r="J30" s="57"/>
      <c r="K30" s="57"/>
      <c r="L30" s="57">
        <f t="shared" si="2"/>
        <v>0</v>
      </c>
    </row>
    <row r="31" spans="2:12" x14ac:dyDescent="0.25">
      <c r="B31" s="57"/>
      <c r="C31" s="57"/>
      <c r="D31" s="57"/>
      <c r="E31" s="57">
        <f>C31*D31</f>
        <v>0</v>
      </c>
      <c r="F31" s="57"/>
      <c r="G31" s="57"/>
      <c r="H31" s="57"/>
      <c r="I31" s="57">
        <f>G31*H31</f>
        <v>0</v>
      </c>
      <c r="J31" s="57"/>
      <c r="K31" s="57"/>
      <c r="L31" s="57">
        <f>J31*K31</f>
        <v>0</v>
      </c>
    </row>
    <row r="32" spans="2:12" x14ac:dyDescent="0.25">
      <c r="B32" s="57"/>
      <c r="C32" s="57"/>
      <c r="D32" s="57"/>
      <c r="E32" s="57">
        <f>C32*D32</f>
        <v>0</v>
      </c>
      <c r="F32" s="57"/>
      <c r="G32" s="57"/>
      <c r="H32" s="57"/>
      <c r="I32" s="57">
        <f>G32*H32</f>
        <v>0</v>
      </c>
      <c r="J32" s="57"/>
      <c r="K32" s="57"/>
      <c r="L32" s="57">
        <f>J32*K32</f>
        <v>0</v>
      </c>
    </row>
    <row r="33" spans="2:12" x14ac:dyDescent="0.25">
      <c r="B33" s="57" t="s">
        <v>325</v>
      </c>
      <c r="C33" s="57"/>
      <c r="D33" s="57"/>
      <c r="E33" s="57">
        <f t="shared" si="0"/>
        <v>0</v>
      </c>
      <c r="F33" s="57"/>
      <c r="G33" s="57"/>
      <c r="H33" s="57"/>
      <c r="I33" s="57">
        <f t="shared" si="1"/>
        <v>0</v>
      </c>
      <c r="J33" s="57"/>
      <c r="K33" s="57"/>
      <c r="L33" s="57">
        <f t="shared" si="2"/>
        <v>0</v>
      </c>
    </row>
    <row r="34" spans="2:12" x14ac:dyDescent="0.25">
      <c r="B34" s="57" t="s">
        <v>329</v>
      </c>
      <c r="C34" s="57"/>
      <c r="D34" s="57"/>
      <c r="E34" s="57">
        <f t="shared" si="0"/>
        <v>0</v>
      </c>
      <c r="F34" s="57"/>
      <c r="G34" s="57"/>
      <c r="H34" s="57"/>
      <c r="I34" s="57">
        <f t="shared" si="1"/>
        <v>0</v>
      </c>
      <c r="J34" s="57"/>
      <c r="K34" s="57"/>
      <c r="L34" s="57">
        <f t="shared" si="2"/>
        <v>0</v>
      </c>
    </row>
    <row r="35" spans="2:12" x14ac:dyDescent="0.25">
      <c r="B35" s="57" t="s">
        <v>326</v>
      </c>
      <c r="C35" s="57"/>
      <c r="D35" s="57"/>
      <c r="E35" s="57">
        <f t="shared" si="0"/>
        <v>0</v>
      </c>
      <c r="F35" s="57"/>
      <c r="G35" s="57"/>
      <c r="H35" s="57"/>
      <c r="I35" s="57">
        <f t="shared" si="1"/>
        <v>0</v>
      </c>
      <c r="J35" s="57"/>
      <c r="K35" s="57"/>
      <c r="L35" s="57">
        <f t="shared" si="2"/>
        <v>0</v>
      </c>
    </row>
    <row r="36" spans="2:12" x14ac:dyDescent="0.25">
      <c r="B36" s="57" t="s">
        <v>327</v>
      </c>
      <c r="C36" s="57"/>
      <c r="D36" s="57"/>
      <c r="E36" s="57">
        <f t="shared" si="0"/>
        <v>0</v>
      </c>
      <c r="F36" s="57"/>
      <c r="G36" s="57"/>
      <c r="H36" s="57"/>
      <c r="I36" s="57">
        <f t="shared" ref="I36:I41" si="3">G36*H36</f>
        <v>0</v>
      </c>
      <c r="J36" s="57"/>
      <c r="K36" s="57"/>
      <c r="L36" s="57">
        <f t="shared" ref="L36:L41" si="4">J36*K36</f>
        <v>0</v>
      </c>
    </row>
    <row r="37" spans="2:12" x14ac:dyDescent="0.25">
      <c r="B37" s="57"/>
      <c r="C37" s="57"/>
      <c r="D37" s="57"/>
      <c r="E37" s="57">
        <f>C37*D37</f>
        <v>0</v>
      </c>
      <c r="F37" s="57"/>
      <c r="G37" s="57"/>
      <c r="H37" s="57"/>
      <c r="I37" s="57">
        <f t="shared" si="3"/>
        <v>0</v>
      </c>
      <c r="J37" s="57"/>
      <c r="K37" s="57"/>
      <c r="L37" s="57">
        <f t="shared" si="4"/>
        <v>0</v>
      </c>
    </row>
    <row r="38" spans="2:12" x14ac:dyDescent="0.25">
      <c r="B38" s="57" t="s">
        <v>330</v>
      </c>
      <c r="C38" s="57"/>
      <c r="D38" s="57"/>
      <c r="E38" s="57">
        <f>C38*D38</f>
        <v>0</v>
      </c>
      <c r="F38" s="57"/>
      <c r="G38" s="57"/>
      <c r="H38" s="57"/>
      <c r="I38" s="57">
        <f t="shared" si="3"/>
        <v>0</v>
      </c>
      <c r="J38" s="57"/>
      <c r="K38" s="57"/>
      <c r="L38" s="57">
        <f t="shared" si="4"/>
        <v>0</v>
      </c>
    </row>
    <row r="39" spans="2:12" x14ac:dyDescent="0.25">
      <c r="B39" s="57"/>
      <c r="C39" s="57"/>
      <c r="D39" s="57"/>
      <c r="E39" s="57">
        <f t="shared" si="0"/>
        <v>0</v>
      </c>
      <c r="F39" s="57"/>
      <c r="G39" s="57"/>
      <c r="H39" s="57"/>
      <c r="I39" s="57">
        <f t="shared" si="3"/>
        <v>0</v>
      </c>
      <c r="J39" s="57"/>
      <c r="K39" s="57"/>
      <c r="L39" s="57">
        <f t="shared" si="4"/>
        <v>0</v>
      </c>
    </row>
    <row r="40" spans="2:12" x14ac:dyDescent="0.25">
      <c r="B40" s="57"/>
      <c r="C40" s="57"/>
      <c r="D40" s="57"/>
      <c r="E40" s="57">
        <f t="shared" si="0"/>
        <v>0</v>
      </c>
      <c r="F40" s="57"/>
      <c r="G40" s="57"/>
      <c r="H40" s="57"/>
      <c r="I40" s="57">
        <f t="shared" si="3"/>
        <v>0</v>
      </c>
      <c r="J40" s="57"/>
      <c r="K40" s="57"/>
      <c r="L40" s="57">
        <f t="shared" si="4"/>
        <v>0</v>
      </c>
    </row>
    <row r="41" spans="2:12" x14ac:dyDescent="0.25">
      <c r="B41" s="57"/>
      <c r="C41" s="57"/>
      <c r="D41" s="57"/>
      <c r="E41" s="57">
        <f t="shared" si="0"/>
        <v>0</v>
      </c>
      <c r="F41" s="57"/>
      <c r="G41" s="57"/>
      <c r="H41" s="57"/>
      <c r="I41" s="57">
        <f t="shared" si="3"/>
        <v>0</v>
      </c>
      <c r="J41" s="57"/>
      <c r="K41" s="57"/>
      <c r="L41" s="57">
        <f t="shared" si="4"/>
        <v>0</v>
      </c>
    </row>
    <row r="42" spans="2:12" x14ac:dyDescent="0.25">
      <c r="B42" s="57" t="s">
        <v>152</v>
      </c>
      <c r="C42" s="57"/>
      <c r="D42" s="57">
        <f>E42*10.764</f>
        <v>0</v>
      </c>
      <c r="E42" s="81">
        <f>SUM(E6:E41)</f>
        <v>0</v>
      </c>
      <c r="F42" s="57"/>
      <c r="G42" s="57"/>
      <c r="H42" s="57">
        <f>I42*10.764</f>
        <v>0</v>
      </c>
      <c r="I42" s="80">
        <f>SUM(I6:I41)</f>
        <v>0</v>
      </c>
      <c r="J42" s="57"/>
      <c r="K42" s="57">
        <f>L42*10.764</f>
        <v>0</v>
      </c>
      <c r="L42" s="79">
        <f>SUM(L6:L41)</f>
        <v>0</v>
      </c>
    </row>
    <row r="44" spans="2:12" x14ac:dyDescent="0.25">
      <c r="D44" s="56">
        <f>D42+H42</f>
        <v>0</v>
      </c>
      <c r="E44" s="56">
        <f>E42+I42</f>
        <v>0</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62">
        <v>1</v>
      </c>
      <c r="C2" s="65" t="s">
        <v>286</v>
      </c>
    </row>
    <row r="3" spans="2:3" x14ac:dyDescent="0.25">
      <c r="B3" s="62">
        <v>2</v>
      </c>
      <c r="C3" s="63" t="s">
        <v>287</v>
      </c>
    </row>
    <row r="4" spans="2:3" x14ac:dyDescent="0.25">
      <c r="B4" s="62">
        <v>3</v>
      </c>
      <c r="C4" s="64" t="s">
        <v>288</v>
      </c>
    </row>
    <row r="5" spans="2:3" x14ac:dyDescent="0.25">
      <c r="B5" s="62">
        <v>4</v>
      </c>
      <c r="C5" s="63" t="s">
        <v>289</v>
      </c>
    </row>
    <row r="6" spans="2:3" x14ac:dyDescent="0.25">
      <c r="B6" s="62">
        <v>5</v>
      </c>
      <c r="C6" s="64" t="s">
        <v>290</v>
      </c>
    </row>
    <row r="7" spans="2:3" ht="30" x14ac:dyDescent="0.25">
      <c r="B7" s="62">
        <v>6</v>
      </c>
      <c r="C7" s="63" t="s">
        <v>291</v>
      </c>
    </row>
    <row r="8" spans="2:3" ht="75" x14ac:dyDescent="0.25">
      <c r="B8" s="62">
        <v>7</v>
      </c>
      <c r="C8" s="63" t="s">
        <v>292</v>
      </c>
    </row>
    <row r="9" spans="2:3" x14ac:dyDescent="0.25">
      <c r="B9" s="62">
        <v>8</v>
      </c>
      <c r="C9" s="64" t="s">
        <v>293</v>
      </c>
    </row>
    <row r="10" spans="2:3" x14ac:dyDescent="0.25">
      <c r="B10" s="62">
        <v>9</v>
      </c>
      <c r="C10" s="64" t="s">
        <v>294</v>
      </c>
    </row>
    <row r="11" spans="2:3" x14ac:dyDescent="0.25">
      <c r="B11" s="62">
        <v>10</v>
      </c>
      <c r="C11" s="64" t="s">
        <v>295</v>
      </c>
    </row>
    <row r="12" spans="2:3" x14ac:dyDescent="0.25">
      <c r="B12" s="62">
        <v>11</v>
      </c>
      <c r="C12" s="64" t="s">
        <v>296</v>
      </c>
    </row>
    <row r="13" spans="2:3" x14ac:dyDescent="0.25">
      <c r="B13" s="62">
        <v>12</v>
      </c>
      <c r="C13" s="64" t="s">
        <v>297</v>
      </c>
    </row>
    <row r="14" spans="2:3" x14ac:dyDescent="0.25">
      <c r="B14" s="62">
        <v>13</v>
      </c>
      <c r="C14" s="64" t="s">
        <v>298</v>
      </c>
    </row>
    <row r="15" spans="2:3" x14ac:dyDescent="0.25">
      <c r="B15" s="62">
        <v>14</v>
      </c>
      <c r="C15" s="64" t="s">
        <v>288</v>
      </c>
    </row>
    <row r="16" spans="2:3" x14ac:dyDescent="0.25">
      <c r="B16" s="62">
        <v>15</v>
      </c>
      <c r="C16" s="64" t="s">
        <v>301</v>
      </c>
    </row>
    <row r="17" spans="2:3" x14ac:dyDescent="0.25">
      <c r="B17" s="90">
        <v>16</v>
      </c>
      <c r="C17" s="72" t="s">
        <v>302</v>
      </c>
    </row>
    <row r="18" spans="2:3" x14ac:dyDescent="0.25">
      <c r="B18" s="71">
        <v>17</v>
      </c>
      <c r="C18" s="72" t="s">
        <v>303</v>
      </c>
    </row>
    <row r="19" spans="2:3" x14ac:dyDescent="0.25">
      <c r="B19" s="70">
        <v>18</v>
      </c>
      <c r="C19" s="62" t="s">
        <v>304</v>
      </c>
    </row>
    <row r="20" spans="2:3" x14ac:dyDescent="0.25">
      <c r="B20" s="71">
        <v>19</v>
      </c>
      <c r="C20" s="62" t="s">
        <v>340</v>
      </c>
    </row>
    <row r="21" spans="2:3" x14ac:dyDescent="0.25">
      <c r="B21" s="73">
        <v>20</v>
      </c>
      <c r="C21" s="62" t="s">
        <v>305</v>
      </c>
    </row>
    <row r="22" spans="2:3" x14ac:dyDescent="0.25">
      <c r="B22" s="71">
        <v>21</v>
      </c>
      <c r="C22" s="62" t="s">
        <v>304</v>
      </c>
    </row>
    <row r="23" spans="2:3" s="83" customFormat="1" ht="29.25" customHeight="1" x14ac:dyDescent="0.25">
      <c r="B23" s="82">
        <v>22</v>
      </c>
      <c r="C23" s="65" t="s">
        <v>332</v>
      </c>
    </row>
    <row r="24" spans="2:3" s="83" customFormat="1" ht="30.75" customHeight="1" x14ac:dyDescent="0.25">
      <c r="B24" s="84">
        <v>23</v>
      </c>
      <c r="C24" s="65" t="s">
        <v>333</v>
      </c>
    </row>
    <row r="25" spans="2:3" x14ac:dyDescent="0.25">
      <c r="B25" s="73">
        <v>24</v>
      </c>
      <c r="C25" s="62" t="s">
        <v>336</v>
      </c>
    </row>
    <row r="26" spans="2:3" x14ac:dyDescent="0.25">
      <c r="B26" s="71">
        <v>25</v>
      </c>
      <c r="C26" s="62" t="s">
        <v>334</v>
      </c>
    </row>
    <row r="27" spans="2:3" x14ac:dyDescent="0.25">
      <c r="B27" s="84">
        <v>26</v>
      </c>
      <c r="C27" s="73" t="s">
        <v>335</v>
      </c>
    </row>
    <row r="28" spans="2:3" x14ac:dyDescent="0.25">
      <c r="B28" s="85">
        <v>27</v>
      </c>
      <c r="C28" s="62" t="s">
        <v>337</v>
      </c>
    </row>
    <row r="29" spans="2:3" ht="60" x14ac:dyDescent="0.25">
      <c r="B29" s="89">
        <v>28</v>
      </c>
      <c r="C29" s="63" t="s">
        <v>338</v>
      </c>
    </row>
    <row r="30" spans="2:3" x14ac:dyDescent="0.25">
      <c r="B30" s="84">
        <v>29</v>
      </c>
      <c r="C30" s="62" t="s">
        <v>339</v>
      </c>
    </row>
    <row r="31" spans="2:3" ht="30" x14ac:dyDescent="0.25">
      <c r="B31" s="91">
        <v>30</v>
      </c>
      <c r="C31" s="63" t="s">
        <v>341</v>
      </c>
    </row>
    <row r="32" spans="2:3" x14ac:dyDescent="0.25">
      <c r="B32" s="84">
        <v>31</v>
      </c>
      <c r="C32" s="62" t="s">
        <v>342</v>
      </c>
    </row>
    <row r="33" spans="2:3" x14ac:dyDescent="0.25">
      <c r="B33" s="84">
        <v>32</v>
      </c>
      <c r="C33" s="62" t="s">
        <v>343</v>
      </c>
    </row>
    <row r="34" spans="2:3" ht="36.75" customHeight="1" x14ac:dyDescent="0.25">
      <c r="B34" s="91">
        <v>33</v>
      </c>
      <c r="C34" s="72" t="s">
        <v>344</v>
      </c>
    </row>
    <row r="35" spans="2:3" x14ac:dyDescent="0.25">
      <c r="B35" s="96">
        <v>34</v>
      </c>
      <c r="C35" s="62" t="s">
        <v>352</v>
      </c>
    </row>
    <row r="36" spans="2:3" ht="60" x14ac:dyDescent="0.25">
      <c r="B36" s="82">
        <v>35</v>
      </c>
      <c r="C36" s="63" t="s">
        <v>356</v>
      </c>
    </row>
    <row r="37" spans="2:3" x14ac:dyDescent="0.25">
      <c r="B37" s="62"/>
      <c r="C37" s="62"/>
    </row>
    <row r="38" spans="2:3" x14ac:dyDescent="0.25">
      <c r="B38" s="62"/>
      <c r="C38" s="62"/>
    </row>
    <row r="39" spans="2:3" x14ac:dyDescent="0.25">
      <c r="B39" s="62"/>
      <c r="C39" s="62"/>
    </row>
    <row r="40" spans="2:3" x14ac:dyDescent="0.25">
      <c r="B40" s="62"/>
      <c r="C40" s="62"/>
    </row>
    <row r="41" spans="2:3" x14ac:dyDescent="0.25">
      <c r="B41" s="62"/>
      <c r="C41" s="62"/>
    </row>
    <row r="42" spans="2:3" x14ac:dyDescent="0.25">
      <c r="B42" s="62"/>
      <c r="C42" s="62"/>
    </row>
    <row r="43" spans="2:3" x14ac:dyDescent="0.25">
      <c r="B43" s="62"/>
      <c r="C43" s="62"/>
    </row>
    <row r="44" spans="2:3" x14ac:dyDescent="0.25">
      <c r="B44" s="62"/>
      <c r="C44" s="62"/>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Research</vt:lpstr>
      <vt:lpstr>valuation</vt:lpstr>
      <vt:lpstr>Area Calculation</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2025-09-10T18:15:45Z</cp:lastPrinted>
  <dcterms:created xsi:type="dcterms:W3CDTF">2019-07-16T09:29:46Z</dcterms:created>
  <dcterms:modified xsi:type="dcterms:W3CDTF">2025-09-10T18:18:29Z</dcterms:modified>
</cp:coreProperties>
</file>