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0730" windowHeight="1116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6" i="1" l="1"/>
  <c r="F146" i="1" s="1"/>
  <c r="D145" i="1"/>
  <c r="F145" i="1" s="1"/>
  <c r="D124" i="1"/>
  <c r="D125" i="1"/>
  <c r="D126" i="1"/>
  <c r="D127" i="1"/>
  <c r="D128" i="1"/>
  <c r="D143" i="1"/>
  <c r="D142" i="1"/>
  <c r="D141" i="1"/>
  <c r="D140" i="1"/>
  <c r="D139" i="1"/>
  <c r="D136" i="1"/>
  <c r="F136" i="1" s="1"/>
  <c r="D135" i="1"/>
  <c r="F135" i="1" s="1"/>
  <c r="D134" i="1"/>
  <c r="F134" i="1" s="1"/>
  <c r="D133" i="1"/>
  <c r="F133" i="1" s="1"/>
  <c r="D132" i="1"/>
  <c r="F132" i="1" s="1"/>
  <c r="I124" i="1"/>
  <c r="A132" i="1"/>
  <c r="A133" i="1" s="1"/>
  <c r="A134" i="1" s="1"/>
  <c r="A135" i="1" s="1"/>
  <c r="A136" i="1" s="1"/>
  <c r="G131" i="1"/>
  <c r="J147" i="1"/>
  <c r="A146" i="1"/>
  <c r="A147" i="1" s="1"/>
  <c r="A148" i="1" s="1"/>
  <c r="A149" i="1" s="1"/>
  <c r="A150" i="1" s="1"/>
  <c r="J145" i="1"/>
  <c r="G145" i="1"/>
  <c r="F142" i="1" l="1"/>
  <c r="F140" i="1"/>
  <c r="F139" i="1"/>
  <c r="D129" i="1"/>
  <c r="F129" i="1" s="1"/>
  <c r="F128" i="1"/>
  <c r="F127" i="1"/>
  <c r="F126" i="1"/>
  <c r="F125" i="1"/>
  <c r="D113" i="1"/>
  <c r="D111" i="1"/>
  <c r="F111" i="1" s="1"/>
  <c r="D110" i="1"/>
  <c r="J108" i="1"/>
  <c r="F143" i="1"/>
  <c r="F141" i="1"/>
  <c r="A139" i="1"/>
  <c r="A140" i="1" s="1"/>
  <c r="A141" i="1" s="1"/>
  <c r="A142" i="1" s="1"/>
  <c r="A143" i="1" s="1"/>
  <c r="G138" i="1"/>
  <c r="J126" i="1"/>
  <c r="J124" i="1"/>
  <c r="A125" i="1"/>
  <c r="A126" i="1" s="1"/>
  <c r="A127" i="1" s="1"/>
  <c r="A128" i="1" s="1"/>
  <c r="A129" i="1" s="1"/>
  <c r="G124" i="1"/>
  <c r="F124" i="1"/>
  <c r="A111" i="1"/>
  <c r="G110" i="1"/>
  <c r="G113" i="1"/>
  <c r="E101" i="1" l="1"/>
  <c r="E102" i="1" s="1"/>
  <c r="C101" i="1"/>
  <c r="C102" i="1" s="1"/>
  <c r="G101" i="1"/>
  <c r="G102" i="1" s="1"/>
  <c r="F113" i="1"/>
  <c r="C97" i="1"/>
  <c r="E97" i="1"/>
  <c r="F110" i="1"/>
  <c r="G96" i="1" s="1"/>
  <c r="C96" i="1"/>
  <c r="E96" i="1"/>
  <c r="C98" i="1" l="1"/>
  <c r="C103" i="1"/>
  <c r="E98" i="1"/>
  <c r="E103" i="1" s="1"/>
  <c r="G97" i="1"/>
  <c r="G98" i="1" s="1"/>
  <c r="G103" i="1" s="1"/>
  <c r="E43" i="1"/>
  <c r="E44" i="1" s="1"/>
  <c r="C15" i="1" l="1"/>
  <c r="E30" i="1" l="1"/>
  <c r="F93" i="1" l="1"/>
  <c r="F116" i="1" l="1"/>
  <c r="F117" i="1"/>
  <c r="F118" i="1"/>
  <c r="F115" i="1"/>
  <c r="B153" i="1" l="1"/>
  <c r="B15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0" i="1"/>
  <c r="A116" i="1"/>
  <c r="A117" i="1" s="1"/>
  <c r="A118" i="1" s="1"/>
  <c r="G115" i="1"/>
  <c r="G116" i="1" s="1"/>
  <c r="G117" i="1" s="1"/>
  <c r="G118" i="1" s="1"/>
  <c r="C66" i="1"/>
  <c r="D55" i="1"/>
  <c r="G50" i="1"/>
  <c r="C50" i="1"/>
  <c r="E27" i="1"/>
  <c r="E25" i="1"/>
  <c r="E3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l="1"/>
  <c r="J78" i="1" s="1"/>
  <c r="J74" i="1"/>
  <c r="J75" i="1" s="1"/>
  <c r="J76" i="1" s="1"/>
  <c r="J77" i="1" s="1"/>
  <c r="D72" i="1"/>
  <c r="J68" i="1"/>
  <c r="D70" i="1"/>
  <c r="J79" i="1" l="1"/>
  <c r="C71" i="1" l="1"/>
  <c r="G70" i="1" s="1"/>
  <c r="D64" i="1" s="1"/>
  <c r="D71" i="1" l="1"/>
  <c r="I67" i="1" s="1"/>
  <c r="I68" i="1" s="1"/>
  <c r="D65" i="1"/>
  <c r="F65" i="1"/>
  <c r="E70" i="1"/>
  <c r="J67" i="1"/>
  <c r="I66" i="1" l="1"/>
  <c r="C68" i="1" s="1"/>
</calcChain>
</file>

<file path=xl/sharedStrings.xml><?xml version="1.0" encoding="utf-8"?>
<sst xmlns="http://schemas.openxmlformats.org/spreadsheetml/2006/main" count="293" uniqueCount="242">
  <si>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</si>
  <si>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</si>
  <si>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</si>
  <si>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</si>
  <si>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</si>
  <si>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</si>
  <si>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</si>
  <si>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</si>
  <si>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</si>
  <si>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</si>
  <si>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</si>
  <si>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</si>
  <si>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</si>
  <si>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</si>
  <si>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</si>
  <si>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</si>
  <si>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</si>
  <si>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</si>
  <si>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</si>
  <si>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</si>
  <si>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</si>
  <si>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</si>
  <si>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</si>
  <si>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</si>
  <si>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</si>
  <si>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</si>
  <si>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</si>
  <si>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</si>
  <si>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</si>
  <si>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</si>
  <si>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</si>
  <si>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</si>
  <si>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</si>
  <si>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</si>
  <si>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</si>
  <si>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</si>
  <si>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</si>
  <si>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</si>
  <si>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</si>
  <si>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</si>
  <si>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</si>
  <si>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</si>
  <si>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</si>
  <si>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</si>
  <si>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</si>
  <si>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</si>
  <si>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</si>
  <si>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</si>
  <si>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</si>
  <si>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</si>
  <si>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</si>
  <si>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</si>
  <si>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</si>
  <si>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</si>
  <si>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</si>
  <si>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</si>
  <si>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</si>
  <si>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</si>
  <si>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</si>
  <si>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</si>
  <si>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</si>
  <si>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</si>
  <si>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</si>
  <si>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</si>
  <si>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</si>
  <si>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</si>
  <si>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</si>
  <si>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</si>
  <si>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</si>
  <si>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</si>
  <si>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</si>
  <si>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</si>
  <si>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</si>
  <si>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</si>
  <si>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</si>
  <si>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</si>
  <si>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</si>
  <si>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</si>
  <si>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</si>
  <si>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</si>
  <si>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</si>
  <si>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</si>
  <si>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</si>
  <si>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</si>
  <si>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</si>
  <si>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</si>
  <si>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</si>
  <si>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</si>
  <si>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</si>
  <si>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</si>
  <si>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</si>
  <si>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</si>
  <si>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</si>
  <si>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</si>
  <si>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</si>
  <si>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</si>
  <si>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</si>
  <si>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</si>
  <si>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</si>
  <si>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</si>
  <si>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</si>
  <si>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</si>
  <si>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</si>
  <si>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</si>
  <si>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</si>
  <si>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</si>
  <si>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</si>
  <si>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</si>
  <si>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</si>
  <si>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</si>
  <si>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</si>
  <si>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</si>
  <si>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</si>
  <si>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</si>
  <si>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</si>
  <si>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</si>
  <si>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</si>
  <si>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</si>
  <si>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</si>
  <si>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</si>
  <si>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</si>
  <si>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</si>
  <si>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</si>
  <si>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</si>
  <si>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</si>
  <si>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</si>
  <si>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</si>
  <si>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</si>
  <si>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</si>
  <si>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</si>
  <si>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</si>
  <si>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</si>
  <si>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</si>
  <si>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</si>
  <si>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</si>
  <si>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</si>
  <si>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</si>
  <si>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</si>
  <si>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</si>
  <si>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</si>
  <si>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</si>
  <si>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</si>
  <si>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</si>
  <si>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</si>
  <si>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</si>
  <si>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</si>
  <si>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</si>
  <si>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</si>
  <si>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</si>
  <si>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</si>
  <si>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</si>
  <si>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</si>
  <si>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</si>
  <si>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</si>
  <si>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</si>
  <si>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</si>
  <si>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</si>
  <si>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</si>
  <si>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</si>
  <si>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</si>
  <si>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</si>
  <si>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</si>
  <si>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</si>
  <si>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</si>
  <si>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</si>
  <si>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</si>
  <si>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</si>
  <si>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</si>
  <si>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</si>
  <si>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</si>
  <si>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</si>
  <si>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</si>
  <si>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</si>
  <si>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</si>
  <si>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</si>
  <si>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</si>
  <si>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</si>
  <si>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Latitude, Longitude</t>
  </si>
  <si>
    <t>Grand Total</t>
  </si>
  <si>
    <t>Axis Goregaon</t>
  </si>
  <si>
    <t>Reliable India Corporation</t>
  </si>
  <si>
    <t>Fazal Mehmood Shaikh</t>
  </si>
  <si>
    <t>Unique Shine</t>
  </si>
  <si>
    <t>Name / No of the Existing Building</t>
  </si>
  <si>
    <t>Building No. 71</t>
  </si>
  <si>
    <t>Building No. 71 (Swaranjali Chs. Ltd)</t>
  </si>
  <si>
    <t>Approved Plans, CC</t>
  </si>
  <si>
    <t>P51800050757</t>
  </si>
  <si>
    <t>CTS No</t>
  </si>
  <si>
    <t>Hariyali</t>
  </si>
  <si>
    <t>Mumbai</t>
  </si>
  <si>
    <t>https://goo.gl/maps/Q1bACK7X7YYFdquPA?coh=178572&amp;entry=tt</t>
  </si>
  <si>
    <t>Road No.13</t>
  </si>
  <si>
    <t>2.3KM from Vikhroli Railway Station</t>
  </si>
  <si>
    <t>Vikhroli East</t>
  </si>
  <si>
    <t>Kurla</t>
  </si>
  <si>
    <t>Road No.1</t>
  </si>
  <si>
    <t>Internal Road</t>
  </si>
  <si>
    <t>Templum Heights</t>
  </si>
  <si>
    <t>Aatmaram Surve Marg</t>
  </si>
  <si>
    <t>Kannamwar Nagar II</t>
  </si>
  <si>
    <t>Maharashtra Housing and Area Development Authority (MHADA)</t>
  </si>
  <si>
    <t>As per RERA - 31/12/2026</t>
  </si>
  <si>
    <t>Building No.71</t>
  </si>
  <si>
    <t>Shop</t>
  </si>
  <si>
    <t>Office</t>
  </si>
  <si>
    <t>Refuge Area</t>
  </si>
  <si>
    <t>We considered Gross carpet area = Net carpet.</t>
  </si>
  <si>
    <t>Shops</t>
  </si>
  <si>
    <t>Building No.71 (Flats)</t>
  </si>
  <si>
    <t>Entrance Lobby, Gymnasium, Lift, Children's Play Area, Garden</t>
  </si>
  <si>
    <t>356 (Pt), Redevelopement of "Building No. 71 (Swaranjali Chs. Ltd)"</t>
  </si>
  <si>
    <t>For Commercial &amp; Double Heighted Lobby</t>
  </si>
  <si>
    <t>19.119574,72.937819</t>
  </si>
  <si>
    <t>MH/EE/(B.P)/GM/MHADA-9/1241/2023</t>
  </si>
  <si>
    <t>Building No.71 = Gr + 1st to  21st Floor</t>
  </si>
  <si>
    <t>Ground Floor For Commercial, Parking &amp; Double Height Entrance Lobby</t>
  </si>
  <si>
    <t>1st Floor for Commercial &amp; Part Parking, Double Height Lobby</t>
  </si>
  <si>
    <t>2nd to 7th, 9th to 14th &amp; 16th to 20th Floor For Residential</t>
  </si>
  <si>
    <t>15th Floor (Part Refuge Area)</t>
  </si>
  <si>
    <t>Terrace</t>
  </si>
  <si>
    <t>Society Office</t>
  </si>
  <si>
    <t>Fitness Center</t>
  </si>
  <si>
    <t>8th Floor (Part Refuge Area)</t>
  </si>
  <si>
    <t>We Refer CC on Mhada Site.</t>
  </si>
  <si>
    <t>As the project is redevelopement project but rehab statement or rehab flats is not mentioned approved layout plan &amp; floor plan.</t>
  </si>
  <si>
    <t>Flats - 114, Shops - 2, Office - 1</t>
  </si>
  <si>
    <t>21st Floor (Part Terrcae , Society Office &amp; Fitness Center)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</si>
  <si>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</si>
  <si>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We have updated Approved Floor Plans (on 06/01/2024).</t>
  </si>
  <si>
    <t>We have refered &amp; updated revised CC from Mhada Site (on 21/03/2024).</t>
  </si>
  <si>
    <t>Construction work is in process at the time of Visit. Internal visit was not allowed.</t>
  </si>
  <si>
    <t>Mr. Kapil Ingle 8355966961</t>
  </si>
  <si>
    <t>Building No.71 = Gr + 1st to  22nd Floor</t>
  </si>
  <si>
    <t>Validity of CC is expired on 27/02/2025. Please provide revised CC &amp; approved plans.</t>
  </si>
  <si>
    <t>Mr Rupesh Site Engineer 8108503897</t>
  </si>
  <si>
    <t>Nainesh Tambe</t>
  </si>
  <si>
    <t>MH/EE/(BP)/GM/MHADA-9/1241/2025/FCC/4/Amend</t>
  </si>
  <si>
    <t>This Full C.C. is granted for bldg. comprising of Stilt(pt) + Gr(pt)(shops) + 1st(pt)(office) + 2nd to 22nd upper floors + LMR + OHT as per approved amended plan dt. 03.12.2024.</t>
  </si>
  <si>
    <t>We have updated latest CC from Mhada site On 13/06/2024 &amp; 17/09/2025.</t>
  </si>
  <si>
    <t>Shruti Tathare</t>
  </si>
  <si>
    <t>Please provide revised approved plans dtd. 03/12/2024.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</si>
</sst>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16" xfId="1" applyNumberFormat="1" applyFont="1" applyBorder="1" applyAlignment="1" applyProtection="1">
      <alignment horizontal="center" vertical="center" wrapText="1"/>
      <protection locked="0"/>
    </xf>
    <xf numFmtId="168" fontId="6" fillId="0" borderId="23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34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199157</xdr:colOff>
      <xdr:row>223</xdr:row>
      <xdr:rowOff>69272</xdr:rowOff>
    </xdr:from>
    <xdr:to>
      <xdr:col>7</xdr:col>
      <xdr:colOff>630134</xdr:colOff>
      <xdr:row>241</xdr:row>
      <xdr:rowOff>16966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"/>
        <a:stretch/>
      </xdr:blipFill>
      <xdr:spPr>
        <a:xfrm>
          <a:off x="199157" y="40108908"/>
          <a:ext cx="6120000" cy="35325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199157</xdr:colOff>
      <xdr:row>242</xdr:row>
      <xdr:rowOff>46364</xdr:rowOff>
    </xdr:from>
    <xdr:to>
      <xdr:col>7</xdr:col>
      <xdr:colOff>630134</xdr:colOff>
      <xdr:row>259</xdr:row>
      <xdr:rowOff>187712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57" y="43870023"/>
          <a:ext cx="6120000" cy="35270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363679</xdr:colOff>
      <xdr:row>264</xdr:row>
      <xdr:rowOff>34636</xdr:rowOff>
    </xdr:from>
    <xdr:to>
      <xdr:col>7</xdr:col>
      <xdr:colOff>434656</xdr:colOff>
      <xdr:row>279</xdr:row>
      <xdr:rowOff>191666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679" y="48239795"/>
          <a:ext cx="5760000" cy="31444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363679</xdr:colOff>
      <xdr:row>280</xdr:row>
      <xdr:rowOff>143379</xdr:rowOff>
    </xdr:from>
    <xdr:to>
      <xdr:col>7</xdr:col>
      <xdr:colOff>434656</xdr:colOff>
      <xdr:row>303</xdr:row>
      <xdr:rowOff>28497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679" y="51535084"/>
          <a:ext cx="5760000" cy="44657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487616</xdr:colOff>
      <xdr:row>291</xdr:row>
      <xdr:rowOff>13304</xdr:rowOff>
    </xdr:from>
    <xdr:to>
      <xdr:col>4</xdr:col>
      <xdr:colOff>63321</xdr:colOff>
      <xdr:row>293</xdr:row>
      <xdr:rowOff>73906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 rot="1177636">
          <a:off x="2046252" y="53595759"/>
          <a:ext cx="1368137" cy="458920"/>
        </a:xfrm>
        <a:prstGeom prst="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571500</xdr:colOff>
      <xdr:row>249</xdr:row>
      <xdr:rowOff>121227</xdr:rowOff>
    </xdr:from>
    <xdr:to>
      <xdr:col>2</xdr:col>
      <xdr:colOff>155864</xdr:colOff>
      <xdr:row>251</xdr:row>
      <xdr:rowOff>34636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 rot="1948267">
          <a:off x="1333500" y="45157159"/>
          <a:ext cx="381000" cy="31172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485775</xdr:colOff>
      <xdr:row>180</xdr:row>
      <xdr:rowOff>57150</xdr:rowOff>
    </xdr:from>
    <xdr:to>
      <xdr:col>7</xdr:col>
      <xdr:colOff>533400</xdr:colOff>
      <xdr:row>220</xdr:row>
      <xdr:rowOff>83550</xdr:rowOff>
    </xdr:to>
    <xdr:grpSp>
      <xdr:nvGrpSpPr>
        <xdr:cNvPr id="2" name="Group 1"/>
        <xdr:cNvGrpSpPr/>
      </xdr:nvGrpSpPr>
      <xdr:grpSpPr>
        <a:xfrm>
          <a:off x="485775" y="37909500"/>
          <a:ext cx="5705475" cy="8017875"/>
          <a:chOff x="485775" y="37709475"/>
          <a:chExt cx="5705475" cy="8017875"/>
        </a:xfrm>
      </xdr:grpSpPr>
      <xdr:pic>
        <xdr:nvPicPr>
          <xdr:cNvPr id="33" name="Picture 32" descr="https://vsjcllp.vsjadon.com/upload/insp-24666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38600" y="43843575"/>
            <a:ext cx="1409609" cy="18742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664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90775" y="41529000"/>
            <a:ext cx="1681669" cy="22359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664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71950" y="41519475"/>
            <a:ext cx="1681669" cy="22359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664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43175" y="43853100"/>
            <a:ext cx="1409609" cy="18742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664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90900" y="37709475"/>
            <a:ext cx="2800350" cy="37234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664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5775" y="37719000"/>
            <a:ext cx="2800350" cy="37234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6664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38225" y="43843575"/>
            <a:ext cx="1409609" cy="18742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6664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28650" y="41529000"/>
            <a:ext cx="1681669" cy="22359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1bACK7X7YYFdquPA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63"/>
  <sheetViews>
    <sheetView tabSelected="1" view="pageBreakPreview" zoomScaleNormal="100" zoomScaleSheetLayoutView="100" workbookViewId="0">
      <selection activeCell="I19" sqref="I19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5703125" style="40" customWidth="1"/>
    <col min="4" max="4" width="14.140625" style="40" customWidth="1"/>
    <col min="5" max="7" width="11.570312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5703125" style="21" customWidth="1"/>
    <col min="17" max="247" width="9.140625" style="21"/>
    <col min="248" max="248" width="8.5703125" style="21" customWidth="1"/>
    <col min="249" max="249" width="9.85546875" style="21" customWidth="1"/>
    <col min="250" max="250" width="14.42578125" style="21" customWidth="1"/>
    <col min="251" max="251" width="7.425781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5703125" style="21" customWidth="1"/>
    <col min="505" max="505" width="9.85546875" style="21" customWidth="1"/>
    <col min="506" max="506" width="14.42578125" style="21" customWidth="1"/>
    <col min="507" max="507" width="7.425781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5703125" style="21" customWidth="1"/>
    <col min="761" max="761" width="9.85546875" style="21" customWidth="1"/>
    <col min="762" max="762" width="14.42578125" style="21" customWidth="1"/>
    <col min="763" max="763" width="7.425781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5703125" style="21" customWidth="1"/>
    <col min="1017" max="1017" width="9.85546875" style="21" customWidth="1"/>
    <col min="1018" max="1018" width="14.42578125" style="21" customWidth="1"/>
    <col min="1019" max="1019" width="7.425781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5703125" style="21" customWidth="1"/>
    <col min="1273" max="1273" width="9.85546875" style="21" customWidth="1"/>
    <col min="1274" max="1274" width="14.42578125" style="21" customWidth="1"/>
    <col min="1275" max="1275" width="7.425781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5703125" style="21" customWidth="1"/>
    <col min="1529" max="1529" width="9.85546875" style="21" customWidth="1"/>
    <col min="1530" max="1530" width="14.42578125" style="21" customWidth="1"/>
    <col min="1531" max="1531" width="7.425781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5703125" style="21" customWidth="1"/>
    <col min="1785" max="1785" width="9.85546875" style="21" customWidth="1"/>
    <col min="1786" max="1786" width="14.42578125" style="21" customWidth="1"/>
    <col min="1787" max="1787" width="7.425781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5703125" style="21" customWidth="1"/>
    <col min="2041" max="2041" width="9.85546875" style="21" customWidth="1"/>
    <col min="2042" max="2042" width="14.42578125" style="21" customWidth="1"/>
    <col min="2043" max="2043" width="7.425781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5703125" style="21" customWidth="1"/>
    <col min="2297" max="2297" width="9.85546875" style="21" customWidth="1"/>
    <col min="2298" max="2298" width="14.42578125" style="21" customWidth="1"/>
    <col min="2299" max="2299" width="7.425781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5703125" style="21" customWidth="1"/>
    <col min="2553" max="2553" width="9.85546875" style="21" customWidth="1"/>
    <col min="2554" max="2554" width="14.42578125" style="21" customWidth="1"/>
    <col min="2555" max="2555" width="7.425781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5703125" style="21" customWidth="1"/>
    <col min="2809" max="2809" width="9.85546875" style="21" customWidth="1"/>
    <col min="2810" max="2810" width="14.42578125" style="21" customWidth="1"/>
    <col min="2811" max="2811" width="7.425781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5703125" style="21" customWidth="1"/>
    <col min="3065" max="3065" width="9.85546875" style="21" customWidth="1"/>
    <col min="3066" max="3066" width="14.42578125" style="21" customWidth="1"/>
    <col min="3067" max="3067" width="7.425781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5703125" style="21" customWidth="1"/>
    <col min="3321" max="3321" width="9.85546875" style="21" customWidth="1"/>
    <col min="3322" max="3322" width="14.42578125" style="21" customWidth="1"/>
    <col min="3323" max="3323" width="7.425781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5703125" style="21" customWidth="1"/>
    <col min="3577" max="3577" width="9.85546875" style="21" customWidth="1"/>
    <col min="3578" max="3578" width="14.42578125" style="21" customWidth="1"/>
    <col min="3579" max="3579" width="7.425781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5703125" style="21" customWidth="1"/>
    <col min="3833" max="3833" width="9.85546875" style="21" customWidth="1"/>
    <col min="3834" max="3834" width="14.42578125" style="21" customWidth="1"/>
    <col min="3835" max="3835" width="7.425781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5703125" style="21" customWidth="1"/>
    <col min="4089" max="4089" width="9.85546875" style="21" customWidth="1"/>
    <col min="4090" max="4090" width="14.42578125" style="21" customWidth="1"/>
    <col min="4091" max="4091" width="7.425781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5703125" style="21" customWidth="1"/>
    <col min="4345" max="4345" width="9.85546875" style="21" customWidth="1"/>
    <col min="4346" max="4346" width="14.42578125" style="21" customWidth="1"/>
    <col min="4347" max="4347" width="7.425781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5703125" style="21" customWidth="1"/>
    <col min="4601" max="4601" width="9.85546875" style="21" customWidth="1"/>
    <col min="4602" max="4602" width="14.42578125" style="21" customWidth="1"/>
    <col min="4603" max="4603" width="7.425781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5703125" style="21" customWidth="1"/>
    <col min="4857" max="4857" width="9.85546875" style="21" customWidth="1"/>
    <col min="4858" max="4858" width="14.42578125" style="21" customWidth="1"/>
    <col min="4859" max="4859" width="7.425781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5703125" style="21" customWidth="1"/>
    <col min="5113" max="5113" width="9.85546875" style="21" customWidth="1"/>
    <col min="5114" max="5114" width="14.42578125" style="21" customWidth="1"/>
    <col min="5115" max="5115" width="7.425781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5703125" style="21" customWidth="1"/>
    <col min="5369" max="5369" width="9.85546875" style="21" customWidth="1"/>
    <col min="5370" max="5370" width="14.42578125" style="21" customWidth="1"/>
    <col min="5371" max="5371" width="7.425781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5703125" style="21" customWidth="1"/>
    <col min="5625" max="5625" width="9.85546875" style="21" customWidth="1"/>
    <col min="5626" max="5626" width="14.42578125" style="21" customWidth="1"/>
    <col min="5627" max="5627" width="7.425781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5703125" style="21" customWidth="1"/>
    <col min="5881" max="5881" width="9.85546875" style="21" customWidth="1"/>
    <col min="5882" max="5882" width="14.42578125" style="21" customWidth="1"/>
    <col min="5883" max="5883" width="7.425781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5703125" style="21" customWidth="1"/>
    <col min="6137" max="6137" width="9.85546875" style="21" customWidth="1"/>
    <col min="6138" max="6138" width="14.42578125" style="21" customWidth="1"/>
    <col min="6139" max="6139" width="7.425781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5703125" style="21" customWidth="1"/>
    <col min="6393" max="6393" width="9.85546875" style="21" customWidth="1"/>
    <col min="6394" max="6394" width="14.42578125" style="21" customWidth="1"/>
    <col min="6395" max="6395" width="7.425781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5703125" style="21" customWidth="1"/>
    <col min="6649" max="6649" width="9.85546875" style="21" customWidth="1"/>
    <col min="6650" max="6650" width="14.42578125" style="21" customWidth="1"/>
    <col min="6651" max="6651" width="7.425781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5703125" style="21" customWidth="1"/>
    <col min="6905" max="6905" width="9.85546875" style="21" customWidth="1"/>
    <col min="6906" max="6906" width="14.42578125" style="21" customWidth="1"/>
    <col min="6907" max="6907" width="7.425781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5703125" style="21" customWidth="1"/>
    <col min="7161" max="7161" width="9.85546875" style="21" customWidth="1"/>
    <col min="7162" max="7162" width="14.42578125" style="21" customWidth="1"/>
    <col min="7163" max="7163" width="7.425781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5703125" style="21" customWidth="1"/>
    <col min="7417" max="7417" width="9.85546875" style="21" customWidth="1"/>
    <col min="7418" max="7418" width="14.42578125" style="21" customWidth="1"/>
    <col min="7419" max="7419" width="7.425781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5703125" style="21" customWidth="1"/>
    <col min="7673" max="7673" width="9.85546875" style="21" customWidth="1"/>
    <col min="7674" max="7674" width="14.42578125" style="21" customWidth="1"/>
    <col min="7675" max="7675" width="7.425781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5703125" style="21" customWidth="1"/>
    <col min="7929" max="7929" width="9.85546875" style="21" customWidth="1"/>
    <col min="7930" max="7930" width="14.42578125" style="21" customWidth="1"/>
    <col min="7931" max="7931" width="7.425781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5703125" style="21" customWidth="1"/>
    <col min="8185" max="8185" width="9.85546875" style="21" customWidth="1"/>
    <col min="8186" max="8186" width="14.42578125" style="21" customWidth="1"/>
    <col min="8187" max="8187" width="7.425781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5703125" style="21" customWidth="1"/>
    <col min="8441" max="8441" width="9.85546875" style="21" customWidth="1"/>
    <col min="8442" max="8442" width="14.42578125" style="21" customWidth="1"/>
    <col min="8443" max="8443" width="7.425781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5703125" style="21" customWidth="1"/>
    <col min="8697" max="8697" width="9.85546875" style="21" customWidth="1"/>
    <col min="8698" max="8698" width="14.42578125" style="21" customWidth="1"/>
    <col min="8699" max="8699" width="7.425781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5703125" style="21" customWidth="1"/>
    <col min="8953" max="8953" width="9.85546875" style="21" customWidth="1"/>
    <col min="8954" max="8954" width="14.42578125" style="21" customWidth="1"/>
    <col min="8955" max="8955" width="7.425781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5703125" style="21" customWidth="1"/>
    <col min="9209" max="9209" width="9.85546875" style="21" customWidth="1"/>
    <col min="9210" max="9210" width="14.42578125" style="21" customWidth="1"/>
    <col min="9211" max="9211" width="7.425781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5703125" style="21" customWidth="1"/>
    <col min="9465" max="9465" width="9.85546875" style="21" customWidth="1"/>
    <col min="9466" max="9466" width="14.42578125" style="21" customWidth="1"/>
    <col min="9467" max="9467" width="7.425781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5703125" style="21" customWidth="1"/>
    <col min="9721" max="9721" width="9.85546875" style="21" customWidth="1"/>
    <col min="9722" max="9722" width="14.42578125" style="21" customWidth="1"/>
    <col min="9723" max="9723" width="7.425781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5703125" style="21" customWidth="1"/>
    <col min="9977" max="9977" width="9.85546875" style="21" customWidth="1"/>
    <col min="9978" max="9978" width="14.42578125" style="21" customWidth="1"/>
    <col min="9979" max="9979" width="7.425781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5703125" style="21" customWidth="1"/>
    <col min="10233" max="10233" width="9.85546875" style="21" customWidth="1"/>
    <col min="10234" max="10234" width="14.42578125" style="21" customWidth="1"/>
    <col min="10235" max="10235" width="7.425781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5703125" style="21" customWidth="1"/>
    <col min="10489" max="10489" width="9.85546875" style="21" customWidth="1"/>
    <col min="10490" max="10490" width="14.42578125" style="21" customWidth="1"/>
    <col min="10491" max="10491" width="7.425781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5703125" style="21" customWidth="1"/>
    <col min="10745" max="10745" width="9.85546875" style="21" customWidth="1"/>
    <col min="10746" max="10746" width="14.42578125" style="21" customWidth="1"/>
    <col min="10747" max="10747" width="7.425781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5703125" style="21" customWidth="1"/>
    <col min="11001" max="11001" width="9.85546875" style="21" customWidth="1"/>
    <col min="11002" max="11002" width="14.42578125" style="21" customWidth="1"/>
    <col min="11003" max="11003" width="7.425781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5703125" style="21" customWidth="1"/>
    <col min="11257" max="11257" width="9.85546875" style="21" customWidth="1"/>
    <col min="11258" max="11258" width="14.42578125" style="21" customWidth="1"/>
    <col min="11259" max="11259" width="7.425781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5703125" style="21" customWidth="1"/>
    <col min="11513" max="11513" width="9.85546875" style="21" customWidth="1"/>
    <col min="11514" max="11514" width="14.42578125" style="21" customWidth="1"/>
    <col min="11515" max="11515" width="7.425781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5703125" style="21" customWidth="1"/>
    <col min="11769" max="11769" width="9.85546875" style="21" customWidth="1"/>
    <col min="11770" max="11770" width="14.42578125" style="21" customWidth="1"/>
    <col min="11771" max="11771" width="7.425781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5703125" style="21" customWidth="1"/>
    <col min="12025" max="12025" width="9.85546875" style="21" customWidth="1"/>
    <col min="12026" max="12026" width="14.42578125" style="21" customWidth="1"/>
    <col min="12027" max="12027" width="7.425781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5703125" style="21" customWidth="1"/>
    <col min="12281" max="12281" width="9.85546875" style="21" customWidth="1"/>
    <col min="12282" max="12282" width="14.42578125" style="21" customWidth="1"/>
    <col min="12283" max="12283" width="7.425781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5703125" style="21" customWidth="1"/>
    <col min="12537" max="12537" width="9.85546875" style="21" customWidth="1"/>
    <col min="12538" max="12538" width="14.42578125" style="21" customWidth="1"/>
    <col min="12539" max="12539" width="7.425781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5703125" style="21" customWidth="1"/>
    <col min="12793" max="12793" width="9.85546875" style="21" customWidth="1"/>
    <col min="12794" max="12794" width="14.42578125" style="21" customWidth="1"/>
    <col min="12795" max="12795" width="7.425781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5703125" style="21" customWidth="1"/>
    <col min="13049" max="13049" width="9.85546875" style="21" customWidth="1"/>
    <col min="13050" max="13050" width="14.42578125" style="21" customWidth="1"/>
    <col min="13051" max="13051" width="7.425781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5703125" style="21" customWidth="1"/>
    <col min="13305" max="13305" width="9.85546875" style="21" customWidth="1"/>
    <col min="13306" max="13306" width="14.42578125" style="21" customWidth="1"/>
    <col min="13307" max="13307" width="7.425781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5703125" style="21" customWidth="1"/>
    <col min="13561" max="13561" width="9.85546875" style="21" customWidth="1"/>
    <col min="13562" max="13562" width="14.42578125" style="21" customWidth="1"/>
    <col min="13563" max="13563" width="7.425781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5703125" style="21" customWidth="1"/>
    <col min="13817" max="13817" width="9.85546875" style="21" customWidth="1"/>
    <col min="13818" max="13818" width="14.42578125" style="21" customWidth="1"/>
    <col min="13819" max="13819" width="7.425781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5703125" style="21" customWidth="1"/>
    <col min="14073" max="14073" width="9.85546875" style="21" customWidth="1"/>
    <col min="14074" max="14074" width="14.42578125" style="21" customWidth="1"/>
    <col min="14075" max="14075" width="7.425781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5703125" style="21" customWidth="1"/>
    <col min="14329" max="14329" width="9.85546875" style="21" customWidth="1"/>
    <col min="14330" max="14330" width="14.42578125" style="21" customWidth="1"/>
    <col min="14331" max="14331" width="7.425781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5703125" style="21" customWidth="1"/>
    <col min="14585" max="14585" width="9.85546875" style="21" customWidth="1"/>
    <col min="14586" max="14586" width="14.42578125" style="21" customWidth="1"/>
    <col min="14587" max="14587" width="7.425781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5703125" style="21" customWidth="1"/>
    <col min="14841" max="14841" width="9.85546875" style="21" customWidth="1"/>
    <col min="14842" max="14842" width="14.42578125" style="21" customWidth="1"/>
    <col min="14843" max="14843" width="7.425781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5703125" style="21" customWidth="1"/>
    <col min="15097" max="15097" width="9.85546875" style="21" customWidth="1"/>
    <col min="15098" max="15098" width="14.42578125" style="21" customWidth="1"/>
    <col min="15099" max="15099" width="7.425781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5703125" style="21" customWidth="1"/>
    <col min="15353" max="15353" width="9.85546875" style="21" customWidth="1"/>
    <col min="15354" max="15354" width="14.42578125" style="21" customWidth="1"/>
    <col min="15355" max="15355" width="7.425781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5703125" style="21" customWidth="1"/>
    <col min="15609" max="15609" width="9.85546875" style="21" customWidth="1"/>
    <col min="15610" max="15610" width="14.42578125" style="21" customWidth="1"/>
    <col min="15611" max="15611" width="7.425781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5703125" style="21" customWidth="1"/>
    <col min="15865" max="15865" width="9.85546875" style="21" customWidth="1"/>
    <col min="15866" max="15866" width="14.42578125" style="21" customWidth="1"/>
    <col min="15867" max="15867" width="7.425781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5703125" style="21" customWidth="1"/>
    <col min="16121" max="16121" width="9.85546875" style="21" customWidth="1"/>
    <col min="16122" max="16122" width="14.42578125" style="21" customWidth="1"/>
    <col min="16123" max="16123" width="7.425781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54" t="s">
        <v>228</v>
      </c>
      <c r="B1" s="154"/>
      <c r="C1" s="154"/>
      <c r="D1" s="154"/>
      <c r="E1" s="154"/>
      <c r="F1" s="154"/>
      <c r="G1" s="154"/>
      <c r="H1" s="154"/>
    </row>
    <row r="2" spans="1:12" ht="16.5" customHeight="1" x14ac:dyDescent="0.25">
      <c r="A2" s="155" t="s">
        <v>0</v>
      </c>
      <c r="B2" s="155"/>
      <c r="C2" s="155"/>
      <c r="D2" s="155"/>
      <c r="E2" s="155"/>
      <c r="F2" s="155"/>
      <c r="G2" s="155"/>
      <c r="H2" s="155"/>
    </row>
    <row r="3" spans="1:12" x14ac:dyDescent="0.25">
      <c r="A3" s="60" t="s">
        <v>1</v>
      </c>
      <c r="B3" s="60"/>
      <c r="C3" s="60"/>
      <c r="D3" s="60"/>
      <c r="E3" s="60" t="str">
        <f ca="1">TEXT(TODAY(),"DD/MM/YYYY")</f>
        <v>17/09/2025</v>
      </c>
      <c r="F3" s="60"/>
      <c r="G3" s="60"/>
      <c r="H3" s="60"/>
    </row>
    <row r="4" spans="1:12" ht="15" customHeight="1" x14ac:dyDescent="0.25">
      <c r="A4" s="60" t="s">
        <v>2</v>
      </c>
      <c r="B4" s="60"/>
      <c r="C4" s="60"/>
      <c r="D4" s="60"/>
      <c r="E4" s="60" t="s">
        <v>179</v>
      </c>
      <c r="F4" s="60"/>
      <c r="G4" s="60"/>
      <c r="H4" s="60"/>
    </row>
    <row r="5" spans="1:12" x14ac:dyDescent="0.25">
      <c r="A5" s="60" t="s">
        <v>3</v>
      </c>
      <c r="B5" s="60"/>
      <c r="C5" s="60"/>
      <c r="D5" s="60"/>
      <c r="E5" s="156">
        <v>45910</v>
      </c>
      <c r="F5" s="60"/>
      <c r="G5" s="60"/>
      <c r="H5" s="60"/>
    </row>
    <row r="6" spans="1:12" ht="16.5" customHeight="1" x14ac:dyDescent="0.25">
      <c r="A6" s="60" t="s">
        <v>4</v>
      </c>
      <c r="B6" s="60"/>
      <c r="C6" s="60"/>
      <c r="D6" s="60"/>
      <c r="E6" s="60" t="s">
        <v>181</v>
      </c>
      <c r="F6" s="60"/>
      <c r="G6" s="60"/>
      <c r="H6" s="60"/>
    </row>
    <row r="7" spans="1:12" ht="15" customHeight="1" x14ac:dyDescent="0.25">
      <c r="A7" s="60" t="s">
        <v>5</v>
      </c>
      <c r="B7" s="60"/>
      <c r="C7" s="60"/>
      <c r="D7" s="60"/>
      <c r="E7" s="60" t="s">
        <v>180</v>
      </c>
      <c r="F7" s="60"/>
      <c r="G7" s="60"/>
      <c r="H7" s="60"/>
    </row>
    <row r="8" spans="1:12" x14ac:dyDescent="0.25">
      <c r="A8" s="60" t="s">
        <v>6</v>
      </c>
      <c r="B8" s="60"/>
      <c r="C8" s="60"/>
      <c r="D8" s="60"/>
      <c r="E8" s="153" t="s">
        <v>182</v>
      </c>
      <c r="F8" s="153"/>
      <c r="G8" s="153"/>
      <c r="H8" s="153"/>
    </row>
    <row r="9" spans="1:12" x14ac:dyDescent="0.25">
      <c r="A9" s="60" t="s">
        <v>174</v>
      </c>
      <c r="B9" s="60"/>
      <c r="C9" s="60"/>
      <c r="D9" s="60"/>
      <c r="E9" s="60">
        <v>8082122237</v>
      </c>
      <c r="F9" s="60"/>
      <c r="G9" s="60"/>
      <c r="H9" s="60"/>
    </row>
    <row r="10" spans="1:12" x14ac:dyDescent="0.25">
      <c r="A10" s="60" t="s">
        <v>175</v>
      </c>
      <c r="B10" s="60"/>
      <c r="C10" s="60"/>
      <c r="D10" s="60"/>
      <c r="E10" s="60" t="s">
        <v>235</v>
      </c>
      <c r="F10" s="60"/>
      <c r="G10" s="60"/>
      <c r="H10" s="60"/>
      <c r="I10" s="60" t="s">
        <v>232</v>
      </c>
      <c r="J10" s="60"/>
      <c r="K10" s="60"/>
      <c r="L10" s="60"/>
    </row>
    <row r="11" spans="1:12" x14ac:dyDescent="0.25">
      <c r="A11" s="60" t="s">
        <v>7</v>
      </c>
      <c r="B11" s="60"/>
      <c r="C11" s="60"/>
      <c r="D11" s="60"/>
      <c r="E11" s="60" t="s">
        <v>184</v>
      </c>
      <c r="F11" s="60"/>
      <c r="G11" s="60"/>
      <c r="H11" s="60"/>
    </row>
    <row r="12" spans="1:12" x14ac:dyDescent="0.25">
      <c r="A12" s="60" t="s">
        <v>183</v>
      </c>
      <c r="B12" s="60"/>
      <c r="C12" s="60"/>
      <c r="D12" s="60"/>
      <c r="E12" s="60" t="s">
        <v>185</v>
      </c>
      <c r="F12" s="60"/>
      <c r="G12" s="60"/>
      <c r="H12" s="60"/>
    </row>
    <row r="13" spans="1:12" x14ac:dyDescent="0.25">
      <c r="A13" s="81" t="s">
        <v>8</v>
      </c>
      <c r="B13" s="81"/>
      <c r="C13" s="81"/>
      <c r="D13" s="81"/>
      <c r="E13" s="109" t="s">
        <v>186</v>
      </c>
      <c r="F13" s="109"/>
      <c r="G13" s="109"/>
      <c r="H13" s="109"/>
    </row>
    <row r="14" spans="1:12" x14ac:dyDescent="0.25">
      <c r="A14" s="81" t="s">
        <v>9</v>
      </c>
      <c r="B14" s="81"/>
      <c r="C14" s="81"/>
      <c r="D14" s="81"/>
      <c r="E14" s="109" t="s">
        <v>187</v>
      </c>
      <c r="F14" s="60"/>
      <c r="G14" s="60"/>
      <c r="H14" s="60"/>
    </row>
    <row r="15" spans="1:12" ht="48.75" customHeight="1" x14ac:dyDescent="0.25">
      <c r="A15" s="108" t="s">
        <v>10</v>
      </c>
      <c r="B15" s="108"/>
      <c r="C15" s="10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Unique Shine, CTS No.356 (Pt), Redevelopement of "Building No. 71 (Swaranjali Chs. Ltd)", near Templum Heights, Road No.13, Kannamwar Nagar II, Hariyali, Vikhroli East, Kurla, Mumbai - 400083.</v>
      </c>
      <c r="D15" s="108"/>
      <c r="E15" s="108"/>
      <c r="F15" s="108"/>
      <c r="G15" s="108"/>
      <c r="H15" s="108"/>
    </row>
    <row r="16" spans="1:12" x14ac:dyDescent="0.25">
      <c r="A16" s="109" t="s">
        <v>188</v>
      </c>
      <c r="B16" s="109"/>
      <c r="C16" s="109" t="s">
        <v>211</v>
      </c>
      <c r="D16" s="109"/>
      <c r="E16" s="109"/>
      <c r="F16" s="109"/>
      <c r="G16" s="109"/>
      <c r="H16" s="109"/>
    </row>
    <row r="17" spans="1:8" ht="15.75" customHeight="1" x14ac:dyDescent="0.25">
      <c r="A17" s="109" t="s">
        <v>173</v>
      </c>
      <c r="B17" s="109"/>
      <c r="C17" s="109" t="s">
        <v>200</v>
      </c>
      <c r="D17" s="109"/>
      <c r="E17" s="109"/>
      <c r="F17" s="109"/>
      <c r="G17" s="109"/>
      <c r="H17" s="109"/>
    </row>
    <row r="18" spans="1:8" ht="15.75" customHeight="1" x14ac:dyDescent="0.25">
      <c r="A18" s="108" t="s">
        <v>11</v>
      </c>
      <c r="B18" s="108"/>
      <c r="C18" s="60" t="s">
        <v>192</v>
      </c>
      <c r="D18" s="60"/>
      <c r="E18" s="108" t="s">
        <v>75</v>
      </c>
      <c r="F18" s="108"/>
      <c r="G18" s="109" t="s">
        <v>189</v>
      </c>
      <c r="H18" s="109"/>
    </row>
    <row r="19" spans="1:8" x14ac:dyDescent="0.25">
      <c r="A19" s="81" t="s">
        <v>13</v>
      </c>
      <c r="B19" s="81"/>
      <c r="C19" s="109" t="s">
        <v>194</v>
      </c>
      <c r="D19" s="109"/>
      <c r="E19" s="108" t="s">
        <v>12</v>
      </c>
      <c r="F19" s="108"/>
      <c r="G19" s="158" t="s">
        <v>190</v>
      </c>
      <c r="H19" s="158"/>
    </row>
    <row r="20" spans="1:8" x14ac:dyDescent="0.25">
      <c r="A20" s="81" t="s">
        <v>76</v>
      </c>
      <c r="B20" s="81"/>
      <c r="C20" s="109" t="s">
        <v>195</v>
      </c>
      <c r="D20" s="109"/>
      <c r="E20" s="108" t="s">
        <v>14</v>
      </c>
      <c r="F20" s="108"/>
      <c r="G20" s="109">
        <v>400083</v>
      </c>
      <c r="H20" s="109"/>
    </row>
    <row r="21" spans="1:8" ht="32.25" customHeight="1" x14ac:dyDescent="0.25">
      <c r="A21" s="81" t="s">
        <v>130</v>
      </c>
      <c r="B21" s="81"/>
      <c r="C21" s="109" t="s">
        <v>198</v>
      </c>
      <c r="D21" s="109"/>
      <c r="E21" s="108" t="s">
        <v>15</v>
      </c>
      <c r="F21" s="108"/>
      <c r="G21" s="109" t="s">
        <v>193</v>
      </c>
      <c r="H21" s="109"/>
    </row>
    <row r="22" spans="1:8" ht="15" customHeight="1" x14ac:dyDescent="0.25">
      <c r="A22" s="108" t="s">
        <v>79</v>
      </c>
      <c r="B22" s="108"/>
      <c r="C22" s="108"/>
      <c r="D22" s="108"/>
      <c r="E22" s="60" t="s">
        <v>16</v>
      </c>
      <c r="F22" s="60"/>
      <c r="G22" s="60"/>
      <c r="H22" s="60"/>
    </row>
    <row r="23" spans="1:8" ht="18.75" customHeight="1" x14ac:dyDescent="0.25">
      <c r="A23" s="108"/>
      <c r="B23" s="108"/>
      <c r="C23" s="108"/>
      <c r="D23" s="108"/>
      <c r="E23" s="60"/>
      <c r="F23" s="60"/>
      <c r="G23" s="60"/>
      <c r="H23" s="60"/>
    </row>
    <row r="24" spans="1:8" ht="15" customHeight="1" x14ac:dyDescent="0.25">
      <c r="A24" s="108" t="s">
        <v>17</v>
      </c>
      <c r="B24" s="108"/>
      <c r="C24" s="108"/>
      <c r="D24" s="108"/>
      <c r="E24" s="109" t="s">
        <v>18</v>
      </c>
      <c r="F24" s="109"/>
      <c r="G24" s="109"/>
      <c r="H24" s="109"/>
    </row>
    <row r="25" spans="1:8" ht="15" customHeight="1" x14ac:dyDescent="0.25">
      <c r="A25" s="81" t="s">
        <v>19</v>
      </c>
      <c r="B25" s="81"/>
      <c r="C25" s="81"/>
      <c r="D25" s="81"/>
      <c r="E25" s="109" t="str">
        <f>IF(AND(G19="Mumbai"),"Upper Class","Middle Class")</f>
        <v>Upper Class</v>
      </c>
      <c r="F25" s="109"/>
      <c r="G25" s="109"/>
      <c r="H25" s="109"/>
    </row>
    <row r="26" spans="1:8" x14ac:dyDescent="0.25">
      <c r="A26" s="81" t="s">
        <v>20</v>
      </c>
      <c r="B26" s="81"/>
      <c r="C26" s="81"/>
      <c r="D26" s="81"/>
      <c r="E26" s="109" t="s">
        <v>21</v>
      </c>
      <c r="F26" s="109"/>
      <c r="G26" s="109"/>
      <c r="H26" s="109"/>
    </row>
    <row r="27" spans="1:8" ht="15.75" customHeight="1" x14ac:dyDescent="0.25">
      <c r="A27" s="81" t="s">
        <v>22</v>
      </c>
      <c r="B27" s="81"/>
      <c r="C27" s="81"/>
      <c r="D27" s="81"/>
      <c r="E27" s="109" t="str">
        <f>IF(AND(G19="Mumbai"),"Developed","Developing")</f>
        <v>Developed</v>
      </c>
      <c r="F27" s="109"/>
      <c r="G27" s="109"/>
      <c r="H27" s="109"/>
    </row>
    <row r="28" spans="1:8" x14ac:dyDescent="0.25">
      <c r="A28" s="81" t="s">
        <v>23</v>
      </c>
      <c r="B28" s="81"/>
      <c r="C28" s="81"/>
      <c r="D28" s="81"/>
      <c r="E28" s="109" t="s">
        <v>24</v>
      </c>
      <c r="F28" s="109"/>
      <c r="G28" s="109"/>
      <c r="H28" s="109"/>
    </row>
    <row r="29" spans="1:8" ht="15.75" customHeight="1" x14ac:dyDescent="0.25">
      <c r="A29" s="81" t="s">
        <v>84</v>
      </c>
      <c r="B29" s="81"/>
      <c r="C29" s="81"/>
      <c r="D29" s="81"/>
      <c r="E29" s="109" t="s">
        <v>85</v>
      </c>
      <c r="F29" s="109"/>
      <c r="G29" s="109"/>
      <c r="H29" s="109"/>
    </row>
    <row r="30" spans="1:8" ht="15" customHeight="1" x14ac:dyDescent="0.25">
      <c r="A30" s="81" t="s">
        <v>33</v>
      </c>
      <c r="B30" s="81"/>
      <c r="C30" s="81"/>
      <c r="D30" s="81"/>
      <c r="E30" s="10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09"/>
      <c r="G30" s="109"/>
      <c r="H30" s="109"/>
    </row>
    <row r="31" spans="1:8" ht="15.75" customHeight="1" x14ac:dyDescent="0.25">
      <c r="A31" s="81" t="s">
        <v>96</v>
      </c>
      <c r="B31" s="81"/>
      <c r="C31" s="81"/>
      <c r="D31" s="81"/>
      <c r="E31" s="109" t="s">
        <v>34</v>
      </c>
      <c r="F31" s="109"/>
      <c r="G31" s="109"/>
      <c r="H31" s="109"/>
    </row>
    <row r="32" spans="1:8" s="22" customFormat="1" x14ac:dyDescent="0.25">
      <c r="A32" s="162" t="s">
        <v>97</v>
      </c>
      <c r="B32" s="162"/>
      <c r="C32" s="161" t="s">
        <v>29</v>
      </c>
      <c r="D32" s="161"/>
      <c r="E32" s="161"/>
      <c r="F32" s="161" t="s">
        <v>31</v>
      </c>
      <c r="G32" s="161"/>
      <c r="H32" s="161"/>
    </row>
    <row r="33" spans="1:8" s="22" customFormat="1" x14ac:dyDescent="0.25">
      <c r="A33" s="160" t="s">
        <v>25</v>
      </c>
      <c r="B33" s="160" t="s">
        <v>30</v>
      </c>
      <c r="C33" s="157" t="s">
        <v>30</v>
      </c>
      <c r="D33" s="157"/>
      <c r="E33" s="157"/>
      <c r="F33" s="157" t="s">
        <v>196</v>
      </c>
      <c r="G33" s="157"/>
      <c r="H33" s="157"/>
    </row>
    <row r="34" spans="1:8" x14ac:dyDescent="0.25">
      <c r="A34" s="160" t="s">
        <v>26</v>
      </c>
      <c r="B34" s="160" t="s">
        <v>30</v>
      </c>
      <c r="C34" s="157" t="s">
        <v>30</v>
      </c>
      <c r="D34" s="157"/>
      <c r="E34" s="157"/>
      <c r="F34" s="157" t="s">
        <v>199</v>
      </c>
      <c r="G34" s="157"/>
      <c r="H34" s="157"/>
    </row>
    <row r="35" spans="1:8" s="22" customFormat="1" x14ac:dyDescent="0.25">
      <c r="A35" s="160" t="s">
        <v>28</v>
      </c>
      <c r="B35" s="160" t="s">
        <v>30</v>
      </c>
      <c r="C35" s="157" t="s">
        <v>30</v>
      </c>
      <c r="D35" s="157"/>
      <c r="E35" s="157"/>
      <c r="F35" s="157" t="s">
        <v>197</v>
      </c>
      <c r="G35" s="157"/>
      <c r="H35" s="157"/>
    </row>
    <row r="36" spans="1:8" x14ac:dyDescent="0.25">
      <c r="A36" s="160" t="s">
        <v>27</v>
      </c>
      <c r="B36" s="160" t="s">
        <v>30</v>
      </c>
      <c r="C36" s="157" t="s">
        <v>30</v>
      </c>
      <c r="D36" s="157"/>
      <c r="E36" s="157"/>
      <c r="F36" s="157" t="s">
        <v>198</v>
      </c>
      <c r="G36" s="157"/>
      <c r="H36" s="157"/>
    </row>
    <row r="37" spans="1:8" x14ac:dyDescent="0.25">
      <c r="A37" s="81" t="s">
        <v>32</v>
      </c>
      <c r="B37" s="81"/>
      <c r="C37" s="81"/>
      <c r="D37" s="81"/>
      <c r="E37" s="81"/>
      <c r="F37" s="81"/>
      <c r="G37" s="81"/>
      <c r="H37" s="81"/>
    </row>
    <row r="38" spans="1:8" ht="15.75" customHeight="1" x14ac:dyDescent="0.25">
      <c r="A38" s="81" t="s">
        <v>177</v>
      </c>
      <c r="B38" s="81"/>
      <c r="C38" s="148" t="s">
        <v>213</v>
      </c>
      <c r="D38" s="148"/>
      <c r="E38" s="148"/>
      <c r="F38" s="148"/>
      <c r="G38" s="148"/>
      <c r="H38" s="148"/>
    </row>
    <row r="39" spans="1:8" x14ac:dyDescent="0.25">
      <c r="A39" s="81" t="s">
        <v>172</v>
      </c>
      <c r="B39" s="81"/>
      <c r="C39" s="192" t="s">
        <v>191</v>
      </c>
      <c r="D39" s="109"/>
      <c r="E39" s="109"/>
      <c r="F39" s="109"/>
      <c r="G39" s="109"/>
      <c r="H39" s="109"/>
    </row>
    <row r="40" spans="1:8" x14ac:dyDescent="0.25">
      <c r="A40" s="148" t="s">
        <v>35</v>
      </c>
      <c r="B40" s="148"/>
      <c r="C40" s="148"/>
      <c r="D40" s="148"/>
      <c r="E40" s="148"/>
      <c r="F40" s="148"/>
      <c r="G40" s="148"/>
      <c r="H40" s="148"/>
    </row>
    <row r="41" spans="1:8" x14ac:dyDescent="0.25">
      <c r="A41" s="81" t="s">
        <v>36</v>
      </c>
      <c r="B41" s="81"/>
      <c r="C41" s="81"/>
      <c r="D41" s="81"/>
      <c r="E41" s="164">
        <v>638.67999999999995</v>
      </c>
      <c r="F41" s="164"/>
      <c r="G41" s="164"/>
      <c r="H41" s="164"/>
    </row>
    <row r="42" spans="1:8" x14ac:dyDescent="0.25">
      <c r="A42" s="81" t="s">
        <v>37</v>
      </c>
      <c r="B42" s="81"/>
      <c r="C42" s="81"/>
      <c r="D42" s="81"/>
      <c r="E42" s="80">
        <v>3</v>
      </c>
      <c r="F42" s="80"/>
      <c r="G42" s="80"/>
      <c r="H42" s="80"/>
    </row>
    <row r="43" spans="1:8" x14ac:dyDescent="0.25">
      <c r="A43" s="81" t="s">
        <v>38</v>
      </c>
      <c r="B43" s="81"/>
      <c r="C43" s="81"/>
      <c r="D43" s="81"/>
      <c r="E43" s="80">
        <f>E45/E41-E42</f>
        <v>3.0918769963048796</v>
      </c>
      <c r="F43" s="80"/>
      <c r="G43" s="80"/>
      <c r="H43" s="80"/>
    </row>
    <row r="44" spans="1:8" x14ac:dyDescent="0.25">
      <c r="A44" s="81" t="s">
        <v>39</v>
      </c>
      <c r="B44" s="81"/>
      <c r="C44" s="81"/>
      <c r="D44" s="81"/>
      <c r="E44" s="80">
        <f>E42+E43</f>
        <v>6.0918769963048796</v>
      </c>
      <c r="F44" s="80"/>
      <c r="G44" s="80"/>
      <c r="H44" s="80"/>
    </row>
    <row r="45" spans="1:8" x14ac:dyDescent="0.25">
      <c r="A45" s="81" t="s">
        <v>95</v>
      </c>
      <c r="B45" s="81"/>
      <c r="C45" s="81"/>
      <c r="D45" s="81"/>
      <c r="E45" s="166">
        <v>3890.76</v>
      </c>
      <c r="F45" s="166"/>
      <c r="G45" s="166"/>
      <c r="H45" s="166"/>
    </row>
    <row r="46" spans="1:8" x14ac:dyDescent="0.25">
      <c r="A46" s="60" t="s">
        <v>40</v>
      </c>
      <c r="B46" s="60"/>
      <c r="C46" s="60"/>
      <c r="D46" s="60"/>
      <c r="E46" s="60" t="s">
        <v>128</v>
      </c>
      <c r="F46" s="60"/>
      <c r="G46" s="60"/>
      <c r="H46" s="60"/>
    </row>
    <row r="47" spans="1:8" x14ac:dyDescent="0.25">
      <c r="A47" s="148" t="s">
        <v>41</v>
      </c>
      <c r="B47" s="148"/>
      <c r="C47" s="148"/>
      <c r="D47" s="148"/>
      <c r="E47" s="148"/>
      <c r="F47" s="148"/>
      <c r="G47" s="148"/>
      <c r="H47" s="148"/>
    </row>
    <row r="48" spans="1:8" ht="33.75" customHeight="1" x14ac:dyDescent="0.25">
      <c r="A48" s="93" t="s">
        <v>159</v>
      </c>
      <c r="B48" s="94"/>
      <c r="C48" s="175" t="s">
        <v>201</v>
      </c>
      <c r="D48" s="176"/>
      <c r="E48" s="176"/>
      <c r="F48" s="176"/>
      <c r="G48" s="176"/>
      <c r="H48" s="177"/>
    </row>
    <row r="49" spans="1:14" ht="31.5" customHeight="1" x14ac:dyDescent="0.25">
      <c r="A49" s="93" t="s">
        <v>42</v>
      </c>
      <c r="B49" s="94"/>
      <c r="C49" s="93" t="s">
        <v>214</v>
      </c>
      <c r="D49" s="95"/>
      <c r="E49" s="94"/>
      <c r="F49" s="18" t="s">
        <v>43</v>
      </c>
      <c r="G49" s="96">
        <v>45189</v>
      </c>
      <c r="H49" s="94"/>
    </row>
    <row r="50" spans="1:14" ht="32.25" customHeight="1" x14ac:dyDescent="0.25">
      <c r="A50" s="93" t="s">
        <v>44</v>
      </c>
      <c r="B50" s="94"/>
      <c r="C50" s="93" t="str">
        <f>C49</f>
        <v>MH/EE/(B.P)/GM/MHADA-9/1241/2023</v>
      </c>
      <c r="D50" s="95"/>
      <c r="E50" s="94"/>
      <c r="F50" s="18" t="s">
        <v>43</v>
      </c>
      <c r="G50" s="96">
        <f>G49</f>
        <v>45189</v>
      </c>
      <c r="H50" s="97"/>
    </row>
    <row r="51" spans="1:14" s="23" customFormat="1" ht="33" customHeight="1" x14ac:dyDescent="0.25">
      <c r="A51" s="194" t="s">
        <v>163</v>
      </c>
      <c r="B51" s="195"/>
      <c r="C51" s="93" t="s">
        <v>237</v>
      </c>
      <c r="D51" s="95"/>
      <c r="E51" s="94"/>
      <c r="F51" s="18" t="s">
        <v>43</v>
      </c>
      <c r="G51" s="96">
        <v>45750</v>
      </c>
      <c r="H51" s="97"/>
    </row>
    <row r="52" spans="1:14" s="23" customFormat="1" ht="81" customHeight="1" x14ac:dyDescent="0.25">
      <c r="A52" s="196"/>
      <c r="B52" s="197"/>
      <c r="C52" s="93" t="s">
        <v>238</v>
      </c>
      <c r="D52" s="95"/>
      <c r="E52" s="94"/>
      <c r="F52" s="18" t="s">
        <v>129</v>
      </c>
      <c r="G52" s="96">
        <v>46080</v>
      </c>
      <c r="H52" s="97"/>
    </row>
    <row r="53" spans="1:14" x14ac:dyDescent="0.25">
      <c r="A53" s="104" t="s">
        <v>45</v>
      </c>
      <c r="B53" s="105"/>
      <c r="C53" s="104" t="s">
        <v>109</v>
      </c>
      <c r="D53" s="106"/>
      <c r="E53" s="105"/>
      <c r="F53" s="46" t="s">
        <v>43</v>
      </c>
      <c r="G53" s="110" t="s">
        <v>30</v>
      </c>
      <c r="H53" s="111"/>
    </row>
    <row r="54" spans="1:14" x14ac:dyDescent="0.25">
      <c r="A54" s="107" t="s">
        <v>47</v>
      </c>
      <c r="B54" s="107"/>
      <c r="C54" s="107"/>
      <c r="D54" s="107"/>
      <c r="E54" s="107"/>
      <c r="F54" s="107"/>
      <c r="G54" s="107"/>
      <c r="H54" s="107"/>
    </row>
    <row r="55" spans="1:14" x14ac:dyDescent="0.25">
      <c r="A55" s="108" t="s">
        <v>94</v>
      </c>
      <c r="B55" s="108"/>
      <c r="C55" s="108"/>
      <c r="D55" s="81">
        <f>E45</f>
        <v>3890.76</v>
      </c>
      <c r="E55" s="81"/>
      <c r="F55" s="81"/>
      <c r="G55" s="81"/>
      <c r="H55" s="81"/>
    </row>
    <row r="56" spans="1:14" x14ac:dyDescent="0.25">
      <c r="A56" s="109" t="s">
        <v>48</v>
      </c>
      <c r="B56" s="60"/>
      <c r="C56" s="60"/>
      <c r="D56" s="60" t="s">
        <v>226</v>
      </c>
      <c r="E56" s="60"/>
      <c r="F56" s="60"/>
      <c r="G56" s="60"/>
      <c r="H56" s="60"/>
      <c r="I56" s="24"/>
    </row>
    <row r="57" spans="1:14" x14ac:dyDescent="0.25">
      <c r="A57" s="134" t="s">
        <v>49</v>
      </c>
      <c r="B57" s="135"/>
      <c r="C57" s="159"/>
      <c r="D57" s="114" t="s">
        <v>215</v>
      </c>
      <c r="E57" s="167"/>
      <c r="F57" s="167"/>
      <c r="G57" s="167"/>
      <c r="H57" s="167"/>
    </row>
    <row r="58" spans="1:14" ht="15.75" customHeight="1" x14ac:dyDescent="0.25">
      <c r="A58" s="134" t="s">
        <v>92</v>
      </c>
      <c r="B58" s="135"/>
      <c r="C58" s="135"/>
      <c r="D58" s="109" t="s">
        <v>233</v>
      </c>
      <c r="E58" s="60"/>
      <c r="F58" s="60"/>
      <c r="G58" s="60"/>
      <c r="H58" s="60"/>
    </row>
    <row r="59" spans="1:14" ht="15.75" customHeight="1" x14ac:dyDescent="0.25">
      <c r="A59" s="81" t="s">
        <v>46</v>
      </c>
      <c r="B59" s="81"/>
      <c r="C59" s="81"/>
      <c r="D59" s="165" t="s">
        <v>202</v>
      </c>
      <c r="E59" s="165"/>
      <c r="F59" s="165"/>
      <c r="G59" s="165"/>
      <c r="H59" s="165"/>
      <c r="J59" s="25"/>
      <c r="K59" s="24"/>
      <c r="N59" s="24"/>
    </row>
    <row r="60" spans="1:14" ht="15.75" customHeight="1" x14ac:dyDescent="0.25">
      <c r="A60" s="81" t="s">
        <v>90</v>
      </c>
      <c r="B60" s="81"/>
      <c r="C60" s="81"/>
      <c r="D60" s="127" t="str">
        <f>(IF(G53="NA","60 Years After Completion",IF(G53&lt;&gt;"NA",""&amp;60-ROUNDDOWN((E3-G53)/360,0)&amp;" Years"," ")))</f>
        <v>60 Years After Completion</v>
      </c>
      <c r="E60" s="127"/>
      <c r="F60" s="127"/>
      <c r="G60" s="127"/>
      <c r="H60" s="127"/>
      <c r="N60" s="24"/>
    </row>
    <row r="61" spans="1:14" ht="15.75" customHeight="1" x14ac:dyDescent="0.25">
      <c r="A61" s="81" t="s">
        <v>91</v>
      </c>
      <c r="B61" s="81"/>
      <c r="C61" s="81"/>
      <c r="D61" s="108" t="s">
        <v>24</v>
      </c>
      <c r="E61" s="108"/>
      <c r="F61" s="108"/>
      <c r="G61" s="108"/>
      <c r="H61" s="108"/>
      <c r="J61" s="26"/>
      <c r="K61" s="26"/>
    </row>
    <row r="62" spans="1:14" x14ac:dyDescent="0.25">
      <c r="A62" s="81" t="s">
        <v>77</v>
      </c>
      <c r="B62" s="81"/>
      <c r="C62" s="81"/>
      <c r="D62" s="60" t="s">
        <v>210</v>
      </c>
      <c r="E62" s="81"/>
      <c r="F62" s="81"/>
      <c r="G62" s="81"/>
      <c r="H62" s="81"/>
    </row>
    <row r="63" spans="1:14" x14ac:dyDescent="0.25">
      <c r="A63" s="108" t="s">
        <v>156</v>
      </c>
      <c r="B63" s="108"/>
      <c r="C63" s="108"/>
      <c r="D63" s="108" t="s">
        <v>30</v>
      </c>
      <c r="E63" s="108"/>
      <c r="F63" s="108"/>
      <c r="G63" s="108"/>
      <c r="H63" s="108"/>
      <c r="I63" s="27"/>
      <c r="J63" s="27"/>
      <c r="K63" s="27"/>
      <c r="L63" s="27"/>
      <c r="M63" s="27"/>
      <c r="N63" s="27"/>
    </row>
    <row r="64" spans="1:14" ht="15.75" customHeight="1" x14ac:dyDescent="0.25">
      <c r="A64" s="113" t="s">
        <v>89</v>
      </c>
      <c r="B64" s="113"/>
      <c r="C64" s="113"/>
      <c r="D64" s="114" t="str">
        <f ca="1">(IF(G70&gt;95%,"Nothing",IF(G70&gt;0%,"Cement, Aggregate, Steel, etc",IF(G70=0%,"Work not yet Started"))))</f>
        <v>Cement, Aggregate, Steel, etc</v>
      </c>
      <c r="E64" s="114"/>
      <c r="F64" s="114"/>
      <c r="G64" s="114"/>
      <c r="H64" s="114"/>
      <c r="J64" s="26"/>
    </row>
    <row r="65" spans="1:10" ht="33.75" customHeight="1" thickBot="1" x14ac:dyDescent="0.3">
      <c r="A65" s="143" t="s">
        <v>122</v>
      </c>
      <c r="B65" s="143"/>
      <c r="C65" s="143"/>
      <c r="D65" s="114" t="str">
        <f ca="1">(IF(D64="Nothing","Yes",IF(D64="Cement, Aggregate, Steel, etc","Under Construction",IF(D64="Work not yet Started","Work not yet Started"))))</f>
        <v>Under Construction</v>
      </c>
      <c r="E65" s="114"/>
      <c r="F65" s="114" t="str">
        <f ca="1">(IF(D64="Nothing","Yes",IF(D64="Cement, Aggregate, Steel, etc","Under Construction",IF(D64="Work not yet Started","Work not yet Started"))))</f>
        <v>Under Construction</v>
      </c>
      <c r="G65" s="114"/>
      <c r="H65" s="114"/>
    </row>
    <row r="66" spans="1:10" ht="15.75" customHeight="1" x14ac:dyDescent="0.25">
      <c r="A66" s="136" t="s">
        <v>148</v>
      </c>
      <c r="B66" s="137"/>
      <c r="C66" s="138" t="str">
        <f>D58</f>
        <v>Building No.71 = Gr + 1st to  22nd Floor</v>
      </c>
      <c r="D66" s="139"/>
      <c r="E66" s="139"/>
      <c r="F66" s="139"/>
      <c r="G66" s="139"/>
      <c r="H66" s="140"/>
      <c r="I66" s="50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11 Floor, Painting upto 7 Floor Completed</v>
      </c>
      <c r="J66" s="5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11 Floor, Painting upto 7 Floor</v>
      </c>
    </row>
    <row r="67" spans="1:10" x14ac:dyDescent="0.25">
      <c r="A67" s="16" t="s">
        <v>150</v>
      </c>
      <c r="B67" s="48">
        <v>0</v>
      </c>
      <c r="C67" s="48" t="s">
        <v>74</v>
      </c>
      <c r="D67" s="48">
        <v>1</v>
      </c>
      <c r="E67" s="48" t="s">
        <v>73</v>
      </c>
      <c r="F67" s="48">
        <v>0</v>
      </c>
      <c r="G67" s="49" t="s">
        <v>83</v>
      </c>
      <c r="H67" s="17">
        <f ca="1">--TRIM(RIGHT(SUBSTITUTE(LEFT(C66,_xlfn.AGGREGATE(16,6,FIND({0,1,2,3,4,5,6,7,8,9},C66,ROW(INDIRECT("1:"&amp;LEN(C66)))),1))," ",REPT(" ",LEN(C66))),LEN(C66)))</f>
        <v>22</v>
      </c>
      <c r="I67" s="5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4.5" customHeight="1" x14ac:dyDescent="0.25">
      <c r="A68" s="152" t="s">
        <v>93</v>
      </c>
      <c r="B68" s="153"/>
      <c r="C68" s="141" t="str">
        <f ca="1">I66</f>
        <v>Excavation, Plinth, RCC Slab, Brickwork, Internal Plaster, External Plaster Completed, Flooring upto 11 Floor, Painting upto 7 Floor Completed</v>
      </c>
      <c r="D68" s="141"/>
      <c r="E68" s="141"/>
      <c r="F68" s="141"/>
      <c r="G68" s="141"/>
      <c r="H68" s="142"/>
      <c r="I68" s="52" t="str">
        <f ca="1">IF(I67&lt;&gt;""," Completed","")</f>
        <v xml:space="preserve"> Completed</v>
      </c>
      <c r="J68" s="53" t="str">
        <f ca="1">IF(J66&lt;&gt;"","Completed","")</f>
        <v>Completed</v>
      </c>
    </row>
    <row r="69" spans="1:10" ht="15.75" customHeight="1" x14ac:dyDescent="0.25">
      <c r="A69" s="88" t="s">
        <v>50</v>
      </c>
      <c r="B69" s="89"/>
      <c r="C69" s="44" t="s">
        <v>147</v>
      </c>
      <c r="D69" s="44" t="s">
        <v>86</v>
      </c>
      <c r="E69" s="89" t="s">
        <v>88</v>
      </c>
      <c r="F69" s="89"/>
      <c r="G69" s="89" t="s">
        <v>87</v>
      </c>
      <c r="H69" s="115"/>
      <c r="I69" s="14" t="s">
        <v>149</v>
      </c>
      <c r="J69" s="28">
        <f ca="1">H67*25%</f>
        <v>5.5</v>
      </c>
    </row>
    <row r="70" spans="1:10" x14ac:dyDescent="0.25">
      <c r="A70" s="88" t="s">
        <v>136</v>
      </c>
      <c r="B70" s="89"/>
      <c r="C70" s="44">
        <f ca="1">J71</f>
        <v>22</v>
      </c>
      <c r="D70" s="19">
        <f ca="1">((100/H67)*C70)/100</f>
        <v>1.0000000000000002</v>
      </c>
      <c r="E70" s="116">
        <f ca="1">(((C71/H67*10)+(40/(D67+F67+H67)*C72)+(7.5/(H67)*C73)+(7.5/(H67)*C74)+(10/H67*C75)+(10/H67*C76)+(5/H67*C77)+(5/H67*C78)+(5/H67*C79))/100)</f>
        <v>0.81590909090909092</v>
      </c>
      <c r="F70" s="117"/>
      <c r="G70" s="116">
        <f ca="1">((((C70/H67)*20)+((C71/H67)*25)+(30/(H67+F67+D67)*C72)+(5/H67*C73)+(5/H67*C74)+(5/H67*C75)+(5/H67*C76)+(0/H67*C77)+(0/H67*C78)+(5/H67*C79))/100)</f>
        <v>0.92500000000000004</v>
      </c>
      <c r="H70" s="122"/>
      <c r="I70" s="14" t="s">
        <v>104</v>
      </c>
      <c r="J70" s="29">
        <f ca="1">H67*50%</f>
        <v>11</v>
      </c>
    </row>
    <row r="71" spans="1:10" x14ac:dyDescent="0.25">
      <c r="A71" s="88" t="s">
        <v>51</v>
      </c>
      <c r="B71" s="89"/>
      <c r="C71" s="55">
        <f ca="1">J79</f>
        <v>22</v>
      </c>
      <c r="D71" s="19">
        <f ca="1">((100/H67)*C71)/100</f>
        <v>1.0000000000000002</v>
      </c>
      <c r="E71" s="118"/>
      <c r="F71" s="119"/>
      <c r="G71" s="118"/>
      <c r="H71" s="123"/>
      <c r="I71" s="14" t="s">
        <v>105</v>
      </c>
      <c r="J71" s="29">
        <f ca="1">H67</f>
        <v>22</v>
      </c>
    </row>
    <row r="72" spans="1:10" ht="15.75" customHeight="1" x14ac:dyDescent="0.25">
      <c r="A72" s="88" t="s">
        <v>137</v>
      </c>
      <c r="B72" s="89"/>
      <c r="C72" s="44">
        <v>23</v>
      </c>
      <c r="D72" s="19">
        <f ca="1">((100/(D67+F67+H67))*C72)/100</f>
        <v>1</v>
      </c>
      <c r="E72" s="118"/>
      <c r="F72" s="119"/>
      <c r="G72" s="118"/>
      <c r="H72" s="123"/>
      <c r="I72" s="14" t="s">
        <v>106</v>
      </c>
      <c r="J72" s="30">
        <f ca="1">(IF(B67&gt;1,(H67/(B67+2)),H67/4))</f>
        <v>5.5</v>
      </c>
    </row>
    <row r="73" spans="1:10" ht="15.75" customHeight="1" x14ac:dyDescent="0.25">
      <c r="A73" s="88" t="s">
        <v>144</v>
      </c>
      <c r="B73" s="89" t="s">
        <v>138</v>
      </c>
      <c r="C73" s="44">
        <v>22</v>
      </c>
      <c r="D73" s="19">
        <f ca="1">((100/H67)*C73)/100</f>
        <v>1.0000000000000002</v>
      </c>
      <c r="E73" s="118"/>
      <c r="F73" s="119"/>
      <c r="G73" s="118"/>
      <c r="H73" s="123"/>
      <c r="I73" s="14" t="s">
        <v>107</v>
      </c>
      <c r="J73" s="30">
        <f ca="1">(IF(B67&gt;1,(H67/(B67+2)+J72),H67/4+J72))</f>
        <v>11</v>
      </c>
    </row>
    <row r="74" spans="1:10" ht="15.75" customHeight="1" x14ac:dyDescent="0.25">
      <c r="A74" s="88" t="s">
        <v>145</v>
      </c>
      <c r="B74" s="89" t="s">
        <v>138</v>
      </c>
      <c r="C74" s="44">
        <v>22</v>
      </c>
      <c r="D74" s="19">
        <f ca="1">((100/H67)*C74)/100</f>
        <v>1.0000000000000002</v>
      </c>
      <c r="E74" s="118"/>
      <c r="F74" s="119"/>
      <c r="G74" s="118"/>
      <c r="H74" s="123"/>
      <c r="I74" s="14" t="s">
        <v>154</v>
      </c>
      <c r="J74" s="30">
        <f>(IF(B67&gt;1,(H67/(B67+2)+J73),0))</f>
        <v>0</v>
      </c>
    </row>
    <row r="75" spans="1:10" ht="15" customHeight="1" x14ac:dyDescent="0.25">
      <c r="A75" s="88" t="s">
        <v>143</v>
      </c>
      <c r="B75" s="89" t="s">
        <v>140</v>
      </c>
      <c r="C75" s="44">
        <v>22</v>
      </c>
      <c r="D75" s="19">
        <f ca="1">((100/(H67))*C75)/100</f>
        <v>1.0000000000000002</v>
      </c>
      <c r="E75" s="118"/>
      <c r="F75" s="119"/>
      <c r="G75" s="118"/>
      <c r="H75" s="123"/>
      <c r="I75" s="14" t="s">
        <v>151</v>
      </c>
      <c r="J75" s="30">
        <f>(IF(B67&gt;2,(H67/(B67+2)+J74),0))</f>
        <v>0</v>
      </c>
    </row>
    <row r="76" spans="1:10" ht="15.75" customHeight="1" x14ac:dyDescent="0.25">
      <c r="A76" s="88" t="s">
        <v>139</v>
      </c>
      <c r="B76" s="89" t="s">
        <v>139</v>
      </c>
      <c r="C76" s="44">
        <v>11</v>
      </c>
      <c r="D76" s="19">
        <f ca="1">((100/H67)*C76)/100</f>
        <v>0.50000000000000011</v>
      </c>
      <c r="E76" s="118"/>
      <c r="F76" s="119"/>
      <c r="G76" s="118"/>
      <c r="H76" s="123"/>
      <c r="I76" s="14" t="s">
        <v>152</v>
      </c>
      <c r="J76" s="31">
        <f>(IF(B67&gt;3,(H67/(B67+2)+J75),0))</f>
        <v>0</v>
      </c>
    </row>
    <row r="77" spans="1:10" ht="15.75" customHeight="1" x14ac:dyDescent="0.25">
      <c r="A77" s="88" t="s">
        <v>146</v>
      </c>
      <c r="B77" s="89"/>
      <c r="C77" s="44">
        <v>7</v>
      </c>
      <c r="D77" s="19">
        <f ca="1">((100/H67)*C77)/100</f>
        <v>0.31818181818181818</v>
      </c>
      <c r="E77" s="118"/>
      <c r="F77" s="119"/>
      <c r="G77" s="118"/>
      <c r="H77" s="123"/>
      <c r="I77" s="14" t="s">
        <v>153</v>
      </c>
      <c r="J77" s="30">
        <f>(IF(B67&gt;4,(H67/(B67+2)+J76),0))</f>
        <v>0</v>
      </c>
    </row>
    <row r="78" spans="1:10" ht="15.75" customHeight="1" x14ac:dyDescent="0.25">
      <c r="A78" s="88" t="s">
        <v>141</v>
      </c>
      <c r="B78" s="89" t="s">
        <v>141</v>
      </c>
      <c r="C78" s="44">
        <v>0</v>
      </c>
      <c r="D78" s="19">
        <f ca="1">((100/(H67))*C78)/100</f>
        <v>0</v>
      </c>
      <c r="E78" s="118"/>
      <c r="F78" s="119"/>
      <c r="G78" s="118"/>
      <c r="H78" s="123"/>
      <c r="I78" s="14" t="s">
        <v>155</v>
      </c>
      <c r="J78" s="30">
        <f ca="1">(IF(B67=1,(H67/(B67+3)+J73),IF(B67=0,(H67/4+J73),IF(B67&gt;1,0))))</f>
        <v>16.5</v>
      </c>
    </row>
    <row r="79" spans="1:10" ht="16.5" thickBot="1" x14ac:dyDescent="0.3">
      <c r="A79" s="125" t="s">
        <v>142</v>
      </c>
      <c r="B79" s="126"/>
      <c r="C79" s="45">
        <v>0</v>
      </c>
      <c r="D79" s="20">
        <f ca="1">((100/(H67))*C79)/100</f>
        <v>0</v>
      </c>
      <c r="E79" s="120"/>
      <c r="F79" s="121"/>
      <c r="G79" s="120"/>
      <c r="H79" s="124"/>
      <c r="I79" s="15" t="s">
        <v>108</v>
      </c>
      <c r="J79" s="32">
        <f ca="1">(IF(B67&gt;1.5,(H67/(B67+2)+J73+MAX(0,J74-J73)+MAX(0,J75-J74)+MAX(0,J76-J75)+MAX(0,J77-J76)+MAX(0,J78-J77)),IF(B67=1,(H67/(B67+3)+J78),IF(B67=0,H67/4+J78))))</f>
        <v>22</v>
      </c>
    </row>
    <row r="80" spans="1:10" x14ac:dyDescent="0.25">
      <c r="A80" s="144" t="s">
        <v>165</v>
      </c>
      <c r="B80" s="144"/>
      <c r="C80" s="144"/>
      <c r="D80" s="144"/>
      <c r="E80" s="144"/>
      <c r="F80" s="132" t="s">
        <v>170</v>
      </c>
      <c r="G80" s="132"/>
      <c r="H80" s="132"/>
    </row>
    <row r="81" spans="1:8" x14ac:dyDescent="0.25">
      <c r="A81" s="81" t="s">
        <v>168</v>
      </c>
      <c r="B81" s="81"/>
      <c r="C81" s="81"/>
      <c r="D81" s="81"/>
      <c r="E81" s="81"/>
      <c r="F81" s="90">
        <v>13000</v>
      </c>
      <c r="G81" s="90"/>
      <c r="H81" s="90"/>
    </row>
    <row r="82" spans="1:8" x14ac:dyDescent="0.25">
      <c r="A82" s="81" t="s">
        <v>167</v>
      </c>
      <c r="B82" s="81"/>
      <c r="C82" s="81"/>
      <c r="D82" s="81"/>
      <c r="E82" s="81"/>
      <c r="F82" s="112">
        <v>25000</v>
      </c>
      <c r="G82" s="112"/>
      <c r="H82" s="112"/>
    </row>
    <row r="83" spans="1:8" x14ac:dyDescent="0.25">
      <c r="A83" s="81" t="s">
        <v>169</v>
      </c>
      <c r="B83" s="81"/>
      <c r="C83" s="81"/>
      <c r="D83" s="81"/>
      <c r="E83" s="81"/>
      <c r="F83" s="112">
        <v>22000</v>
      </c>
      <c r="G83" s="112"/>
      <c r="H83" s="112"/>
    </row>
    <row r="84" spans="1:8" s="33" customFormat="1" hidden="1" x14ac:dyDescent="0.25">
      <c r="A84" s="81" t="s">
        <v>166</v>
      </c>
      <c r="B84" s="81"/>
      <c r="C84" s="81"/>
      <c r="D84" s="81"/>
      <c r="E84" s="81"/>
      <c r="F84" s="112"/>
      <c r="G84" s="112"/>
      <c r="H84" s="112"/>
    </row>
    <row r="85" spans="1:8" s="33" customFormat="1" hidden="1" x14ac:dyDescent="0.25">
      <c r="A85" s="81" t="s">
        <v>98</v>
      </c>
      <c r="B85" s="81"/>
      <c r="C85" s="81"/>
      <c r="D85" s="81"/>
      <c r="E85" s="81"/>
      <c r="F85" s="112"/>
      <c r="G85" s="112"/>
      <c r="H85" s="112"/>
    </row>
    <row r="86" spans="1:8" s="33" customFormat="1" hidden="1" x14ac:dyDescent="0.25">
      <c r="A86" s="81" t="s">
        <v>99</v>
      </c>
      <c r="B86" s="81"/>
      <c r="C86" s="81"/>
      <c r="D86" s="81"/>
      <c r="E86" s="81"/>
      <c r="F86" s="112"/>
      <c r="G86" s="112"/>
      <c r="H86" s="112"/>
    </row>
    <row r="87" spans="1:8" s="33" customFormat="1" hidden="1" x14ac:dyDescent="0.25">
      <c r="A87" s="81" t="s">
        <v>171</v>
      </c>
      <c r="B87" s="81"/>
      <c r="C87" s="81"/>
      <c r="D87" s="81"/>
      <c r="E87" s="81"/>
      <c r="F87" s="112"/>
      <c r="G87" s="112"/>
      <c r="H87" s="112"/>
    </row>
    <row r="88" spans="1:8" s="33" customFormat="1" hidden="1" x14ac:dyDescent="0.25">
      <c r="A88" s="81" t="s">
        <v>100</v>
      </c>
      <c r="B88" s="81"/>
      <c r="C88" s="81"/>
      <c r="D88" s="81"/>
      <c r="E88" s="81"/>
      <c r="F88" s="112"/>
      <c r="G88" s="112"/>
      <c r="H88" s="112"/>
    </row>
    <row r="89" spans="1:8" s="33" customFormat="1" hidden="1" x14ac:dyDescent="0.25">
      <c r="A89" s="81" t="s">
        <v>101</v>
      </c>
      <c r="B89" s="81"/>
      <c r="C89" s="81"/>
      <c r="D89" s="81"/>
      <c r="E89" s="81"/>
      <c r="F89" s="112"/>
      <c r="G89" s="112"/>
      <c r="H89" s="112"/>
    </row>
    <row r="90" spans="1:8" s="33" customFormat="1" hidden="1" x14ac:dyDescent="0.25">
      <c r="A90" s="81" t="s">
        <v>102</v>
      </c>
      <c r="B90" s="81"/>
      <c r="C90" s="81"/>
      <c r="D90" s="81"/>
      <c r="E90" s="81"/>
      <c r="F90" s="112"/>
      <c r="G90" s="112"/>
      <c r="H90" s="112"/>
    </row>
    <row r="91" spans="1:8" s="33" customFormat="1" hidden="1" x14ac:dyDescent="0.25">
      <c r="A91" s="81" t="s">
        <v>103</v>
      </c>
      <c r="B91" s="81"/>
      <c r="C91" s="81"/>
      <c r="D91" s="81"/>
      <c r="E91" s="81"/>
      <c r="F91" s="112"/>
      <c r="G91" s="112"/>
      <c r="H91" s="112"/>
    </row>
    <row r="92" spans="1:8" x14ac:dyDescent="0.25">
      <c r="A92" s="81" t="s">
        <v>52</v>
      </c>
      <c r="B92" s="81"/>
      <c r="C92" s="81"/>
      <c r="D92" s="81"/>
      <c r="E92" s="81"/>
      <c r="F92" s="112">
        <v>700000</v>
      </c>
      <c r="G92" s="112"/>
      <c r="H92" s="112"/>
    </row>
    <row r="93" spans="1:8" s="34" customFormat="1" x14ac:dyDescent="0.25">
      <c r="A93" s="148" t="s">
        <v>53</v>
      </c>
      <c r="B93" s="148"/>
      <c r="C93" s="148"/>
      <c r="D93" s="148"/>
      <c r="E93" s="148"/>
      <c r="F93" s="112">
        <f>F81*0.8</f>
        <v>10400</v>
      </c>
      <c r="G93" s="112"/>
      <c r="H93" s="112"/>
    </row>
    <row r="94" spans="1:8" s="35" customFormat="1" ht="15.75" customHeight="1" x14ac:dyDescent="0.25">
      <c r="A94" s="147" t="s">
        <v>78</v>
      </c>
      <c r="B94" s="147"/>
      <c r="C94" s="147"/>
      <c r="D94" s="147"/>
      <c r="E94" s="147"/>
      <c r="F94" s="147"/>
      <c r="G94" s="147"/>
      <c r="H94" s="147"/>
    </row>
    <row r="95" spans="1:8" s="35" customFormat="1" ht="15.75" customHeight="1" x14ac:dyDescent="0.25">
      <c r="A95" s="83" t="s">
        <v>54</v>
      </c>
      <c r="B95" s="83"/>
      <c r="C95" s="150" t="s">
        <v>81</v>
      </c>
      <c r="D95" s="150"/>
      <c r="E95" s="128" t="s">
        <v>55</v>
      </c>
      <c r="F95" s="128"/>
      <c r="G95" s="83" t="s">
        <v>56</v>
      </c>
      <c r="H95" s="83"/>
    </row>
    <row r="96" spans="1:8" s="35" customFormat="1" x14ac:dyDescent="0.25">
      <c r="A96" s="178" t="s">
        <v>203</v>
      </c>
      <c r="B96" s="47" t="s">
        <v>208</v>
      </c>
      <c r="C96" s="170">
        <f>COUNT(D110:D111)</f>
        <v>2</v>
      </c>
      <c r="D96" s="151"/>
      <c r="E96" s="91">
        <f>SUM(D110:D111)</f>
        <v>923.84613360000003</v>
      </c>
      <c r="F96" s="92"/>
      <c r="G96" s="91">
        <f>SUM(F110:F111)</f>
        <v>1478.15381376</v>
      </c>
      <c r="H96" s="92"/>
    </row>
    <row r="97" spans="1:14" s="35" customFormat="1" x14ac:dyDescent="0.25">
      <c r="A97" s="179"/>
      <c r="B97" s="47" t="s">
        <v>205</v>
      </c>
      <c r="C97" s="170">
        <f>COUNT(D113)</f>
        <v>1</v>
      </c>
      <c r="D97" s="151"/>
      <c r="E97" s="91">
        <f>SUM(D113)</f>
        <v>1088.4836663999999</v>
      </c>
      <c r="F97" s="92"/>
      <c r="G97" s="91">
        <f>SUM(F113)</f>
        <v>1741.5738662399999</v>
      </c>
      <c r="H97" s="92"/>
    </row>
    <row r="98" spans="1:14" s="35" customFormat="1" x14ac:dyDescent="0.25">
      <c r="A98" s="147" t="s">
        <v>158</v>
      </c>
      <c r="B98" s="147"/>
      <c r="C98" s="171">
        <f>SUM(C96:C97)</f>
        <v>3</v>
      </c>
      <c r="D98" s="150"/>
      <c r="E98" s="172">
        <f>SUM(E96:E97)</f>
        <v>2012.3298</v>
      </c>
      <c r="F98" s="128"/>
      <c r="G98" s="83">
        <f>SUM(G96:G97)</f>
        <v>3219.72768</v>
      </c>
      <c r="H98" s="83"/>
    </row>
    <row r="99" spans="1:14" s="35" customFormat="1" x14ac:dyDescent="0.25">
      <c r="A99" s="147" t="s">
        <v>72</v>
      </c>
      <c r="B99" s="147"/>
      <c r="C99" s="147"/>
      <c r="D99" s="147"/>
      <c r="E99" s="147"/>
      <c r="F99" s="147"/>
      <c r="G99" s="147"/>
      <c r="H99" s="147"/>
    </row>
    <row r="100" spans="1:14" s="35" customFormat="1" ht="15.75" customHeight="1" x14ac:dyDescent="0.25">
      <c r="A100" s="83" t="s">
        <v>54</v>
      </c>
      <c r="B100" s="83"/>
      <c r="C100" s="150" t="s">
        <v>81</v>
      </c>
      <c r="D100" s="150"/>
      <c r="E100" s="128" t="s">
        <v>55</v>
      </c>
      <c r="F100" s="128"/>
      <c r="G100" s="83" t="s">
        <v>56</v>
      </c>
      <c r="H100" s="83"/>
    </row>
    <row r="101" spans="1:14" s="35" customFormat="1" x14ac:dyDescent="0.25">
      <c r="A101" s="149" t="s">
        <v>209</v>
      </c>
      <c r="B101" s="149"/>
      <c r="C101" s="151">
        <f>COUNT(D124:D129)*17+COUNT(D139:D143)+COUNT(D145:D146)+COUNT(D132:D136)</f>
        <v>114</v>
      </c>
      <c r="D101" s="151"/>
      <c r="E101" s="91">
        <f>SUM(D124:D129)*17+SUM(D139:D143)+SUM(D145:D146)+SUM(D132:D136)</f>
        <v>48926.147400000002</v>
      </c>
      <c r="F101" s="91"/>
      <c r="G101" s="91">
        <f>SUM(F124:F129)*17+SUM(F139:F143)+SUM(F145:F146)+SUM(F132:F136)</f>
        <v>75835.528470000005</v>
      </c>
      <c r="H101" s="91"/>
    </row>
    <row r="102" spans="1:14" s="35" customFormat="1" ht="16.5" thickBot="1" x14ac:dyDescent="0.3">
      <c r="A102" s="189" t="s">
        <v>158</v>
      </c>
      <c r="B102" s="189"/>
      <c r="C102" s="193">
        <f>SUM(C101)</f>
        <v>114</v>
      </c>
      <c r="D102" s="193"/>
      <c r="E102" s="190">
        <f>SUM(E101)</f>
        <v>48926.147400000002</v>
      </c>
      <c r="F102" s="191"/>
      <c r="G102" s="169">
        <f>SUM(G101)</f>
        <v>75835.528470000005</v>
      </c>
      <c r="H102" s="169"/>
    </row>
    <row r="103" spans="1:14" s="35" customFormat="1" ht="16.5" thickBot="1" x14ac:dyDescent="0.3">
      <c r="A103" s="173" t="s">
        <v>178</v>
      </c>
      <c r="B103" s="174"/>
      <c r="C103" s="163">
        <f>C98+C102</f>
        <v>117</v>
      </c>
      <c r="D103" s="163"/>
      <c r="E103" s="75">
        <f>E98+E102</f>
        <v>50938.477200000001</v>
      </c>
      <c r="F103" s="75"/>
      <c r="G103" s="76">
        <f>G98+G102</f>
        <v>79055.256150000001</v>
      </c>
      <c r="H103" s="77"/>
    </row>
    <row r="104" spans="1:14" s="34" customFormat="1" x14ac:dyDescent="0.25">
      <c r="A104" s="132" t="s">
        <v>57</v>
      </c>
      <c r="B104" s="132"/>
      <c r="C104" s="132"/>
      <c r="D104" s="132"/>
      <c r="E104" s="132"/>
      <c r="F104" s="132"/>
      <c r="G104" s="132"/>
      <c r="H104" s="132"/>
    </row>
    <row r="105" spans="1:14" x14ac:dyDescent="0.25">
      <c r="A105" s="155" t="s">
        <v>58</v>
      </c>
      <c r="B105" s="155"/>
      <c r="C105" s="155"/>
      <c r="D105" s="155"/>
      <c r="E105" s="155"/>
      <c r="F105" s="155"/>
      <c r="G105" s="155"/>
      <c r="H105" s="155"/>
    </row>
    <row r="106" spans="1:14" ht="47.25" customHeight="1" x14ac:dyDescent="0.25">
      <c r="A106" s="78" t="s">
        <v>125</v>
      </c>
      <c r="B106" s="78" t="s">
        <v>124</v>
      </c>
      <c r="C106" s="78" t="s">
        <v>59</v>
      </c>
      <c r="D106" s="78" t="s">
        <v>60</v>
      </c>
      <c r="E106" s="84" t="s">
        <v>164</v>
      </c>
      <c r="F106" s="43" t="s">
        <v>157</v>
      </c>
      <c r="G106" s="73" t="s">
        <v>62</v>
      </c>
      <c r="H106" s="86"/>
    </row>
    <row r="107" spans="1:14" s="37" customFormat="1" x14ac:dyDescent="0.25">
      <c r="A107" s="79"/>
      <c r="B107" s="79"/>
      <c r="C107" s="79"/>
      <c r="D107" s="79"/>
      <c r="E107" s="85"/>
      <c r="F107" s="13">
        <v>0.6</v>
      </c>
      <c r="G107" s="74"/>
      <c r="H107" s="87"/>
    </row>
    <row r="108" spans="1:14" s="37" customFormat="1" x14ac:dyDescent="0.25">
      <c r="A108" s="101" t="s">
        <v>203</v>
      </c>
      <c r="B108" s="102"/>
      <c r="C108" s="102"/>
      <c r="D108" s="102"/>
      <c r="E108" s="102"/>
      <c r="F108" s="102"/>
      <c r="G108" s="102"/>
      <c r="H108" s="103"/>
      <c r="J108" s="56">
        <f>10.764</f>
        <v>10.763999999999999</v>
      </c>
    </row>
    <row r="109" spans="1:14" s="37" customFormat="1" x14ac:dyDescent="0.25">
      <c r="A109" s="101" t="s">
        <v>216</v>
      </c>
      <c r="B109" s="102"/>
      <c r="C109" s="102"/>
      <c r="D109" s="102"/>
      <c r="E109" s="102"/>
      <c r="F109" s="102"/>
      <c r="G109" s="102"/>
      <c r="H109" s="103"/>
      <c r="J109" s="36"/>
    </row>
    <row r="110" spans="1:14" s="37" customFormat="1" ht="39" customHeight="1" x14ac:dyDescent="0.25">
      <c r="A110" s="65">
        <v>1</v>
      </c>
      <c r="B110" s="66"/>
      <c r="C110" s="42" t="s">
        <v>204</v>
      </c>
      <c r="D110" s="56">
        <f>(5.86*4.16+3.73*0.89+3.93*2.49+2.88*1.5+0.9*1.2+1.63*0.08)*(10.764)</f>
        <v>462.99623760000003</v>
      </c>
      <c r="E110" s="42">
        <v>0</v>
      </c>
      <c r="F110" s="42">
        <f>(D110+E110)*(($F$107)+1)</f>
        <v>740.79398016000005</v>
      </c>
      <c r="G110" s="67" t="str">
        <f>A109</f>
        <v>Ground Floor For Commercial, Parking &amp; Double Height Entrance Lobby</v>
      </c>
      <c r="H110" s="68"/>
      <c r="I110" s="36"/>
      <c r="L110" s="61"/>
      <c r="M110" s="61"/>
      <c r="N110" s="36"/>
    </row>
    <row r="111" spans="1:14" s="37" customFormat="1" ht="26.25" customHeight="1" x14ac:dyDescent="0.25">
      <c r="A111" s="65">
        <f t="shared" ref="A111" si="0">A110+1</f>
        <v>2</v>
      </c>
      <c r="B111" s="66"/>
      <c r="C111" s="42" t="s">
        <v>204</v>
      </c>
      <c r="D111" s="56">
        <f>(4.03*2.83+4.15*2.26+3.73*0.89+4.06*3.27+1.71*0.17+3.01*1.35+0.9*1.2)*(10.764)</f>
        <v>460.84989599999994</v>
      </c>
      <c r="E111" s="42">
        <v>0</v>
      </c>
      <c r="F111" s="42">
        <f>(D111+E111)*(($F$107)+1)</f>
        <v>737.3598336</v>
      </c>
      <c r="G111" s="71"/>
      <c r="H111" s="72"/>
      <c r="I111" s="36"/>
      <c r="L111" s="61"/>
      <c r="M111" s="61"/>
      <c r="N111" s="36"/>
    </row>
    <row r="112" spans="1:14" s="37" customFormat="1" x14ac:dyDescent="0.25">
      <c r="A112" s="180" t="s">
        <v>217</v>
      </c>
      <c r="B112" s="181"/>
      <c r="C112" s="181"/>
      <c r="D112" s="181"/>
      <c r="E112" s="181"/>
      <c r="F112" s="181"/>
      <c r="G112" s="181"/>
      <c r="H112" s="182"/>
      <c r="J112" s="36" t="s">
        <v>212</v>
      </c>
    </row>
    <row r="113" spans="1:14" s="37" customFormat="1" x14ac:dyDescent="0.25">
      <c r="A113" s="65">
        <v>1</v>
      </c>
      <c r="B113" s="66"/>
      <c r="C113" s="42" t="s">
        <v>205</v>
      </c>
      <c r="D113" s="56">
        <f>(1.65*2.95+0.9*1.2+2.35*3.7+2.95*1.5+4*0.22+5.86*4.94+0.82*2.26+4.7*1.93+0.94*2.26+5.74*4.79+3.88*0.3+2.35*3.27+1.3*1.35+0.9*1.2)*(10.764)</f>
        <v>1088.4836663999999</v>
      </c>
      <c r="E113" s="42">
        <v>0</v>
      </c>
      <c r="F113" s="42">
        <f>(D113+E113)*(($F$107)+1)</f>
        <v>1741.5738662399999</v>
      </c>
      <c r="G113" s="65" t="str">
        <f>A112</f>
        <v>1st Floor for Commercial &amp; Part Parking, Double Height Lobby</v>
      </c>
      <c r="H113" s="66"/>
      <c r="I113" s="36"/>
      <c r="L113" s="61"/>
      <c r="M113" s="61"/>
      <c r="N113" s="36"/>
    </row>
    <row r="114" spans="1:14" s="37" customFormat="1" hidden="1" x14ac:dyDescent="0.25">
      <c r="A114" s="101" t="s">
        <v>123</v>
      </c>
      <c r="B114" s="102"/>
      <c r="C114" s="102"/>
      <c r="D114" s="102"/>
      <c r="E114" s="102"/>
      <c r="F114" s="102"/>
      <c r="G114" s="102"/>
      <c r="H114" s="103"/>
      <c r="J114" s="36"/>
    </row>
    <row r="115" spans="1:14" s="37" customFormat="1" hidden="1" x14ac:dyDescent="0.25">
      <c r="A115" s="65">
        <v>1</v>
      </c>
      <c r="B115" s="66"/>
      <c r="C115" s="42"/>
      <c r="D115" s="42"/>
      <c r="E115" s="42">
        <v>0</v>
      </c>
      <c r="F115" s="42">
        <f>(D115+E115)*(($F$107)+1)</f>
        <v>0</v>
      </c>
      <c r="G115" s="65" t="str">
        <f>A114</f>
        <v>Ground Floor</v>
      </c>
      <c r="H115" s="66"/>
      <c r="I115" s="36"/>
      <c r="L115" s="61"/>
      <c r="M115" s="61"/>
      <c r="N115" s="36"/>
    </row>
    <row r="116" spans="1:14" s="37" customFormat="1" hidden="1" x14ac:dyDescent="0.25">
      <c r="A116" s="65">
        <f t="shared" ref="A116:A118" si="1">A115+1</f>
        <v>2</v>
      </c>
      <c r="B116" s="66"/>
      <c r="C116" s="42"/>
      <c r="D116" s="42"/>
      <c r="E116" s="42">
        <v>0</v>
      </c>
      <c r="F116" s="42">
        <f t="shared" ref="F116:F118" si="2">(D116+E116)*(($F$107)+1)</f>
        <v>0</v>
      </c>
      <c r="G116" s="65" t="str">
        <f t="shared" ref="G116:G118" si="3">G115</f>
        <v>Ground Floor</v>
      </c>
      <c r="H116" s="66"/>
      <c r="I116" s="36"/>
      <c r="L116" s="61"/>
      <c r="M116" s="61"/>
      <c r="N116" s="36"/>
    </row>
    <row r="117" spans="1:14" s="37" customFormat="1" hidden="1" x14ac:dyDescent="0.25">
      <c r="A117" s="65">
        <f t="shared" si="1"/>
        <v>3</v>
      </c>
      <c r="B117" s="66"/>
      <c r="C117" s="42"/>
      <c r="D117" s="42"/>
      <c r="E117" s="42">
        <v>0</v>
      </c>
      <c r="F117" s="42">
        <f t="shared" si="2"/>
        <v>0</v>
      </c>
      <c r="G117" s="65" t="str">
        <f t="shared" si="3"/>
        <v>Ground Floor</v>
      </c>
      <c r="H117" s="66"/>
      <c r="I117" s="36"/>
      <c r="L117" s="61"/>
      <c r="M117" s="61"/>
      <c r="N117" s="36"/>
    </row>
    <row r="118" spans="1:14" s="37" customFormat="1" hidden="1" x14ac:dyDescent="0.25">
      <c r="A118" s="65">
        <f t="shared" si="1"/>
        <v>4</v>
      </c>
      <c r="B118" s="66"/>
      <c r="C118" s="42"/>
      <c r="D118" s="42"/>
      <c r="E118" s="42">
        <v>0</v>
      </c>
      <c r="F118" s="42">
        <f t="shared" si="2"/>
        <v>0</v>
      </c>
      <c r="G118" s="65" t="str">
        <f t="shared" si="3"/>
        <v>Ground Floor</v>
      </c>
      <c r="H118" s="66"/>
      <c r="I118" s="36"/>
      <c r="L118" s="61"/>
      <c r="M118" s="61"/>
      <c r="N118" s="36"/>
    </row>
    <row r="119" spans="1:14" s="37" customFormat="1" x14ac:dyDescent="0.25">
      <c r="A119" s="65"/>
      <c r="B119" s="168"/>
      <c r="C119" s="168"/>
      <c r="D119" s="168"/>
      <c r="E119" s="168"/>
      <c r="F119" s="168"/>
      <c r="G119" s="168"/>
      <c r="H119" s="66"/>
      <c r="I119" s="36"/>
      <c r="N119" s="36"/>
    </row>
    <row r="120" spans="1:14" ht="47.25" customHeight="1" x14ac:dyDescent="0.25">
      <c r="A120" s="73" t="s">
        <v>126</v>
      </c>
      <c r="B120" s="73" t="s">
        <v>127</v>
      </c>
      <c r="C120" s="78" t="s">
        <v>59</v>
      </c>
      <c r="D120" s="78" t="s">
        <v>60</v>
      </c>
      <c r="E120" s="84" t="s">
        <v>61</v>
      </c>
      <c r="F120" s="43" t="s">
        <v>157</v>
      </c>
      <c r="G120" s="73" t="s">
        <v>62</v>
      </c>
      <c r="H120" s="86"/>
      <c r="I120" s="36"/>
    </row>
    <row r="121" spans="1:14" s="37" customFormat="1" x14ac:dyDescent="0.25">
      <c r="A121" s="74"/>
      <c r="B121" s="74"/>
      <c r="C121" s="79"/>
      <c r="D121" s="79"/>
      <c r="E121" s="85"/>
      <c r="F121" s="13">
        <v>0.55000000000000004</v>
      </c>
      <c r="G121" s="74"/>
      <c r="H121" s="87"/>
      <c r="I121" s="36"/>
    </row>
    <row r="122" spans="1:14" s="37" customFormat="1" x14ac:dyDescent="0.25">
      <c r="A122" s="101" t="s">
        <v>203</v>
      </c>
      <c r="B122" s="102"/>
      <c r="C122" s="102"/>
      <c r="D122" s="102"/>
      <c r="E122" s="102"/>
      <c r="F122" s="102"/>
      <c r="G122" s="102"/>
      <c r="H122" s="103"/>
      <c r="J122" s="36"/>
    </row>
    <row r="123" spans="1:14" s="37" customFormat="1" x14ac:dyDescent="0.25">
      <c r="A123" s="101" t="s">
        <v>218</v>
      </c>
      <c r="B123" s="102"/>
      <c r="C123" s="102"/>
      <c r="D123" s="102"/>
      <c r="E123" s="102"/>
      <c r="F123" s="102"/>
      <c r="G123" s="102"/>
      <c r="H123" s="103"/>
      <c r="J123" s="36"/>
    </row>
    <row r="124" spans="1:14" s="37" customFormat="1" ht="15.75" customHeight="1" x14ac:dyDescent="0.25">
      <c r="A124" s="65">
        <v>1</v>
      </c>
      <c r="B124" s="66"/>
      <c r="C124" s="54">
        <v>2</v>
      </c>
      <c r="D124" s="56">
        <f>(52.99)*(10.764)</f>
        <v>570.38436000000002</v>
      </c>
      <c r="E124" s="42">
        <v>0</v>
      </c>
      <c r="F124" s="42">
        <f t="shared" ref="F124:F129" si="4">D124*(($F$121)+1)+(IF(E124&lt;101,E124,IF(E124&lt;201,E124/2,IF(E124&lt;=301,E124/3,E124/4))))</f>
        <v>884.09575800000005</v>
      </c>
      <c r="G124" s="67" t="str">
        <f>A123</f>
        <v>2nd to 7th, 9th to 14th &amp; 16th to 20th Floor For Residential</v>
      </c>
      <c r="H124" s="68"/>
      <c r="I124" s="36">
        <f>3.05*4.62+2.36*2.68+4*2.8+3.33*3+1.1*2+1.98*1.11+0.8*1.94+3.38*0.9</f>
        <v>50.5976</v>
      </c>
      <c r="J124" s="37">
        <f>3.05*4.62+2.36*2.68+3.88*2.88+3.28*3+1.1*2+1.98*1.11+3.43*0.9+0.8*1.94</f>
        <v>50.467000000000006</v>
      </c>
      <c r="L124" s="61"/>
      <c r="M124" s="61"/>
      <c r="N124" s="36"/>
    </row>
    <row r="125" spans="1:14" s="37" customFormat="1" ht="15.75" customHeight="1" x14ac:dyDescent="0.25">
      <c r="A125" s="65">
        <f t="shared" ref="A125:A129" si="5">A124+1</f>
        <v>2</v>
      </c>
      <c r="B125" s="66"/>
      <c r="C125" s="54">
        <v>2</v>
      </c>
      <c r="D125" s="56">
        <f>(52.97)*(10.764)</f>
        <v>570.16908000000001</v>
      </c>
      <c r="E125" s="42">
        <v>0</v>
      </c>
      <c r="F125" s="42">
        <f t="shared" si="4"/>
        <v>883.76207399999998</v>
      </c>
      <c r="G125" s="69"/>
      <c r="H125" s="70"/>
      <c r="I125" s="36"/>
      <c r="L125" s="61"/>
      <c r="M125" s="61"/>
      <c r="N125" s="36"/>
    </row>
    <row r="126" spans="1:14" s="37" customFormat="1" ht="15.75" customHeight="1" x14ac:dyDescent="0.25">
      <c r="A126" s="65">
        <f t="shared" si="5"/>
        <v>3</v>
      </c>
      <c r="B126" s="66"/>
      <c r="C126" s="54">
        <v>1</v>
      </c>
      <c r="D126" s="56">
        <f>(33.06)*(10.764)</f>
        <v>355.85784000000001</v>
      </c>
      <c r="E126" s="42">
        <v>0</v>
      </c>
      <c r="F126" s="42">
        <f t="shared" si="4"/>
        <v>551.57965200000001</v>
      </c>
      <c r="G126" s="69"/>
      <c r="H126" s="70"/>
      <c r="I126" s="36"/>
      <c r="J126" s="37">
        <f>2.9*4.5+2*2.29+2.9*3.19+1.7*1.1+0.9*1.1+2.15*0.9</f>
        <v>31.675999999999998</v>
      </c>
      <c r="L126" s="61"/>
      <c r="M126" s="61"/>
      <c r="N126" s="36"/>
    </row>
    <row r="127" spans="1:14" s="37" customFormat="1" ht="15.75" customHeight="1" x14ac:dyDescent="0.25">
      <c r="A127" s="65">
        <f t="shared" si="5"/>
        <v>4</v>
      </c>
      <c r="B127" s="66"/>
      <c r="C127" s="54">
        <v>1</v>
      </c>
      <c r="D127" s="56">
        <f>(33.48)*(10.764)</f>
        <v>360.37871999999993</v>
      </c>
      <c r="E127" s="42">
        <v>0</v>
      </c>
      <c r="F127" s="42">
        <f t="shared" si="4"/>
        <v>558.58701599999995</v>
      </c>
      <c r="G127" s="69"/>
      <c r="H127" s="70"/>
      <c r="I127" s="36"/>
      <c r="L127" s="61"/>
      <c r="M127" s="61"/>
      <c r="N127" s="36"/>
    </row>
    <row r="128" spans="1:14" s="37" customFormat="1" ht="15.75" customHeight="1" x14ac:dyDescent="0.25">
      <c r="A128" s="65">
        <f t="shared" si="5"/>
        <v>5</v>
      </c>
      <c r="B128" s="66"/>
      <c r="C128" s="54">
        <v>1</v>
      </c>
      <c r="D128" s="56">
        <f>(33.48)*(10.764)</f>
        <v>360.37871999999993</v>
      </c>
      <c r="E128" s="42">
        <v>0</v>
      </c>
      <c r="F128" s="42">
        <f t="shared" si="4"/>
        <v>558.58701599999995</v>
      </c>
      <c r="G128" s="69"/>
      <c r="H128" s="70"/>
      <c r="I128" s="36"/>
      <c r="L128" s="61"/>
      <c r="M128" s="61"/>
      <c r="N128" s="36"/>
    </row>
    <row r="129" spans="1:14" s="37" customFormat="1" ht="15.75" customHeight="1" x14ac:dyDescent="0.25">
      <c r="A129" s="65">
        <f t="shared" si="5"/>
        <v>6</v>
      </c>
      <c r="B129" s="66"/>
      <c r="C129" s="54">
        <v>1</v>
      </c>
      <c r="D129" s="56">
        <f>(33.25)*(10.764)</f>
        <v>357.90299999999996</v>
      </c>
      <c r="E129" s="42">
        <v>0</v>
      </c>
      <c r="F129" s="42">
        <f t="shared" si="4"/>
        <v>554.74964999999997</v>
      </c>
      <c r="G129" s="71"/>
      <c r="H129" s="72"/>
      <c r="I129" s="36"/>
      <c r="L129" s="61"/>
      <c r="M129" s="61"/>
      <c r="N129" s="36"/>
    </row>
    <row r="130" spans="1:14" s="37" customFormat="1" x14ac:dyDescent="0.25">
      <c r="A130" s="101" t="s">
        <v>223</v>
      </c>
      <c r="B130" s="102"/>
      <c r="C130" s="102"/>
      <c r="D130" s="102"/>
      <c r="E130" s="102"/>
      <c r="F130" s="102"/>
      <c r="G130" s="102"/>
      <c r="H130" s="103"/>
      <c r="J130" s="36"/>
    </row>
    <row r="131" spans="1:14" s="37" customFormat="1" ht="15.75" customHeight="1" x14ac:dyDescent="0.25">
      <c r="A131" s="65">
        <v>1</v>
      </c>
      <c r="B131" s="66"/>
      <c r="C131" s="62" t="s">
        <v>206</v>
      </c>
      <c r="D131" s="63"/>
      <c r="E131" s="63"/>
      <c r="F131" s="64"/>
      <c r="G131" s="67" t="str">
        <f>A130</f>
        <v>8th Floor (Part Refuge Area)</v>
      </c>
      <c r="H131" s="68"/>
      <c r="I131" s="36"/>
      <c r="L131" s="61"/>
      <c r="M131" s="61"/>
      <c r="N131" s="36"/>
    </row>
    <row r="132" spans="1:14" s="37" customFormat="1" ht="15.75" customHeight="1" x14ac:dyDescent="0.25">
      <c r="A132" s="65">
        <f t="shared" ref="A132:A136" si="6">A131+1</f>
        <v>2</v>
      </c>
      <c r="B132" s="66"/>
      <c r="C132" s="54">
        <v>2</v>
      </c>
      <c r="D132" s="56">
        <f>(52.97)*(10.764)</f>
        <v>570.16908000000001</v>
      </c>
      <c r="E132" s="42">
        <v>0</v>
      </c>
      <c r="F132" s="42">
        <f>D132*(($F$121)+1)+(IF(E132&lt;101,E132,IF(E132&lt;201,E132/2,IF(E132&lt;=301,E132/3,E132/4))))</f>
        <v>883.76207399999998</v>
      </c>
      <c r="G132" s="69"/>
      <c r="H132" s="70"/>
      <c r="I132" s="36"/>
      <c r="L132" s="61"/>
      <c r="M132" s="61"/>
      <c r="N132" s="36"/>
    </row>
    <row r="133" spans="1:14" s="37" customFormat="1" ht="15.75" customHeight="1" x14ac:dyDescent="0.25">
      <c r="A133" s="65">
        <f t="shared" si="6"/>
        <v>3</v>
      </c>
      <c r="B133" s="66"/>
      <c r="C133" s="54">
        <v>1</v>
      </c>
      <c r="D133" s="56">
        <f>(33.06)*(10.764)</f>
        <v>355.85784000000001</v>
      </c>
      <c r="E133" s="42">
        <v>0</v>
      </c>
      <c r="F133" s="42">
        <f>D133*(($F$121)+1)+(IF(E133&lt;101,E133,IF(E133&lt;201,E133/2,IF(E133&lt;=301,E133/3,E133/4))))</f>
        <v>551.57965200000001</v>
      </c>
      <c r="G133" s="69"/>
      <c r="H133" s="70"/>
      <c r="I133" s="36"/>
      <c r="L133" s="61"/>
      <c r="M133" s="61"/>
      <c r="N133" s="36"/>
    </row>
    <row r="134" spans="1:14" s="37" customFormat="1" ht="15.75" customHeight="1" x14ac:dyDescent="0.25">
      <c r="A134" s="65">
        <f t="shared" si="6"/>
        <v>4</v>
      </c>
      <c r="B134" s="66"/>
      <c r="C134" s="54">
        <v>1</v>
      </c>
      <c r="D134" s="56">
        <f>(33.48)*(10.764)</f>
        <v>360.37871999999993</v>
      </c>
      <c r="E134" s="42">
        <v>0</v>
      </c>
      <c r="F134" s="42">
        <f>D134*(($F$121)+1)+(IF(E134&lt;101,E134,IF(E134&lt;201,E134/2,IF(E134&lt;=301,E134/3,E134/4))))</f>
        <v>558.58701599999995</v>
      </c>
      <c r="G134" s="69"/>
      <c r="H134" s="70"/>
      <c r="I134" s="36"/>
      <c r="L134" s="61"/>
      <c r="M134" s="61"/>
      <c r="N134" s="36"/>
    </row>
    <row r="135" spans="1:14" s="37" customFormat="1" ht="15.75" customHeight="1" x14ac:dyDescent="0.25">
      <c r="A135" s="65">
        <f t="shared" si="6"/>
        <v>5</v>
      </c>
      <c r="B135" s="66"/>
      <c r="C135" s="54">
        <v>1</v>
      </c>
      <c r="D135" s="56">
        <f>(33.48)*(10.764)</f>
        <v>360.37871999999993</v>
      </c>
      <c r="E135" s="42">
        <v>0</v>
      </c>
      <c r="F135" s="42">
        <f>D135*(($F$121)+1)+(IF(E135&lt;101,E135,IF(E135&lt;201,E135/2,IF(E135&lt;=301,E135/3,E135/4))))</f>
        <v>558.58701599999995</v>
      </c>
      <c r="G135" s="69"/>
      <c r="H135" s="70"/>
      <c r="I135" s="36"/>
      <c r="L135" s="61"/>
      <c r="M135" s="61"/>
      <c r="N135" s="36"/>
    </row>
    <row r="136" spans="1:14" s="37" customFormat="1" ht="15.75" customHeight="1" x14ac:dyDescent="0.25">
      <c r="A136" s="65">
        <f t="shared" si="6"/>
        <v>6</v>
      </c>
      <c r="B136" s="66"/>
      <c r="C136" s="54">
        <v>1</v>
      </c>
      <c r="D136" s="56">
        <f>(33.25)*(10.764)</f>
        <v>357.90299999999996</v>
      </c>
      <c r="E136" s="42">
        <v>0</v>
      </c>
      <c r="F136" s="42">
        <f>D136*(($F$121)+1)+(IF(E136&lt;101,E136,IF(E136&lt;201,E136/2,IF(E136&lt;=301,E136/3,E136/4))))</f>
        <v>554.74964999999997</v>
      </c>
      <c r="G136" s="71"/>
      <c r="H136" s="72"/>
      <c r="I136" s="36"/>
      <c r="L136" s="61"/>
      <c r="M136" s="61"/>
      <c r="N136" s="36"/>
    </row>
    <row r="137" spans="1:14" s="37" customFormat="1" x14ac:dyDescent="0.25">
      <c r="A137" s="101" t="s">
        <v>219</v>
      </c>
      <c r="B137" s="102"/>
      <c r="C137" s="102"/>
      <c r="D137" s="102"/>
      <c r="E137" s="102"/>
      <c r="F137" s="102"/>
      <c r="G137" s="102"/>
      <c r="H137" s="103"/>
      <c r="J137" s="36"/>
    </row>
    <row r="138" spans="1:14" s="37" customFormat="1" ht="15.75" customHeight="1" x14ac:dyDescent="0.25">
      <c r="A138" s="65">
        <v>1</v>
      </c>
      <c r="B138" s="66"/>
      <c r="C138" s="62" t="s">
        <v>206</v>
      </c>
      <c r="D138" s="63"/>
      <c r="E138" s="63"/>
      <c r="F138" s="64"/>
      <c r="G138" s="67" t="str">
        <f>A137</f>
        <v>15th Floor (Part Refuge Area)</v>
      </c>
      <c r="H138" s="68"/>
      <c r="I138" s="36"/>
      <c r="L138" s="61"/>
      <c r="M138" s="61"/>
      <c r="N138" s="36"/>
    </row>
    <row r="139" spans="1:14" s="37" customFormat="1" ht="15.75" customHeight="1" x14ac:dyDescent="0.25">
      <c r="A139" s="65">
        <f t="shared" ref="A139:A143" si="7">A138+1</f>
        <v>2</v>
      </c>
      <c r="B139" s="66"/>
      <c r="C139" s="54">
        <v>2</v>
      </c>
      <c r="D139" s="56">
        <f>(52.97)*(10.764)</f>
        <v>570.16908000000001</v>
      </c>
      <c r="E139" s="42">
        <v>0</v>
      </c>
      <c r="F139" s="42">
        <f>D139*(($F$121)+1)+(IF(E139&lt;101,E139,IF(E139&lt;201,E139/2,IF(E139&lt;=301,E139/3,E139/4))))</f>
        <v>883.76207399999998</v>
      </c>
      <c r="G139" s="69"/>
      <c r="H139" s="70"/>
      <c r="I139" s="36"/>
      <c r="L139" s="61"/>
      <c r="M139" s="61"/>
      <c r="N139" s="36"/>
    </row>
    <row r="140" spans="1:14" s="37" customFormat="1" ht="15.75" customHeight="1" x14ac:dyDescent="0.25">
      <c r="A140" s="65">
        <f t="shared" si="7"/>
        <v>3</v>
      </c>
      <c r="B140" s="66"/>
      <c r="C140" s="54">
        <v>1</v>
      </c>
      <c r="D140" s="56">
        <f>(33.06)*(10.764)</f>
        <v>355.85784000000001</v>
      </c>
      <c r="E140" s="42">
        <v>0</v>
      </c>
      <c r="F140" s="42">
        <f>D140*(($F$121)+1)+(IF(E140&lt;101,E140,IF(E140&lt;201,E140/2,IF(E140&lt;=301,E140/3,E140/4))))</f>
        <v>551.57965200000001</v>
      </c>
      <c r="G140" s="69"/>
      <c r="H140" s="70"/>
      <c r="I140" s="36"/>
      <c r="L140" s="61"/>
      <c r="M140" s="61"/>
      <c r="N140" s="36"/>
    </row>
    <row r="141" spans="1:14" s="37" customFormat="1" ht="15.75" customHeight="1" x14ac:dyDescent="0.25">
      <c r="A141" s="65">
        <f t="shared" si="7"/>
        <v>4</v>
      </c>
      <c r="B141" s="66"/>
      <c r="C141" s="54">
        <v>1</v>
      </c>
      <c r="D141" s="56">
        <f>(33.48)*(10.764)</f>
        <v>360.37871999999993</v>
      </c>
      <c r="E141" s="42">
        <v>0</v>
      </c>
      <c r="F141" s="42">
        <f>D141*(($F$121)+1)+(IF(E141&lt;101,E141,IF(E141&lt;201,E141/2,IF(E141&lt;=301,E141/3,E141/4))))</f>
        <v>558.58701599999995</v>
      </c>
      <c r="G141" s="69"/>
      <c r="H141" s="70"/>
      <c r="I141" s="36"/>
      <c r="L141" s="61"/>
      <c r="M141" s="61"/>
      <c r="N141" s="36"/>
    </row>
    <row r="142" spans="1:14" s="37" customFormat="1" ht="15.75" customHeight="1" x14ac:dyDescent="0.25">
      <c r="A142" s="65">
        <f t="shared" si="7"/>
        <v>5</v>
      </c>
      <c r="B142" s="66"/>
      <c r="C142" s="54">
        <v>1</v>
      </c>
      <c r="D142" s="56">
        <f>(33.48)*(10.764)</f>
        <v>360.37871999999993</v>
      </c>
      <c r="E142" s="42">
        <v>0</v>
      </c>
      <c r="F142" s="42">
        <f>D142*(($F$121)+1)+(IF(E142&lt;101,E142,IF(E142&lt;201,E142/2,IF(E142&lt;=301,E142/3,E142/4))))</f>
        <v>558.58701599999995</v>
      </c>
      <c r="G142" s="69"/>
      <c r="H142" s="70"/>
      <c r="I142" s="36"/>
      <c r="L142" s="61"/>
      <c r="M142" s="61"/>
      <c r="N142" s="36"/>
    </row>
    <row r="143" spans="1:14" s="37" customFormat="1" ht="15.75" customHeight="1" x14ac:dyDescent="0.25">
      <c r="A143" s="65">
        <f t="shared" si="7"/>
        <v>6</v>
      </c>
      <c r="B143" s="66"/>
      <c r="C143" s="54">
        <v>1</v>
      </c>
      <c r="D143" s="56">
        <f>(33.25)*(10.764)</f>
        <v>357.90299999999996</v>
      </c>
      <c r="E143" s="42">
        <v>0</v>
      </c>
      <c r="F143" s="42">
        <f>D143*(($F$121)+1)+(IF(E143&lt;101,E143,IF(E143&lt;201,E143/2,IF(E143&lt;=301,E143/3,E143/4))))</f>
        <v>554.74964999999997</v>
      </c>
      <c r="G143" s="71"/>
      <c r="H143" s="72"/>
      <c r="I143" s="36"/>
      <c r="L143" s="61"/>
      <c r="M143" s="61"/>
      <c r="N143" s="36"/>
    </row>
    <row r="144" spans="1:14" s="37" customFormat="1" x14ac:dyDescent="0.25">
      <c r="A144" s="101" t="s">
        <v>227</v>
      </c>
      <c r="B144" s="102"/>
      <c r="C144" s="102"/>
      <c r="D144" s="102"/>
      <c r="E144" s="102"/>
      <c r="F144" s="102"/>
      <c r="G144" s="102"/>
      <c r="H144" s="103"/>
      <c r="J144" s="36"/>
    </row>
    <row r="145" spans="1:14" s="37" customFormat="1" ht="15.75" customHeight="1" x14ac:dyDescent="0.25">
      <c r="A145" s="65">
        <v>1</v>
      </c>
      <c r="B145" s="66"/>
      <c r="C145" s="54">
        <v>2</v>
      </c>
      <c r="D145" s="56">
        <f>(52.99)*(10.764)</f>
        <v>570.38436000000002</v>
      </c>
      <c r="E145" s="42">
        <v>0</v>
      </c>
      <c r="F145" s="42">
        <f t="shared" ref="F145:F146" si="8">D145*(($F$121)+1)+(IF(E145&lt;101,E145,IF(E145&lt;201,E145/2,IF(E145&lt;=301,E145/3,E145/4))))</f>
        <v>884.09575800000005</v>
      </c>
      <c r="G145" s="67" t="str">
        <f>A144</f>
        <v>21st Floor (Part Terrcae , Society Office &amp; Fitness Center)</v>
      </c>
      <c r="H145" s="68"/>
      <c r="I145" s="36"/>
      <c r="J145" s="37">
        <f>3.05*4.62+2.36*2.68+3.88*2.88+3.28*3+1.1*2+1.98*1.11+3.43*0.9+0.8*1.94</f>
        <v>50.467000000000006</v>
      </c>
      <c r="L145" s="61"/>
      <c r="M145" s="61"/>
      <c r="N145" s="36"/>
    </row>
    <row r="146" spans="1:14" s="37" customFormat="1" ht="15.75" customHeight="1" x14ac:dyDescent="0.25">
      <c r="A146" s="65">
        <f t="shared" ref="A146:A150" si="9">A145+1</f>
        <v>2</v>
      </c>
      <c r="B146" s="66"/>
      <c r="C146" s="54">
        <v>2</v>
      </c>
      <c r="D146" s="56">
        <f>(52.97)*(10.764)</f>
        <v>570.16908000000001</v>
      </c>
      <c r="E146" s="42">
        <v>0</v>
      </c>
      <c r="F146" s="42">
        <f t="shared" si="8"/>
        <v>883.76207399999998</v>
      </c>
      <c r="G146" s="69"/>
      <c r="H146" s="70"/>
      <c r="I146" s="36"/>
      <c r="L146" s="61"/>
      <c r="M146" s="61"/>
      <c r="N146" s="36"/>
    </row>
    <row r="147" spans="1:14" s="37" customFormat="1" ht="15.75" customHeight="1" x14ac:dyDescent="0.25">
      <c r="A147" s="65">
        <f t="shared" si="9"/>
        <v>3</v>
      </c>
      <c r="B147" s="66"/>
      <c r="C147" s="62" t="s">
        <v>220</v>
      </c>
      <c r="D147" s="63"/>
      <c r="E147" s="63"/>
      <c r="F147" s="64"/>
      <c r="G147" s="69"/>
      <c r="H147" s="70"/>
      <c r="I147" s="36"/>
      <c r="J147" s="37">
        <f>2.9*4.5+2*2.29+2.9*3.19+1.7*1.1+0.9*1.1+2.15*0.9</f>
        <v>31.675999999999998</v>
      </c>
      <c r="L147" s="61"/>
      <c r="M147" s="61"/>
      <c r="N147" s="36"/>
    </row>
    <row r="148" spans="1:14" s="37" customFormat="1" ht="15.75" customHeight="1" x14ac:dyDescent="0.25">
      <c r="A148" s="65">
        <f t="shared" si="9"/>
        <v>4</v>
      </c>
      <c r="B148" s="66"/>
      <c r="C148" s="62" t="s">
        <v>221</v>
      </c>
      <c r="D148" s="63"/>
      <c r="E148" s="63"/>
      <c r="F148" s="64"/>
      <c r="G148" s="69"/>
      <c r="H148" s="70"/>
      <c r="I148" s="36"/>
      <c r="L148" s="61"/>
      <c r="M148" s="61"/>
      <c r="N148" s="36"/>
    </row>
    <row r="149" spans="1:14" s="37" customFormat="1" ht="15.75" customHeight="1" x14ac:dyDescent="0.25">
      <c r="A149" s="65">
        <f t="shared" si="9"/>
        <v>5</v>
      </c>
      <c r="B149" s="66"/>
      <c r="C149" s="183" t="s">
        <v>222</v>
      </c>
      <c r="D149" s="184"/>
      <c r="E149" s="184"/>
      <c r="F149" s="185"/>
      <c r="G149" s="69"/>
      <c r="H149" s="70"/>
      <c r="I149" s="36"/>
      <c r="L149" s="61"/>
      <c r="M149" s="61"/>
      <c r="N149" s="36"/>
    </row>
    <row r="150" spans="1:14" s="37" customFormat="1" ht="15.75" customHeight="1" x14ac:dyDescent="0.25">
      <c r="A150" s="65">
        <f t="shared" si="9"/>
        <v>6</v>
      </c>
      <c r="B150" s="66"/>
      <c r="C150" s="186"/>
      <c r="D150" s="187"/>
      <c r="E150" s="187"/>
      <c r="F150" s="188"/>
      <c r="G150" s="71"/>
      <c r="H150" s="72"/>
      <c r="I150" s="36"/>
      <c r="L150" s="61"/>
      <c r="M150" s="61"/>
      <c r="N150" s="36"/>
    </row>
    <row r="151" spans="1:14" s="35" customFormat="1" x14ac:dyDescent="0.25">
      <c r="A151" s="133" t="s">
        <v>70</v>
      </c>
      <c r="B151" s="133"/>
      <c r="C151" s="133"/>
      <c r="D151" s="133"/>
      <c r="E151" s="133"/>
      <c r="F151" s="133"/>
      <c r="G151" s="133"/>
      <c r="H151" s="133"/>
    </row>
    <row r="152" spans="1:14" s="35" customFormat="1" x14ac:dyDescent="0.25">
      <c r="A152" s="47" t="s">
        <v>161</v>
      </c>
      <c r="B152" s="129" t="s">
        <v>231</v>
      </c>
      <c r="C152" s="130"/>
      <c r="D152" s="130"/>
      <c r="E152" s="130"/>
      <c r="F152" s="130"/>
      <c r="G152" s="130"/>
      <c r="H152" s="131"/>
    </row>
    <row r="153" spans="1:14" s="35" customFormat="1" x14ac:dyDescent="0.25">
      <c r="A153" s="47" t="s">
        <v>161</v>
      </c>
      <c r="B153" s="129" t="str">
        <f>(IF(F120="Saleable area Loading :","We have considered Saleable area of Flats as per our Calculation.","We considered Saleable area of Flat as per Builder area Sheet."))</f>
        <v>We have considered Saleable area of Flats as per our Calculation.</v>
      </c>
      <c r="C153" s="130"/>
      <c r="D153" s="130"/>
      <c r="E153" s="130"/>
      <c r="F153" s="130"/>
      <c r="G153" s="130"/>
      <c r="H153" s="131"/>
    </row>
    <row r="154" spans="1:14" s="35" customFormat="1" x14ac:dyDescent="0.25">
      <c r="A154" s="47" t="s">
        <v>161</v>
      </c>
      <c r="B154" s="129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4" s="130"/>
      <c r="D154" s="130"/>
      <c r="E154" s="130"/>
      <c r="F154" s="130"/>
      <c r="G154" s="130"/>
      <c r="H154" s="131"/>
    </row>
    <row r="155" spans="1:14" s="35" customFormat="1" x14ac:dyDescent="0.25">
      <c r="A155" s="47" t="s">
        <v>161</v>
      </c>
      <c r="B155" s="98" t="s">
        <v>131</v>
      </c>
      <c r="C155" s="99"/>
      <c r="D155" s="99"/>
      <c r="E155" s="99"/>
      <c r="F155" s="99"/>
      <c r="G155" s="99"/>
      <c r="H155" s="100"/>
    </row>
    <row r="156" spans="1:14" s="35" customFormat="1" x14ac:dyDescent="0.25">
      <c r="A156" s="47" t="s">
        <v>161</v>
      </c>
      <c r="B156" s="98" t="s">
        <v>207</v>
      </c>
      <c r="C156" s="99"/>
      <c r="D156" s="99"/>
      <c r="E156" s="99"/>
      <c r="F156" s="99"/>
      <c r="G156" s="99"/>
      <c r="H156" s="100"/>
    </row>
    <row r="157" spans="1:14" s="35" customFormat="1" x14ac:dyDescent="0.25">
      <c r="A157" s="47" t="s">
        <v>161</v>
      </c>
      <c r="B157" s="98" t="s">
        <v>160</v>
      </c>
      <c r="C157" s="99"/>
      <c r="D157" s="99"/>
      <c r="E157" s="99"/>
      <c r="F157" s="99"/>
      <c r="G157" s="99"/>
      <c r="H157" s="100"/>
    </row>
    <row r="158" spans="1:14" s="35" customFormat="1" x14ac:dyDescent="0.25">
      <c r="A158" s="47" t="s">
        <v>161</v>
      </c>
      <c r="B158" s="98" t="s">
        <v>132</v>
      </c>
      <c r="C158" s="99"/>
      <c r="D158" s="99"/>
      <c r="E158" s="99"/>
      <c r="F158" s="99"/>
      <c r="G158" s="99"/>
      <c r="H158" s="100"/>
    </row>
    <row r="159" spans="1:14" s="35" customFormat="1" ht="34.5" customHeight="1" x14ac:dyDescent="0.25">
      <c r="A159" s="47" t="s">
        <v>161</v>
      </c>
      <c r="B159" s="98" t="s">
        <v>162</v>
      </c>
      <c r="C159" s="99"/>
      <c r="D159" s="99"/>
      <c r="E159" s="99"/>
      <c r="F159" s="99"/>
      <c r="G159" s="99"/>
      <c r="H159" s="100"/>
    </row>
    <row r="160" spans="1:14" s="35" customFormat="1" x14ac:dyDescent="0.25">
      <c r="A160" s="47" t="s">
        <v>161</v>
      </c>
      <c r="B160" s="98" t="s">
        <v>133</v>
      </c>
      <c r="C160" s="99"/>
      <c r="D160" s="99"/>
      <c r="E160" s="99"/>
      <c r="F160" s="99"/>
      <c r="G160" s="99"/>
      <c r="H160" s="100"/>
    </row>
    <row r="161" spans="1:8" s="35" customFormat="1" hidden="1" x14ac:dyDescent="0.25">
      <c r="A161" s="47" t="s">
        <v>161</v>
      </c>
      <c r="B161" s="98" t="s">
        <v>224</v>
      </c>
      <c r="C161" s="99"/>
      <c r="D161" s="99"/>
      <c r="E161" s="99"/>
      <c r="F161" s="99"/>
      <c r="G161" s="99"/>
      <c r="H161" s="100"/>
    </row>
    <row r="162" spans="1:8" s="35" customFormat="1" ht="30.75" customHeight="1" x14ac:dyDescent="0.25">
      <c r="A162" s="47" t="s">
        <v>161</v>
      </c>
      <c r="B162" s="98" t="s">
        <v>225</v>
      </c>
      <c r="C162" s="99"/>
      <c r="D162" s="99"/>
      <c r="E162" s="99"/>
      <c r="F162" s="99"/>
      <c r="G162" s="99"/>
      <c r="H162" s="100"/>
    </row>
    <row r="163" spans="1:8" s="35" customFormat="1" x14ac:dyDescent="0.25">
      <c r="A163" s="47" t="s">
        <v>161</v>
      </c>
      <c r="B163" s="98" t="s">
        <v>229</v>
      </c>
      <c r="C163" s="99"/>
      <c r="D163" s="99"/>
      <c r="E163" s="99"/>
      <c r="F163" s="99"/>
      <c r="G163" s="99"/>
      <c r="H163" s="100"/>
    </row>
    <row r="164" spans="1:8" s="35" customFormat="1" x14ac:dyDescent="0.25">
      <c r="A164" s="47" t="s">
        <v>161</v>
      </c>
      <c r="B164" s="98" t="s">
        <v>230</v>
      </c>
      <c r="C164" s="99"/>
      <c r="D164" s="99"/>
      <c r="E164" s="99"/>
      <c r="F164" s="99"/>
      <c r="G164" s="99"/>
      <c r="H164" s="100"/>
    </row>
    <row r="165" spans="1:8" s="35" customFormat="1" x14ac:dyDescent="0.25">
      <c r="A165" s="59" t="s">
        <v>161</v>
      </c>
      <c r="B165" s="98" t="s">
        <v>239</v>
      </c>
      <c r="C165" s="99"/>
      <c r="D165" s="99"/>
      <c r="E165" s="99"/>
      <c r="F165" s="99"/>
      <c r="G165" s="99"/>
      <c r="H165" s="100"/>
    </row>
    <row r="166" spans="1:8" s="35" customFormat="1" x14ac:dyDescent="0.25">
      <c r="A166" s="58" t="s">
        <v>161</v>
      </c>
      <c r="B166" s="98" t="s">
        <v>241</v>
      </c>
      <c r="C166" s="99"/>
      <c r="D166" s="99"/>
      <c r="E166" s="99"/>
      <c r="F166" s="99"/>
      <c r="G166" s="99"/>
      <c r="H166" s="100"/>
    </row>
    <row r="167" spans="1:8" s="35" customFormat="1" hidden="1" x14ac:dyDescent="0.25">
      <c r="A167" s="57" t="s">
        <v>161</v>
      </c>
      <c r="B167" s="98" t="s">
        <v>234</v>
      </c>
      <c r="C167" s="99"/>
      <c r="D167" s="99"/>
      <c r="E167" s="99"/>
      <c r="F167" s="99"/>
      <c r="G167" s="99"/>
      <c r="H167" s="100"/>
    </row>
    <row r="168" spans="1:8" x14ac:dyDescent="0.25">
      <c r="A168" s="107" t="s">
        <v>63</v>
      </c>
      <c r="B168" s="107"/>
      <c r="C168" s="107"/>
      <c r="D168" s="107"/>
      <c r="E168" s="107"/>
      <c r="F168" s="107"/>
      <c r="G168" s="107"/>
      <c r="H168" s="107"/>
    </row>
    <row r="169" spans="1:8" x14ac:dyDescent="0.25">
      <c r="A169" s="81" t="s">
        <v>64</v>
      </c>
      <c r="B169" s="81"/>
      <c r="C169" s="81"/>
      <c r="D169" s="81"/>
      <c r="E169" s="81"/>
      <c r="F169" s="81"/>
      <c r="G169" s="81"/>
      <c r="H169" s="81"/>
    </row>
    <row r="170" spans="1:8" ht="15.75" customHeight="1" x14ac:dyDescent="0.25">
      <c r="A170" s="82" t="s">
        <v>65</v>
      </c>
      <c r="B170" s="82"/>
      <c r="C170" s="82"/>
      <c r="D170" s="82"/>
      <c r="E170" s="82"/>
      <c r="F170" s="82"/>
      <c r="G170" s="82"/>
      <c r="H170" s="82"/>
    </row>
    <row r="171" spans="1:8" x14ac:dyDescent="0.25">
      <c r="A171" s="81" t="s">
        <v>66</v>
      </c>
      <c r="B171" s="81"/>
      <c r="C171" s="81"/>
      <c r="D171" s="81"/>
      <c r="E171" s="81"/>
      <c r="F171" s="81"/>
      <c r="G171" s="81"/>
      <c r="H171" s="81"/>
    </row>
    <row r="172" spans="1:8" x14ac:dyDescent="0.25">
      <c r="A172" s="81" t="s">
        <v>67</v>
      </c>
      <c r="B172" s="81"/>
      <c r="C172" s="81"/>
      <c r="D172" s="81"/>
      <c r="E172" s="81"/>
      <c r="F172" s="81"/>
      <c r="G172" s="81"/>
      <c r="H172" s="81"/>
    </row>
    <row r="173" spans="1:8" x14ac:dyDescent="0.25">
      <c r="A173" s="81" t="s">
        <v>134</v>
      </c>
      <c r="B173" s="81"/>
      <c r="C173" s="81"/>
      <c r="D173" s="81"/>
      <c r="E173" s="81"/>
      <c r="F173" s="81"/>
      <c r="G173" s="81"/>
      <c r="H173" s="81"/>
    </row>
    <row r="174" spans="1:8" x14ac:dyDescent="0.25">
      <c r="A174" s="108" t="s">
        <v>135</v>
      </c>
      <c r="B174" s="108"/>
      <c r="C174" s="108"/>
      <c r="D174" s="108"/>
      <c r="E174" s="108"/>
      <c r="F174" s="108"/>
      <c r="G174" s="108"/>
      <c r="H174" s="108"/>
    </row>
    <row r="175" spans="1:8" x14ac:dyDescent="0.25">
      <c r="A175" s="146" t="s">
        <v>80</v>
      </c>
      <c r="B175" s="146"/>
      <c r="C175" s="146" t="s">
        <v>236</v>
      </c>
      <c r="D175" s="146"/>
      <c r="E175" s="146" t="s">
        <v>110</v>
      </c>
      <c r="F175" s="146"/>
      <c r="G175" s="146" t="s">
        <v>240</v>
      </c>
      <c r="H175" s="146"/>
    </row>
    <row r="176" spans="1:8" x14ac:dyDescent="0.25">
      <c r="A176" s="145" t="s">
        <v>82</v>
      </c>
      <c r="B176" s="145"/>
      <c r="C176" s="145"/>
      <c r="D176" s="145"/>
      <c r="E176" s="145"/>
      <c r="F176" s="145"/>
      <c r="G176" s="145"/>
      <c r="H176" s="145"/>
    </row>
    <row r="177" spans="1:8" x14ac:dyDescent="0.25">
      <c r="A177" s="145"/>
      <c r="B177" s="145"/>
      <c r="C177" s="145"/>
      <c r="D177" s="145"/>
      <c r="E177" s="145"/>
      <c r="F177" s="145"/>
      <c r="G177" s="145"/>
      <c r="H177" s="145"/>
    </row>
    <row r="178" spans="1:8" x14ac:dyDescent="0.25">
      <c r="A178" s="145"/>
      <c r="B178" s="145"/>
      <c r="C178" s="145"/>
      <c r="D178" s="145"/>
      <c r="E178" s="145"/>
      <c r="F178" s="145"/>
      <c r="G178" s="145"/>
      <c r="H178" s="145"/>
    </row>
    <row r="179" spans="1:8" x14ac:dyDescent="0.25">
      <c r="A179" s="145"/>
      <c r="B179" s="145"/>
      <c r="C179" s="145"/>
      <c r="D179" s="145"/>
      <c r="E179" s="145"/>
      <c r="F179" s="145"/>
      <c r="G179" s="145"/>
      <c r="H179" s="145"/>
    </row>
    <row r="180" spans="1:8" x14ac:dyDescent="0.25">
      <c r="A180" s="38" t="s">
        <v>68</v>
      </c>
      <c r="B180" s="39"/>
      <c r="C180" s="39"/>
      <c r="D180" s="38" t="str">
        <f>E8</f>
        <v>Unique Shine</v>
      </c>
      <c r="F180" s="39"/>
      <c r="G180" s="39"/>
      <c r="H180" s="39"/>
    </row>
    <row r="181" spans="1:8" x14ac:dyDescent="0.25">
      <c r="A181" s="39"/>
      <c r="B181" s="39"/>
      <c r="C181" s="39"/>
      <c r="D181" s="39"/>
      <c r="E181" s="39"/>
      <c r="F181" s="39"/>
      <c r="G181" s="39"/>
      <c r="H181" s="39"/>
    </row>
    <row r="182" spans="1:8" x14ac:dyDescent="0.25">
      <c r="A182" s="39"/>
      <c r="B182" s="39"/>
      <c r="C182" s="39"/>
      <c r="D182" s="39"/>
      <c r="E182" s="39"/>
      <c r="F182" s="39"/>
      <c r="G182" s="39"/>
      <c r="H182" s="39"/>
    </row>
    <row r="183" spans="1:8" ht="15" customHeight="1" x14ac:dyDescent="0.25"/>
    <row r="222" spans="1:1" x14ac:dyDescent="0.25">
      <c r="A222" s="41" t="s">
        <v>176</v>
      </c>
    </row>
    <row r="263" spans="1:1" x14ac:dyDescent="0.25">
      <c r="A263" s="41" t="s">
        <v>69</v>
      </c>
    </row>
  </sheetData>
  <mergeCells count="350">
    <mergeCell ref="B165:H165"/>
    <mergeCell ref="B166:H166"/>
    <mergeCell ref="B167:H167"/>
    <mergeCell ref="B163:H163"/>
    <mergeCell ref="B162:H162"/>
    <mergeCell ref="A130:H130"/>
    <mergeCell ref="A131:B131"/>
    <mergeCell ref="C131:F131"/>
    <mergeCell ref="G131:H136"/>
    <mergeCell ref="L131:M131"/>
    <mergeCell ref="A132:B132"/>
    <mergeCell ref="L132:M132"/>
    <mergeCell ref="A133:B133"/>
    <mergeCell ref="L133:M133"/>
    <mergeCell ref="A134:B134"/>
    <mergeCell ref="L134:M134"/>
    <mergeCell ref="A135:B135"/>
    <mergeCell ref="L135:M135"/>
    <mergeCell ref="A136:B136"/>
    <mergeCell ref="L136:M136"/>
    <mergeCell ref="A144:H144"/>
    <mergeCell ref="A145:B145"/>
    <mergeCell ref="G145:H150"/>
    <mergeCell ref="L145:M145"/>
    <mergeCell ref="A146:B146"/>
    <mergeCell ref="L148:M148"/>
    <mergeCell ref="L149:M149"/>
    <mergeCell ref="L150:M150"/>
    <mergeCell ref="C147:F147"/>
    <mergeCell ref="C148:F148"/>
    <mergeCell ref="C149:F150"/>
    <mergeCell ref="A102:B102"/>
    <mergeCell ref="E102:F102"/>
    <mergeCell ref="A39:B39"/>
    <mergeCell ref="C39:H39"/>
    <mergeCell ref="A90:E90"/>
    <mergeCell ref="C96:D96"/>
    <mergeCell ref="E96:F96"/>
    <mergeCell ref="B106:B107"/>
    <mergeCell ref="A106:A107"/>
    <mergeCell ref="C120:C121"/>
    <mergeCell ref="C102:D102"/>
    <mergeCell ref="F90:H90"/>
    <mergeCell ref="L146:M146"/>
    <mergeCell ref="A147:B147"/>
    <mergeCell ref="L147:M147"/>
    <mergeCell ref="G50:H50"/>
    <mergeCell ref="A51:B52"/>
    <mergeCell ref="A76:B76"/>
    <mergeCell ref="C48:H48"/>
    <mergeCell ref="B157:H157"/>
    <mergeCell ref="F82:H82"/>
    <mergeCell ref="A82:E82"/>
    <mergeCell ref="D106:D107"/>
    <mergeCell ref="A84:E84"/>
    <mergeCell ref="A115:B115"/>
    <mergeCell ref="A116:B116"/>
    <mergeCell ref="F86:H86"/>
    <mergeCell ref="A87:E87"/>
    <mergeCell ref="A89:E89"/>
    <mergeCell ref="F83:H83"/>
    <mergeCell ref="A88:E88"/>
    <mergeCell ref="A83:E83"/>
    <mergeCell ref="G101:H101"/>
    <mergeCell ref="A114:H114"/>
    <mergeCell ref="E95:F95"/>
    <mergeCell ref="A95:B95"/>
    <mergeCell ref="A96:A97"/>
    <mergeCell ref="A122:H122"/>
    <mergeCell ref="A112:H112"/>
    <mergeCell ref="A113:B113"/>
    <mergeCell ref="G113:H113"/>
    <mergeCell ref="F84:H84"/>
    <mergeCell ref="A85:E85"/>
    <mergeCell ref="A118:B118"/>
    <mergeCell ref="A117:B117"/>
    <mergeCell ref="F89:H89"/>
    <mergeCell ref="A105:H105"/>
    <mergeCell ref="G95:H95"/>
    <mergeCell ref="A149:B149"/>
    <mergeCell ref="F80:H80"/>
    <mergeCell ref="F85:H85"/>
    <mergeCell ref="A119:H119"/>
    <mergeCell ref="A120:A121"/>
    <mergeCell ref="A91:E91"/>
    <mergeCell ref="G102:H102"/>
    <mergeCell ref="C97:D97"/>
    <mergeCell ref="E97:F97"/>
    <mergeCell ref="G97:H97"/>
    <mergeCell ref="A98:B98"/>
    <mergeCell ref="C98:D98"/>
    <mergeCell ref="E98:F98"/>
    <mergeCell ref="G98:H98"/>
    <mergeCell ref="C95:D95"/>
    <mergeCell ref="F91:H91"/>
    <mergeCell ref="A103:B103"/>
    <mergeCell ref="A37:H37"/>
    <mergeCell ref="A36:B36"/>
    <mergeCell ref="C36:E36"/>
    <mergeCell ref="A41:D41"/>
    <mergeCell ref="E41:H41"/>
    <mergeCell ref="F33:H33"/>
    <mergeCell ref="F34:H34"/>
    <mergeCell ref="A40:H40"/>
    <mergeCell ref="A59:C59"/>
    <mergeCell ref="D59:H59"/>
    <mergeCell ref="A43:D43"/>
    <mergeCell ref="E43:H43"/>
    <mergeCell ref="E44:H44"/>
    <mergeCell ref="E45:H45"/>
    <mergeCell ref="E46:H46"/>
    <mergeCell ref="A38:B38"/>
    <mergeCell ref="C38:H38"/>
    <mergeCell ref="A45:D45"/>
    <mergeCell ref="A44:D44"/>
    <mergeCell ref="F36:H36"/>
    <mergeCell ref="A46:D46"/>
    <mergeCell ref="A47:H47"/>
    <mergeCell ref="D57:H57"/>
    <mergeCell ref="A48:B48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80:E80"/>
    <mergeCell ref="C50:E50"/>
    <mergeCell ref="A176:H179"/>
    <mergeCell ref="A175:B175"/>
    <mergeCell ref="E175:F175"/>
    <mergeCell ref="C175:D175"/>
    <mergeCell ref="G175:H175"/>
    <mergeCell ref="A94:H94"/>
    <mergeCell ref="A92:E92"/>
    <mergeCell ref="F92:H92"/>
    <mergeCell ref="A93:E93"/>
    <mergeCell ref="F93:H93"/>
    <mergeCell ref="A101:B101"/>
    <mergeCell ref="A171:H171"/>
    <mergeCell ref="A99:H99"/>
    <mergeCell ref="A174:H174"/>
    <mergeCell ref="A172:H172"/>
    <mergeCell ref="A168:H168"/>
    <mergeCell ref="C100:D100"/>
    <mergeCell ref="G100:H100"/>
    <mergeCell ref="C101:D101"/>
    <mergeCell ref="E101:F101"/>
    <mergeCell ref="A69:B69"/>
    <mergeCell ref="A72:B72"/>
    <mergeCell ref="C51:E51"/>
    <mergeCell ref="A58:C58"/>
    <mergeCell ref="D58:H5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A68:B68"/>
    <mergeCell ref="A57:C57"/>
    <mergeCell ref="A169:H169"/>
    <mergeCell ref="E100:F100"/>
    <mergeCell ref="B160:H160"/>
    <mergeCell ref="G117:H117"/>
    <mergeCell ref="G115:H115"/>
    <mergeCell ref="G116:H116"/>
    <mergeCell ref="G118:H118"/>
    <mergeCell ref="B158:H158"/>
    <mergeCell ref="B154:H154"/>
    <mergeCell ref="A104:H104"/>
    <mergeCell ref="B152:H152"/>
    <mergeCell ref="B153:H153"/>
    <mergeCell ref="E106:E107"/>
    <mergeCell ref="G106:H107"/>
    <mergeCell ref="A137:H137"/>
    <mergeCell ref="A138:B138"/>
    <mergeCell ref="G138:H143"/>
    <mergeCell ref="A143:B143"/>
    <mergeCell ref="B155:H155"/>
    <mergeCell ref="B156:H156"/>
    <mergeCell ref="A151:H151"/>
    <mergeCell ref="A148:B148"/>
    <mergeCell ref="B159:H159"/>
    <mergeCell ref="B161:H161"/>
    <mergeCell ref="A53:B53"/>
    <mergeCell ref="C53:E53"/>
    <mergeCell ref="A50:B50"/>
    <mergeCell ref="A54:H54"/>
    <mergeCell ref="A55:C55"/>
    <mergeCell ref="A56:C56"/>
    <mergeCell ref="D56:H56"/>
    <mergeCell ref="G53:H53"/>
    <mergeCell ref="F88:H88"/>
    <mergeCell ref="D63:H63"/>
    <mergeCell ref="A64:C64"/>
    <mergeCell ref="D64:H64"/>
    <mergeCell ref="A70:B70"/>
    <mergeCell ref="G69:H69"/>
    <mergeCell ref="A60:C60"/>
    <mergeCell ref="E70:F79"/>
    <mergeCell ref="G70:H79"/>
    <mergeCell ref="A78:B78"/>
    <mergeCell ref="A79:B79"/>
    <mergeCell ref="D60:H60"/>
    <mergeCell ref="A77:B77"/>
    <mergeCell ref="F87:H87"/>
    <mergeCell ref="A81:E81"/>
    <mergeCell ref="A86:E86"/>
    <mergeCell ref="E42:H42"/>
    <mergeCell ref="A42:D42"/>
    <mergeCell ref="A173:H173"/>
    <mergeCell ref="A170:H170"/>
    <mergeCell ref="A150:B150"/>
    <mergeCell ref="A100:B100"/>
    <mergeCell ref="D120:D121"/>
    <mergeCell ref="E120:E121"/>
    <mergeCell ref="G120:H121"/>
    <mergeCell ref="A75:B75"/>
    <mergeCell ref="F81:H81"/>
    <mergeCell ref="G96:H96"/>
    <mergeCell ref="A49:B49"/>
    <mergeCell ref="C49:E49"/>
    <mergeCell ref="C52:E52"/>
    <mergeCell ref="G52:H52"/>
    <mergeCell ref="G49:H49"/>
    <mergeCell ref="G51:H51"/>
    <mergeCell ref="A140:B140"/>
    <mergeCell ref="B164:H164"/>
    <mergeCell ref="D55:H55"/>
    <mergeCell ref="A108:H108"/>
    <mergeCell ref="A109:H109"/>
    <mergeCell ref="A110:B110"/>
    <mergeCell ref="A126:B126"/>
    <mergeCell ref="L126:M126"/>
    <mergeCell ref="L113:M113"/>
    <mergeCell ref="L118:M118"/>
    <mergeCell ref="L117:M117"/>
    <mergeCell ref="L116:M116"/>
    <mergeCell ref="L115:M115"/>
    <mergeCell ref="B120:B121"/>
    <mergeCell ref="E103:F103"/>
    <mergeCell ref="G103:H103"/>
    <mergeCell ref="C106:C107"/>
    <mergeCell ref="G110:H111"/>
    <mergeCell ref="A123:H123"/>
    <mergeCell ref="A124:B124"/>
    <mergeCell ref="C103:D103"/>
    <mergeCell ref="I10:L10"/>
    <mergeCell ref="L143:M143"/>
    <mergeCell ref="C138:F138"/>
    <mergeCell ref="A127:B127"/>
    <mergeCell ref="L127:M127"/>
    <mergeCell ref="A128:B128"/>
    <mergeCell ref="L128:M128"/>
    <mergeCell ref="A129:B129"/>
    <mergeCell ref="L129:M129"/>
    <mergeCell ref="G124:H129"/>
    <mergeCell ref="L138:M138"/>
    <mergeCell ref="A139:B139"/>
    <mergeCell ref="L139:M139"/>
    <mergeCell ref="L140:M140"/>
    <mergeCell ref="A141:B141"/>
    <mergeCell ref="L141:M141"/>
    <mergeCell ref="A142:B142"/>
    <mergeCell ref="L142:M142"/>
    <mergeCell ref="L110:M110"/>
    <mergeCell ref="A111:B111"/>
    <mergeCell ref="L111:M111"/>
    <mergeCell ref="L124:M124"/>
    <mergeCell ref="A125:B125"/>
    <mergeCell ref="L125:M125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79" max="16383" man="1"/>
    <brk id="221" max="16383" man="1"/>
    <brk id="26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8" t="s">
        <v>111</v>
      </c>
      <c r="C3" s="198"/>
      <c r="D3" s="198"/>
      <c r="E3" s="198"/>
      <c r="F3" s="198"/>
      <c r="G3" s="198"/>
      <c r="H3" s="198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2025-06-10T17:37:41Z</cp:lastPrinted>
  <dcterms:created xsi:type="dcterms:W3CDTF">2019-07-16T09:29:46Z</dcterms:created>
  <dcterms:modified xsi:type="dcterms:W3CDTF">2025-09-17T09:55:58Z</dcterms:modified>
</cp:coreProperties>
</file>